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xml"/>
  <Override PartName="/xl/comments4.xml" ContentType="application/vnd.openxmlformats-officedocument.spreadsheetml.comments+xml"/>
  <Override PartName="/xl/charts/chart15.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drawings/drawing21.xml" ContentType="application/vnd.openxmlformats-officedocument.drawing+xml"/>
  <Override PartName="/xl/comments7.xml" ContentType="application/vnd.openxmlformats-officedocument.spreadsheetml.comment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omments8.xml" ContentType="application/vnd.openxmlformats-officedocument.spreadsheetml.comments+xml"/>
  <Override PartName="/xl/drawings/drawing22.xml" ContentType="application/vnd.openxmlformats-officedocument.drawing+xml"/>
  <Override PartName="/xl/comments9.xml" ContentType="application/vnd.openxmlformats-officedocument.spreadsheetml.comment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3.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4.xml" ContentType="application/vnd.openxmlformats-officedocument.drawing+xml"/>
  <Override PartName="/xl/comments13.xml" ContentType="application/vnd.openxmlformats-officedocument.spreadsheetml.comments+xml"/>
  <Override PartName="/xl/drawings/drawing25.xml" ContentType="application/vnd.openxmlformats-officedocument.drawing+xml"/>
  <Override PartName="/xl/comments14.xml" ContentType="application/vnd.openxmlformats-officedocument.spreadsheetml.comments+xml"/>
  <Override PartName="/xl/drawings/drawing26.xml" ContentType="application/vnd.openxmlformats-officedocument.drawing+xml"/>
  <Override PartName="/xl/comments15.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7.xml" ContentType="application/vnd.openxmlformats-officedocument.drawing+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8.xml" ContentType="application/vnd.openxmlformats-officedocument.drawing+xml"/>
  <Override PartName="/xl/comments16.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comments17.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P:\ITC\Projects\GEOCAP\05 GEOCAP Documentation\05 DELIVERABLES\WP 2.01\"/>
    </mc:Choice>
  </mc:AlternateContent>
  <bookViews>
    <workbookView xWindow="0" yWindow="0" windowWidth="23040" windowHeight="10632" firstSheet="1" activeTab="3"/>
  </bookViews>
  <sheets>
    <sheet name="CB_DATA_" sheetId="4" state="veryHidden" r:id="rId1"/>
    <sheet name="Intro" sheetId="24" r:id="rId2"/>
    <sheet name="Project-definition" sheetId="11" r:id="rId3"/>
    <sheet name="KPI" sheetId="12" r:id="rId4"/>
    <sheet name="Well scheme" sheetId="64" r:id="rId5"/>
    <sheet name="Facility scheme" sheetId="66" r:id="rId6"/>
    <sheet name="Sequence of events" sheetId="67" r:id="rId7"/>
    <sheet name="Fig. Well success" sheetId="56" r:id="rId8"/>
    <sheet name="Fig. Rig" sheetId="46" r:id="rId9"/>
    <sheet name="Fig. Pressure" sheetId="60" r:id="rId10"/>
    <sheet name="Fig. Temperature" sheetId="59" r:id="rId11"/>
    <sheet name="Fig. Prod" sheetId="48" r:id="rId12"/>
    <sheet name="Fig. Rig &amp; Prod" sheetId="62" r:id="rId13"/>
    <sheet name="Fig. Electricity" sheetId="50" r:id="rId14"/>
    <sheet name="Fig. Opex" sheetId="58" r:id="rId15"/>
    <sheet name="Fig. Fiscal status" sheetId="52" r:id="rId16"/>
    <sheet name="Fig. CF" sheetId="51" r:id="rId17"/>
    <sheet name="Fig. DCF" sheetId="53" r:id="rId18"/>
    <sheet name="Fig. CumCF" sheetId="55" r:id="rId19"/>
    <sheet name="Fig. CumDCF" sheetId="54" r:id="rId20"/>
    <sheet name="Cashflow" sheetId="6" r:id="rId21"/>
    <sheet name="Well Opex" sheetId="68" r:id="rId22"/>
    <sheet name="Calculated Variables" sheetId="65" r:id="rId23"/>
    <sheet name="Well Success" sheetId="38" r:id="rId24"/>
    <sheet name="Flow" sheetId="33" r:id="rId25"/>
    <sheet name="Thermodynamics" sheetId="39" r:id="rId26"/>
    <sheet name="Capex" sheetId="8" r:id="rId27"/>
    <sheet name="CumCF" sheetId="7" r:id="rId28"/>
    <sheet name="DCF" sheetId="9" r:id="rId29"/>
    <sheet name="CumDCF" sheetId="13" r:id="rId30"/>
    <sheet name="Steam Tables" sheetId="40" r:id="rId31"/>
    <sheet name="Volumetrics" sheetId="1" r:id="rId32"/>
    <sheet name="Static Steam Tables" sheetId="42" r:id="rId33"/>
    <sheet name="Rock-props" sheetId="57" r:id="rId34"/>
    <sheet name="Water-props" sheetId="2" r:id="rId35"/>
    <sheet name="Well Cost Suggestions" sheetId="32" r:id="rId36"/>
    <sheet name="Cost indices" sheetId="69" r:id="rId37"/>
    <sheet name="Lit. examples" sheetId="14" r:id="rId38"/>
    <sheet name="Sources and Refs" sheetId="22" r:id="rId39"/>
    <sheet name="Test page" sheetId="20" r:id="rId40"/>
    <sheet name="Future work" sheetId="19" r:id="rId41"/>
    <sheet name="Schedule" sheetId="41" r:id="rId42"/>
    <sheet name="Email questions" sheetId="43" r:id="rId43"/>
    <sheet name="Q&amp;A-ITB" sheetId="70" r:id="rId44"/>
  </sheets>
  <definedNames>
    <definedName name="CB_031be0c08fb7464ba6b4791984af0b11" localSheetId="2" hidden="1">'Project-definition'!$V$18</definedName>
    <definedName name="CB_075fcc8bae4b4fb6a28e18effc48c81d" localSheetId="3" hidden="1">KPI!$B$7</definedName>
    <definedName name="CB_07ae1d65bb24449a84517b1de8927b31" localSheetId="3" hidden="1">KPI!$B$34</definedName>
    <definedName name="CB_0a870a03775c41699df5e83a912dc208" localSheetId="31" hidden="1">Volumetrics!$C$11</definedName>
    <definedName name="CB_0ce152c9146e457bab73ec24d0982582" localSheetId="3" hidden="1">KPI!$B$12</definedName>
    <definedName name="CB_10e5652e423e4573aca7b2df4f210ac8" localSheetId="0" hidden="1">#N/A</definedName>
    <definedName name="CB_1344f815ebf240758787f5270f6580f6" localSheetId="2" hidden="1">'Project-definition'!$I$5</definedName>
    <definedName name="CB_15ea16f4456c40d4aa107b4360779e5a" localSheetId="2" hidden="1">'Project-definition'!$I$25</definedName>
    <definedName name="CB_1921befc29064239b97a35543f356d6c" localSheetId="2" hidden="1">'Project-definition'!$V$19</definedName>
    <definedName name="CB_1fa0ae9f85654b6e84b3d3a52154a464" localSheetId="2" hidden="1">'Project-definition'!$V$10</definedName>
    <definedName name="CB_22920e6cd9db4f0882699056b18bf9e0" localSheetId="3" hidden="1">KPI!$B$11</definedName>
    <definedName name="CB_22a22a41ae524d98abf0e34e09e9cd0d" localSheetId="2" hidden="1">'Project-definition'!$I$23</definedName>
    <definedName name="CB_231bdf9b2a6e4da180afc898d0075dc8" localSheetId="2" hidden="1">'Project-definition'!$V$11</definedName>
    <definedName name="CB_252e0f7f544241f3a0eec29c86146a76" localSheetId="31" hidden="1">Volumetrics!$C$22</definedName>
    <definedName name="CB_26ed0bf669214fdcbefa35a7e206091c" localSheetId="3" hidden="1">KPI!$B$23</definedName>
    <definedName name="CB_2fa582f6f0c848a5849b0550fa390268" localSheetId="0" hidden="1">#N/A</definedName>
    <definedName name="CB_36e40cb28c274d17bdc261a7f55f1239" localSheetId="3" hidden="1">KPI!$B$17</definedName>
    <definedName name="CB_37c796d158c54b05a3fca9e5c4f34d6c" localSheetId="3" hidden="1">KPI!$B$6</definedName>
    <definedName name="CB_4e98661420934e589b8e509b44a31eb5" localSheetId="31" hidden="1">Volumetrics!$C$12</definedName>
    <definedName name="CB_58cf263221e84271aa45720f5e9db093" localSheetId="2" hidden="1">'Project-definition'!$I$14</definedName>
    <definedName name="CB_5c06195e92cd41198146c96b1338dfff" localSheetId="2" hidden="1">'Project-definition'!$V$6</definedName>
    <definedName name="CB_66e0933ac6034f4eaac1c394c492a1de" localSheetId="3" hidden="1">KPI!$B$22</definedName>
    <definedName name="CB_68dfbab2d6c54c49964546d2c189f099" localSheetId="3" hidden="1">KPI!$B$25</definedName>
    <definedName name="CB_694b6f9f69a44e148c4d89503ed016da" localSheetId="2" hidden="1">'Project-definition'!$I$13</definedName>
    <definedName name="CB_6a190e12b95e45cd81cd82f882d1b094" localSheetId="2" hidden="1">'Project-definition'!$I$11</definedName>
    <definedName name="CB_6fb54c7ffd9f4c2481845c7ff9873e7e" localSheetId="2" hidden="1">'Project-definition'!$I$22</definedName>
    <definedName name="CB_705ca2b2d4824e8ab541b3696c18e941" localSheetId="2" hidden="1">'Project-definition'!$Q$16</definedName>
    <definedName name="CB_74bf4cb645314f58a21b8c6857a70eb7" localSheetId="2" hidden="1">'Project-definition'!$V$20</definedName>
    <definedName name="CB_75b0a2f2cc0f4bd4aac7511000c689c5" localSheetId="2" hidden="1">'Project-definition'!$I$7</definedName>
    <definedName name="CB_85fecca5a7d143fab706d6c1dc13e62c" localSheetId="31" hidden="1">Volumetrics!$C$19</definedName>
    <definedName name="CB_8b003fc82b2845bc93f828f2258d5aa8" localSheetId="2" hidden="1">'Project-definition'!$I$21</definedName>
    <definedName name="CB_8b08273fd4af47af800fc5bc924894c5" localSheetId="2" hidden="1">'Project-definition'!$Q$9</definedName>
    <definedName name="CB_8f57868b44a94d16b6da0211377c6f34" localSheetId="31" hidden="1">Volumetrics!$C$14</definedName>
    <definedName name="CB_90c6f90b3b184cf1b2a7c804e6147215" localSheetId="2" hidden="1">'Project-definition'!$Q$22</definedName>
    <definedName name="CB_9111e427dd384bacb8e1c19e1beea634" localSheetId="2" hidden="1">'Project-definition'!$I$12</definedName>
    <definedName name="CB_9445e53d88ec428d936fdaa4a7925523" localSheetId="2" hidden="1">'Project-definition'!$I$6</definedName>
    <definedName name="CB_95ccc473cb804f029f97d513d08db4f5" localSheetId="3" hidden="1">KPI!$B$16</definedName>
    <definedName name="CB_9bb4a5e73ea749c793e72e2d9de7861d" localSheetId="3" hidden="1">KPI!$B$5</definedName>
    <definedName name="CB_9cf027be2aa94ba389aa8105d225f557" localSheetId="2" hidden="1">'Project-definition'!$I$10</definedName>
    <definedName name="CB_9e43258cde1a4fff9985a1f42d754987" localSheetId="2" hidden="1">'Project-definition'!$V$21</definedName>
    <definedName name="CB_a52275f3c3d54359a0fc0835ea196490" localSheetId="2" hidden="1">'Project-definition'!$Q$21</definedName>
    <definedName name="CB_a5ef89bf0b0e4b7d8d39a681d9b71446" localSheetId="31" hidden="1">Volumetrics!$C$16</definedName>
    <definedName name="CB_a6caa027005349e4b88fa93f3b66f1d2" localSheetId="31" hidden="1">Volumetrics!$C$17</definedName>
    <definedName name="CB_aff82fb2638e49e2828c3d11d2ab31cd" localSheetId="2" hidden="1">'Project-definition'!$V$17</definedName>
    <definedName name="CB_b3d941f1da0c466d998a12d0e2e7b196" localSheetId="2" hidden="1">'Project-definition'!$Q$6</definedName>
    <definedName name="CB_b4edbc0f60fd4fb9996f1b21da723f27" localSheetId="31" hidden="1">Volumetrics!$C$13</definedName>
    <definedName name="CB_b78e24494843408baa1ad810e7243cac" localSheetId="3" hidden="1">KPI!$B$32</definedName>
    <definedName name="CB_bde85a67f3074366b078c29dc90938e3" localSheetId="2" hidden="1">'Project-definition'!$Q$15</definedName>
    <definedName name="CB_Block_00000000000000000000000000000000" localSheetId="20" hidden="1">"'7.0.0.0"</definedName>
    <definedName name="CB_Block_00000000000000000000000000000000" localSheetId="0" hidden="1">"'7.0.0.0"</definedName>
    <definedName name="CB_Block_00000000000000000000000000000000" localSheetId="3" hidden="1">"'7.0.0.0"</definedName>
    <definedName name="CB_Block_00000000000000000000000000000000" localSheetId="2" hidden="1">"'7.0.0.0"</definedName>
    <definedName name="CB_Block_00000000000000000000000000000000" localSheetId="31" hidden="1">"'7.0.0.0"</definedName>
    <definedName name="CB_Block_00000000000000000000000000000001" localSheetId="20" hidden="1">"'636344254371175932"</definedName>
    <definedName name="CB_Block_00000000000000000000000000000001" localSheetId="0" hidden="1">"'636446315088358699"</definedName>
    <definedName name="CB_Block_00000000000000000000000000000001" localSheetId="3" hidden="1">"'636446315088674601"</definedName>
    <definedName name="CB_Block_00000000000000000000000000000001" localSheetId="2" hidden="1">"'636446315089608376"</definedName>
    <definedName name="CB_Block_00000000000000000000000000000001" localSheetId="31" hidden="1">"'636446315088983330"</definedName>
    <definedName name="CB_Block_00000000000000000000000000000003" localSheetId="20" hidden="1">"'11.1.3436.0"</definedName>
    <definedName name="CB_Block_00000000000000000000000000000003" localSheetId="0" hidden="1">"'11.1.4716.0"</definedName>
    <definedName name="CB_Block_00000000000000000000000000000003" localSheetId="3" hidden="1">"'11.1.4716.0"</definedName>
    <definedName name="CB_Block_00000000000000000000000000000003" localSheetId="2" hidden="1">"'11.1.4716.0"</definedName>
    <definedName name="CB_Block_00000000000000000000000000000003" localSheetId="31" hidden="1">"'11.1.4716.0"</definedName>
    <definedName name="CB_BlockExt_00000000000000000000000000000003" localSheetId="20" hidden="1">"'11.1.2.3.000"</definedName>
    <definedName name="CB_BlockExt_00000000000000000000000000000003" localSheetId="0" hidden="1">"'11.1.2.4.850"</definedName>
    <definedName name="CB_BlockExt_00000000000000000000000000000003" localSheetId="3" hidden="1">"'11.1.2.4.850"</definedName>
    <definedName name="CB_BlockExt_00000000000000000000000000000003" localSheetId="2" hidden="1">"'11.1.2.4.850"</definedName>
    <definedName name="CB_BlockExt_00000000000000000000000000000003" localSheetId="31" hidden="1">"'11.1.2.4.850"</definedName>
    <definedName name="CB_c762f5a1ac8948a28339260e708506dc" localSheetId="2" hidden="1">'Project-definition'!$I$8</definedName>
    <definedName name="CB_d26be6ab210a4532845c24af0559a779" localSheetId="2" hidden="1">'Project-definition'!$V$22</definedName>
    <definedName name="CB_d5cffb0c7ae04e8ea2d135b6a4692440" localSheetId="2" hidden="1">'Project-definition'!$I$9</definedName>
    <definedName name="CB_d7f0f4e890184ff5909a6d776d2a8ff9" localSheetId="0" hidden="1">#N/A</definedName>
    <definedName name="CB_d8d03fcc9d9b4f6aaacc300c0084ebd5" localSheetId="3" hidden="1">KPI!$B$33</definedName>
    <definedName name="CB_e4cb365ec7814912b1cbe823f4208df3" localSheetId="2" hidden="1">'Project-definition'!$I$24</definedName>
    <definedName name="CB_e70de082b30e413cabe8bd19eff30baf" localSheetId="3" hidden="1">KPI!$B$36</definedName>
    <definedName name="CB_ebfaa97bf4e54458a0fb4edbfcc34fbd" localSheetId="2" hidden="1">'Project-definition'!$AA$5</definedName>
    <definedName name="CB_f5baa64a80fb4b01b716f58e6fc191bc" localSheetId="2" hidden="1">'Project-definition'!$V$16</definedName>
    <definedName name="CB_f8c481f7652f43a39636f64f77a633f4" localSheetId="3" hidden="1">KPI!$B$9</definedName>
    <definedName name="CB_f8f10fff0bcd48d7abe77e265f2bd875" localSheetId="2" hidden="1">'Project-definition'!$V$15</definedName>
    <definedName name="CBCR_0362b00dfeae4287bdb42aae7b8b60f3" localSheetId="2" hidden="1">'Project-definition'!$E$22</definedName>
    <definedName name="CBCR_055eac2cd9ed405488c20f257c9d2d09" localSheetId="2" hidden="1">'Project-definition'!$E$24</definedName>
    <definedName name="CBCR_08cee2031384423995b0062d6dcef565" localSheetId="3" hidden="1">KPI!$C$12</definedName>
    <definedName name="CBCR_0c57d6e9c99f4dba909bca3a52afe544" localSheetId="3" hidden="1">KPI!$C$6</definedName>
    <definedName name="CBCR_0d3cbfcb3ac74a979518c14f8258eaf2" localSheetId="3" hidden="1">KPI!$A$23</definedName>
    <definedName name="CBCR_1661bfe781c74f679679e1d4fbe0fb26" localSheetId="3" hidden="1">KPI!$C$36</definedName>
    <definedName name="CBCR_1a1af237c84c4252a4c60058b3738c04" localSheetId="31" hidden="1">Volumetrics!$A$19&amp;" ("&amp;Volumetrics!$B$19&amp;")"</definedName>
    <definedName name="CBCR_1ba1a1da5869450faa88308dc5e8f1df" localSheetId="2" hidden="1">'Project-definition'!$E$23</definedName>
    <definedName name="CBCR_1e000d98ea35469990439865246b2531" localSheetId="2" hidden="1">'Project-definition'!$M$9</definedName>
    <definedName name="CBCR_20c20f5812d5487e9587265561524019" localSheetId="2" hidden="1">'Project-definition'!$S$17</definedName>
    <definedName name="CBCR_256df29eac184f439167618504ec327e" localSheetId="3" hidden="1">KPI!$C$17</definedName>
    <definedName name="CBCR_2622f93cdf52411bbb7cc2a21b5b5eb8" localSheetId="3" hidden="1">KPI!$A$22</definedName>
    <definedName name="CBCR_26ea4c0fe8eb41a6a2f52244c88e02fa" localSheetId="3" hidden="1">KPI!$A$36</definedName>
    <definedName name="CBCR_2d5ad8fe960b47d0960bbf109240a650" localSheetId="31" hidden="1">Volumetrics!$A$17&amp;" ("&amp;Volumetrics!$B$17&amp;")"</definedName>
    <definedName name="CBCR_3254b06372c74a6b9b94330c52380d1b" localSheetId="31" hidden="1">Volumetrics!$E$19</definedName>
    <definedName name="CBCR_35ffdb72a9a44ee3b1ff3eaadcee6046" localSheetId="3" hidden="1">KPI!$A$6</definedName>
    <definedName name="CBCR_375bf43e59bb4d039c61859cf5565a41" localSheetId="3" hidden="1">KPI!$C$34</definedName>
    <definedName name="CBCR_43d950e0a6f442a18b401fa091564378" localSheetId="2" hidden="1">'Project-definition'!$X$5</definedName>
    <definedName name="CBCR_45399d494093462199cc22d13eef2f79" localSheetId="2" hidden="1">'Project-definition'!$S$10</definedName>
    <definedName name="CBCR_47ee1e60aed14d96931251c5926ba66a" localSheetId="2" hidden="1">'Project-definition'!$E$10</definedName>
    <definedName name="CBCR_4b69bf3dcbdd431e9eff8e27c8710a60" localSheetId="2" hidden="1">'Project-definition'!$E$13</definedName>
    <definedName name="CBCR_51efb8cf49a54180887840adb20f2b4d" localSheetId="2" hidden="1">'Project-definition'!$E$9</definedName>
    <definedName name="CBCR_53db1bb3a350432f85e13cde553ab732" localSheetId="2" hidden="1">'Project-definition'!$S$22</definedName>
    <definedName name="CBCR_5bfcdb543319425295756ea8193936d2" localSheetId="3" hidden="1">KPI!$A$12</definedName>
    <definedName name="CBCR_6406883d15db43bb8c9ff76668f58435" localSheetId="2" hidden="1">'Project-definition'!$E$25</definedName>
    <definedName name="CBCR_682c11c3240546c79790cd58cff93e79" localSheetId="2" hidden="1">'Project-definition'!$E$5</definedName>
    <definedName name="CBCR_686177cb90ac40c5b8fb1bf5d73770d0" localSheetId="31" hidden="1">Volumetrics!$D$19</definedName>
    <definedName name="CBCR_6c66130235fe445cbcccf9c1adbf651c" localSheetId="2" hidden="1">'Project-definition'!$E$11</definedName>
    <definedName name="CBCR_6dac2068944b4b739bcacbdcc1a86246" localSheetId="3" hidden="1">KPI!$A$17</definedName>
    <definedName name="CBCR_7c582a14af704888846e65318ee9c981" localSheetId="31" hidden="1">Volumetrics!$A$11&amp;" ("&amp;Volumetrics!$B$11&amp;")"</definedName>
    <definedName name="CBCR_7ed6dfa52e764321a1e8dbfe640e717a" localSheetId="2" hidden="1">'Project-definition'!$M$15</definedName>
    <definedName name="CBCR_855ece13b9dc4aafa2484e49729afa36" localSheetId="31" hidden="1">Volumetrics!$A$12&amp;" ("&amp;Volumetrics!$B$12&amp;")"</definedName>
    <definedName name="CBCR_87100cdcbfbc430eb7aa6f7a902722f9" localSheetId="2" hidden="1">'Project-definition'!$M$16</definedName>
    <definedName name="CBCR_99a21513f1244f0ba9d9dda9a2278cac" localSheetId="3" hidden="1">KPI!$C$5</definedName>
    <definedName name="CBCR_9e74c223b10f418090cf9c2fa9d624a8" localSheetId="31" hidden="1">Volumetrics!$A$14&amp;" ("&amp;Volumetrics!$B$14&amp;")"</definedName>
    <definedName name="CBCR_9f547982bbc240a18707e117795a6696" localSheetId="2" hidden="1">'Project-definition'!$P$21</definedName>
    <definedName name="CBCR_a9753fe6a6724d7e855f0ccbd392d835" localSheetId="3" hidden="1">KPI!$A$5</definedName>
    <definedName name="CBCR_ab5271d8e6e84f1999e3ef04a13f6113" localSheetId="2" hidden="1">'Project-definition'!$E$14</definedName>
    <definedName name="CBCR_ac3cc80b11674f4c85e87bfd8ca3b5bb" localSheetId="3" hidden="1">KPI!$C$16</definedName>
    <definedName name="CBCR_ad6d746f76484b84b4b08a4f800be62f" localSheetId="2" hidden="1">'Project-definition'!$P$6</definedName>
    <definedName name="CBCR_b0bb84b05761437fbe47c8266e0af7f1" localSheetId="3" hidden="1">KPI!$A$9</definedName>
    <definedName name="CBCR_b111f34a51e2436ca71dbf703e8b816f" localSheetId="2" hidden="1">'Project-definition'!$S$19</definedName>
    <definedName name="CBCR_b2743de0549b4b4fbb91934f6527c71b" localSheetId="3" hidden="1">KPI!$A$32</definedName>
    <definedName name="CBCR_b77d75fa8a6648f4b3563ebb5045b22c" localSheetId="2" hidden="1">'Project-definition'!$E$8</definedName>
    <definedName name="CBCR_b7fb86a3da714be1baf709bb8b611224" localSheetId="2" hidden="1">'Project-definition'!$S$20</definedName>
    <definedName name="CBCR_c189c27c17314d68a547cc025984856c" localSheetId="2" hidden="1">'Project-definition'!$S$15</definedName>
    <definedName name="CBCR_c2553de71c964a7d9fd75c0d41f270ba" localSheetId="2" hidden="1">'Project-definition'!$S$11</definedName>
    <definedName name="CBCR_c6eb0643a6a44a7187feb90850e4fecf" localSheetId="2" hidden="1">'Project-definition'!$P$22</definedName>
    <definedName name="CBCR_c87b2880e7b64acc89ede314d2b71c18" localSheetId="2" hidden="1">'Project-definition'!$S$18</definedName>
    <definedName name="CBCR_cd43890a91904a7f8a051d2411c01409" localSheetId="31" hidden="1">Volumetrics!$A$16&amp;" ("&amp;Volumetrics!$B$16&amp;")"</definedName>
    <definedName name="CBCR_d1e6cff61da44824b3bd6c31951e7675" localSheetId="2" hidden="1">'Project-definition'!$S$6</definedName>
    <definedName name="CBCR_d1e9774fc29848928a545a0f333e04a8" localSheetId="2" hidden="1">'Project-definition'!$S$21</definedName>
    <definedName name="CBCR_d491ff682de54a05a9418d0352d2852e" localSheetId="3" hidden="1">KPI!$C$22</definedName>
    <definedName name="CBCR_d8abbfda682e4c92aee2ba8aa4fadb74" localSheetId="2" hidden="1">'Project-definition'!$S$16</definedName>
    <definedName name="CBCR_dda1d26e11cc49fc84613cf6aa75843b" localSheetId="2" hidden="1">'Project-definition'!$E$21</definedName>
    <definedName name="CBCR_de564372e5524562814860ac9481c4e0" localSheetId="3" hidden="1">KPI!$C$9</definedName>
    <definedName name="CBCR_dfbda937da0741b58ec1d49cbce34215" localSheetId="31" hidden="1">Volumetrics!$A$13&amp;" ("&amp;Volumetrics!$B$13&amp;")"</definedName>
    <definedName name="CBCR_e3a7baa38145422194e99ced7c5cf4b9" localSheetId="3" hidden="1">KPI!$C$23</definedName>
    <definedName name="CBCR_e3bb6c70bb1044e2aa5cfa58ae446c27" localSheetId="3" hidden="1">KPI!$C$32</definedName>
    <definedName name="CBCR_e42a2c0fdf2e45e7ab749e6caf9073a2" localSheetId="3" hidden="1">KPI!$A$34</definedName>
    <definedName name="CBCR_e5c608d468fe43cb9080bee3116165c3" localSheetId="2" hidden="1">'Project-definition'!$E$6</definedName>
    <definedName name="CBCR_eaf57a1d00b74a38bdef737cd038922c" localSheetId="2" hidden="1">'Project-definition'!$E$12</definedName>
    <definedName name="CBCR_eb55e2a18c064adc9068fb14cec803f9" localSheetId="31" hidden="1">Volumetrics!$F$19</definedName>
    <definedName name="CBCR_ebd4b3f622cf4d65af9f50978ab3cd60" localSheetId="2" hidden="1">'Project-definition'!$E$7</definedName>
    <definedName name="CBCR_f4132d474c6b4a05a219ca77cd51139c" localSheetId="3" hidden="1">KPI!$A$7</definedName>
    <definedName name="CBCR_ff560ee488654765b6ddbac55189226f" localSheetId="31" hidden="1">Volumetrics!$A$22&amp;" ("&amp;Volumetrics!$B$22&amp;")"</definedName>
    <definedName name="CBWorkbookPriority" localSheetId="0" hidden="1">-373808518</definedName>
    <definedName name="CBx_3cf702320f8546f785c8555fbb040b6e" localSheetId="0" hidden="1">"'Volumetrics'!$A$1"</definedName>
    <definedName name="CBx_5df1e7fbd0b54e468ab9b9a8d6350511" localSheetId="0" hidden="1">"'Project-definition'!$A$1"</definedName>
    <definedName name="CBx_bb20f4d70cf645da84334adecd3ad906" localSheetId="0" hidden="1">"'CB_DATA_'!$A$1"</definedName>
    <definedName name="CBx_c36fceb675d844b5a10f651d2d487514" localSheetId="0" hidden="1">"'Cashflow'!$A$1"</definedName>
    <definedName name="CBx_e8b95389eef8484b89e19e7086d6c2c5" localSheetId="0" hidden="1">"'KPI'!$A$1"</definedName>
    <definedName name="CBx_Sheet_Guid" localSheetId="20" hidden="1">"'c36fceb6-75d8-44b5-a10f-651d2d487514"</definedName>
    <definedName name="CBx_Sheet_Guid" localSheetId="0" hidden="1">"'bb20f4d7-0cf6-45da-8433-4adecd3ad906"</definedName>
    <definedName name="CBx_Sheet_Guid" localSheetId="3" hidden="1">"'e8b95389-eef8-484b-89e1-9e7086d6c2c5"</definedName>
    <definedName name="CBx_Sheet_Guid" localSheetId="2" hidden="1">"'5df1e7fb-d0b5-4e46-8ab9-b9a8d6350511"</definedName>
    <definedName name="CBx_Sheet_Guid" localSheetId="31" hidden="1">"'3cf70232-0f85-46f7-85c8-555fbb040b6e"</definedName>
    <definedName name="CBx_SheetRef" localSheetId="20" hidden="1">CB_DATA_!$C$14</definedName>
    <definedName name="CBx_SheetRef" localSheetId="0" hidden="1">CB_DATA_!$A$14</definedName>
    <definedName name="CBx_SheetRef" localSheetId="3" hidden="1">CB_DATA_!$E$14</definedName>
    <definedName name="CBx_SheetRef" localSheetId="2" hidden="1">CB_DATA_!$D$14</definedName>
    <definedName name="CBx_SheetRef" localSheetId="31" hidden="1">CB_DATA_!$B$14</definedName>
    <definedName name="CBx_StorageType" localSheetId="20" hidden="1">2</definedName>
    <definedName name="CBx_StorageType" localSheetId="0" hidden="1">2</definedName>
    <definedName name="CBx_StorageType" localSheetId="3" hidden="1">2</definedName>
    <definedName name="CBx_StorageType" localSheetId="2" hidden="1">2</definedName>
    <definedName name="CBx_StorageType" localSheetId="31" hidden="1">2</definedName>
    <definedName name="ViscosityUnits">'Project-definition'!$J$6:$J$12</definedName>
  </definedNames>
  <calcPr calcId="162913"/>
  <fileRecoveryPr autoRecover="0"/>
</workbook>
</file>

<file path=xl/calcChain.xml><?xml version="1.0" encoding="utf-8"?>
<calcChain xmlns="http://schemas.openxmlformats.org/spreadsheetml/2006/main">
  <c r="Q42" i="64" l="1"/>
  <c r="Q43" i="64"/>
  <c r="A35" i="46" l="1"/>
  <c r="A28" i="64"/>
  <c r="Q30" i="64"/>
  <c r="Q28" i="64"/>
  <c r="Q26" i="64"/>
  <c r="D80" i="11" l="1"/>
  <c r="E80" i="11"/>
  <c r="F80" i="11"/>
  <c r="G80" i="11"/>
  <c r="H80" i="11"/>
  <c r="I80" i="11"/>
  <c r="J80" i="11"/>
  <c r="K80" i="11"/>
  <c r="L80" i="11"/>
  <c r="M80" i="11"/>
  <c r="N80" i="11"/>
  <c r="O80" i="11"/>
  <c r="P80" i="11"/>
  <c r="Q80" i="11"/>
  <c r="R80" i="11"/>
  <c r="S80" i="11"/>
  <c r="T80" i="11"/>
  <c r="U80" i="11"/>
  <c r="V80" i="11"/>
  <c r="W80" i="11"/>
  <c r="X80" i="11"/>
  <c r="Y80" i="11"/>
  <c r="Z80" i="11"/>
  <c r="AA80" i="11"/>
  <c r="AB80" i="11"/>
  <c r="AC80" i="11"/>
  <c r="AD80" i="11"/>
  <c r="AE80" i="11"/>
  <c r="AF80" i="11"/>
  <c r="AG80" i="11"/>
  <c r="C80" i="11"/>
  <c r="D38" i="11" l="1"/>
  <c r="E38" i="11"/>
  <c r="F38" i="11"/>
  <c r="G38" i="11"/>
  <c r="H38" i="11"/>
  <c r="I38" i="11"/>
  <c r="J38" i="11"/>
  <c r="K38" i="11"/>
  <c r="L38" i="11"/>
  <c r="M38" i="11"/>
  <c r="N38" i="11"/>
  <c r="O38" i="11"/>
  <c r="P38" i="11"/>
  <c r="Q38" i="11"/>
  <c r="R38" i="11"/>
  <c r="S38" i="11"/>
  <c r="T38" i="11"/>
  <c r="U38" i="11"/>
  <c r="V38" i="11"/>
  <c r="W38" i="11"/>
  <c r="X38" i="11"/>
  <c r="Y38" i="11"/>
  <c r="Z38" i="11"/>
  <c r="AA38" i="11"/>
  <c r="AB38" i="11"/>
  <c r="AC38" i="11"/>
  <c r="AD38" i="11"/>
  <c r="AE38" i="11"/>
  <c r="AF38" i="11"/>
  <c r="AG38" i="11"/>
  <c r="C38" i="11"/>
  <c r="D44" i="11"/>
  <c r="E44" i="11"/>
  <c r="F44" i="11"/>
  <c r="G44" i="11"/>
  <c r="H44" i="11"/>
  <c r="I44" i="11"/>
  <c r="J44" i="11"/>
  <c r="K44" i="11"/>
  <c r="L44" i="11"/>
  <c r="M44" i="11"/>
  <c r="N44" i="11"/>
  <c r="O44" i="11"/>
  <c r="P44" i="11"/>
  <c r="Q44" i="11"/>
  <c r="R44" i="11"/>
  <c r="S44" i="11"/>
  <c r="T44" i="11"/>
  <c r="U44" i="11"/>
  <c r="V44" i="11"/>
  <c r="W44" i="11"/>
  <c r="X44" i="11"/>
  <c r="Y44" i="11"/>
  <c r="Z44" i="11"/>
  <c r="AA44" i="11"/>
  <c r="AB44" i="11"/>
  <c r="AC44" i="11"/>
  <c r="AD44" i="11"/>
  <c r="AE44" i="11"/>
  <c r="AF44" i="11"/>
  <c r="AG44" i="11"/>
  <c r="C44" i="11"/>
  <c r="D51" i="11"/>
  <c r="E51" i="11"/>
  <c r="F51" i="11"/>
  <c r="G51" i="11"/>
  <c r="H51" i="11"/>
  <c r="I51" i="11"/>
  <c r="J51" i="11"/>
  <c r="K51" i="11"/>
  <c r="L51" i="11"/>
  <c r="M51" i="11"/>
  <c r="N51" i="11"/>
  <c r="O51" i="11"/>
  <c r="P51" i="11"/>
  <c r="Q51" i="11"/>
  <c r="R51" i="11"/>
  <c r="S51" i="11"/>
  <c r="T51" i="11"/>
  <c r="U51" i="11"/>
  <c r="V51" i="11"/>
  <c r="W51" i="11"/>
  <c r="X51" i="11"/>
  <c r="Y51" i="11"/>
  <c r="Z51" i="11"/>
  <c r="AA51" i="11"/>
  <c r="AB51" i="11"/>
  <c r="AC51" i="11"/>
  <c r="AD51" i="11"/>
  <c r="AE51" i="11"/>
  <c r="AF51" i="11"/>
  <c r="AG51" i="11"/>
  <c r="C51" i="11"/>
  <c r="AG58" i="11"/>
  <c r="AF58" i="11"/>
  <c r="AE58" i="11"/>
  <c r="AD58" i="11"/>
  <c r="AC58" i="11"/>
  <c r="AB58" i="11"/>
  <c r="AA58" i="11"/>
  <c r="Z58" i="11"/>
  <c r="Y58" i="11"/>
  <c r="X58" i="11"/>
  <c r="W58" i="11"/>
  <c r="V58" i="11"/>
  <c r="U58" i="11"/>
  <c r="T58" i="11"/>
  <c r="S58" i="11"/>
  <c r="R58" i="11"/>
  <c r="Q58" i="11"/>
  <c r="P58" i="11"/>
  <c r="O58" i="11"/>
  <c r="N58" i="11"/>
  <c r="M58" i="11"/>
  <c r="L58" i="11"/>
  <c r="K58" i="11"/>
  <c r="J58" i="11"/>
  <c r="I58" i="11"/>
  <c r="H58" i="11"/>
  <c r="G58" i="11"/>
  <c r="F58" i="11"/>
  <c r="E58" i="11"/>
  <c r="D58" i="11"/>
  <c r="C58" i="11"/>
  <c r="D68" i="11"/>
  <c r="E68" i="11"/>
  <c r="F68" i="11"/>
  <c r="G68" i="11"/>
  <c r="H68" i="11"/>
  <c r="I68" i="11"/>
  <c r="J68" i="11"/>
  <c r="K68" i="11"/>
  <c r="L68" i="11"/>
  <c r="M68" i="11"/>
  <c r="N68" i="11"/>
  <c r="O68" i="11"/>
  <c r="P68" i="11"/>
  <c r="Q68" i="11"/>
  <c r="R68" i="11"/>
  <c r="S68" i="11"/>
  <c r="T68" i="11"/>
  <c r="U68" i="11"/>
  <c r="V68" i="11"/>
  <c r="W68" i="11"/>
  <c r="X68" i="11"/>
  <c r="Y68" i="11"/>
  <c r="Z68" i="11"/>
  <c r="AA68" i="11"/>
  <c r="AB68" i="11"/>
  <c r="AC68" i="11"/>
  <c r="AD68" i="11"/>
  <c r="AE68" i="11"/>
  <c r="AF68" i="11"/>
  <c r="AG68" i="11"/>
  <c r="C68" i="11"/>
  <c r="C30" i="11"/>
  <c r="AE12" i="33" l="1"/>
  <c r="AG46" i="33"/>
  <c r="AF46" i="33"/>
  <c r="AE46" i="33"/>
  <c r="AD46" i="33"/>
  <c r="AC46" i="33"/>
  <c r="AB46" i="33"/>
  <c r="AA46" i="33"/>
  <c r="Z46" i="33"/>
  <c r="Y46" i="33"/>
  <c r="X46" i="33"/>
  <c r="W46" i="33"/>
  <c r="V46" i="33"/>
  <c r="U46" i="33"/>
  <c r="T46" i="33"/>
  <c r="S46" i="33"/>
  <c r="R46" i="33"/>
  <c r="Q46" i="33"/>
  <c r="P46" i="33"/>
  <c r="O46" i="33"/>
  <c r="N46" i="33"/>
  <c r="M46" i="33"/>
  <c r="L46" i="33"/>
  <c r="K46" i="33"/>
  <c r="J46" i="33"/>
  <c r="I46" i="33"/>
  <c r="H46" i="33"/>
  <c r="G46" i="33"/>
  <c r="F46" i="33"/>
  <c r="E46" i="33"/>
  <c r="D46" i="33"/>
  <c r="C46" i="33"/>
  <c r="E12" i="33"/>
  <c r="I20" i="6"/>
  <c r="J12" i="33" l="1"/>
  <c r="I19" i="6"/>
  <c r="D25" i="12"/>
  <c r="AH8" i="11" l="1"/>
  <c r="AG8" i="6"/>
  <c r="AC8" i="6"/>
  <c r="C40" i="62"/>
  <c r="B40" i="62"/>
  <c r="B39" i="62"/>
  <c r="B37" i="62"/>
  <c r="A4" i="67" l="1"/>
  <c r="V11" i="6" l="1"/>
  <c r="I7" i="68" s="1"/>
  <c r="V10" i="6"/>
  <c r="I6" i="68" s="1"/>
  <c r="S11" i="6"/>
  <c r="E7" i="68" s="1"/>
  <c r="L9" i="33" l="1"/>
  <c r="C40" i="46"/>
  <c r="B39" i="46"/>
  <c r="B40" i="46"/>
  <c r="B37" i="46"/>
  <c r="A10" i="12" l="1"/>
  <c r="A9" i="12"/>
  <c r="D23" i="12"/>
  <c r="K19" i="11"/>
  <c r="D30" i="12" l="1"/>
  <c r="C30" i="41" l="1"/>
  <c r="C18" i="19"/>
  <c r="C34" i="14"/>
  <c r="A34" i="14"/>
  <c r="C33" i="14"/>
  <c r="A33" i="14"/>
  <c r="C32" i="14"/>
  <c r="A32" i="14"/>
  <c r="C31" i="14"/>
  <c r="A31" i="14"/>
  <c r="C30" i="14"/>
  <c r="A30" i="14"/>
  <c r="C29" i="14"/>
  <c r="A29" i="14"/>
  <c r="C28" i="14"/>
  <c r="A28" i="14"/>
  <c r="C27" i="14"/>
  <c r="A27" i="14"/>
  <c r="C26" i="14"/>
  <c r="A26" i="14"/>
  <c r="Q8" i="14"/>
  <c r="AC8" i="14" s="1"/>
  <c r="N8" i="14"/>
  <c r="Q7" i="14"/>
  <c r="AC7" i="14" s="1"/>
  <c r="N7" i="14"/>
  <c r="AC6" i="14"/>
  <c r="Q6" i="14"/>
  <c r="N6" i="14"/>
  <c r="Q5" i="14"/>
  <c r="AC5" i="14" s="1"/>
  <c r="N5" i="14"/>
  <c r="D24" i="32"/>
  <c r="C24" i="32"/>
  <c r="D23" i="32"/>
  <c r="C23" i="32"/>
  <c r="D22" i="32"/>
  <c r="C22" i="32"/>
  <c r="D21" i="32"/>
  <c r="C21" i="32"/>
  <c r="D20" i="32"/>
  <c r="C20" i="32"/>
  <c r="D19" i="32"/>
  <c r="C19" i="32"/>
  <c r="D18" i="32"/>
  <c r="C18" i="32"/>
  <c r="D17" i="32"/>
  <c r="C17" i="32"/>
  <c r="D16" i="32"/>
  <c r="C16" i="32"/>
  <c r="D15" i="32"/>
  <c r="C15" i="32"/>
  <c r="D14" i="32"/>
  <c r="C14" i="32"/>
  <c r="D13" i="32"/>
  <c r="C13" i="32"/>
  <c r="D12" i="32"/>
  <c r="C12" i="32"/>
  <c r="D11" i="32"/>
  <c r="C11" i="32"/>
  <c r="D10" i="32"/>
  <c r="C10" i="32"/>
  <c r="D9" i="32"/>
  <c r="C9" i="32"/>
  <c r="D8" i="32"/>
  <c r="C8" i="32"/>
  <c r="D7" i="32"/>
  <c r="C7" i="32"/>
  <c r="D6" i="32"/>
  <c r="C6" i="32"/>
  <c r="D5" i="32"/>
  <c r="C5" i="32"/>
  <c r="C213" i="2"/>
  <c r="D213" i="2" s="1"/>
  <c r="C211" i="2"/>
  <c r="D211" i="2" s="1"/>
  <c r="C209" i="2"/>
  <c r="D209" i="2" s="1"/>
  <c r="C207" i="2"/>
  <c r="D207" i="2" s="1"/>
  <c r="C205" i="2"/>
  <c r="D205" i="2" s="1"/>
  <c r="C203" i="2"/>
  <c r="D203" i="2" s="1"/>
  <c r="C201" i="2"/>
  <c r="D201" i="2" s="1"/>
  <c r="C199" i="2"/>
  <c r="D199" i="2" s="1"/>
  <c r="C197" i="2"/>
  <c r="D197" i="2" s="1"/>
  <c r="C195" i="2"/>
  <c r="D195" i="2" s="1"/>
  <c r="C193" i="2"/>
  <c r="D193" i="2" s="1"/>
  <c r="J169" i="2"/>
  <c r="I169" i="2"/>
  <c r="J168" i="2"/>
  <c r="I168" i="2"/>
  <c r="C212" i="2" s="1"/>
  <c r="D212" i="2" s="1"/>
  <c r="J167" i="2"/>
  <c r="I167" i="2"/>
  <c r="J166" i="2"/>
  <c r="I166" i="2"/>
  <c r="C210" i="2" s="1"/>
  <c r="D210" i="2" s="1"/>
  <c r="J165" i="2"/>
  <c r="I165" i="2"/>
  <c r="J164" i="2"/>
  <c r="I164" i="2"/>
  <c r="C208" i="2" s="1"/>
  <c r="D208" i="2" s="1"/>
  <c r="J163" i="2"/>
  <c r="I163" i="2"/>
  <c r="J162" i="2"/>
  <c r="I162" i="2"/>
  <c r="C206" i="2" s="1"/>
  <c r="D206" i="2" s="1"/>
  <c r="J161" i="2"/>
  <c r="I161" i="2"/>
  <c r="J160" i="2"/>
  <c r="I160" i="2"/>
  <c r="C204" i="2" s="1"/>
  <c r="D204" i="2" s="1"/>
  <c r="J159" i="2"/>
  <c r="I159" i="2"/>
  <c r="J158" i="2"/>
  <c r="I158" i="2"/>
  <c r="C202" i="2" s="1"/>
  <c r="D202" i="2" s="1"/>
  <c r="J157" i="2"/>
  <c r="I157" i="2"/>
  <c r="J156" i="2"/>
  <c r="I156" i="2"/>
  <c r="C200" i="2" s="1"/>
  <c r="D200" i="2" s="1"/>
  <c r="J155" i="2"/>
  <c r="I155" i="2"/>
  <c r="J154" i="2"/>
  <c r="I154" i="2"/>
  <c r="C198" i="2" s="1"/>
  <c r="D198" i="2" s="1"/>
  <c r="J153" i="2"/>
  <c r="I153" i="2"/>
  <c r="J152" i="2"/>
  <c r="I152" i="2"/>
  <c r="C196" i="2" s="1"/>
  <c r="D196" i="2" s="1"/>
  <c r="J151" i="2"/>
  <c r="I151" i="2"/>
  <c r="J150" i="2"/>
  <c r="I150" i="2"/>
  <c r="C194" i="2" s="1"/>
  <c r="D194" i="2" s="1"/>
  <c r="J149" i="2"/>
  <c r="I149" i="2"/>
  <c r="J148" i="2"/>
  <c r="I148" i="2"/>
  <c r="C192" i="2" s="1"/>
  <c r="D192" i="2" s="1"/>
  <c r="J147" i="2"/>
  <c r="I147" i="2"/>
  <c r="C191" i="2" s="1"/>
  <c r="D191" i="2" s="1"/>
  <c r="J146" i="2"/>
  <c r="I146" i="2"/>
  <c r="C190" i="2" s="1"/>
  <c r="D190" i="2" s="1"/>
  <c r="J145" i="2"/>
  <c r="I145" i="2"/>
  <c r="C189" i="2" s="1"/>
  <c r="D189" i="2" s="1"/>
  <c r="J144" i="2"/>
  <c r="I144" i="2"/>
  <c r="C188" i="2" s="1"/>
  <c r="D188" i="2" s="1"/>
  <c r="J143" i="2"/>
  <c r="I143" i="2"/>
  <c r="C187" i="2" s="1"/>
  <c r="D187" i="2" s="1"/>
  <c r="Q45" i="2"/>
  <c r="T45" i="2" s="1"/>
  <c r="G50" i="57"/>
  <c r="F50" i="57"/>
  <c r="H50" i="57" s="1"/>
  <c r="H49" i="57"/>
  <c r="G49" i="57"/>
  <c r="F49" i="57"/>
  <c r="G48" i="57"/>
  <c r="F48" i="57"/>
  <c r="G47" i="57"/>
  <c r="F47" i="57"/>
  <c r="H47" i="57" s="1"/>
  <c r="G46" i="57"/>
  <c r="F46" i="57"/>
  <c r="H46" i="57" s="1"/>
  <c r="G45" i="57"/>
  <c r="F45" i="57"/>
  <c r="H45" i="57" s="1"/>
  <c r="G44" i="57"/>
  <c r="F44" i="57"/>
  <c r="G43" i="57"/>
  <c r="F43" i="57"/>
  <c r="H43" i="57" s="1"/>
  <c r="G42" i="57"/>
  <c r="F42" i="57"/>
  <c r="G41" i="57"/>
  <c r="F41" i="57"/>
  <c r="H41" i="57" s="1"/>
  <c r="G40" i="57"/>
  <c r="F40" i="57"/>
  <c r="H40" i="57" s="1"/>
  <c r="G39" i="57"/>
  <c r="F39" i="57"/>
  <c r="G38" i="57"/>
  <c r="F38" i="57"/>
  <c r="H38" i="57" s="1"/>
  <c r="G37" i="57"/>
  <c r="F37" i="57"/>
  <c r="H37" i="57" s="1"/>
  <c r="G36" i="57"/>
  <c r="F36" i="57"/>
  <c r="G35" i="57"/>
  <c r="F35" i="57"/>
  <c r="H35" i="57" s="1"/>
  <c r="G34" i="57"/>
  <c r="F34" i="57"/>
  <c r="G33" i="57"/>
  <c r="F33" i="57"/>
  <c r="G32" i="57"/>
  <c r="F32" i="57"/>
  <c r="G31" i="57"/>
  <c r="F31" i="57"/>
  <c r="G30" i="57"/>
  <c r="F30" i="57"/>
  <c r="H30" i="57" s="1"/>
  <c r="G29" i="57"/>
  <c r="F29" i="57"/>
  <c r="G28" i="57"/>
  <c r="F28" i="57"/>
  <c r="H28" i="57" s="1"/>
  <c r="G27" i="57"/>
  <c r="F27" i="57"/>
  <c r="G26" i="57"/>
  <c r="F26" i="57"/>
  <c r="E55" i="1"/>
  <c r="E47" i="1"/>
  <c r="E19" i="1"/>
  <c r="E41" i="65" s="1"/>
  <c r="AM17" i="6" s="1"/>
  <c r="D17" i="1"/>
  <c r="C15" i="1"/>
  <c r="C9" i="1"/>
  <c r="K239" i="40"/>
  <c r="L238" i="40"/>
  <c r="K238" i="40"/>
  <c r="L237" i="40"/>
  <c r="K237" i="40"/>
  <c r="L236" i="40"/>
  <c r="K236" i="40"/>
  <c r="L235" i="40"/>
  <c r="K235" i="40"/>
  <c r="L234" i="40"/>
  <c r="K234" i="40"/>
  <c r="L233" i="40"/>
  <c r="K233" i="40"/>
  <c r="L232" i="40"/>
  <c r="K232" i="40"/>
  <c r="L231" i="40"/>
  <c r="K231" i="40"/>
  <c r="L230" i="40"/>
  <c r="K230" i="40"/>
  <c r="L229" i="40"/>
  <c r="K229" i="40"/>
  <c r="L228" i="40"/>
  <c r="K228" i="40"/>
  <c r="L227" i="40"/>
  <c r="K227" i="40"/>
  <c r="L226" i="40"/>
  <c r="K226" i="40"/>
  <c r="L225" i="40"/>
  <c r="K225" i="40"/>
  <c r="L224" i="40"/>
  <c r="K224" i="40"/>
  <c r="L223" i="40"/>
  <c r="K223" i="40"/>
  <c r="L222" i="40"/>
  <c r="K222" i="40"/>
  <c r="L221" i="40"/>
  <c r="K221" i="40"/>
  <c r="L220" i="40"/>
  <c r="K220" i="40"/>
  <c r="L219" i="40"/>
  <c r="K219" i="40"/>
  <c r="L218" i="40"/>
  <c r="K218" i="40"/>
  <c r="L217" i="40"/>
  <c r="K217" i="40"/>
  <c r="L216" i="40"/>
  <c r="K216" i="40"/>
  <c r="L215" i="40"/>
  <c r="K215" i="40"/>
  <c r="L214" i="40"/>
  <c r="K214" i="40"/>
  <c r="L213" i="40"/>
  <c r="K213" i="40"/>
  <c r="L212" i="40"/>
  <c r="K212" i="40"/>
  <c r="L211" i="40"/>
  <c r="K211" i="40"/>
  <c r="L210" i="40"/>
  <c r="K210" i="40"/>
  <c r="L209" i="40"/>
  <c r="K209" i="40"/>
  <c r="L208" i="40"/>
  <c r="K208" i="40"/>
  <c r="L207" i="40"/>
  <c r="K207" i="40"/>
  <c r="L206" i="40"/>
  <c r="K206" i="40"/>
  <c r="L205" i="40"/>
  <c r="K205" i="40"/>
  <c r="L204" i="40"/>
  <c r="K204" i="40"/>
  <c r="L239" i="40" s="1"/>
  <c r="K179" i="40"/>
  <c r="K178" i="40"/>
  <c r="O60" i="40"/>
  <c r="N60" i="40"/>
  <c r="O59" i="40"/>
  <c r="N59" i="40"/>
  <c r="L59" i="40"/>
  <c r="I59" i="40"/>
  <c r="O58" i="40"/>
  <c r="N58" i="40"/>
  <c r="L58" i="40"/>
  <c r="I58" i="40"/>
  <c r="O57" i="40"/>
  <c r="N57" i="40"/>
  <c r="L57" i="40"/>
  <c r="I57" i="40"/>
  <c r="O56" i="40"/>
  <c r="N56" i="40"/>
  <c r="L56" i="40"/>
  <c r="I56" i="40"/>
  <c r="O55" i="40"/>
  <c r="N55" i="40"/>
  <c r="L55" i="40"/>
  <c r="I55" i="40"/>
  <c r="O54" i="40"/>
  <c r="N54" i="40"/>
  <c r="L54" i="40"/>
  <c r="I54" i="40"/>
  <c r="O53" i="40"/>
  <c r="N53" i="40"/>
  <c r="L53" i="40"/>
  <c r="I53" i="40"/>
  <c r="O52" i="40"/>
  <c r="N52" i="40"/>
  <c r="L52" i="40"/>
  <c r="I52" i="40"/>
  <c r="O51" i="40"/>
  <c r="N51" i="40"/>
  <c r="L51" i="40"/>
  <c r="I51" i="40"/>
  <c r="O50" i="40"/>
  <c r="N50" i="40"/>
  <c r="L50" i="40"/>
  <c r="I50" i="40"/>
  <c r="O49" i="40"/>
  <c r="N49" i="40"/>
  <c r="L49" i="40"/>
  <c r="I49" i="40"/>
  <c r="O48" i="40"/>
  <c r="N48" i="40"/>
  <c r="L48" i="40"/>
  <c r="I48" i="40"/>
  <c r="O47" i="40"/>
  <c r="N47" i="40"/>
  <c r="L47" i="40"/>
  <c r="I47" i="40"/>
  <c r="O46" i="40"/>
  <c r="N46" i="40"/>
  <c r="L46" i="40"/>
  <c r="I46" i="40"/>
  <c r="O45" i="40"/>
  <c r="N45" i="40"/>
  <c r="L45" i="40"/>
  <c r="I45" i="40"/>
  <c r="O44" i="40"/>
  <c r="N44" i="40"/>
  <c r="L44" i="40"/>
  <c r="I44" i="40"/>
  <c r="O43" i="40"/>
  <c r="N43" i="40"/>
  <c r="L43" i="40"/>
  <c r="I43" i="40"/>
  <c r="O42" i="40"/>
  <c r="N42" i="40"/>
  <c r="L42" i="40"/>
  <c r="I42" i="40"/>
  <c r="O41" i="40"/>
  <c r="N41" i="40"/>
  <c r="L41" i="40"/>
  <c r="I41" i="40"/>
  <c r="O40" i="40"/>
  <c r="N40" i="40"/>
  <c r="L40" i="40"/>
  <c r="I40" i="40"/>
  <c r="O39" i="40"/>
  <c r="N39" i="40"/>
  <c r="L39" i="40"/>
  <c r="I39" i="40"/>
  <c r="O38" i="40"/>
  <c r="N38" i="40"/>
  <c r="L38" i="40"/>
  <c r="I38" i="40"/>
  <c r="O37" i="40"/>
  <c r="N37" i="40"/>
  <c r="L37" i="40"/>
  <c r="I37" i="40"/>
  <c r="O36" i="40"/>
  <c r="N36" i="40"/>
  <c r="L36" i="40"/>
  <c r="I36" i="40"/>
  <c r="O35" i="40"/>
  <c r="N35" i="40"/>
  <c r="L35" i="40"/>
  <c r="I35" i="40"/>
  <c r="O34" i="40"/>
  <c r="N34" i="40"/>
  <c r="L34" i="40"/>
  <c r="I34" i="40"/>
  <c r="O33" i="40"/>
  <c r="N33" i="40"/>
  <c r="L33" i="40"/>
  <c r="I33" i="40"/>
  <c r="O32" i="40"/>
  <c r="N32" i="40"/>
  <c r="L32" i="40"/>
  <c r="I32" i="40"/>
  <c r="O31" i="40"/>
  <c r="N31" i="40"/>
  <c r="L31" i="40"/>
  <c r="I31" i="40"/>
  <c r="O30" i="40"/>
  <c r="N30" i="40"/>
  <c r="L30" i="40"/>
  <c r="I30" i="40"/>
  <c r="O29" i="40"/>
  <c r="N29" i="40"/>
  <c r="L29" i="40"/>
  <c r="I29" i="40"/>
  <c r="O28" i="40"/>
  <c r="N28" i="40"/>
  <c r="L28" i="40"/>
  <c r="I28" i="40"/>
  <c r="O27" i="40"/>
  <c r="N27" i="40"/>
  <c r="L27" i="40"/>
  <c r="I27" i="40"/>
  <c r="O26" i="40"/>
  <c r="N26" i="40"/>
  <c r="L26" i="40"/>
  <c r="I26" i="40"/>
  <c r="O25" i="40"/>
  <c r="N25" i="40"/>
  <c r="L25" i="40"/>
  <c r="I25" i="40"/>
  <c r="O24" i="40"/>
  <c r="N24" i="40"/>
  <c r="L24" i="40"/>
  <c r="I24" i="40"/>
  <c r="O23" i="40"/>
  <c r="N23" i="40"/>
  <c r="L23" i="40"/>
  <c r="I23" i="40"/>
  <c r="O22" i="40"/>
  <c r="N22" i="40"/>
  <c r="L22" i="40"/>
  <c r="I22" i="40"/>
  <c r="O21" i="40"/>
  <c r="N21" i="40"/>
  <c r="L21" i="40"/>
  <c r="I21" i="40"/>
  <c r="O20" i="40"/>
  <c r="N20" i="40"/>
  <c r="L20" i="40"/>
  <c r="I20" i="40"/>
  <c r="O19" i="40"/>
  <c r="N19" i="40"/>
  <c r="L19" i="40"/>
  <c r="I19" i="40"/>
  <c r="O18" i="40"/>
  <c r="N18" i="40"/>
  <c r="L18" i="40"/>
  <c r="I18" i="40"/>
  <c r="O17" i="40"/>
  <c r="N17" i="40"/>
  <c r="L17" i="40"/>
  <c r="I17" i="40"/>
  <c r="O16" i="40"/>
  <c r="N16" i="40"/>
  <c r="L16" i="40"/>
  <c r="I16" i="40"/>
  <c r="O15" i="40"/>
  <c r="N15" i="40"/>
  <c r="L15" i="40"/>
  <c r="I15" i="40"/>
  <c r="O14" i="40"/>
  <c r="N14" i="40"/>
  <c r="L14" i="40"/>
  <c r="I14" i="40"/>
  <c r="O13" i="40"/>
  <c r="N13" i="40"/>
  <c r="L13" i="40"/>
  <c r="I13" i="40"/>
  <c r="O12" i="40"/>
  <c r="N12" i="40"/>
  <c r="L12" i="40"/>
  <c r="I12" i="40"/>
  <c r="K4" i="40"/>
  <c r="K3" i="40"/>
  <c r="C4" i="9"/>
  <c r="C69" i="8"/>
  <c r="B67" i="8"/>
  <c r="B66" i="8"/>
  <c r="B65" i="8"/>
  <c r="B64" i="8"/>
  <c r="B63" i="8"/>
  <c r="B62" i="8"/>
  <c r="B61" i="8"/>
  <c r="B60" i="8"/>
  <c r="B54" i="8"/>
  <c r="B52" i="8"/>
  <c r="B51" i="8"/>
  <c r="B50" i="8"/>
  <c r="B49" i="8"/>
  <c r="B48" i="8"/>
  <c r="B47" i="8"/>
  <c r="B46" i="8"/>
  <c r="B39" i="8"/>
  <c r="B38" i="8"/>
  <c r="B37" i="8"/>
  <c r="B36" i="8"/>
  <c r="B35" i="8"/>
  <c r="B28" i="8"/>
  <c r="B27" i="8"/>
  <c r="B26" i="8"/>
  <c r="B25" i="8"/>
  <c r="B24" i="8"/>
  <c r="B19" i="8"/>
  <c r="B18" i="8"/>
  <c r="B17" i="8"/>
  <c r="B16" i="8"/>
  <c r="AL57" i="39"/>
  <c r="AM42" i="39"/>
  <c r="AM41" i="39"/>
  <c r="K8" i="39"/>
  <c r="S12" i="33"/>
  <c r="S11" i="33"/>
  <c r="S10" i="33"/>
  <c r="S9" i="33"/>
  <c r="Q6" i="39" s="1"/>
  <c r="S8" i="33"/>
  <c r="Q5" i="39" s="1"/>
  <c r="S7" i="33"/>
  <c r="Z6" i="33"/>
  <c r="W5" i="39" s="1"/>
  <c r="AE5" i="33"/>
  <c r="AQ102" i="38"/>
  <c r="AQ101" i="38"/>
  <c r="AQ100" i="38"/>
  <c r="AQ99" i="38"/>
  <c r="AQ98" i="38"/>
  <c r="AQ97" i="38"/>
  <c r="AQ96" i="38"/>
  <c r="AQ95" i="38"/>
  <c r="AQ94" i="38"/>
  <c r="AQ93" i="38"/>
  <c r="AQ92" i="38"/>
  <c r="AQ91" i="38"/>
  <c r="AQ90" i="38"/>
  <c r="AQ89" i="38"/>
  <c r="AQ88" i="38"/>
  <c r="AQ87" i="38"/>
  <c r="AQ86" i="38"/>
  <c r="AQ85" i="38"/>
  <c r="AQ84" i="38"/>
  <c r="AQ83" i="38"/>
  <c r="AQ82" i="38"/>
  <c r="AQ81" i="38"/>
  <c r="AQ80" i="38"/>
  <c r="AQ79" i="38"/>
  <c r="AQ78" i="38"/>
  <c r="AQ77" i="38"/>
  <c r="AQ76" i="38"/>
  <c r="AQ75" i="38"/>
  <c r="AQ74" i="38"/>
  <c r="AQ73" i="38"/>
  <c r="AQ72" i="38"/>
  <c r="AQ71" i="38"/>
  <c r="AQ70" i="38"/>
  <c r="AQ69" i="38"/>
  <c r="AQ68" i="38"/>
  <c r="AQ67" i="38"/>
  <c r="AQ66" i="38"/>
  <c r="AQ65" i="38"/>
  <c r="AQ64" i="38"/>
  <c r="AQ63" i="38"/>
  <c r="AQ62" i="38"/>
  <c r="AQ61" i="38"/>
  <c r="AQ60" i="38"/>
  <c r="AQ59" i="38"/>
  <c r="AQ58" i="38"/>
  <c r="AQ57" i="38"/>
  <c r="AQ56" i="38"/>
  <c r="AQ55" i="38"/>
  <c r="AQ54" i="38"/>
  <c r="AQ53" i="38"/>
  <c r="AQ52" i="38"/>
  <c r="AQ51" i="38"/>
  <c r="AQ50" i="38"/>
  <c r="AQ49" i="38"/>
  <c r="AQ48" i="38"/>
  <c r="AQ47" i="38"/>
  <c r="AQ46" i="38"/>
  <c r="AQ45" i="38"/>
  <c r="AQ44" i="38"/>
  <c r="AQ43" i="38"/>
  <c r="AQ42" i="38"/>
  <c r="AQ41" i="38"/>
  <c r="AQ40" i="38"/>
  <c r="AQ39" i="38"/>
  <c r="AQ38" i="38"/>
  <c r="AQ37" i="38"/>
  <c r="AQ36" i="38"/>
  <c r="AQ35" i="38"/>
  <c r="AQ34" i="38"/>
  <c r="AQ33" i="38"/>
  <c r="AQ32" i="38"/>
  <c r="AQ31" i="38"/>
  <c r="AQ30" i="38"/>
  <c r="AQ29" i="38"/>
  <c r="AQ28" i="38"/>
  <c r="AQ27" i="38"/>
  <c r="AQ26" i="38"/>
  <c r="AQ25" i="38"/>
  <c r="AQ24" i="38"/>
  <c r="AQ23" i="38"/>
  <c r="AQ22" i="38"/>
  <c r="AQ21" i="38"/>
  <c r="AQ20" i="38"/>
  <c r="AQ19" i="38"/>
  <c r="AQ18" i="38"/>
  <c r="AQ17" i="38"/>
  <c r="AQ16" i="38"/>
  <c r="AQ15" i="38"/>
  <c r="AQ14" i="38"/>
  <c r="AQ13" i="38"/>
  <c r="AQ12" i="38"/>
  <c r="AQ11" i="38"/>
  <c r="AQ10" i="38"/>
  <c r="AQ9" i="38"/>
  <c r="AQ8" i="38"/>
  <c r="AQ7" i="38"/>
  <c r="AQ6" i="38"/>
  <c r="AQ5" i="38"/>
  <c r="AQ4" i="38"/>
  <c r="AQ3" i="38"/>
  <c r="S7" i="65"/>
  <c r="S4" i="65"/>
  <c r="M4" i="65"/>
  <c r="E4" i="65"/>
  <c r="I27" i="6"/>
  <c r="D36" i="59" s="1"/>
  <c r="E27" i="6"/>
  <c r="E11" i="65" s="1"/>
  <c r="I26" i="6"/>
  <c r="E26" i="6"/>
  <c r="I25" i="6"/>
  <c r="I10" i="65" s="1"/>
  <c r="E25" i="6"/>
  <c r="E10" i="65" s="1"/>
  <c r="I24" i="6"/>
  <c r="E24" i="6"/>
  <c r="Q23" i="6"/>
  <c r="M23" i="6"/>
  <c r="I23" i="6"/>
  <c r="E23" i="6"/>
  <c r="V22" i="6"/>
  <c r="S22" i="6"/>
  <c r="Q22" i="6"/>
  <c r="P22" i="6"/>
  <c r="I22" i="6"/>
  <c r="E22" i="6"/>
  <c r="AA21" i="6"/>
  <c r="V21" i="6"/>
  <c r="S21" i="6"/>
  <c r="Q21" i="6"/>
  <c r="P21" i="6"/>
  <c r="I21" i="6"/>
  <c r="E21" i="6"/>
  <c r="AA20" i="6"/>
  <c r="X20" i="6"/>
  <c r="V20" i="6"/>
  <c r="S20" i="6"/>
  <c r="Q20" i="6"/>
  <c r="M20" i="6"/>
  <c r="E20" i="6"/>
  <c r="AA19" i="6"/>
  <c r="X19" i="6"/>
  <c r="V19" i="6"/>
  <c r="S19" i="6"/>
  <c r="M19" i="6"/>
  <c r="K19" i="6"/>
  <c r="AA18" i="6"/>
  <c r="X18" i="6"/>
  <c r="V18" i="6"/>
  <c r="S18" i="6"/>
  <c r="K18" i="6"/>
  <c r="AA17" i="6"/>
  <c r="X17" i="6"/>
  <c r="V17" i="6"/>
  <c r="S17" i="6"/>
  <c r="Q17" i="6"/>
  <c r="M17" i="6"/>
  <c r="K17" i="6"/>
  <c r="K9" i="65" s="1"/>
  <c r="AG17" i="6"/>
  <c r="AF17" i="6"/>
  <c r="AA16" i="6"/>
  <c r="X16" i="6"/>
  <c r="V16" i="6"/>
  <c r="S16" i="6"/>
  <c r="Q16" i="6"/>
  <c r="M16" i="6"/>
  <c r="K16" i="6"/>
  <c r="AG16" i="6"/>
  <c r="AF16" i="6"/>
  <c r="AA15" i="6"/>
  <c r="V15" i="6"/>
  <c r="S15" i="6"/>
  <c r="Q15" i="6"/>
  <c r="M15" i="6"/>
  <c r="K15" i="6"/>
  <c r="AG15" i="6"/>
  <c r="AC15" i="6"/>
  <c r="AA14" i="6"/>
  <c r="X14" i="6"/>
  <c r="V14" i="6"/>
  <c r="S14" i="6"/>
  <c r="P14" i="6"/>
  <c r="P10" i="65" s="1"/>
  <c r="K14" i="6"/>
  <c r="K8" i="65" s="1"/>
  <c r="AG14" i="6"/>
  <c r="AC14" i="6"/>
  <c r="AA13" i="6"/>
  <c r="X13" i="6"/>
  <c r="S13" i="6"/>
  <c r="K3" i="68" s="1"/>
  <c r="Q13" i="6"/>
  <c r="Q9" i="65" s="1"/>
  <c r="P13" i="6"/>
  <c r="P9" i="65" s="1"/>
  <c r="K13" i="6"/>
  <c r="K7" i="65" s="1"/>
  <c r="E13" i="6"/>
  <c r="AC13" i="6"/>
  <c r="AA12" i="6"/>
  <c r="X12" i="6"/>
  <c r="Q12" i="6"/>
  <c r="Q8" i="65" s="1"/>
  <c r="P12" i="6"/>
  <c r="P8" i="65" s="1"/>
  <c r="K12" i="6"/>
  <c r="K6" i="65" s="1"/>
  <c r="E12" i="6"/>
  <c r="AA11" i="6"/>
  <c r="Z11" i="6"/>
  <c r="Q11" i="6"/>
  <c r="Q7" i="65" s="1"/>
  <c r="M11" i="6"/>
  <c r="M7" i="65" s="1"/>
  <c r="I11" i="6"/>
  <c r="E11" i="6"/>
  <c r="AG11" i="6"/>
  <c r="AF11" i="6"/>
  <c r="AA10" i="6"/>
  <c r="Z10" i="6"/>
  <c r="S10" i="6"/>
  <c r="E6" i="68" s="1"/>
  <c r="Q10" i="6"/>
  <c r="M10" i="6"/>
  <c r="K10" i="6"/>
  <c r="AG10" i="6"/>
  <c r="AF10" i="6"/>
  <c r="AA9" i="6"/>
  <c r="X9" i="6"/>
  <c r="V9" i="6"/>
  <c r="V5" i="65" s="1"/>
  <c r="E38" i="65" s="1"/>
  <c r="AM14" i="6" s="1"/>
  <c r="S9" i="6"/>
  <c r="S5" i="65" s="1"/>
  <c r="Q9" i="6"/>
  <c r="M9" i="6"/>
  <c r="I9" i="6"/>
  <c r="E9" i="6"/>
  <c r="AG9" i="6"/>
  <c r="AC9" i="6"/>
  <c r="AA8" i="6"/>
  <c r="X8" i="6"/>
  <c r="V8" i="6"/>
  <c r="I5" i="68" s="1"/>
  <c r="S8" i="6"/>
  <c r="Q8" i="6"/>
  <c r="M8" i="6"/>
  <c r="I8" i="6"/>
  <c r="E8" i="6"/>
  <c r="AC7" i="6"/>
  <c r="AA7" i="6"/>
  <c r="Z7" i="6"/>
  <c r="V7" i="6"/>
  <c r="S7" i="6"/>
  <c r="Q7" i="6"/>
  <c r="M7" i="6"/>
  <c r="I7" i="6"/>
  <c r="E7" i="6"/>
  <c r="AG6" i="6"/>
  <c r="AF6" i="6"/>
  <c r="AA6" i="6"/>
  <c r="X6" i="6"/>
  <c r="V6" i="6"/>
  <c r="S6" i="6"/>
  <c r="Q6" i="6"/>
  <c r="Q6" i="65" s="1"/>
  <c r="I6" i="6"/>
  <c r="E6" i="6"/>
  <c r="AG5" i="6"/>
  <c r="AC5" i="6"/>
  <c r="AA5" i="6"/>
  <c r="X5" i="6"/>
  <c r="V5" i="6"/>
  <c r="S5" i="6"/>
  <c r="Q5" i="6"/>
  <c r="Q5" i="65" s="1"/>
  <c r="M5" i="6"/>
  <c r="M5" i="65" s="1"/>
  <c r="K5" i="6"/>
  <c r="AC4" i="6"/>
  <c r="X4" i="6"/>
  <c r="R4" i="8" s="1"/>
  <c r="S4" i="6"/>
  <c r="E3" i="68" s="1"/>
  <c r="M4" i="6"/>
  <c r="E4" i="6"/>
  <c r="B37" i="48"/>
  <c r="C35" i="59"/>
  <c r="F35" i="56"/>
  <c r="E35" i="56"/>
  <c r="D35" i="56"/>
  <c r="A17" i="67"/>
  <c r="A16" i="67"/>
  <c r="A12" i="67"/>
  <c r="A11" i="67"/>
  <c r="A10" i="67"/>
  <c r="A8" i="67"/>
  <c r="A7" i="67"/>
  <c r="A6" i="67"/>
  <c r="AB39" i="64"/>
  <c r="D39" i="64"/>
  <c r="Q12" i="64"/>
  <c r="A8" i="12"/>
  <c r="A7" i="12"/>
  <c r="A1" i="12"/>
  <c r="AG73" i="11"/>
  <c r="AF73" i="11"/>
  <c r="AE73" i="11"/>
  <c r="AD73" i="11"/>
  <c r="AC73" i="11"/>
  <c r="AB73" i="11"/>
  <c r="AA73" i="11"/>
  <c r="Z73" i="11"/>
  <c r="Y73" i="11"/>
  <c r="X73" i="11"/>
  <c r="W73" i="11"/>
  <c r="V73" i="11"/>
  <c r="U73" i="11"/>
  <c r="T73" i="11"/>
  <c r="S73" i="11"/>
  <c r="R73" i="11"/>
  <c r="Q73" i="11"/>
  <c r="P73" i="11"/>
  <c r="O73" i="11"/>
  <c r="N73" i="11"/>
  <c r="M73" i="11"/>
  <c r="L73" i="11"/>
  <c r="K73" i="11"/>
  <c r="J73" i="11"/>
  <c r="I73" i="11"/>
  <c r="H73" i="11"/>
  <c r="G73" i="11"/>
  <c r="F73" i="11"/>
  <c r="E73" i="11"/>
  <c r="D73" i="11"/>
  <c r="C73" i="11"/>
  <c r="C69" i="11"/>
  <c r="AG63" i="11"/>
  <c r="AF63" i="11"/>
  <c r="AE63" i="11"/>
  <c r="AD63" i="11"/>
  <c r="AC63" i="11"/>
  <c r="AB63" i="11"/>
  <c r="AA63" i="11"/>
  <c r="Z63" i="11"/>
  <c r="Y63" i="11"/>
  <c r="X63" i="11"/>
  <c r="W63" i="11"/>
  <c r="V63" i="11"/>
  <c r="U63" i="11"/>
  <c r="T63" i="11"/>
  <c r="S63" i="11"/>
  <c r="R63" i="11"/>
  <c r="Q63" i="11"/>
  <c r="P63" i="11"/>
  <c r="O63" i="11"/>
  <c r="N63" i="11"/>
  <c r="M63" i="11"/>
  <c r="L63" i="11"/>
  <c r="K63" i="11"/>
  <c r="J63" i="11"/>
  <c r="I63" i="11"/>
  <c r="H63" i="11"/>
  <c r="G63" i="11"/>
  <c r="F63" i="11"/>
  <c r="E63" i="11"/>
  <c r="D63" i="11"/>
  <c r="C63" i="11"/>
  <c r="D59" i="11"/>
  <c r="C59" i="11"/>
  <c r="AG55" i="11"/>
  <c r="AF55" i="11"/>
  <c r="AE55" i="11"/>
  <c r="AD55" i="11"/>
  <c r="AC55" i="11"/>
  <c r="AB55" i="11"/>
  <c r="AA55" i="11"/>
  <c r="Z55" i="11"/>
  <c r="Y55" i="11"/>
  <c r="X55" i="11"/>
  <c r="W55" i="11"/>
  <c r="V55" i="11"/>
  <c r="U55" i="11"/>
  <c r="T55" i="11"/>
  <c r="S55" i="11"/>
  <c r="R55" i="11"/>
  <c r="Q55" i="11"/>
  <c r="P55" i="11"/>
  <c r="O55" i="11"/>
  <c r="N55" i="11"/>
  <c r="M55" i="11"/>
  <c r="L55" i="11"/>
  <c r="K55" i="11"/>
  <c r="J55" i="11"/>
  <c r="I55" i="11"/>
  <c r="H55" i="11"/>
  <c r="G55" i="11"/>
  <c r="F55" i="11"/>
  <c r="E55" i="11"/>
  <c r="D55" i="11"/>
  <c r="C55" i="11"/>
  <c r="AG48" i="11"/>
  <c r="AF48" i="11"/>
  <c r="AE48" i="11"/>
  <c r="AD48" i="11"/>
  <c r="AC48" i="11"/>
  <c r="AB48" i="11"/>
  <c r="AA48" i="11"/>
  <c r="Z48" i="11"/>
  <c r="Y48" i="11"/>
  <c r="X48" i="11"/>
  <c r="W48" i="11"/>
  <c r="V48" i="11"/>
  <c r="U48" i="11"/>
  <c r="T48" i="11"/>
  <c r="S48" i="11"/>
  <c r="R48" i="11"/>
  <c r="Q48" i="11"/>
  <c r="P48" i="11"/>
  <c r="O48" i="11"/>
  <c r="N48" i="11"/>
  <c r="M48" i="11"/>
  <c r="L48" i="11"/>
  <c r="K48" i="11"/>
  <c r="J48" i="11"/>
  <c r="I48" i="11"/>
  <c r="H48" i="11"/>
  <c r="G48" i="11"/>
  <c r="F48" i="11"/>
  <c r="E48" i="11"/>
  <c r="D48" i="11"/>
  <c r="C48" i="11"/>
  <c r="D45" i="11"/>
  <c r="C45" i="11"/>
  <c r="C39" i="11"/>
  <c r="B33" i="11"/>
  <c r="D32" i="11"/>
  <c r="E32" i="11" s="1"/>
  <c r="C32" i="11"/>
  <c r="C81" i="11" s="1"/>
  <c r="V26" i="11"/>
  <c r="K26" i="11"/>
  <c r="V25" i="11"/>
  <c r="K25" i="11"/>
  <c r="Z23" i="11"/>
  <c r="Z21" i="6" s="1"/>
  <c r="W22" i="11"/>
  <c r="W21" i="11"/>
  <c r="R21" i="11"/>
  <c r="W20" i="11"/>
  <c r="W19" i="11"/>
  <c r="E19" i="11"/>
  <c r="E19" i="6" s="1"/>
  <c r="W18" i="11"/>
  <c r="K18" i="11"/>
  <c r="E18" i="11"/>
  <c r="E18" i="6" s="1"/>
  <c r="W17" i="11"/>
  <c r="R17" i="11"/>
  <c r="E17" i="11"/>
  <c r="E17" i="6" s="1"/>
  <c r="W16" i="11"/>
  <c r="K16" i="11"/>
  <c r="E16" i="11"/>
  <c r="E16" i="6" s="1"/>
  <c r="AB15" i="11"/>
  <c r="Z15" i="11"/>
  <c r="Z15" i="6" s="1"/>
  <c r="W15" i="11"/>
  <c r="K15" i="11"/>
  <c r="E15" i="11"/>
  <c r="E15" i="6" s="1"/>
  <c r="K14" i="11"/>
  <c r="E14" i="11"/>
  <c r="E14" i="6" s="1"/>
  <c r="R13" i="11"/>
  <c r="K13" i="11"/>
  <c r="E13" i="11"/>
  <c r="R12" i="11"/>
  <c r="K12" i="11"/>
  <c r="E12" i="11"/>
  <c r="C11" i="11"/>
  <c r="AH11" i="11"/>
  <c r="E10" i="11"/>
  <c r="E10" i="6" s="1"/>
  <c r="AH10" i="11"/>
  <c r="R9" i="11"/>
  <c r="R8" i="11"/>
  <c r="AH6" i="11"/>
  <c r="W6" i="11"/>
  <c r="R6" i="11"/>
  <c r="P6" i="11"/>
  <c r="P6" i="6" s="1"/>
  <c r="P6" i="65" s="1"/>
  <c r="AB5" i="11"/>
  <c r="E5" i="11"/>
  <c r="E5" i="6" s="1"/>
  <c r="S3" i="11"/>
  <c r="B1" i="11"/>
  <c r="E11" i="4"/>
  <c r="D11" i="4"/>
  <c r="C11" i="4"/>
  <c r="B11" i="4"/>
  <c r="A11" i="4"/>
  <c r="E31" i="6" l="1"/>
  <c r="F31" i="6"/>
  <c r="G31" i="6"/>
  <c r="C31" i="6"/>
  <c r="D31" i="6"/>
  <c r="H31" i="6"/>
  <c r="C88" i="68"/>
  <c r="D88" i="68"/>
  <c r="K4" i="68"/>
  <c r="O5" i="68"/>
  <c r="O4" i="68"/>
  <c r="E4" i="68"/>
  <c r="I4" i="68"/>
  <c r="E5" i="68"/>
  <c r="K5" i="68"/>
  <c r="H32" i="57"/>
  <c r="H29" i="57"/>
  <c r="H31" i="57"/>
  <c r="H33" i="57"/>
  <c r="H44" i="57"/>
  <c r="H26" i="57"/>
  <c r="H34" i="57"/>
  <c r="H36" i="57"/>
  <c r="H48" i="57"/>
  <c r="H27" i="57"/>
  <c r="H39" i="57"/>
  <c r="H42" i="57"/>
  <c r="B37" i="59"/>
  <c r="D35" i="59"/>
  <c r="A35" i="62"/>
  <c r="I10" i="6"/>
  <c r="I6" i="39" s="1"/>
  <c r="I14" i="6"/>
  <c r="J8" i="33" s="1"/>
  <c r="B36" i="59"/>
  <c r="I17" i="6"/>
  <c r="J9" i="33" s="1"/>
  <c r="D37" i="59"/>
  <c r="I5" i="6"/>
  <c r="I12" i="6"/>
  <c r="Y47" i="6" s="1"/>
  <c r="I13" i="6"/>
  <c r="I7" i="65" s="1"/>
  <c r="E24" i="65" s="1"/>
  <c r="C30" i="6"/>
  <c r="I15" i="6"/>
  <c r="I16" i="6"/>
  <c r="E37" i="65"/>
  <c r="AM13" i="6" s="1"/>
  <c r="E5" i="40"/>
  <c r="E8" i="39"/>
  <c r="E10" i="33"/>
  <c r="E5" i="39"/>
  <c r="E4" i="33"/>
  <c r="E9" i="33"/>
  <c r="E9" i="65"/>
  <c r="E81" i="11"/>
  <c r="E52" i="11"/>
  <c r="E37" i="11"/>
  <c r="E30" i="11"/>
  <c r="E69" i="11"/>
  <c r="E39" i="11"/>
  <c r="F32" i="11"/>
  <c r="E59" i="11"/>
  <c r="E45" i="11"/>
  <c r="E6" i="40"/>
  <c r="E6" i="39"/>
  <c r="E5" i="33"/>
  <c r="E8" i="33"/>
  <c r="E8" i="65"/>
  <c r="E9" i="39"/>
  <c r="E11" i="33"/>
  <c r="E7" i="8"/>
  <c r="L6" i="33"/>
  <c r="E3" i="38"/>
  <c r="J8" i="8"/>
  <c r="Q7" i="33"/>
  <c r="E7" i="33"/>
  <c r="E7" i="65"/>
  <c r="K9" i="39"/>
  <c r="S4" i="33"/>
  <c r="S8" i="65"/>
  <c r="K10" i="39"/>
  <c r="S5" i="33"/>
  <c r="S9" i="65"/>
  <c r="L5" i="8"/>
  <c r="O6" i="8"/>
  <c r="I5" i="38"/>
  <c r="I7" i="38"/>
  <c r="C37" i="11"/>
  <c r="D39" i="11"/>
  <c r="C52" i="11"/>
  <c r="D69" i="11"/>
  <c r="F79" i="11"/>
  <c r="J79" i="11"/>
  <c r="N79" i="11"/>
  <c r="R79" i="11"/>
  <c r="V79" i="11"/>
  <c r="Z79" i="11"/>
  <c r="AD79" i="11"/>
  <c r="B35" i="59"/>
  <c r="J5" i="8"/>
  <c r="L8" i="33"/>
  <c r="I4" i="2"/>
  <c r="P42" i="20"/>
  <c r="I4" i="40"/>
  <c r="I5" i="65"/>
  <c r="Q9" i="33"/>
  <c r="R5" i="8"/>
  <c r="L4" i="8"/>
  <c r="S3" i="33"/>
  <c r="Q12" i="33"/>
  <c r="O9" i="39"/>
  <c r="X4" i="33"/>
  <c r="V8" i="65"/>
  <c r="AC5" i="8"/>
  <c r="O10" i="39"/>
  <c r="X5" i="33"/>
  <c r="V9" i="65"/>
  <c r="AC6" i="8"/>
  <c r="P5" i="8"/>
  <c r="AC7" i="8"/>
  <c r="P6" i="8"/>
  <c r="P7" i="8"/>
  <c r="O8" i="8"/>
  <c r="E10" i="39"/>
  <c r="L9" i="8"/>
  <c r="E13" i="33"/>
  <c r="I6" i="38"/>
  <c r="E15" i="33"/>
  <c r="I79" i="11"/>
  <c r="Q79" i="11"/>
  <c r="Y79" i="11"/>
  <c r="AC79" i="11"/>
  <c r="E5" i="8"/>
  <c r="E4" i="2"/>
  <c r="E4" i="40"/>
  <c r="E5" i="65"/>
  <c r="L12" i="33"/>
  <c r="X5" i="8"/>
  <c r="I4" i="38"/>
  <c r="D37" i="11"/>
  <c r="D52" i="11"/>
  <c r="C79" i="11"/>
  <c r="G79" i="11"/>
  <c r="K79" i="11"/>
  <c r="O79" i="11"/>
  <c r="S79" i="11"/>
  <c r="W79" i="11"/>
  <c r="AA79" i="11"/>
  <c r="AE79" i="11"/>
  <c r="D81" i="11"/>
  <c r="A3" i="12"/>
  <c r="E3" i="2"/>
  <c r="E3" i="40"/>
  <c r="E4" i="39"/>
  <c r="E3" i="33"/>
  <c r="K5" i="39"/>
  <c r="L4" i="33"/>
  <c r="AH9" i="6"/>
  <c r="Q8" i="33"/>
  <c r="V5" i="8"/>
  <c r="K6" i="39"/>
  <c r="I18" i="6"/>
  <c r="R6" i="8"/>
  <c r="P8" i="8"/>
  <c r="I10" i="39"/>
  <c r="P9" i="8"/>
  <c r="J13" i="33"/>
  <c r="E14" i="33"/>
  <c r="J15" i="33"/>
  <c r="E16" i="33"/>
  <c r="E79" i="11"/>
  <c r="M79" i="11"/>
  <c r="U79" i="11"/>
  <c r="AG79" i="11"/>
  <c r="E7" i="39"/>
  <c r="E6" i="33"/>
  <c r="E6" i="65"/>
  <c r="AB6" i="8"/>
  <c r="AB7" i="8"/>
  <c r="O7" i="8"/>
  <c r="C21" i="1"/>
  <c r="H6" i="38"/>
  <c r="D30" i="11"/>
  <c r="D79" i="11"/>
  <c r="H79" i="11"/>
  <c r="L79" i="11"/>
  <c r="P79" i="11"/>
  <c r="T79" i="11"/>
  <c r="X79" i="11"/>
  <c r="AB79" i="11"/>
  <c r="AF79" i="11"/>
  <c r="K4" i="39"/>
  <c r="E4" i="8"/>
  <c r="L3" i="33"/>
  <c r="E8" i="8"/>
  <c r="L7" i="33"/>
  <c r="O5" i="39"/>
  <c r="Q4" i="33"/>
  <c r="X4" i="8"/>
  <c r="L11" i="33"/>
  <c r="Q14" i="6"/>
  <c r="C3" i="9"/>
  <c r="O6" i="39"/>
  <c r="C5" i="9"/>
  <c r="D9" i="12" s="1"/>
  <c r="V6" i="8"/>
  <c r="E4" i="38"/>
  <c r="H5" i="38"/>
  <c r="J14" i="33"/>
  <c r="E7" i="38"/>
  <c r="J16" i="33"/>
  <c r="P43" i="20"/>
  <c r="T44" i="20" s="1"/>
  <c r="I11" i="65"/>
  <c r="B36" i="9"/>
  <c r="B24" i="13"/>
  <c r="B28" i="9"/>
  <c r="K191" i="40"/>
  <c r="K181" i="40"/>
  <c r="K184" i="40"/>
  <c r="K190" i="40"/>
  <c r="K192" i="40" s="1"/>
  <c r="K36" i="39" s="1"/>
  <c r="K180" i="40"/>
  <c r="K182" i="40" s="1"/>
  <c r="K183" i="40"/>
  <c r="D19" i="1"/>
  <c r="F19" i="1"/>
  <c r="H179" i="33" l="1"/>
  <c r="H178" i="33"/>
  <c r="E177" i="33"/>
  <c r="G176" i="33"/>
  <c r="F175" i="33"/>
  <c r="H140" i="33"/>
  <c r="H139" i="33"/>
  <c r="E138" i="33"/>
  <c r="G137" i="33"/>
  <c r="C136" i="33"/>
  <c r="G136" i="33"/>
  <c r="D136" i="33"/>
  <c r="H180" i="33"/>
  <c r="G179" i="33"/>
  <c r="G178" i="33"/>
  <c r="H177" i="33"/>
  <c r="F176" i="33"/>
  <c r="E175" i="33"/>
  <c r="H141" i="33"/>
  <c r="G140" i="33"/>
  <c r="G139" i="33"/>
  <c r="F137" i="33"/>
  <c r="H136" i="33"/>
  <c r="F178" i="33"/>
  <c r="H175" i="33"/>
  <c r="G138" i="33"/>
  <c r="E137" i="33"/>
  <c r="F177" i="33"/>
  <c r="D176" i="33"/>
  <c r="C175" i="33"/>
  <c r="F138" i="33"/>
  <c r="D137" i="33"/>
  <c r="H138" i="33"/>
  <c r="G177" i="33"/>
  <c r="E176" i="33"/>
  <c r="D175" i="33"/>
  <c r="F139" i="33"/>
  <c r="E136" i="33"/>
  <c r="H176" i="33"/>
  <c r="G175" i="33"/>
  <c r="H137" i="33"/>
  <c r="F136" i="33"/>
  <c r="C90" i="68"/>
  <c r="C126" i="6"/>
  <c r="C47" i="68"/>
  <c r="C9" i="68"/>
  <c r="C87" i="68" s="1"/>
  <c r="C170" i="40"/>
  <c r="C7" i="9"/>
  <c r="C36" i="9" s="1"/>
  <c r="I5" i="40"/>
  <c r="C12" i="39"/>
  <c r="I6" i="40"/>
  <c r="Q227" i="40" s="1"/>
  <c r="C54" i="6"/>
  <c r="A36" i="59" s="1"/>
  <c r="C18" i="33"/>
  <c r="C4" i="7"/>
  <c r="C164" i="6"/>
  <c r="B248" i="33" s="1"/>
  <c r="C135" i="33"/>
  <c r="C57" i="8"/>
  <c r="C110" i="6"/>
  <c r="B5" i="67" s="1"/>
  <c r="C247" i="33"/>
  <c r="C29" i="7"/>
  <c r="C114" i="6"/>
  <c r="C80" i="6"/>
  <c r="C9" i="38"/>
  <c r="C19" i="38"/>
  <c r="C67" i="33"/>
  <c r="C210" i="33" s="1"/>
  <c r="C211" i="33" s="1"/>
  <c r="C39" i="33"/>
  <c r="C32" i="39"/>
  <c r="C174" i="33"/>
  <c r="C49" i="39"/>
  <c r="C43" i="8"/>
  <c r="C34" i="9"/>
  <c r="C116" i="40"/>
  <c r="I9" i="65"/>
  <c r="E31" i="65" s="1"/>
  <c r="U4" i="64" s="1"/>
  <c r="C73" i="6"/>
  <c r="C74" i="6" s="1"/>
  <c r="C46" i="6"/>
  <c r="C65" i="38"/>
  <c r="C89" i="38"/>
  <c r="C101" i="33"/>
  <c r="C40" i="39"/>
  <c r="C13" i="8"/>
  <c r="C21" i="8"/>
  <c r="C79" i="8"/>
  <c r="C16" i="9"/>
  <c r="C4" i="13"/>
  <c r="C111" i="6"/>
  <c r="C32" i="6"/>
  <c r="C72" i="8" s="1"/>
  <c r="C73" i="8" s="1"/>
  <c r="D30" i="6"/>
  <c r="C98" i="6"/>
  <c r="C134" i="6"/>
  <c r="C120" i="6"/>
  <c r="C41" i="38"/>
  <c r="C57" i="33"/>
  <c r="C170" i="33"/>
  <c r="C213" i="33"/>
  <c r="C32" i="8"/>
  <c r="C41" i="8" s="1"/>
  <c r="C76" i="8"/>
  <c r="C12" i="7"/>
  <c r="C12" i="13"/>
  <c r="C151" i="40"/>
  <c r="J5" i="33"/>
  <c r="C30" i="13"/>
  <c r="C139" i="40"/>
  <c r="J7" i="33"/>
  <c r="J47" i="6"/>
  <c r="T47" i="6"/>
  <c r="I47" i="6"/>
  <c r="R47" i="6"/>
  <c r="AE47" i="6"/>
  <c r="J6" i="33"/>
  <c r="V47" i="6"/>
  <c r="W47" i="6"/>
  <c r="D47" i="6"/>
  <c r="C47" i="6"/>
  <c r="AD47" i="6"/>
  <c r="K47" i="6"/>
  <c r="L47" i="6"/>
  <c r="M47" i="6"/>
  <c r="U47" i="6"/>
  <c r="AG47" i="6"/>
  <c r="AB47" i="6"/>
  <c r="I8" i="65"/>
  <c r="E25" i="65" s="1"/>
  <c r="M19" i="64" s="1"/>
  <c r="I5" i="39"/>
  <c r="AC47" i="6"/>
  <c r="O47" i="6"/>
  <c r="F47" i="6"/>
  <c r="AA47" i="6"/>
  <c r="H47" i="6"/>
  <c r="X47" i="6"/>
  <c r="I7" i="39"/>
  <c r="J60" i="39" s="1"/>
  <c r="J4" i="33"/>
  <c r="S47" i="6"/>
  <c r="G47" i="6"/>
  <c r="E47" i="6"/>
  <c r="Z47" i="6"/>
  <c r="Q47" i="6"/>
  <c r="I6" i="65"/>
  <c r="E22" i="65" s="1"/>
  <c r="A26" i="64" s="1"/>
  <c r="P47" i="6"/>
  <c r="AF47" i="6"/>
  <c r="N47" i="6"/>
  <c r="Q743" i="40"/>
  <c r="Q237" i="40"/>
  <c r="Q232" i="40"/>
  <c r="Q738" i="40"/>
  <c r="Q219" i="40"/>
  <c r="Q214" i="40"/>
  <c r="T73" i="40"/>
  <c r="T17" i="40"/>
  <c r="AB100" i="40"/>
  <c r="BG35" i="40"/>
  <c r="AB73" i="40"/>
  <c r="T100" i="40"/>
  <c r="T80" i="40"/>
  <c r="Q10" i="65"/>
  <c r="Q14" i="11"/>
  <c r="I8" i="39"/>
  <c r="J10" i="33"/>
  <c r="F69" i="11"/>
  <c r="F39" i="11"/>
  <c r="F52" i="11"/>
  <c r="F59" i="11"/>
  <c r="F45" i="11"/>
  <c r="F81" i="11"/>
  <c r="F37" i="11"/>
  <c r="G32" i="11"/>
  <c r="F30" i="11"/>
  <c r="K185" i="40"/>
  <c r="AD53" i="8"/>
  <c r="Z53" i="8"/>
  <c r="V53" i="8"/>
  <c r="R53" i="8"/>
  <c r="N53" i="8"/>
  <c r="J53" i="8"/>
  <c r="F53" i="8"/>
  <c r="AG53" i="8"/>
  <c r="AC53" i="8"/>
  <c r="Y53" i="8"/>
  <c r="U53" i="8"/>
  <c r="Q53" i="8"/>
  <c r="M53" i="8"/>
  <c r="I53" i="8"/>
  <c r="E53" i="8"/>
  <c r="AF53" i="8"/>
  <c r="AB53" i="8"/>
  <c r="X53" i="8"/>
  <c r="T53" i="8"/>
  <c r="P53" i="8"/>
  <c r="L53" i="8"/>
  <c r="H53" i="8"/>
  <c r="D53" i="8"/>
  <c r="W53" i="8"/>
  <c r="G53" i="8"/>
  <c r="S53" i="8"/>
  <c r="C53" i="8"/>
  <c r="AE53" i="8"/>
  <c r="O53" i="8"/>
  <c r="AA53" i="8"/>
  <c r="K53" i="8"/>
  <c r="I9" i="39"/>
  <c r="J11" i="33"/>
  <c r="B40" i="64"/>
  <c r="O146" i="2"/>
  <c r="X36" i="2"/>
  <c r="Q33" i="2"/>
  <c r="C179" i="2"/>
  <c r="X32" i="2"/>
  <c r="Q37" i="2"/>
  <c r="B35" i="9"/>
  <c r="B32" i="9"/>
  <c r="B23" i="13"/>
  <c r="B24" i="9"/>
  <c r="A6" i="12"/>
  <c r="AM102" i="38"/>
  <c r="AM101" i="38"/>
  <c r="AM100" i="38"/>
  <c r="AM99" i="38"/>
  <c r="AM98" i="38"/>
  <c r="AM97" i="38"/>
  <c r="AM96" i="38"/>
  <c r="AM95" i="38"/>
  <c r="AM94" i="38"/>
  <c r="AM93" i="38"/>
  <c r="AM92" i="38"/>
  <c r="AM91" i="38"/>
  <c r="AM90" i="38"/>
  <c r="AM89" i="38"/>
  <c r="AM88" i="38"/>
  <c r="AM87" i="38"/>
  <c r="AM86" i="38"/>
  <c r="AM61" i="38"/>
  <c r="AM60" i="38"/>
  <c r="AM59" i="38"/>
  <c r="AM58" i="38"/>
  <c r="AM57" i="38"/>
  <c r="AM56" i="38"/>
  <c r="AM55" i="38"/>
  <c r="AM54" i="38"/>
  <c r="AM53" i="38"/>
  <c r="AM52" i="38"/>
  <c r="AM51" i="38"/>
  <c r="AM50" i="38"/>
  <c r="AM49" i="38"/>
  <c r="AM48" i="38"/>
  <c r="AM47" i="38"/>
  <c r="AM46" i="38"/>
  <c r="AM45" i="38"/>
  <c r="AM44" i="38"/>
  <c r="AM43" i="38"/>
  <c r="AM42" i="38"/>
  <c r="AM41" i="38"/>
  <c r="AM40" i="38"/>
  <c r="AM85" i="38"/>
  <c r="AM84" i="38"/>
  <c r="AM83" i="38"/>
  <c r="AM82" i="38"/>
  <c r="AM81" i="38"/>
  <c r="AM80" i="38"/>
  <c r="AM79" i="38"/>
  <c r="AM78" i="38"/>
  <c r="AM77" i="38"/>
  <c r="AM76" i="38"/>
  <c r="AM75" i="38"/>
  <c r="AM74" i="38"/>
  <c r="AM73" i="38"/>
  <c r="AM72" i="38"/>
  <c r="AM71" i="38"/>
  <c r="AM70" i="38"/>
  <c r="AM69" i="38"/>
  <c r="AM68" i="38"/>
  <c r="AM67" i="38"/>
  <c r="AM66" i="38"/>
  <c r="AM65" i="38"/>
  <c r="AM64" i="38"/>
  <c r="AM39" i="38"/>
  <c r="AM38" i="38"/>
  <c r="AM37" i="38"/>
  <c r="AM36" i="38"/>
  <c r="AM35" i="38"/>
  <c r="AM34" i="38"/>
  <c r="AM33" i="38"/>
  <c r="AM32" i="38"/>
  <c r="AM31" i="38"/>
  <c r="AM30" i="38"/>
  <c r="AM29" i="38"/>
  <c r="AM28" i="38"/>
  <c r="AM27" i="38"/>
  <c r="AM26" i="38"/>
  <c r="AM25" i="38"/>
  <c r="AM24" i="38"/>
  <c r="AM23" i="38"/>
  <c r="AM22" i="38"/>
  <c r="AM21" i="38"/>
  <c r="AM20" i="38"/>
  <c r="AM19" i="38"/>
  <c r="AM18" i="38"/>
  <c r="AM63" i="38"/>
  <c r="AM17" i="38"/>
  <c r="AM16" i="38"/>
  <c r="AM11" i="38"/>
  <c r="AM10" i="38"/>
  <c r="AM9" i="38"/>
  <c r="AM8" i="38"/>
  <c r="AM6" i="38"/>
  <c r="AM5" i="38"/>
  <c r="AM4" i="38"/>
  <c r="AM3" i="38"/>
  <c r="AM7" i="38"/>
  <c r="AM62" i="38"/>
  <c r="AM15" i="38"/>
  <c r="AM14" i="38"/>
  <c r="AM13" i="38"/>
  <c r="AM12" i="38"/>
  <c r="AL102" i="38"/>
  <c r="AL101" i="38"/>
  <c r="AL99" i="38"/>
  <c r="AL97" i="38"/>
  <c r="AL95" i="38"/>
  <c r="AL91" i="38"/>
  <c r="AL62" i="38"/>
  <c r="AL16" i="38"/>
  <c r="AL15" i="38"/>
  <c r="AL14" i="38"/>
  <c r="AL13" i="38"/>
  <c r="AL12" i="38"/>
  <c r="AL92" i="38"/>
  <c r="AL88" i="38"/>
  <c r="AL87" i="38"/>
  <c r="AL86" i="38"/>
  <c r="AL61" i="38"/>
  <c r="AL60" i="38"/>
  <c r="AL59" i="38"/>
  <c r="AL58" i="38"/>
  <c r="AL57" i="38"/>
  <c r="AL56" i="38"/>
  <c r="AL55" i="38"/>
  <c r="AL54" i="38"/>
  <c r="AL53" i="38"/>
  <c r="AL52" i="38"/>
  <c r="AL51" i="38"/>
  <c r="AL50" i="38"/>
  <c r="AL49" i="38"/>
  <c r="AL48" i="38"/>
  <c r="AL47" i="38"/>
  <c r="AL46" i="38"/>
  <c r="AL45" i="38"/>
  <c r="AL44" i="38"/>
  <c r="AL43" i="38"/>
  <c r="AL42" i="38"/>
  <c r="AL41" i="38"/>
  <c r="AL40" i="38"/>
  <c r="AL100" i="38"/>
  <c r="AL98" i="38"/>
  <c r="AL96" i="38"/>
  <c r="AL93" i="38"/>
  <c r="AL89" i="38"/>
  <c r="AL85" i="38"/>
  <c r="AL84" i="38"/>
  <c r="AL83" i="38"/>
  <c r="AL82" i="38"/>
  <c r="AL81" i="38"/>
  <c r="AL80" i="38"/>
  <c r="AL79" i="38"/>
  <c r="AL78" i="38"/>
  <c r="AL77" i="38"/>
  <c r="AL76" i="38"/>
  <c r="AL75" i="38"/>
  <c r="AL74" i="38"/>
  <c r="AL73" i="38"/>
  <c r="AL72" i="38"/>
  <c r="AL71" i="38"/>
  <c r="AL70" i="38"/>
  <c r="AL69" i="38"/>
  <c r="AL68" i="38"/>
  <c r="AL67" i="38"/>
  <c r="AL66" i="38"/>
  <c r="AL65" i="38"/>
  <c r="AL64" i="38"/>
  <c r="AL39" i="38"/>
  <c r="AL38" i="38"/>
  <c r="AL37" i="38"/>
  <c r="AL36" i="38"/>
  <c r="AL35" i="38"/>
  <c r="AL34" i="38"/>
  <c r="AL33" i="38"/>
  <c r="AL32" i="38"/>
  <c r="AL31" i="38"/>
  <c r="AL30" i="38"/>
  <c r="AL29" i="38"/>
  <c r="AL28" i="38"/>
  <c r="AL27" i="38"/>
  <c r="AL90" i="38"/>
  <c r="AL63" i="38"/>
  <c r="AL25" i="38"/>
  <c r="AL23" i="38"/>
  <c r="AL21" i="38"/>
  <c r="AL19" i="38"/>
  <c r="AL17" i="38"/>
  <c r="AL11" i="38"/>
  <c r="AL10" i="38"/>
  <c r="AL9" i="38"/>
  <c r="AL8" i="38"/>
  <c r="AL6" i="38"/>
  <c r="AL5" i="38"/>
  <c r="AL4" i="38"/>
  <c r="AL3" i="38"/>
  <c r="AL94" i="38"/>
  <c r="AL26" i="38"/>
  <c r="AL22" i="38"/>
  <c r="AL18" i="38"/>
  <c r="AL24" i="38"/>
  <c r="AL20" i="38"/>
  <c r="AL7" i="38"/>
  <c r="D16" i="9"/>
  <c r="E40" i="65"/>
  <c r="AM16" i="6" s="1"/>
  <c r="E39" i="65"/>
  <c r="AM15" i="6" s="1"/>
  <c r="AH47" i="6" l="1"/>
  <c r="C42" i="6"/>
  <c r="C41" i="6"/>
  <c r="C36" i="6"/>
  <c r="C43" i="6"/>
  <c r="C115" i="6"/>
  <c r="B16" i="67" s="1"/>
  <c r="C112" i="6"/>
  <c r="B17" i="67" s="1"/>
  <c r="C167" i="33"/>
  <c r="C37" i="46"/>
  <c r="C37" i="62"/>
  <c r="C88" i="6"/>
  <c r="C63" i="8"/>
  <c r="C54" i="8"/>
  <c r="C49" i="8"/>
  <c r="C39" i="8"/>
  <c r="C35" i="8"/>
  <c r="C25" i="8"/>
  <c r="C29" i="8" s="1"/>
  <c r="C17" i="8"/>
  <c r="C135" i="6"/>
  <c r="C64" i="8"/>
  <c r="C36" i="8"/>
  <c r="C40" i="8" s="1"/>
  <c r="C26" i="8"/>
  <c r="C141" i="6"/>
  <c r="C67" i="8"/>
  <c r="C62" i="8"/>
  <c r="C52" i="8"/>
  <c r="C48" i="8"/>
  <c r="C55" i="8" s="1"/>
  <c r="C38" i="8"/>
  <c r="C28" i="8"/>
  <c r="C24" i="8"/>
  <c r="C16" i="8"/>
  <c r="C77" i="6"/>
  <c r="C9" i="7" s="1"/>
  <c r="C27" i="8"/>
  <c r="C76" i="6"/>
  <c r="C8" i="7" s="1"/>
  <c r="C50" i="8"/>
  <c r="C66" i="8"/>
  <c r="C61" i="8"/>
  <c r="C51" i="8"/>
  <c r="C47" i="8"/>
  <c r="C37" i="8"/>
  <c r="C19" i="8"/>
  <c r="C147" i="6"/>
  <c r="C60" i="8"/>
  <c r="C46" i="8"/>
  <c r="C18" i="8"/>
  <c r="C206" i="33"/>
  <c r="C74" i="8"/>
  <c r="D90" i="68"/>
  <c r="D126" i="6"/>
  <c r="C80" i="68"/>
  <c r="C76" i="68"/>
  <c r="C72" i="68"/>
  <c r="C68" i="68"/>
  <c r="C64" i="68"/>
  <c r="C60" i="68"/>
  <c r="C56" i="68"/>
  <c r="C52" i="68"/>
  <c r="C40" i="68"/>
  <c r="C36" i="68"/>
  <c r="C32" i="68"/>
  <c r="C28" i="68"/>
  <c r="C24" i="68"/>
  <c r="C20" i="68"/>
  <c r="C16" i="68"/>
  <c r="C78" i="68"/>
  <c r="C66" i="68"/>
  <c r="C58" i="68"/>
  <c r="C42" i="68"/>
  <c r="C34" i="68"/>
  <c r="C26" i="68"/>
  <c r="C14" i="68"/>
  <c r="C61" i="68"/>
  <c r="C41" i="68"/>
  <c r="C29" i="68"/>
  <c r="C25" i="68"/>
  <c r="C79" i="68"/>
  <c r="C75" i="68"/>
  <c r="C71" i="68"/>
  <c r="C67" i="68"/>
  <c r="C63" i="68"/>
  <c r="C59" i="68"/>
  <c r="C55" i="68"/>
  <c r="C43" i="68"/>
  <c r="C39" i="68"/>
  <c r="C35" i="68"/>
  <c r="C31" i="68"/>
  <c r="C27" i="68"/>
  <c r="C23" i="68"/>
  <c r="C19" i="68"/>
  <c r="C15" i="68"/>
  <c r="C74" i="68"/>
  <c r="C70" i="68"/>
  <c r="C62" i="68"/>
  <c r="C54" i="68"/>
  <c r="C38" i="68"/>
  <c r="C30" i="68"/>
  <c r="C22" i="68"/>
  <c r="C18" i="68"/>
  <c r="C57" i="68"/>
  <c r="C37" i="68"/>
  <c r="C21" i="68"/>
  <c r="C81" i="68"/>
  <c r="C77" i="68"/>
  <c r="C73" i="68"/>
  <c r="C69" i="68"/>
  <c r="C65" i="68"/>
  <c r="C53" i="68"/>
  <c r="C33" i="68"/>
  <c r="C17" i="68"/>
  <c r="D47" i="68"/>
  <c r="D9" i="68"/>
  <c r="C10" i="9"/>
  <c r="C30" i="8"/>
  <c r="C35" i="9"/>
  <c r="B214" i="33"/>
  <c r="C63" i="33"/>
  <c r="C64" i="33" s="1"/>
  <c r="D111" i="6"/>
  <c r="D110" i="6"/>
  <c r="C5" i="67" s="1"/>
  <c r="D39" i="33"/>
  <c r="D247" i="33"/>
  <c r="D98" i="6"/>
  <c r="D79" i="8"/>
  <c r="AB17" i="40"/>
  <c r="AB18" i="40" s="1"/>
  <c r="AC18" i="40" s="1"/>
  <c r="T38" i="40"/>
  <c r="T39" i="40" s="1"/>
  <c r="U39" i="40" s="1"/>
  <c r="T45" i="40"/>
  <c r="T44" i="40" s="1"/>
  <c r="U44" i="40" s="1"/>
  <c r="AB38" i="40"/>
  <c r="AB37" i="40" s="1"/>
  <c r="AC37" i="40" s="1"/>
  <c r="B6" i="67"/>
  <c r="B9" i="67" s="1"/>
  <c r="AB24" i="40"/>
  <c r="AB23" i="40" s="1"/>
  <c r="AC23" i="40" s="1"/>
  <c r="T52" i="40"/>
  <c r="T51" i="40" s="1"/>
  <c r="U51" i="40" s="1"/>
  <c r="C33" i="6"/>
  <c r="C13" i="39" s="1"/>
  <c r="C33" i="39" s="1"/>
  <c r="C67" i="6"/>
  <c r="C66" i="6" s="1"/>
  <c r="C116" i="6"/>
  <c r="C77" i="8" s="1"/>
  <c r="C84" i="6"/>
  <c r="C16" i="7" s="1"/>
  <c r="D135" i="33"/>
  <c r="B165" i="6"/>
  <c r="B175" i="33"/>
  <c r="D40" i="39"/>
  <c r="D134" i="6"/>
  <c r="D65" i="38"/>
  <c r="D101" i="33"/>
  <c r="D12" i="7"/>
  <c r="D7" i="9"/>
  <c r="D36" i="9" s="1"/>
  <c r="D139" i="40"/>
  <c r="B102" i="33"/>
  <c r="B136" i="33"/>
  <c r="E30" i="6"/>
  <c r="E170" i="40" s="1"/>
  <c r="D89" i="38"/>
  <c r="D4" i="7"/>
  <c r="D30" i="13"/>
  <c r="D46" i="6"/>
  <c r="D54" i="6"/>
  <c r="D67" i="33"/>
  <c r="D210" i="33" s="1"/>
  <c r="D211" i="33" s="1"/>
  <c r="D49" i="39"/>
  <c r="D13" i="8"/>
  <c r="D29" i="7"/>
  <c r="D170" i="40"/>
  <c r="B68" i="33"/>
  <c r="D32" i="6"/>
  <c r="D72" i="8" s="1"/>
  <c r="D73" i="8" s="1"/>
  <c r="D74" i="8" s="1"/>
  <c r="D73" i="6"/>
  <c r="D74" i="6" s="1"/>
  <c r="D164" i="6"/>
  <c r="B249" i="33" s="1"/>
  <c r="D80" i="6"/>
  <c r="D19" i="38"/>
  <c r="D57" i="33"/>
  <c r="D170" i="33"/>
  <c r="D21" i="8"/>
  <c r="D43" i="8"/>
  <c r="D32" i="8"/>
  <c r="D41" i="8" s="1"/>
  <c r="D57" i="8"/>
  <c r="D34" i="9"/>
  <c r="D116" i="40"/>
  <c r="D120" i="6"/>
  <c r="D114" i="6"/>
  <c r="D41" i="38"/>
  <c r="D9" i="38"/>
  <c r="D18" i="33"/>
  <c r="D174" i="33"/>
  <c r="D213" i="33"/>
  <c r="D32" i="39"/>
  <c r="D12" i="39"/>
  <c r="D76" i="8"/>
  <c r="D4" i="13"/>
  <c r="D12" i="13"/>
  <c r="D151" i="40"/>
  <c r="E23" i="65"/>
  <c r="AM21" i="6" s="1"/>
  <c r="AA5" i="39" s="1"/>
  <c r="K60" i="39" s="1"/>
  <c r="P68" i="39"/>
  <c r="E26" i="65"/>
  <c r="AM22" i="6" s="1"/>
  <c r="N4" i="40" s="1"/>
  <c r="Q32" i="2"/>
  <c r="R32" i="2" s="1"/>
  <c r="Q34" i="2"/>
  <c r="R34" i="2" s="1"/>
  <c r="Q36" i="2"/>
  <c r="R36" i="2" s="1"/>
  <c r="Q38" i="2"/>
  <c r="R38" i="2" s="1"/>
  <c r="T81" i="40"/>
  <c r="U81" i="40" s="1"/>
  <c r="T79" i="40"/>
  <c r="U79" i="40" s="1"/>
  <c r="AO12" i="38"/>
  <c r="AN12" i="38"/>
  <c r="AN5" i="38"/>
  <c r="AO5" i="38"/>
  <c r="AN10" i="38"/>
  <c r="AO10" i="38"/>
  <c r="AN21" i="38"/>
  <c r="AO21" i="38"/>
  <c r="AN29" i="38"/>
  <c r="AO29" i="38"/>
  <c r="AN65" i="38"/>
  <c r="AO65" i="38"/>
  <c r="AN73" i="38"/>
  <c r="AO73" i="38"/>
  <c r="AN81" i="38"/>
  <c r="AO81" i="38"/>
  <c r="AO43" i="38"/>
  <c r="AN43" i="38"/>
  <c r="AO51" i="38"/>
  <c r="AN51" i="38"/>
  <c r="AO59" i="38"/>
  <c r="AN59" i="38"/>
  <c r="AO91" i="38"/>
  <c r="AN91" i="38"/>
  <c r="AO99" i="38"/>
  <c r="AN99" i="38"/>
  <c r="AO13" i="38"/>
  <c r="AN13" i="38"/>
  <c r="AO7" i="38"/>
  <c r="AN7" i="38"/>
  <c r="AN6" i="38"/>
  <c r="AO6" i="38"/>
  <c r="AN11" i="38"/>
  <c r="AO11" i="38"/>
  <c r="AN18" i="38"/>
  <c r="AO18" i="38"/>
  <c r="AN22" i="38"/>
  <c r="AO22" i="38"/>
  <c r="AN26" i="38"/>
  <c r="AO26" i="38"/>
  <c r="AN30" i="38"/>
  <c r="AO30" i="38"/>
  <c r="AN34" i="38"/>
  <c r="AO34" i="38"/>
  <c r="AN38" i="38"/>
  <c r="AO38" i="38"/>
  <c r="AN66" i="38"/>
  <c r="AO66" i="38"/>
  <c r="AN70" i="38"/>
  <c r="AO70" i="38"/>
  <c r="AN74" i="38"/>
  <c r="AO74" i="38"/>
  <c r="AN78" i="38"/>
  <c r="AO78" i="38"/>
  <c r="AN82" i="38"/>
  <c r="AO82" i="38"/>
  <c r="AO40" i="38"/>
  <c r="AN40" i="38"/>
  <c r="AO44" i="38"/>
  <c r="AN44" i="38"/>
  <c r="AO48" i="38"/>
  <c r="AN48" i="38"/>
  <c r="AO52" i="38"/>
  <c r="AN52" i="38"/>
  <c r="AO56" i="38"/>
  <c r="AN56" i="38"/>
  <c r="AO60" i="38"/>
  <c r="AN60" i="38"/>
  <c r="AN88" i="38"/>
  <c r="AO88" i="38"/>
  <c r="AN92" i="38"/>
  <c r="AO92" i="38"/>
  <c r="AO96" i="38"/>
  <c r="AN96" i="38"/>
  <c r="AO100" i="38"/>
  <c r="AN100" i="38"/>
  <c r="X38" i="2"/>
  <c r="X37" i="2"/>
  <c r="G59" i="11"/>
  <c r="G45" i="11"/>
  <c r="H32" i="11"/>
  <c r="G30" i="11"/>
  <c r="G69" i="11"/>
  <c r="G39" i="11"/>
  <c r="G81" i="11"/>
  <c r="G52" i="11"/>
  <c r="G37" i="11"/>
  <c r="T101" i="40"/>
  <c r="U101" i="40" s="1"/>
  <c r="AB99" i="40"/>
  <c r="AC99" i="40" s="1"/>
  <c r="AB101" i="40"/>
  <c r="AC101" i="40" s="1"/>
  <c r="T99" i="40"/>
  <c r="U99" i="40" s="1"/>
  <c r="T18" i="40"/>
  <c r="U18" i="40" s="1"/>
  <c r="T16" i="40"/>
  <c r="U16" i="40" s="1"/>
  <c r="T37" i="40"/>
  <c r="U37" i="40" s="1"/>
  <c r="AO62" i="38"/>
  <c r="AN62" i="38"/>
  <c r="AO63" i="38"/>
  <c r="AN63" i="38"/>
  <c r="AN25" i="38"/>
  <c r="AO25" i="38"/>
  <c r="AN33" i="38"/>
  <c r="AO33" i="38"/>
  <c r="AN37" i="38"/>
  <c r="AO37" i="38"/>
  <c r="AN69" i="38"/>
  <c r="AO69" i="38"/>
  <c r="AN77" i="38"/>
  <c r="AO77" i="38"/>
  <c r="AN85" i="38"/>
  <c r="AO85" i="38"/>
  <c r="AO47" i="38"/>
  <c r="AN47" i="38"/>
  <c r="AO55" i="38"/>
  <c r="AN55" i="38"/>
  <c r="AN87" i="38"/>
  <c r="AO87" i="38"/>
  <c r="AO95" i="38"/>
  <c r="AN95" i="38"/>
  <c r="Q226" i="40"/>
  <c r="Q228" i="40"/>
  <c r="AO14" i="38"/>
  <c r="AN14" i="38"/>
  <c r="AN3" i="38"/>
  <c r="AO3" i="38"/>
  <c r="AN8" i="38"/>
  <c r="AO8" i="38"/>
  <c r="AO16" i="38"/>
  <c r="AN16" i="38"/>
  <c r="AN19" i="38"/>
  <c r="AO19" i="38"/>
  <c r="AN23" i="38"/>
  <c r="AO23" i="38"/>
  <c r="AN27" i="38"/>
  <c r="AO27" i="38"/>
  <c r="AN31" i="38"/>
  <c r="AO31" i="38"/>
  <c r="AN35" i="38"/>
  <c r="AO35" i="38"/>
  <c r="AN39" i="38"/>
  <c r="AO39" i="38"/>
  <c r="AN67" i="38"/>
  <c r="AO67" i="38"/>
  <c r="AN71" i="38"/>
  <c r="AO71" i="38"/>
  <c r="AN75" i="38"/>
  <c r="AO75" i="38"/>
  <c r="AN79" i="38"/>
  <c r="AO79" i="38"/>
  <c r="AN83" i="38"/>
  <c r="AO83" i="38"/>
  <c r="AO41" i="38"/>
  <c r="AN41" i="38"/>
  <c r="AO45" i="38"/>
  <c r="AN45" i="38"/>
  <c r="AO49" i="38"/>
  <c r="AN49" i="38"/>
  <c r="AO53" i="38"/>
  <c r="AN53" i="38"/>
  <c r="AO57" i="38"/>
  <c r="AN57" i="38"/>
  <c r="AO61" i="38"/>
  <c r="AN61" i="38"/>
  <c r="AO89" i="38"/>
  <c r="AN89" i="38"/>
  <c r="AO93" i="38"/>
  <c r="AN93" i="38"/>
  <c r="AO97" i="38"/>
  <c r="AN97" i="38"/>
  <c r="AO101" i="38"/>
  <c r="AN101" i="38"/>
  <c r="X34" i="2"/>
  <c r="X33" i="2"/>
  <c r="O147" i="2"/>
  <c r="P147" i="2" s="1"/>
  <c r="O145" i="2"/>
  <c r="P145" i="2" s="1"/>
  <c r="AB74" i="40"/>
  <c r="AC74" i="40" s="1"/>
  <c r="AB72" i="40"/>
  <c r="AC72" i="40" s="1"/>
  <c r="T74" i="40"/>
  <c r="U74" i="40" s="1"/>
  <c r="T72" i="40"/>
  <c r="U72" i="40" s="1"/>
  <c r="AB25" i="40"/>
  <c r="AC25" i="40" s="1"/>
  <c r="AO15" i="38"/>
  <c r="AN15" i="38"/>
  <c r="AN4" i="38"/>
  <c r="AO4" i="38"/>
  <c r="AN9" i="38"/>
  <c r="AO9" i="38"/>
  <c r="AO17" i="38"/>
  <c r="AN17" i="38"/>
  <c r="AN20" i="38"/>
  <c r="AO20" i="38"/>
  <c r="AN24" i="38"/>
  <c r="AO24" i="38"/>
  <c r="AN28" i="38"/>
  <c r="AO28" i="38"/>
  <c r="AN32" i="38"/>
  <c r="AO32" i="38"/>
  <c r="AN36" i="38"/>
  <c r="AO36" i="38"/>
  <c r="AN64" i="38"/>
  <c r="AO64" i="38"/>
  <c r="AN68" i="38"/>
  <c r="AO68" i="38"/>
  <c r="AN72" i="38"/>
  <c r="AO72" i="38"/>
  <c r="AN76" i="38"/>
  <c r="AO76" i="38"/>
  <c r="AN80" i="38"/>
  <c r="AO80" i="38"/>
  <c r="AN84" i="38"/>
  <c r="AO84" i="38"/>
  <c r="AO42" i="38"/>
  <c r="AN42" i="38"/>
  <c r="AO46" i="38"/>
  <c r="AN46" i="38"/>
  <c r="AO50" i="38"/>
  <c r="AN50" i="38"/>
  <c r="AO54" i="38"/>
  <c r="AN54" i="38"/>
  <c r="AO58" i="38"/>
  <c r="AN58" i="38"/>
  <c r="AO86" i="38"/>
  <c r="AN86" i="38"/>
  <c r="AO90" i="38"/>
  <c r="AN90" i="38"/>
  <c r="AO94" i="38"/>
  <c r="AN94" i="38"/>
  <c r="AO98" i="38"/>
  <c r="AN98" i="38"/>
  <c r="AO102" i="38"/>
  <c r="AN102" i="38"/>
  <c r="C180" i="2"/>
  <c r="C181" i="2"/>
  <c r="BG37" i="40"/>
  <c r="BG36" i="40"/>
  <c r="C65" i="8" l="1"/>
  <c r="B13" i="67" s="1"/>
  <c r="D65" i="8"/>
  <c r="C13" i="67" s="1"/>
  <c r="D63" i="33"/>
  <c r="D64" i="33" s="1"/>
  <c r="C23" i="8"/>
  <c r="C22" i="8" s="1"/>
  <c r="D43" i="6"/>
  <c r="D41" i="6"/>
  <c r="D42" i="6"/>
  <c r="D36" i="6"/>
  <c r="E21" i="8"/>
  <c r="E34" i="9"/>
  <c r="E111" i="6"/>
  <c r="E164" i="6"/>
  <c r="B177" i="33" s="1"/>
  <c r="E12" i="13"/>
  <c r="E41" i="38"/>
  <c r="E32" i="8"/>
  <c r="E41" i="8" s="1"/>
  <c r="E9" i="38"/>
  <c r="E18" i="33"/>
  <c r="E43" i="8"/>
  <c r="C13" i="9"/>
  <c r="C9" i="13" s="1"/>
  <c r="E73" i="6"/>
  <c r="E74" i="6" s="1"/>
  <c r="E57" i="33"/>
  <c r="E4" i="7"/>
  <c r="C45" i="8"/>
  <c r="C44" i="8" s="1"/>
  <c r="C34" i="8"/>
  <c r="C33" i="8" s="1"/>
  <c r="C12" i="9"/>
  <c r="C8" i="13" s="1"/>
  <c r="C80" i="8"/>
  <c r="C92" i="6" s="1"/>
  <c r="C15" i="8"/>
  <c r="C14" i="8" s="1"/>
  <c r="C12" i="38"/>
  <c r="C23" i="33"/>
  <c r="B8" i="67"/>
  <c r="C142" i="6"/>
  <c r="C19" i="33"/>
  <c r="C136" i="6"/>
  <c r="C10" i="38"/>
  <c r="B7" i="67"/>
  <c r="D37" i="46"/>
  <c r="D37" i="62"/>
  <c r="C27" i="33"/>
  <c r="C14" i="38"/>
  <c r="C148" i="6"/>
  <c r="B10" i="67"/>
  <c r="D88" i="6"/>
  <c r="D54" i="8"/>
  <c r="D60" i="8"/>
  <c r="D62" i="8"/>
  <c r="D64" i="8"/>
  <c r="D66" i="8"/>
  <c r="D61" i="8"/>
  <c r="D63" i="8"/>
  <c r="D67" i="8"/>
  <c r="D46" i="8"/>
  <c r="D48" i="8"/>
  <c r="D55" i="8" s="1"/>
  <c r="D50" i="8"/>
  <c r="D52" i="8"/>
  <c r="D47" i="8"/>
  <c r="D49" i="8"/>
  <c r="D51" i="8"/>
  <c r="D35" i="8"/>
  <c r="D37" i="8"/>
  <c r="D39" i="8"/>
  <c r="D36" i="8"/>
  <c r="D40" i="8" s="1"/>
  <c r="D38" i="8"/>
  <c r="D24" i="8"/>
  <c r="D26" i="8"/>
  <c r="D28" i="8"/>
  <c r="D25" i="8"/>
  <c r="D29" i="8" s="1"/>
  <c r="D27" i="8"/>
  <c r="D147" i="6"/>
  <c r="C10" i="67" s="1"/>
  <c r="D16" i="8"/>
  <c r="D18" i="8"/>
  <c r="D17" i="8"/>
  <c r="D19" i="8"/>
  <c r="D135" i="6"/>
  <c r="D19" i="33" s="1"/>
  <c r="D141" i="6"/>
  <c r="D76" i="6"/>
  <c r="D8" i="7" s="1"/>
  <c r="D77" i="6"/>
  <c r="E32" i="6"/>
  <c r="E72" i="8" s="1"/>
  <c r="E73" i="8" s="1"/>
  <c r="E74" i="8" s="1"/>
  <c r="E54" i="6"/>
  <c r="E120" i="6"/>
  <c r="E65" i="38"/>
  <c r="E89" i="38"/>
  <c r="E67" i="33"/>
  <c r="E210" i="33" s="1"/>
  <c r="E211" i="33" s="1"/>
  <c r="E174" i="33"/>
  <c r="E170" i="33"/>
  <c r="E32" i="39"/>
  <c r="E79" i="8"/>
  <c r="E16" i="9"/>
  <c r="E30" i="13"/>
  <c r="E151" i="40"/>
  <c r="D35" i="9"/>
  <c r="AB16" i="40"/>
  <c r="AC16" i="40" s="1"/>
  <c r="AC17" i="40" s="1"/>
  <c r="F30" i="6"/>
  <c r="F90" i="68" s="1"/>
  <c r="E110" i="6"/>
  <c r="D5" i="67" s="1"/>
  <c r="E98" i="6"/>
  <c r="E134" i="6"/>
  <c r="E39" i="33"/>
  <c r="E135" i="33"/>
  <c r="E13" i="8"/>
  <c r="E12" i="39"/>
  <c r="E40" i="39"/>
  <c r="E12" i="7"/>
  <c r="E7" i="9"/>
  <c r="E35" i="9" s="1"/>
  <c r="E116" i="40"/>
  <c r="E139" i="40"/>
  <c r="E80" i="6"/>
  <c r="E46" i="6"/>
  <c r="E114" i="6"/>
  <c r="E19" i="38"/>
  <c r="E101" i="33"/>
  <c r="E213" i="33"/>
  <c r="E247" i="33"/>
  <c r="E49" i="39"/>
  <c r="E57" i="8"/>
  <c r="E76" i="8"/>
  <c r="E29" i="7"/>
  <c r="E4" i="13"/>
  <c r="E90" i="68"/>
  <c r="E126" i="6"/>
  <c r="C82" i="68"/>
  <c r="C131" i="6" s="1"/>
  <c r="C44" i="68"/>
  <c r="D10" i="9"/>
  <c r="D80" i="68"/>
  <c r="D76" i="68"/>
  <c r="D72" i="68"/>
  <c r="D81" i="68"/>
  <c r="D77" i="68"/>
  <c r="D73" i="68"/>
  <c r="D78" i="68"/>
  <c r="D79" i="68"/>
  <c r="D74" i="68"/>
  <c r="D71" i="68"/>
  <c r="D69" i="68"/>
  <c r="D65" i="68"/>
  <c r="D70" i="68"/>
  <c r="D66" i="68"/>
  <c r="D75" i="68"/>
  <c r="D63" i="68"/>
  <c r="D61" i="68"/>
  <c r="D67" i="68"/>
  <c r="D58" i="68"/>
  <c r="D68" i="68"/>
  <c r="D59" i="68"/>
  <c r="D64" i="68"/>
  <c r="D62" i="68"/>
  <c r="D60" i="68"/>
  <c r="D52" i="68"/>
  <c r="D54" i="68"/>
  <c r="D56" i="68"/>
  <c r="D53" i="68"/>
  <c r="D55" i="68"/>
  <c r="D57" i="68"/>
  <c r="D43" i="68"/>
  <c r="D39" i="68"/>
  <c r="D35" i="68"/>
  <c r="D31" i="68"/>
  <c r="D27" i="68"/>
  <c r="D23" i="68"/>
  <c r="D42" i="68"/>
  <c r="D38" i="68"/>
  <c r="D34" i="68"/>
  <c r="D30" i="68"/>
  <c r="D26" i="68"/>
  <c r="D22" i="68"/>
  <c r="D41" i="68"/>
  <c r="D37" i="68"/>
  <c r="D33" i="68"/>
  <c r="D29" i="68"/>
  <c r="D25" i="68"/>
  <c r="D21" i="68"/>
  <c r="D40" i="68"/>
  <c r="D36" i="68"/>
  <c r="D32" i="68"/>
  <c r="D28" i="68"/>
  <c r="D24" i="68"/>
  <c r="D20" i="68"/>
  <c r="D16" i="68"/>
  <c r="D17" i="68"/>
  <c r="D19" i="68"/>
  <c r="D18" i="68"/>
  <c r="D14" i="68"/>
  <c r="D15" i="68"/>
  <c r="D116" i="6"/>
  <c r="D77" i="8" s="1"/>
  <c r="D67" i="6"/>
  <c r="D66" i="6" s="1"/>
  <c r="D68" i="6" s="1"/>
  <c r="D69" i="6" s="1"/>
  <c r="D33" i="6"/>
  <c r="D58" i="6" s="1"/>
  <c r="D140" i="40" s="1"/>
  <c r="D141" i="40" s="1"/>
  <c r="D115" i="6"/>
  <c r="C16" i="67" s="1"/>
  <c r="D112" i="6"/>
  <c r="C17" i="67" s="1"/>
  <c r="C6" i="67"/>
  <c r="C9" i="67" s="1"/>
  <c r="D84" i="6"/>
  <c r="E47" i="68"/>
  <c r="E9" i="68"/>
  <c r="B166" i="6"/>
  <c r="T46" i="40"/>
  <c r="U46" i="40" s="1"/>
  <c r="U45" i="40" s="1"/>
  <c r="AM47" i="39" s="1"/>
  <c r="B176" i="33"/>
  <c r="AB39" i="40"/>
  <c r="AC39" i="40" s="1"/>
  <c r="AC38" i="40" s="1"/>
  <c r="C34" i="6"/>
  <c r="C59" i="6" s="1"/>
  <c r="B215" i="33"/>
  <c r="C35" i="6"/>
  <c r="C37" i="6" s="1"/>
  <c r="C86" i="6" s="1"/>
  <c r="C58" i="6"/>
  <c r="C140" i="40" s="1"/>
  <c r="C141" i="40" s="1"/>
  <c r="T53" i="40"/>
  <c r="U53" i="40" s="1"/>
  <c r="U52" i="40" s="1"/>
  <c r="AM46" i="39" s="1"/>
  <c r="B103" i="33"/>
  <c r="B137" i="33"/>
  <c r="D30" i="8"/>
  <c r="B69" i="33"/>
  <c r="R227" i="40"/>
  <c r="M226" i="40" s="1"/>
  <c r="C20" i="9"/>
  <c r="C16" i="13" s="1"/>
  <c r="AE6" i="33"/>
  <c r="C4" i="64"/>
  <c r="AC24" i="40"/>
  <c r="U38" i="40"/>
  <c r="AC73" i="40"/>
  <c r="AM7" i="6" s="1"/>
  <c r="BL36" i="40"/>
  <c r="AC33" i="2"/>
  <c r="AC37" i="2"/>
  <c r="U80" i="40"/>
  <c r="AM38" i="39" s="1"/>
  <c r="AC100" i="40"/>
  <c r="E14" i="65" s="1"/>
  <c r="R37" i="2"/>
  <c r="P46" i="20" s="1"/>
  <c r="T42" i="20" s="1"/>
  <c r="U100" i="40"/>
  <c r="AA6" i="39" s="1"/>
  <c r="F12" i="13"/>
  <c r="F16" i="9"/>
  <c r="F213" i="33"/>
  <c r="F19" i="38"/>
  <c r="E30" i="8"/>
  <c r="H180" i="2"/>
  <c r="U73" i="40"/>
  <c r="Q209" i="40"/>
  <c r="Q733" i="40"/>
  <c r="C132" i="40"/>
  <c r="T24" i="40"/>
  <c r="BG88" i="40"/>
  <c r="BG60" i="40"/>
  <c r="T31" i="40"/>
  <c r="I32" i="11"/>
  <c r="H30" i="11"/>
  <c r="H81" i="11"/>
  <c r="H52" i="11"/>
  <c r="H37" i="11"/>
  <c r="H59" i="11"/>
  <c r="H45" i="11"/>
  <c r="H69" i="11"/>
  <c r="H39" i="11"/>
  <c r="R33" i="2"/>
  <c r="P146" i="2"/>
  <c r="U17" i="40"/>
  <c r="AM33" i="39" s="1"/>
  <c r="C68" i="6"/>
  <c r="E65" i="8" l="1"/>
  <c r="D13" i="67" s="1"/>
  <c r="E28" i="8"/>
  <c r="E36" i="6"/>
  <c r="E43" i="6"/>
  <c r="E41" i="6"/>
  <c r="E42" i="6"/>
  <c r="E29" i="68"/>
  <c r="E67" i="6"/>
  <c r="E66" i="6" s="1"/>
  <c r="D6" i="67"/>
  <c r="D9" i="67" s="1"/>
  <c r="E17" i="68"/>
  <c r="E58" i="68"/>
  <c r="E31" i="68"/>
  <c r="E22" i="68"/>
  <c r="E62" i="68"/>
  <c r="E33" i="6"/>
  <c r="E13" i="39" s="1"/>
  <c r="E33" i="39" s="1"/>
  <c r="F39" i="33"/>
  <c r="E20" i="68"/>
  <c r="E38" i="68"/>
  <c r="E80" i="68"/>
  <c r="E79" i="68"/>
  <c r="E36" i="68"/>
  <c r="E57" i="68"/>
  <c r="E68" i="68"/>
  <c r="E77" i="68"/>
  <c r="E116" i="6"/>
  <c r="E77" i="8" s="1"/>
  <c r="E16" i="68"/>
  <c r="E18" i="68"/>
  <c r="E35" i="68"/>
  <c r="E24" i="68"/>
  <c r="E40" i="68"/>
  <c r="E33" i="68"/>
  <c r="E26" i="68"/>
  <c r="E42" i="68"/>
  <c r="E56" i="68"/>
  <c r="E60" i="68"/>
  <c r="E69" i="68"/>
  <c r="E72" i="68"/>
  <c r="E66" i="68"/>
  <c r="E74" i="68"/>
  <c r="E81" i="68"/>
  <c r="E17" i="8"/>
  <c r="E112" i="6"/>
  <c r="D17" i="67" s="1"/>
  <c r="E115" i="6"/>
  <c r="D16" i="67" s="1"/>
  <c r="E84" i="6"/>
  <c r="E20" i="9" s="1"/>
  <c r="E14" i="68"/>
  <c r="E15" i="68"/>
  <c r="E23" i="68"/>
  <c r="E39" i="68"/>
  <c r="E28" i="68"/>
  <c r="E21" i="68"/>
  <c r="E37" i="68"/>
  <c r="E30" i="68"/>
  <c r="E53" i="68"/>
  <c r="E54" i="68"/>
  <c r="E63" i="68"/>
  <c r="E64" i="68"/>
  <c r="E71" i="68"/>
  <c r="E67" i="68"/>
  <c r="E70" i="68"/>
  <c r="E78" i="68"/>
  <c r="E76" i="6"/>
  <c r="E8" i="7" s="1"/>
  <c r="E18" i="8"/>
  <c r="E61" i="8"/>
  <c r="E19" i="68"/>
  <c r="E27" i="68"/>
  <c r="E43" i="68"/>
  <c r="E32" i="68"/>
  <c r="E25" i="68"/>
  <c r="E41" i="68"/>
  <c r="E34" i="68"/>
  <c r="E55" i="68"/>
  <c r="E52" i="68"/>
  <c r="E61" i="68"/>
  <c r="E65" i="68"/>
  <c r="E59" i="68"/>
  <c r="E76" i="68"/>
  <c r="E75" i="68"/>
  <c r="E73" i="68"/>
  <c r="E66" i="8"/>
  <c r="B138" i="33"/>
  <c r="E35" i="8"/>
  <c r="E54" i="8"/>
  <c r="E38" i="8"/>
  <c r="E48" i="8"/>
  <c r="E55" i="8" s="1"/>
  <c r="F9" i="38"/>
  <c r="F9" i="68"/>
  <c r="F49" i="39"/>
  <c r="F164" i="6"/>
  <c r="B251" i="33" s="1"/>
  <c r="F57" i="8"/>
  <c r="E24" i="8"/>
  <c r="E46" i="8"/>
  <c r="D167" i="33"/>
  <c r="E19" i="8"/>
  <c r="E25" i="8"/>
  <c r="E29" i="8" s="1"/>
  <c r="E36" i="8"/>
  <c r="E40" i="8" s="1"/>
  <c r="E47" i="8"/>
  <c r="E49" i="8"/>
  <c r="E64" i="8"/>
  <c r="E88" i="6"/>
  <c r="B216" i="33"/>
  <c r="E63" i="33"/>
  <c r="E64" i="33" s="1"/>
  <c r="B250" i="33"/>
  <c r="E135" i="6"/>
  <c r="D7" i="67" s="1"/>
  <c r="E147" i="6"/>
  <c r="E14" i="38" s="1"/>
  <c r="E27" i="8"/>
  <c r="E39" i="8"/>
  <c r="E50" i="8"/>
  <c r="E67" i="8"/>
  <c r="E62" i="8"/>
  <c r="F134" i="6"/>
  <c r="F101" i="33"/>
  <c r="F21" i="8"/>
  <c r="F30" i="8" s="1"/>
  <c r="F47" i="68"/>
  <c r="F111" i="6"/>
  <c r="F89" i="38"/>
  <c r="F65" i="38"/>
  <c r="F135" i="33"/>
  <c r="F79" i="8"/>
  <c r="F12" i="7"/>
  <c r="F139" i="40"/>
  <c r="B167" i="6"/>
  <c r="B70" i="33"/>
  <c r="F46" i="6"/>
  <c r="F80" i="6"/>
  <c r="F73" i="6"/>
  <c r="F74" i="6" s="1"/>
  <c r="F41" i="38"/>
  <c r="F67" i="33"/>
  <c r="F12" i="39"/>
  <c r="F247" i="33"/>
  <c r="F76" i="8"/>
  <c r="F30" i="13"/>
  <c r="F151" i="40"/>
  <c r="B104" i="33"/>
  <c r="G30" i="6"/>
  <c r="G47" i="68" s="1"/>
  <c r="F110" i="6"/>
  <c r="E5" i="67" s="1"/>
  <c r="F98" i="6"/>
  <c r="F170" i="33"/>
  <c r="F43" i="8"/>
  <c r="F13" i="8"/>
  <c r="F40" i="39"/>
  <c r="F4" i="7"/>
  <c r="F4" i="13"/>
  <c r="F170" i="40"/>
  <c r="E77" i="6"/>
  <c r="E13" i="9" s="1"/>
  <c r="E141" i="6"/>
  <c r="D8" i="67" s="1"/>
  <c r="E16" i="8"/>
  <c r="E26" i="8"/>
  <c r="E37" i="8"/>
  <c r="E52" i="8"/>
  <c r="E51" i="8"/>
  <c r="E63" i="8"/>
  <c r="E60" i="8"/>
  <c r="E10" i="9"/>
  <c r="F32" i="6"/>
  <c r="F72" i="8" s="1"/>
  <c r="F73" i="8" s="1"/>
  <c r="F74" i="8" s="1"/>
  <c r="F54" i="6"/>
  <c r="F120" i="6"/>
  <c r="F37" i="62" s="1"/>
  <c r="F114" i="6"/>
  <c r="F57" i="33"/>
  <c r="F18" i="33"/>
  <c r="F174" i="33"/>
  <c r="F32" i="8"/>
  <c r="F41" i="8" s="1"/>
  <c r="F32" i="39"/>
  <c r="F29" i="7"/>
  <c r="F7" i="9"/>
  <c r="F34" i="9"/>
  <c r="F116" i="40"/>
  <c r="E36" i="9"/>
  <c r="F126" i="6"/>
  <c r="D206" i="33"/>
  <c r="C20" i="33"/>
  <c r="C11" i="38"/>
  <c r="C28" i="33"/>
  <c r="C15" i="38"/>
  <c r="C23" i="7"/>
  <c r="C27" i="9"/>
  <c r="C23" i="13" s="1"/>
  <c r="E37" i="46"/>
  <c r="E37" i="62"/>
  <c r="C24" i="33"/>
  <c r="C13" i="38"/>
  <c r="F37" i="46"/>
  <c r="C16" i="38"/>
  <c r="D20" i="9"/>
  <c r="D16" i="13" s="1"/>
  <c r="D45" i="8"/>
  <c r="D44" i="8" s="1"/>
  <c r="D34" i="8"/>
  <c r="D33" i="8" s="1"/>
  <c r="D23" i="8"/>
  <c r="D22" i="8" s="1"/>
  <c r="D27" i="33"/>
  <c r="D14" i="38"/>
  <c r="D80" i="8"/>
  <c r="D92" i="6" s="1"/>
  <c r="D27" i="9" s="1"/>
  <c r="D148" i="6"/>
  <c r="D28" i="33" s="1"/>
  <c r="D15" i="8"/>
  <c r="D14" i="8" s="1"/>
  <c r="C83" i="68"/>
  <c r="C132" i="6" s="1"/>
  <c r="D10" i="38"/>
  <c r="D136" i="6"/>
  <c r="C7" i="67"/>
  <c r="D12" i="38"/>
  <c r="C8" i="67"/>
  <c r="D23" i="33"/>
  <c r="D142" i="6"/>
  <c r="D12" i="9"/>
  <c r="D8" i="13" s="1"/>
  <c r="D9" i="7"/>
  <c r="D13" i="9"/>
  <c r="D9" i="13" s="1"/>
  <c r="C45" i="68"/>
  <c r="C129" i="6" s="1"/>
  <c r="C128" i="6"/>
  <c r="D82" i="68"/>
  <c r="D131" i="6" s="1"/>
  <c r="D44" i="68"/>
  <c r="D117" i="40"/>
  <c r="D163" i="40" s="1"/>
  <c r="D34" i="6"/>
  <c r="D59" i="6" s="1"/>
  <c r="C5" i="7"/>
  <c r="D152" i="40"/>
  <c r="D154" i="40" s="1"/>
  <c r="C8" i="9"/>
  <c r="C5" i="13" s="1"/>
  <c r="D13" i="39"/>
  <c r="D33" i="39" s="1"/>
  <c r="D171" i="40"/>
  <c r="D186" i="40" s="1"/>
  <c r="D43" i="39"/>
  <c r="D35" i="6"/>
  <c r="D37" i="6" s="1"/>
  <c r="D86" i="6" s="1"/>
  <c r="D16" i="7"/>
  <c r="C117" i="40"/>
  <c r="C163" i="40" s="1"/>
  <c r="C152" i="40"/>
  <c r="C160" i="40" s="1"/>
  <c r="C43" i="39"/>
  <c r="C171" i="40"/>
  <c r="C173" i="40" s="1"/>
  <c r="M227" i="40"/>
  <c r="C142" i="40"/>
  <c r="C143" i="40" s="1"/>
  <c r="AM5" i="6"/>
  <c r="C20" i="1" s="1"/>
  <c r="E16" i="65"/>
  <c r="D142" i="40"/>
  <c r="D143" i="40" s="1"/>
  <c r="T43" i="20"/>
  <c r="T46" i="20" s="1"/>
  <c r="BG90" i="40"/>
  <c r="BG89" i="40"/>
  <c r="Q208" i="40"/>
  <c r="Q210" i="40"/>
  <c r="F35" i="9"/>
  <c r="T25" i="40"/>
  <c r="U25" i="40" s="1"/>
  <c r="T23" i="40"/>
  <c r="U23" i="40" s="1"/>
  <c r="AM37" i="39"/>
  <c r="E15" i="65"/>
  <c r="AM6" i="6"/>
  <c r="B139" i="33"/>
  <c r="C38" i="6"/>
  <c r="C57" i="6" s="1"/>
  <c r="I81" i="11"/>
  <c r="I52" i="11"/>
  <c r="I37" i="11"/>
  <c r="I69" i="11"/>
  <c r="I39" i="11"/>
  <c r="J32" i="11"/>
  <c r="I30" i="11"/>
  <c r="I59" i="11"/>
  <c r="I45" i="11"/>
  <c r="T32" i="40"/>
  <c r="U32" i="40" s="1"/>
  <c r="T30" i="40"/>
  <c r="U30" i="40" s="1"/>
  <c r="C134" i="40"/>
  <c r="D132" i="40"/>
  <c r="C133" i="40"/>
  <c r="U6" i="39"/>
  <c r="X9" i="33"/>
  <c r="X13" i="33" s="1"/>
  <c r="C69" i="6"/>
  <c r="BG61" i="40"/>
  <c r="BF62" i="40"/>
  <c r="Q732" i="40"/>
  <c r="Q734" i="40"/>
  <c r="T87" i="40"/>
  <c r="AB80" i="40"/>
  <c r="E17" i="65"/>
  <c r="AM8" i="6"/>
  <c r="E12" i="9" l="1"/>
  <c r="E8" i="13" s="1"/>
  <c r="E34" i="6"/>
  <c r="E59" i="6" s="1"/>
  <c r="C161" i="40"/>
  <c r="C162" i="40" s="1"/>
  <c r="F65" i="8"/>
  <c r="E13" i="67" s="1"/>
  <c r="F63" i="33"/>
  <c r="F64" i="33" s="1"/>
  <c r="E27" i="33"/>
  <c r="F62" i="68"/>
  <c r="F41" i="6"/>
  <c r="F42" i="6"/>
  <c r="F36" i="6"/>
  <c r="F43" i="6"/>
  <c r="E16" i="7"/>
  <c r="D10" i="67"/>
  <c r="E9" i="7"/>
  <c r="E15" i="8"/>
  <c r="E14" i="8" s="1"/>
  <c r="E23" i="8"/>
  <c r="E22" i="8" s="1"/>
  <c r="E44" i="68"/>
  <c r="E45" i="68" s="1"/>
  <c r="E129" i="6" s="1"/>
  <c r="F210" i="33"/>
  <c r="F211" i="33" s="1"/>
  <c r="E35" i="6"/>
  <c r="E37" i="6" s="1"/>
  <c r="E86" i="6" s="1"/>
  <c r="E58" i="6"/>
  <c r="E140" i="40" s="1"/>
  <c r="E141" i="40" s="1"/>
  <c r="E142" i="40" s="1"/>
  <c r="G12" i="13"/>
  <c r="E82" i="68"/>
  <c r="E131" i="6" s="1"/>
  <c r="G126" i="6"/>
  <c r="G120" i="6"/>
  <c r="G40" i="39"/>
  <c r="F24" i="68"/>
  <c r="E142" i="6"/>
  <c r="E13" i="38" s="1"/>
  <c r="E80" i="8"/>
  <c r="E92" i="6" s="1"/>
  <c r="E27" i="9" s="1"/>
  <c r="E45" i="8"/>
  <c r="E44" i="8" s="1"/>
  <c r="B168" i="6"/>
  <c r="F17" i="68"/>
  <c r="F69" i="68"/>
  <c r="G18" i="33"/>
  <c r="B217" i="33"/>
  <c r="F21" i="68"/>
  <c r="F54" i="68"/>
  <c r="G114" i="6"/>
  <c r="G39" i="33"/>
  <c r="G57" i="8"/>
  <c r="B71" i="33"/>
  <c r="B178" i="33"/>
  <c r="F67" i="6"/>
  <c r="F66" i="6" s="1"/>
  <c r="F68" i="6" s="1"/>
  <c r="F69" i="6" s="1"/>
  <c r="F30" i="68"/>
  <c r="F41" i="68"/>
  <c r="F64" i="68"/>
  <c r="E23" i="33"/>
  <c r="F16" i="8"/>
  <c r="F10" i="9"/>
  <c r="H30" i="6"/>
  <c r="H126" i="6" s="1"/>
  <c r="G32" i="8"/>
  <c r="G151" i="40"/>
  <c r="G134" i="6"/>
  <c r="G170" i="33"/>
  <c r="G34" i="9"/>
  <c r="B105" i="33"/>
  <c r="G9" i="68"/>
  <c r="F27" i="68"/>
  <c r="F80" i="68"/>
  <c r="E12" i="38"/>
  <c r="E10" i="38"/>
  <c r="G19" i="38"/>
  <c r="G174" i="33"/>
  <c r="G29" i="7"/>
  <c r="F116" i="6"/>
  <c r="F77" i="8" s="1"/>
  <c r="F19" i="68"/>
  <c r="F34" i="68"/>
  <c r="F35" i="68"/>
  <c r="F28" i="68"/>
  <c r="F25" i="68"/>
  <c r="F57" i="68"/>
  <c r="F66" i="68"/>
  <c r="F59" i="68"/>
  <c r="F63" i="68"/>
  <c r="F75" i="68"/>
  <c r="G90" i="68"/>
  <c r="F77" i="6"/>
  <c r="F13" i="9" s="1"/>
  <c r="F135" i="6"/>
  <c r="F19" i="33" s="1"/>
  <c r="F19" i="8"/>
  <c r="F28" i="8"/>
  <c r="F36" i="8"/>
  <c r="F40" i="8" s="1"/>
  <c r="F46" i="8"/>
  <c r="F67" i="8"/>
  <c r="F88" i="6"/>
  <c r="F25" i="8"/>
  <c r="F29" i="8" s="1"/>
  <c r="F62" i="8"/>
  <c r="G101" i="33"/>
  <c r="F84" i="6"/>
  <c r="F14" i="68"/>
  <c r="F18" i="68"/>
  <c r="F42" i="68"/>
  <c r="F39" i="68"/>
  <c r="F32" i="68"/>
  <c r="F33" i="68"/>
  <c r="F55" i="68"/>
  <c r="F58" i="68"/>
  <c r="F70" i="68"/>
  <c r="F72" i="68"/>
  <c r="F67" i="68"/>
  <c r="F79" i="68"/>
  <c r="F17" i="8"/>
  <c r="F24" i="8"/>
  <c r="F39" i="8"/>
  <c r="F49" i="8"/>
  <c r="F66" i="8"/>
  <c r="F63" i="8"/>
  <c r="E34" i="8"/>
  <c r="E33" i="8" s="1"/>
  <c r="F35" i="8"/>
  <c r="F48" i="8"/>
  <c r="F55" i="8" s="1"/>
  <c r="G54" i="6"/>
  <c r="G110" i="6"/>
  <c r="F5" i="67" s="1"/>
  <c r="G89" i="38"/>
  <c r="G76" i="8"/>
  <c r="G49" i="39"/>
  <c r="G12" i="7"/>
  <c r="G116" i="40"/>
  <c r="G170" i="40"/>
  <c r="G73" i="6"/>
  <c r="G74" i="6" s="1"/>
  <c r="G98" i="6"/>
  <c r="G9" i="38"/>
  <c r="G65" i="38"/>
  <c r="G67" i="33"/>
  <c r="G12" i="39"/>
  <c r="G213" i="33"/>
  <c r="G247" i="33"/>
  <c r="G21" i="8"/>
  <c r="G30" i="8" s="1"/>
  <c r="G43" i="8"/>
  <c r="G16" i="9"/>
  <c r="G30" i="13"/>
  <c r="G139" i="40"/>
  <c r="G111" i="6"/>
  <c r="G15" i="68" s="1"/>
  <c r="G80" i="6"/>
  <c r="G164" i="6"/>
  <c r="B218" i="33" s="1"/>
  <c r="G46" i="6"/>
  <c r="G41" i="38"/>
  <c r="G57" i="33"/>
  <c r="G135" i="33"/>
  <c r="G32" i="39"/>
  <c r="G13" i="8"/>
  <c r="G4" i="7"/>
  <c r="G79" i="8"/>
  <c r="G7" i="9"/>
  <c r="G36" i="9" s="1"/>
  <c r="G4" i="13"/>
  <c r="E6" i="67"/>
  <c r="E9" i="67" s="1"/>
  <c r="F112" i="6"/>
  <c r="E17" i="67" s="1"/>
  <c r="F16" i="68"/>
  <c r="F26" i="68"/>
  <c r="F23" i="68"/>
  <c r="F43" i="68"/>
  <c r="F40" i="68"/>
  <c r="F37" i="68"/>
  <c r="F56" i="68"/>
  <c r="F53" i="68"/>
  <c r="F73" i="68"/>
  <c r="F65" i="68"/>
  <c r="F81" i="68"/>
  <c r="F77" i="68"/>
  <c r="F78" i="68"/>
  <c r="E136" i="6"/>
  <c r="E19" i="33"/>
  <c r="F27" i="8"/>
  <c r="F37" i="8"/>
  <c r="F50" i="8"/>
  <c r="F47" i="8"/>
  <c r="F64" i="8"/>
  <c r="F61" i="8"/>
  <c r="E9" i="13"/>
  <c r="F33" i="6"/>
  <c r="F34" i="6" s="1"/>
  <c r="F115" i="6"/>
  <c r="E16" i="67" s="1"/>
  <c r="F15" i="68"/>
  <c r="F22" i="68"/>
  <c r="F38" i="68"/>
  <c r="F31" i="68"/>
  <c r="F20" i="68"/>
  <c r="F36" i="68"/>
  <c r="F29" i="68"/>
  <c r="F52" i="68"/>
  <c r="F61" i="68"/>
  <c r="F60" i="68"/>
  <c r="F71" i="68"/>
  <c r="F68" i="68"/>
  <c r="F76" i="68"/>
  <c r="F74" i="68"/>
  <c r="F76" i="6"/>
  <c r="F12" i="9" s="1"/>
  <c r="F141" i="6"/>
  <c r="F23" i="33" s="1"/>
  <c r="F18" i="8"/>
  <c r="F147" i="6"/>
  <c r="F14" i="38" s="1"/>
  <c r="F26" i="8"/>
  <c r="F38" i="8"/>
  <c r="F52" i="8"/>
  <c r="F51" i="8"/>
  <c r="F60" i="8"/>
  <c r="F54" i="8"/>
  <c r="E167" i="33"/>
  <c r="F36" i="9"/>
  <c r="D23" i="13"/>
  <c r="E206" i="33"/>
  <c r="C20" i="38"/>
  <c r="C17" i="38"/>
  <c r="G37" i="46"/>
  <c r="G37" i="62"/>
  <c r="D23" i="7"/>
  <c r="D22" i="9"/>
  <c r="D15" i="38"/>
  <c r="E148" i="6"/>
  <c r="E15" i="38" s="1"/>
  <c r="C85" i="68"/>
  <c r="D16" i="38"/>
  <c r="D11" i="38"/>
  <c r="D20" i="33"/>
  <c r="D24" i="33"/>
  <c r="D13" i="38"/>
  <c r="D83" i="68"/>
  <c r="D132" i="6" s="1"/>
  <c r="D157" i="40"/>
  <c r="D45" i="68"/>
  <c r="D129" i="6" s="1"/>
  <c r="D128" i="6"/>
  <c r="D124" i="40"/>
  <c r="C177" i="40"/>
  <c r="C191" i="40" s="1"/>
  <c r="D122" i="40"/>
  <c r="D39" i="6" s="1"/>
  <c r="D40" i="6" s="1"/>
  <c r="C159" i="40"/>
  <c r="C158" i="40"/>
  <c r="D173" i="40"/>
  <c r="D175" i="40"/>
  <c r="D188" i="40"/>
  <c r="D128" i="40"/>
  <c r="D46" i="39" s="1"/>
  <c r="D164" i="40"/>
  <c r="D119" i="40"/>
  <c r="D125" i="40"/>
  <c r="D41" i="33" s="1"/>
  <c r="D42" i="33" s="1"/>
  <c r="D118" i="40"/>
  <c r="C155" i="40"/>
  <c r="D160" i="40"/>
  <c r="C156" i="40"/>
  <c r="D155" i="40"/>
  <c r="D153" i="40"/>
  <c r="C153" i="40"/>
  <c r="C154" i="40"/>
  <c r="D176" i="40"/>
  <c r="D189" i="40"/>
  <c r="D35" i="39" s="1"/>
  <c r="D187" i="40"/>
  <c r="C124" i="40"/>
  <c r="C189" i="40"/>
  <c r="C35" i="39" s="1"/>
  <c r="D177" i="40"/>
  <c r="D191" i="40" s="1"/>
  <c r="D174" i="40"/>
  <c r="C164" i="40"/>
  <c r="D172" i="40"/>
  <c r="C128" i="40"/>
  <c r="C46" i="39" s="1"/>
  <c r="D121" i="40"/>
  <c r="D123" i="40"/>
  <c r="D126" i="40"/>
  <c r="D5" i="7"/>
  <c r="D120" i="40"/>
  <c r="D127" i="40"/>
  <c r="D8" i="9"/>
  <c r="D5" i="13" s="1"/>
  <c r="C126" i="40"/>
  <c r="C118" i="40"/>
  <c r="C119" i="40"/>
  <c r="C121" i="40"/>
  <c r="D156" i="40"/>
  <c r="D159" i="40"/>
  <c r="D158" i="40"/>
  <c r="C123" i="40"/>
  <c r="C127" i="40"/>
  <c r="C125" i="40"/>
  <c r="C44" i="39" s="1"/>
  <c r="C50" i="39" s="1"/>
  <c r="C51" i="39" s="1"/>
  <c r="C120" i="40"/>
  <c r="C122" i="40"/>
  <c r="C39" i="6" s="1"/>
  <c r="C172" i="40"/>
  <c r="C174" i="40"/>
  <c r="C187" i="40"/>
  <c r="C175" i="40"/>
  <c r="C186" i="40"/>
  <c r="C193" i="40" s="1"/>
  <c r="C188" i="40"/>
  <c r="C176" i="40"/>
  <c r="C157" i="40"/>
  <c r="E16" i="13"/>
  <c r="H9" i="68"/>
  <c r="C144" i="40"/>
  <c r="C145" i="40" s="1"/>
  <c r="C147" i="40" s="1"/>
  <c r="D144" i="40"/>
  <c r="D145" i="40" s="1"/>
  <c r="D146" i="40" s="1"/>
  <c r="R733" i="40"/>
  <c r="R209" i="40"/>
  <c r="M208" i="40" s="1"/>
  <c r="C135" i="40"/>
  <c r="C136" i="40" s="1"/>
  <c r="BL89" i="40"/>
  <c r="U24" i="40"/>
  <c r="AM34" i="39" s="1"/>
  <c r="BL61" i="40"/>
  <c r="T86" i="40"/>
  <c r="U86" i="40" s="1"/>
  <c r="T88" i="40"/>
  <c r="U88" i="40" s="1"/>
  <c r="T47" i="20"/>
  <c r="V46" i="20"/>
  <c r="G41" i="8"/>
  <c r="C23" i="1"/>
  <c r="X10" i="33"/>
  <c r="C37" i="59"/>
  <c r="C36" i="59"/>
  <c r="J69" i="11"/>
  <c r="J39" i="11"/>
  <c r="J81" i="11"/>
  <c r="J37" i="11"/>
  <c r="J59" i="11"/>
  <c r="J45" i="11"/>
  <c r="J52" i="11"/>
  <c r="K32" i="11"/>
  <c r="J30" i="11"/>
  <c r="C22" i="9"/>
  <c r="C18" i="7"/>
  <c r="D18" i="7" s="1"/>
  <c r="H170" i="40"/>
  <c r="H12" i="39"/>
  <c r="H18" i="33"/>
  <c r="H46" i="6"/>
  <c r="C18" i="1"/>
  <c r="U5" i="39"/>
  <c r="X8" i="33"/>
  <c r="E132" i="40"/>
  <c r="D133" i="40"/>
  <c r="D134" i="40"/>
  <c r="AB79" i="40"/>
  <c r="AC79" i="40" s="1"/>
  <c r="AB81" i="40"/>
  <c r="AC81" i="40" s="1"/>
  <c r="G32" i="6"/>
  <c r="G72" i="8" s="1"/>
  <c r="G73" i="8" s="1"/>
  <c r="G74" i="8" s="1"/>
  <c r="G35" i="9"/>
  <c r="U31" i="40"/>
  <c r="AM35" i="39" s="1"/>
  <c r="C55" i="6"/>
  <c r="C56" i="6" s="1"/>
  <c r="C42" i="39"/>
  <c r="D38" i="6"/>
  <c r="D57" i="6" s="1"/>
  <c r="D193" i="40"/>
  <c r="D34" i="39"/>
  <c r="D37" i="39" s="1"/>
  <c r="E68" i="6"/>
  <c r="C137" i="40"/>
  <c r="E8" i="9" l="1"/>
  <c r="E5" i="13" s="1"/>
  <c r="E5" i="7"/>
  <c r="F5" i="7" s="1"/>
  <c r="E24" i="33"/>
  <c r="E171" i="40"/>
  <c r="E175" i="40" s="1"/>
  <c r="G30" i="68"/>
  <c r="G210" i="33"/>
  <c r="G211" i="33" s="1"/>
  <c r="G116" i="6"/>
  <c r="G77" i="8" s="1"/>
  <c r="G112" i="6"/>
  <c r="F17" i="67" s="1"/>
  <c r="D161" i="40"/>
  <c r="D162" i="40" s="1"/>
  <c r="G65" i="8"/>
  <c r="F13" i="67" s="1"/>
  <c r="G63" i="8"/>
  <c r="F9" i="13"/>
  <c r="F9" i="7"/>
  <c r="G75" i="68"/>
  <c r="G52" i="8"/>
  <c r="G40" i="68"/>
  <c r="G54" i="68"/>
  <c r="G58" i="68"/>
  <c r="G29" i="68"/>
  <c r="G70" i="68"/>
  <c r="G39" i="68"/>
  <c r="G78" i="68"/>
  <c r="G24" i="8"/>
  <c r="E43" i="39"/>
  <c r="E152" i="40"/>
  <c r="E158" i="40" s="1"/>
  <c r="E117" i="40"/>
  <c r="E123" i="40" s="1"/>
  <c r="E128" i="6"/>
  <c r="F8" i="7"/>
  <c r="E23" i="7"/>
  <c r="E23" i="13"/>
  <c r="F16" i="7"/>
  <c r="G47" i="8"/>
  <c r="G43" i="6"/>
  <c r="G41" i="6"/>
  <c r="G42" i="6"/>
  <c r="G36" i="6"/>
  <c r="G33" i="6"/>
  <c r="G58" i="6" s="1"/>
  <c r="G115" i="6"/>
  <c r="F16" i="67" s="1"/>
  <c r="F20" i="9"/>
  <c r="F16" i="13" s="1"/>
  <c r="G33" i="68"/>
  <c r="G42" i="68"/>
  <c r="G20" i="68"/>
  <c r="G56" i="68"/>
  <c r="G67" i="68"/>
  <c r="G73" i="68"/>
  <c r="G81" i="68"/>
  <c r="G48" i="8"/>
  <c r="G55" i="8" s="1"/>
  <c r="G14" i="68"/>
  <c r="G17" i="68"/>
  <c r="G22" i="68"/>
  <c r="G23" i="68"/>
  <c r="G24" i="68"/>
  <c r="G55" i="68"/>
  <c r="G61" i="68"/>
  <c r="G65" i="68"/>
  <c r="G76" i="68"/>
  <c r="G17" i="8"/>
  <c r="G62" i="8"/>
  <c r="G88" i="6"/>
  <c r="F6" i="67"/>
  <c r="F9" i="67" s="1"/>
  <c r="F35" i="6"/>
  <c r="F37" i="6" s="1"/>
  <c r="F86" i="6" s="1"/>
  <c r="G67" i="6"/>
  <c r="G66" i="6" s="1"/>
  <c r="G68" i="6" s="1"/>
  <c r="G69" i="6" s="1"/>
  <c r="G84" i="6"/>
  <c r="G20" i="9" s="1"/>
  <c r="G16" i="68"/>
  <c r="G19" i="68"/>
  <c r="G21" i="68"/>
  <c r="G26" i="68"/>
  <c r="G31" i="68"/>
  <c r="G36" i="68"/>
  <c r="G53" i="68"/>
  <c r="G62" i="68"/>
  <c r="G68" i="68"/>
  <c r="G71" i="68"/>
  <c r="G147" i="6"/>
  <c r="F10" i="67" s="1"/>
  <c r="G37" i="8"/>
  <c r="G64" i="8"/>
  <c r="G76" i="6"/>
  <c r="G28" i="8"/>
  <c r="G35" i="8"/>
  <c r="E16" i="38"/>
  <c r="E20" i="38" s="1"/>
  <c r="E42" i="38" s="1"/>
  <c r="G10" i="9"/>
  <c r="F167" i="33"/>
  <c r="H49" i="39"/>
  <c r="H4" i="7"/>
  <c r="F13" i="39"/>
  <c r="F33" i="39" s="1"/>
  <c r="H114" i="6"/>
  <c r="G63" i="33"/>
  <c r="G64" i="33" s="1"/>
  <c r="H80" i="6"/>
  <c r="H170" i="33"/>
  <c r="H4" i="13"/>
  <c r="H90" i="68"/>
  <c r="F58" i="6"/>
  <c r="F140" i="40" s="1"/>
  <c r="F141" i="40" s="1"/>
  <c r="F142" i="40" s="1"/>
  <c r="H89" i="38"/>
  <c r="H32" i="39"/>
  <c r="H116" i="40"/>
  <c r="F10" i="38"/>
  <c r="E83" i="68"/>
  <c r="E132" i="6" s="1"/>
  <c r="G54" i="8"/>
  <c r="B179" i="33"/>
  <c r="B252" i="33"/>
  <c r="G18" i="68"/>
  <c r="G37" i="68"/>
  <c r="G38" i="68"/>
  <c r="G35" i="68"/>
  <c r="G28" i="68"/>
  <c r="G57" i="68"/>
  <c r="G63" i="68"/>
  <c r="G66" i="68"/>
  <c r="G64" i="68"/>
  <c r="G72" i="68"/>
  <c r="G79" i="68"/>
  <c r="G135" i="6"/>
  <c r="G10" i="38" s="1"/>
  <c r="G18" i="8"/>
  <c r="G25" i="8"/>
  <c r="G29" i="8" s="1"/>
  <c r="G39" i="8"/>
  <c r="G49" i="8"/>
  <c r="G67" i="8"/>
  <c r="B140" i="33"/>
  <c r="H164" i="6"/>
  <c r="B219" i="33" s="1"/>
  <c r="H19" i="38"/>
  <c r="H67" i="33"/>
  <c r="H101" i="33"/>
  <c r="H40" i="39"/>
  <c r="H13" i="8"/>
  <c r="H57" i="8"/>
  <c r="H29" i="7"/>
  <c r="F15" i="8"/>
  <c r="F14" i="8" s="1"/>
  <c r="H111" i="6"/>
  <c r="H120" i="6"/>
  <c r="H37" i="62" s="1"/>
  <c r="H110" i="6"/>
  <c r="G5" i="67" s="1"/>
  <c r="H21" i="8"/>
  <c r="H30" i="13"/>
  <c r="F82" i="68"/>
  <c r="F131" i="6" s="1"/>
  <c r="H47" i="68"/>
  <c r="B169" i="6"/>
  <c r="B106" i="33"/>
  <c r="H73" i="6"/>
  <c r="H74" i="6" s="1"/>
  <c r="H134" i="6"/>
  <c r="H9" i="38"/>
  <c r="H65" i="38"/>
  <c r="H57" i="33"/>
  <c r="H135" i="33"/>
  <c r="H213" i="33"/>
  <c r="H43" i="8"/>
  <c r="H32" i="8"/>
  <c r="H41" i="8" s="1"/>
  <c r="H12" i="7"/>
  <c r="H16" i="9"/>
  <c r="H139" i="40"/>
  <c r="B72" i="33"/>
  <c r="I30" i="6"/>
  <c r="I90" i="68" s="1"/>
  <c r="H98" i="6"/>
  <c r="H54" i="6"/>
  <c r="H41" i="38"/>
  <c r="H174" i="33"/>
  <c r="H39" i="33"/>
  <c r="H79" i="8"/>
  <c r="H247" i="33"/>
  <c r="H7" i="9"/>
  <c r="H36" i="9" s="1"/>
  <c r="H76" i="8"/>
  <c r="H34" i="9"/>
  <c r="H12" i="13"/>
  <c r="H151" i="40"/>
  <c r="G25" i="68"/>
  <c r="G41" i="68"/>
  <c r="G34" i="68"/>
  <c r="G27" i="68"/>
  <c r="G43" i="68"/>
  <c r="G32" i="68"/>
  <c r="G52" i="68"/>
  <c r="G59" i="68"/>
  <c r="G74" i="68"/>
  <c r="G60" i="68"/>
  <c r="G69" i="68"/>
  <c r="G77" i="68"/>
  <c r="G80" i="68"/>
  <c r="G141" i="6"/>
  <c r="G23" i="33" s="1"/>
  <c r="G16" i="8"/>
  <c r="G26" i="8"/>
  <c r="G38" i="8"/>
  <c r="G51" i="8"/>
  <c r="G66" i="8"/>
  <c r="G61" i="8"/>
  <c r="F23" i="8"/>
  <c r="F22" i="8" s="1"/>
  <c r="E7" i="67"/>
  <c r="F34" i="8"/>
  <c r="F33" i="8" s="1"/>
  <c r="F27" i="33"/>
  <c r="G77" i="6"/>
  <c r="G13" i="9" s="1"/>
  <c r="F142" i="6"/>
  <c r="F24" i="33" s="1"/>
  <c r="F136" i="6"/>
  <c r="F20" i="33" s="1"/>
  <c r="G19" i="8"/>
  <c r="E10" i="67"/>
  <c r="G27" i="8"/>
  <c r="G36" i="8"/>
  <c r="G40" i="8" s="1"/>
  <c r="G50" i="8"/>
  <c r="G46" i="8"/>
  <c r="G60" i="8"/>
  <c r="F8" i="13"/>
  <c r="F206" i="33"/>
  <c r="E11" i="38"/>
  <c r="E20" i="33"/>
  <c r="F45" i="8"/>
  <c r="F44" i="8" s="1"/>
  <c r="F44" i="68"/>
  <c r="F45" i="68" s="1"/>
  <c r="F129" i="6" s="1"/>
  <c r="E8" i="67"/>
  <c r="F80" i="8"/>
  <c r="F92" i="6" s="1"/>
  <c r="F27" i="9" s="1"/>
  <c r="F12" i="38"/>
  <c r="H37" i="46"/>
  <c r="C42" i="38"/>
  <c r="C66" i="38"/>
  <c r="C21" i="38"/>
  <c r="C90" i="38"/>
  <c r="D17" i="38"/>
  <c r="E28" i="33"/>
  <c r="F148" i="6"/>
  <c r="F15" i="38" s="1"/>
  <c r="D20" i="38"/>
  <c r="D66" i="38" s="1"/>
  <c r="D183" i="40"/>
  <c r="D85" i="68"/>
  <c r="C179" i="40"/>
  <c r="C192" i="40"/>
  <c r="C36" i="39" s="1"/>
  <c r="C182" i="40"/>
  <c r="C180" i="40"/>
  <c r="C185" i="40"/>
  <c r="C190" i="40"/>
  <c r="C183" i="40"/>
  <c r="C184" i="40"/>
  <c r="D179" i="40"/>
  <c r="D178" i="40"/>
  <c r="C181" i="40"/>
  <c r="C178" i="40"/>
  <c r="D182" i="40"/>
  <c r="D185" i="40"/>
  <c r="D180" i="40"/>
  <c r="D190" i="40"/>
  <c r="D192" i="40"/>
  <c r="D36" i="39" s="1"/>
  <c r="D184" i="40"/>
  <c r="D181" i="40"/>
  <c r="C41" i="33"/>
  <c r="C42" i="33" s="1"/>
  <c r="D44" i="39"/>
  <c r="D50" i="39" s="1"/>
  <c r="D51" i="39" s="1"/>
  <c r="C45" i="39"/>
  <c r="C53" i="39" s="1"/>
  <c r="C40" i="33"/>
  <c r="C34" i="39"/>
  <c r="C37" i="39" s="1"/>
  <c r="I47" i="68"/>
  <c r="AM36" i="39"/>
  <c r="AM48" i="39" s="1"/>
  <c r="C146" i="40"/>
  <c r="D147" i="40"/>
  <c r="M209" i="40"/>
  <c r="D135" i="40"/>
  <c r="D136" i="40" s="1"/>
  <c r="D45" i="39"/>
  <c r="C24" i="1"/>
  <c r="C25" i="1" s="1"/>
  <c r="E42" i="65" s="1"/>
  <c r="AM18" i="6" s="1"/>
  <c r="B35" i="12" s="1"/>
  <c r="H32" i="6"/>
  <c r="H72" i="8" s="1"/>
  <c r="H73" i="8" s="1"/>
  <c r="H74" i="8" s="1"/>
  <c r="H30" i="8"/>
  <c r="U87" i="40"/>
  <c r="F8" i="9"/>
  <c r="F59" i="6"/>
  <c r="D42" i="39"/>
  <c r="D55" i="6"/>
  <c r="AC80" i="40"/>
  <c r="E144" i="40"/>
  <c r="E143" i="40"/>
  <c r="D14" i="39"/>
  <c r="D52" i="39" s="1"/>
  <c r="D44" i="6"/>
  <c r="D48" i="6" s="1"/>
  <c r="K59" i="11"/>
  <c r="K45" i="11"/>
  <c r="K69" i="11"/>
  <c r="K39" i="11"/>
  <c r="L32" i="11"/>
  <c r="K30" i="11"/>
  <c r="K81" i="11"/>
  <c r="K52" i="11"/>
  <c r="K37" i="11"/>
  <c r="C40" i="6"/>
  <c r="C41" i="39"/>
  <c r="E133" i="40"/>
  <c r="F132" i="40"/>
  <c r="E134" i="40"/>
  <c r="I170" i="40"/>
  <c r="I40" i="39"/>
  <c r="I135" i="33"/>
  <c r="I54" i="6"/>
  <c r="B253" i="33"/>
  <c r="B73" i="33"/>
  <c r="C18" i="13"/>
  <c r="D18" i="13" s="1"/>
  <c r="E69" i="6"/>
  <c r="D40" i="33"/>
  <c r="E38" i="6"/>
  <c r="E57" i="6" s="1"/>
  <c r="Q744" i="40"/>
  <c r="D137" i="40"/>
  <c r="E189" i="40" l="1"/>
  <c r="E35" i="39" s="1"/>
  <c r="E186" i="40"/>
  <c r="E193" i="40" s="1"/>
  <c r="E188" i="40"/>
  <c r="E172" i="40"/>
  <c r="E177" i="40"/>
  <c r="E191" i="40" s="1"/>
  <c r="E176" i="40"/>
  <c r="E174" i="40"/>
  <c r="E187" i="40"/>
  <c r="E173" i="40"/>
  <c r="H210" i="33"/>
  <c r="H211" i="33" s="1"/>
  <c r="G9" i="13"/>
  <c r="H65" i="8"/>
  <c r="G13" i="67" s="1"/>
  <c r="E122" i="40"/>
  <c r="E45" i="39" s="1"/>
  <c r="G16" i="7"/>
  <c r="E164" i="40"/>
  <c r="H81" i="68"/>
  <c r="E124" i="40"/>
  <c r="E128" i="40"/>
  <c r="E46" i="39" s="1"/>
  <c r="E118" i="40"/>
  <c r="E127" i="40"/>
  <c r="E153" i="40"/>
  <c r="C47" i="33"/>
  <c r="C48" i="33" s="1"/>
  <c r="C49" i="33" s="1"/>
  <c r="C51" i="33" s="1"/>
  <c r="G14" i="38"/>
  <c r="G8" i="7"/>
  <c r="E156" i="40"/>
  <c r="C43" i="33"/>
  <c r="D43" i="33"/>
  <c r="D47" i="33"/>
  <c r="E155" i="40"/>
  <c r="E160" i="40"/>
  <c r="E159" i="40"/>
  <c r="E154" i="40"/>
  <c r="E157" i="40"/>
  <c r="F23" i="13"/>
  <c r="E119" i="40"/>
  <c r="E163" i="40"/>
  <c r="G27" i="33"/>
  <c r="E126" i="40"/>
  <c r="E121" i="40"/>
  <c r="E125" i="40"/>
  <c r="E44" i="39" s="1"/>
  <c r="E50" i="39" s="1"/>
  <c r="E51" i="39" s="1"/>
  <c r="E120" i="40"/>
  <c r="H40" i="68"/>
  <c r="H61" i="68"/>
  <c r="H35" i="68"/>
  <c r="F43" i="39"/>
  <c r="H14" i="68"/>
  <c r="E85" i="68"/>
  <c r="F171" i="40"/>
  <c r="F186" i="40" s="1"/>
  <c r="H88" i="6"/>
  <c r="H84" i="6"/>
  <c r="H20" i="9" s="1"/>
  <c r="H19" i="68"/>
  <c r="H33" i="68"/>
  <c r="H55" i="68"/>
  <c r="H70" i="68"/>
  <c r="F16" i="38"/>
  <c r="H26" i="68"/>
  <c r="H52" i="68"/>
  <c r="H60" i="68"/>
  <c r="H69" i="68"/>
  <c r="H115" i="6"/>
  <c r="G16" i="67" s="1"/>
  <c r="G13" i="39"/>
  <c r="G33" i="39" s="1"/>
  <c r="H24" i="68"/>
  <c r="H42" i="68"/>
  <c r="H63" i="68"/>
  <c r="G12" i="9"/>
  <c r="G8" i="13" s="1"/>
  <c r="G34" i="6"/>
  <c r="G5" i="7" s="1"/>
  <c r="G35" i="6"/>
  <c r="G37" i="6" s="1"/>
  <c r="G86" i="6" s="1"/>
  <c r="F83" i="68"/>
  <c r="F132" i="6" s="1"/>
  <c r="G34" i="8"/>
  <c r="G33" i="8" s="1"/>
  <c r="H48" i="8"/>
  <c r="H55" i="8" s="1"/>
  <c r="H43" i="6"/>
  <c r="H41" i="6"/>
  <c r="H42" i="6"/>
  <c r="H36" i="6"/>
  <c r="F13" i="38"/>
  <c r="H25" i="8"/>
  <c r="H29" i="8" s="1"/>
  <c r="H37" i="8"/>
  <c r="E66" i="38"/>
  <c r="F117" i="40"/>
  <c r="F163" i="40" s="1"/>
  <c r="F152" i="40"/>
  <c r="F159" i="40" s="1"/>
  <c r="E21" i="38"/>
  <c r="E67" i="38" s="1"/>
  <c r="E17" i="38"/>
  <c r="E90" i="38"/>
  <c r="H63" i="8"/>
  <c r="G15" i="8"/>
  <c r="G14" i="8" s="1"/>
  <c r="H49" i="8"/>
  <c r="H62" i="8"/>
  <c r="H76" i="6"/>
  <c r="H12" i="9" s="1"/>
  <c r="F11" i="38"/>
  <c r="H16" i="8"/>
  <c r="F128" i="6"/>
  <c r="G167" i="33"/>
  <c r="I46" i="6"/>
  <c r="I247" i="33"/>
  <c r="I57" i="8"/>
  <c r="I19" i="38"/>
  <c r="I174" i="33"/>
  <c r="I4" i="7"/>
  <c r="G142" i="6"/>
  <c r="G24" i="33" s="1"/>
  <c r="G206" i="33"/>
  <c r="G136" i="6"/>
  <c r="G20" i="33" s="1"/>
  <c r="I134" i="6"/>
  <c r="I32" i="8"/>
  <c r="I4" i="13"/>
  <c r="H33" i="6"/>
  <c r="H58" i="6" s="1"/>
  <c r="B141" i="33"/>
  <c r="H112" i="6"/>
  <c r="G17" i="67" s="1"/>
  <c r="H16" i="68"/>
  <c r="H17" i="68"/>
  <c r="H28" i="68"/>
  <c r="H21" i="68"/>
  <c r="H37" i="68"/>
  <c r="H30" i="68"/>
  <c r="H23" i="68"/>
  <c r="H39" i="68"/>
  <c r="H53" i="68"/>
  <c r="H59" i="68"/>
  <c r="H64" i="68"/>
  <c r="H62" i="68"/>
  <c r="H71" i="68"/>
  <c r="H78" i="68"/>
  <c r="H72" i="68"/>
  <c r="H141" i="6"/>
  <c r="G8" i="67" s="1"/>
  <c r="F8" i="67"/>
  <c r="F7" i="67"/>
  <c r="H19" i="8"/>
  <c r="H147" i="6"/>
  <c r="H14" i="38" s="1"/>
  <c r="H28" i="8"/>
  <c r="H38" i="8"/>
  <c r="H35" i="8"/>
  <c r="H47" i="8"/>
  <c r="H46" i="8"/>
  <c r="H61" i="8"/>
  <c r="H60" i="8"/>
  <c r="G6" i="67"/>
  <c r="G9" i="67" s="1"/>
  <c r="H116" i="6"/>
  <c r="H77" i="8" s="1"/>
  <c r="B170" i="6"/>
  <c r="B107" i="33"/>
  <c r="H15" i="68"/>
  <c r="H32" i="68"/>
  <c r="H25" i="68"/>
  <c r="H41" i="68"/>
  <c r="H34" i="68"/>
  <c r="H27" i="68"/>
  <c r="H43" i="68"/>
  <c r="H56" i="68"/>
  <c r="H79" i="68"/>
  <c r="H67" i="68"/>
  <c r="H74" i="68"/>
  <c r="H75" i="68"/>
  <c r="H73" i="68"/>
  <c r="H76" i="68"/>
  <c r="H135" i="6"/>
  <c r="H10" i="38" s="1"/>
  <c r="G12" i="38"/>
  <c r="H17" i="8"/>
  <c r="H26" i="8"/>
  <c r="F23" i="7"/>
  <c r="H36" i="8"/>
  <c r="H40" i="8" s="1"/>
  <c r="I41" i="8" s="1"/>
  <c r="H52" i="8"/>
  <c r="H66" i="8"/>
  <c r="H54" i="8"/>
  <c r="G80" i="8"/>
  <c r="G92" i="6" s="1"/>
  <c r="G27" i="9" s="1"/>
  <c r="G23" i="8"/>
  <c r="G22" i="8" s="1"/>
  <c r="G82" i="68"/>
  <c r="G131" i="6" s="1"/>
  <c r="G44" i="68"/>
  <c r="G45" i="68" s="1"/>
  <c r="G129" i="6" s="1"/>
  <c r="H67" i="6"/>
  <c r="H66" i="6" s="1"/>
  <c r="H68" i="6" s="1"/>
  <c r="H69" i="6" s="1"/>
  <c r="B180" i="33"/>
  <c r="H18" i="68"/>
  <c r="H20" i="68"/>
  <c r="H36" i="68"/>
  <c r="H29" i="68"/>
  <c r="H22" i="68"/>
  <c r="H38" i="68"/>
  <c r="H31" i="68"/>
  <c r="H57" i="68"/>
  <c r="H54" i="68"/>
  <c r="H58" i="68"/>
  <c r="H68" i="68"/>
  <c r="H66" i="68"/>
  <c r="H65" i="68"/>
  <c r="H77" i="68"/>
  <c r="H80" i="68"/>
  <c r="H77" i="6"/>
  <c r="H13" i="9" s="1"/>
  <c r="G19" i="33"/>
  <c r="H18" i="8"/>
  <c r="H27" i="8"/>
  <c r="H24" i="8"/>
  <c r="H39" i="8"/>
  <c r="H51" i="8"/>
  <c r="H50" i="8"/>
  <c r="H67" i="8"/>
  <c r="H64" i="8"/>
  <c r="H10" i="9"/>
  <c r="J30" i="6"/>
  <c r="J90" i="68" s="1"/>
  <c r="I98" i="6"/>
  <c r="I39" i="33"/>
  <c r="I12" i="39"/>
  <c r="I43" i="8"/>
  <c r="I12" i="13"/>
  <c r="H35" i="9"/>
  <c r="I114" i="6"/>
  <c r="I126" i="6"/>
  <c r="I80" i="6"/>
  <c r="I65" i="38"/>
  <c r="I57" i="33"/>
  <c r="I49" i="39"/>
  <c r="I12" i="7"/>
  <c r="I7" i="9"/>
  <c r="I151" i="40"/>
  <c r="I73" i="6"/>
  <c r="I110" i="6"/>
  <c r="H5" i="67" s="1"/>
  <c r="I41" i="38"/>
  <c r="I18" i="33"/>
  <c r="I101" i="33"/>
  <c r="I13" i="8"/>
  <c r="I21" i="8"/>
  <c r="I16" i="9"/>
  <c r="I79" i="8"/>
  <c r="I34" i="9"/>
  <c r="I139" i="40"/>
  <c r="H63" i="33"/>
  <c r="H64" i="33" s="1"/>
  <c r="I9" i="38"/>
  <c r="I120" i="6"/>
  <c r="I37" i="62" s="1"/>
  <c r="I164" i="6"/>
  <c r="B181" i="33" s="1"/>
  <c r="I89" i="38"/>
  <c r="I67" i="33"/>
  <c r="I213" i="33"/>
  <c r="I170" i="33"/>
  <c r="I32" i="39"/>
  <c r="I30" i="13"/>
  <c r="I76" i="8"/>
  <c r="I29" i="7"/>
  <c r="I116" i="40"/>
  <c r="I9" i="68"/>
  <c r="G45" i="8"/>
  <c r="G44" i="8" s="1"/>
  <c r="G9" i="7"/>
  <c r="D41" i="39"/>
  <c r="D56" i="6"/>
  <c r="C67" i="38"/>
  <c r="C22" i="38"/>
  <c r="C43" i="38"/>
  <c r="C91" i="38"/>
  <c r="I37" i="46"/>
  <c r="F38" i="6"/>
  <c r="F57" i="6" s="1"/>
  <c r="F42" i="39" s="1"/>
  <c r="D90" i="38"/>
  <c r="F28" i="33"/>
  <c r="D42" i="38"/>
  <c r="G148" i="6"/>
  <c r="D21" i="38"/>
  <c r="D67" i="38" s="1"/>
  <c r="J126" i="6"/>
  <c r="D53" i="39"/>
  <c r="C47" i="39"/>
  <c r="G16" i="13"/>
  <c r="J47" i="68"/>
  <c r="J9" i="68"/>
  <c r="AM43" i="39"/>
  <c r="AM39" i="39"/>
  <c r="D47" i="39"/>
  <c r="E145" i="40"/>
  <c r="E147" i="40" s="1"/>
  <c r="D131" i="40"/>
  <c r="E135" i="40"/>
  <c r="E136" i="40" s="1"/>
  <c r="G171" i="40"/>
  <c r="G117" i="40"/>
  <c r="G152" i="40"/>
  <c r="G140" i="40"/>
  <c r="G141" i="40" s="1"/>
  <c r="G142" i="40" s="1"/>
  <c r="G43" i="39"/>
  <c r="J170" i="40"/>
  <c r="J139" i="40"/>
  <c r="J151" i="40"/>
  <c r="J116" i="40"/>
  <c r="J12" i="13"/>
  <c r="J34" i="9"/>
  <c r="J4" i="13"/>
  <c r="J30" i="13"/>
  <c r="J12" i="7"/>
  <c r="J7" i="9"/>
  <c r="J16" i="9"/>
  <c r="J29" i="7"/>
  <c r="J4" i="7"/>
  <c r="J76" i="8"/>
  <c r="J79" i="8"/>
  <c r="J57" i="8"/>
  <c r="J43" i="8"/>
  <c r="J40" i="39"/>
  <c r="J32" i="39"/>
  <c r="J247" i="33"/>
  <c r="J21" i="8"/>
  <c r="J49" i="39"/>
  <c r="J32" i="8"/>
  <c r="J13" i="8"/>
  <c r="J12" i="39"/>
  <c r="J135" i="33"/>
  <c r="J174" i="33"/>
  <c r="J213" i="33"/>
  <c r="J67" i="33"/>
  <c r="J18" i="33"/>
  <c r="J170" i="33"/>
  <c r="J39" i="33"/>
  <c r="J101" i="33"/>
  <c r="J57" i="33"/>
  <c r="J89" i="38"/>
  <c r="J41" i="38"/>
  <c r="J65" i="38"/>
  <c r="J164" i="6"/>
  <c r="J114" i="6"/>
  <c r="J98" i="6"/>
  <c r="J73" i="6"/>
  <c r="J19" i="38"/>
  <c r="J120" i="6"/>
  <c r="J9" i="38"/>
  <c r="J110" i="6"/>
  <c r="I5" i="67" s="1"/>
  <c r="J80" i="6"/>
  <c r="J54" i="6"/>
  <c r="J134" i="6"/>
  <c r="J46" i="6"/>
  <c r="K30" i="6"/>
  <c r="F5" i="13"/>
  <c r="M32" i="11"/>
  <c r="L30" i="11"/>
  <c r="L59" i="11"/>
  <c r="L45" i="11"/>
  <c r="L81" i="11"/>
  <c r="L52" i="11"/>
  <c r="L37" i="11"/>
  <c r="L69" i="11"/>
  <c r="L39" i="11"/>
  <c r="E22" i="9"/>
  <c r="E18" i="7"/>
  <c r="F18" i="7" s="1"/>
  <c r="E55" i="6"/>
  <c r="E56" i="6" s="1"/>
  <c r="E42" i="39"/>
  <c r="D50" i="6"/>
  <c r="D49" i="6"/>
  <c r="D51" i="6" s="1"/>
  <c r="D52" i="6" s="1"/>
  <c r="E19" i="65"/>
  <c r="AM10" i="6"/>
  <c r="X12" i="33" s="1"/>
  <c r="E18" i="65"/>
  <c r="E29" i="65" s="1"/>
  <c r="E32" i="65" s="1"/>
  <c r="AM9" i="6"/>
  <c r="X11" i="33" s="1"/>
  <c r="AE4" i="33" s="1"/>
  <c r="AE7" i="33" s="1"/>
  <c r="AE8" i="33" s="1"/>
  <c r="F144" i="40"/>
  <c r="F143" i="40"/>
  <c r="B108" i="33"/>
  <c r="F133" i="40"/>
  <c r="F134" i="40"/>
  <c r="G132" i="40"/>
  <c r="C14" i="39"/>
  <c r="C52" i="39" s="1"/>
  <c r="C44" i="6"/>
  <c r="F22" i="9"/>
  <c r="R744" i="40"/>
  <c r="Q218" i="40"/>
  <c r="Q220" i="40"/>
  <c r="Q231" i="40"/>
  <c r="Q238" i="40"/>
  <c r="Q739" i="40"/>
  <c r="Q236" i="40"/>
  <c r="Q215" i="40"/>
  <c r="Q742" i="40"/>
  <c r="Q233" i="40"/>
  <c r="Q737" i="40"/>
  <c r="Q213" i="40"/>
  <c r="E137" i="40"/>
  <c r="I30" i="8" l="1"/>
  <c r="E34" i="39"/>
  <c r="E37" i="39" s="1"/>
  <c r="E184" i="40"/>
  <c r="E183" i="40"/>
  <c r="E178" i="40"/>
  <c r="E192" i="40"/>
  <c r="E36" i="39" s="1"/>
  <c r="E179" i="40"/>
  <c r="E182" i="40"/>
  <c r="E180" i="40"/>
  <c r="E185" i="40"/>
  <c r="F158" i="40"/>
  <c r="E181" i="40"/>
  <c r="E190" i="40"/>
  <c r="I210" i="33"/>
  <c r="I211" i="33" s="1"/>
  <c r="H9" i="13"/>
  <c r="E39" i="6"/>
  <c r="E40" i="6" s="1"/>
  <c r="F172" i="40"/>
  <c r="E40" i="33"/>
  <c r="E43" i="33" s="1"/>
  <c r="E161" i="40"/>
  <c r="E162" i="40" s="1"/>
  <c r="I63" i="33"/>
  <c r="I64" i="33" s="1"/>
  <c r="F187" i="40"/>
  <c r="E41" i="33"/>
  <c r="E42" i="33" s="1"/>
  <c r="F189" i="40"/>
  <c r="F35" i="39" s="1"/>
  <c r="F173" i="40"/>
  <c r="F177" i="40"/>
  <c r="F190" i="40" s="1"/>
  <c r="F122" i="40"/>
  <c r="F39" i="6" s="1"/>
  <c r="F40" i="6" s="1"/>
  <c r="G16" i="38"/>
  <c r="D48" i="33"/>
  <c r="D49" i="33" s="1"/>
  <c r="D51" i="33" s="1"/>
  <c r="C52" i="33"/>
  <c r="C53" i="33" s="1"/>
  <c r="C54" i="33" s="1"/>
  <c r="H34" i="6"/>
  <c r="H59" i="6" s="1"/>
  <c r="H19" i="33"/>
  <c r="G8" i="9"/>
  <c r="G5" i="13" s="1"/>
  <c r="G11" i="38"/>
  <c r="G23" i="13"/>
  <c r="F121" i="40"/>
  <c r="F127" i="40"/>
  <c r="F124" i="40"/>
  <c r="F126" i="40"/>
  <c r="F128" i="40"/>
  <c r="F46" i="39" s="1"/>
  <c r="F123" i="40"/>
  <c r="F164" i="40"/>
  <c r="F125" i="40"/>
  <c r="F44" i="39" s="1"/>
  <c r="F50" i="39" s="1"/>
  <c r="F51" i="39" s="1"/>
  <c r="F119" i="40"/>
  <c r="F118" i="40"/>
  <c r="F120" i="40"/>
  <c r="F174" i="40"/>
  <c r="F176" i="40"/>
  <c r="F153" i="40"/>
  <c r="F175" i="40"/>
  <c r="F188" i="40"/>
  <c r="F20" i="38"/>
  <c r="F42" i="38" s="1"/>
  <c r="E22" i="38"/>
  <c r="E68" i="38" s="1"/>
  <c r="H16" i="7"/>
  <c r="G83" i="68"/>
  <c r="G132" i="6" s="1"/>
  <c r="F17" i="38"/>
  <c r="G59" i="6"/>
  <c r="H12" i="38"/>
  <c r="H16" i="38" s="1"/>
  <c r="H20" i="38" s="1"/>
  <c r="H148" i="6"/>
  <c r="H28" i="33" s="1"/>
  <c r="F156" i="40"/>
  <c r="F157" i="40"/>
  <c r="F155" i="40"/>
  <c r="F85" i="68"/>
  <c r="F160" i="40"/>
  <c r="F154" i="40"/>
  <c r="H167" i="33"/>
  <c r="H8" i="13"/>
  <c r="H34" i="8"/>
  <c r="H33" i="8" s="1"/>
  <c r="H35" i="6"/>
  <c r="H37" i="6" s="1"/>
  <c r="H86" i="6" s="1"/>
  <c r="G13" i="38"/>
  <c r="E43" i="38"/>
  <c r="H13" i="39"/>
  <c r="H33" i="39" s="1"/>
  <c r="G128" i="6"/>
  <c r="E91" i="38"/>
  <c r="H136" i="6"/>
  <c r="H20" i="33" s="1"/>
  <c r="H8" i="7"/>
  <c r="G7" i="67"/>
  <c r="G15" i="38"/>
  <c r="H80" i="8"/>
  <c r="H92" i="6" s="1"/>
  <c r="H27" i="9" s="1"/>
  <c r="H23" i="8"/>
  <c r="H22" i="8" s="1"/>
  <c r="H15" i="8"/>
  <c r="H14" i="8" s="1"/>
  <c r="H206" i="33"/>
  <c r="H82" i="68"/>
  <c r="H131" i="6" s="1"/>
  <c r="H44" i="68"/>
  <c r="H128" i="6" s="1"/>
  <c r="H45" i="8"/>
  <c r="H44" i="8" s="1"/>
  <c r="H23" i="33"/>
  <c r="H27" i="33"/>
  <c r="B74" i="33"/>
  <c r="B220" i="33"/>
  <c r="I35" i="9"/>
  <c r="H142" i="6"/>
  <c r="H24" i="33" s="1"/>
  <c r="H9" i="7"/>
  <c r="G10" i="67"/>
  <c r="G23" i="7"/>
  <c r="B171" i="6"/>
  <c r="B254" i="33"/>
  <c r="B142" i="33"/>
  <c r="I36" i="9"/>
  <c r="G38" i="6"/>
  <c r="G57" i="6" s="1"/>
  <c r="G42" i="39" s="1"/>
  <c r="F55" i="6"/>
  <c r="F56" i="6" s="1"/>
  <c r="C23" i="38"/>
  <c r="C44" i="38"/>
  <c r="C92" i="38"/>
  <c r="C68" i="38"/>
  <c r="J37" i="46"/>
  <c r="J37" i="62"/>
  <c r="D91" i="38"/>
  <c r="G28" i="33"/>
  <c r="D43" i="38"/>
  <c r="D22" i="38"/>
  <c r="D44" i="38" s="1"/>
  <c r="K90" i="68"/>
  <c r="K126" i="6"/>
  <c r="H16" i="13"/>
  <c r="K47" i="68"/>
  <c r="K9" i="68"/>
  <c r="E146" i="40"/>
  <c r="F145" i="40"/>
  <c r="F146" i="40" s="1"/>
  <c r="E131" i="40"/>
  <c r="F135" i="40"/>
  <c r="F136" i="40" s="1"/>
  <c r="F193" i="40"/>
  <c r="F34" i="39"/>
  <c r="F37" i="39" s="1"/>
  <c r="G134" i="40"/>
  <c r="G133" i="40"/>
  <c r="H132" i="40"/>
  <c r="G164" i="40"/>
  <c r="G163" i="40"/>
  <c r="G125" i="40"/>
  <c r="G121" i="40"/>
  <c r="G126" i="40"/>
  <c r="G122" i="40"/>
  <c r="G123" i="40"/>
  <c r="G124" i="40"/>
  <c r="G127" i="40"/>
  <c r="G119" i="40"/>
  <c r="G128" i="40"/>
  <c r="G46" i="39" s="1"/>
  <c r="G118" i="40"/>
  <c r="G120" i="40"/>
  <c r="C48" i="6"/>
  <c r="AM23" i="6"/>
  <c r="AE19" i="64"/>
  <c r="E33" i="65"/>
  <c r="G22" i="9"/>
  <c r="G18" i="7"/>
  <c r="G189" i="40"/>
  <c r="G35" i="39" s="1"/>
  <c r="G186" i="40"/>
  <c r="G187" i="40"/>
  <c r="G188" i="40"/>
  <c r="G177" i="40"/>
  <c r="G173" i="40"/>
  <c r="G172" i="40"/>
  <c r="G175" i="40"/>
  <c r="G174" i="40"/>
  <c r="G176" i="40"/>
  <c r="E53" i="39"/>
  <c r="E18" i="13"/>
  <c r="F18" i="13" s="1"/>
  <c r="B75" i="33"/>
  <c r="B255" i="33"/>
  <c r="B143" i="33"/>
  <c r="B182" i="33"/>
  <c r="B109" i="33"/>
  <c r="B221" i="33"/>
  <c r="B172" i="6"/>
  <c r="J36" i="9"/>
  <c r="J35" i="9"/>
  <c r="G143" i="40"/>
  <c r="G144" i="40"/>
  <c r="H140" i="40"/>
  <c r="H141" i="40" s="1"/>
  <c r="H142" i="40" s="1"/>
  <c r="H171" i="40"/>
  <c r="H152" i="40"/>
  <c r="H117" i="40"/>
  <c r="H43" i="39"/>
  <c r="E41" i="39"/>
  <c r="M81" i="11"/>
  <c r="M52" i="11"/>
  <c r="M37" i="11"/>
  <c r="M30" i="11"/>
  <c r="M69" i="11"/>
  <c r="M39" i="11"/>
  <c r="N32" i="11"/>
  <c r="M59" i="11"/>
  <c r="M45" i="11"/>
  <c r="K139" i="40"/>
  <c r="K4" i="13"/>
  <c r="K30" i="13"/>
  <c r="K151" i="40"/>
  <c r="K170" i="40"/>
  <c r="K34" i="9"/>
  <c r="K7" i="9"/>
  <c r="K16" i="9"/>
  <c r="K29" i="7"/>
  <c r="K79" i="8"/>
  <c r="K43" i="8"/>
  <c r="K116" i="40"/>
  <c r="K57" i="8"/>
  <c r="K12" i="13"/>
  <c r="K12" i="7"/>
  <c r="K21" i="8"/>
  <c r="K49" i="39"/>
  <c r="K32" i="8"/>
  <c r="K13" i="8"/>
  <c r="K76" i="8"/>
  <c r="K4" i="7"/>
  <c r="K40" i="39"/>
  <c r="K32" i="39"/>
  <c r="K174" i="33"/>
  <c r="K12" i="39"/>
  <c r="K213" i="33"/>
  <c r="K247" i="33"/>
  <c r="K170" i="33"/>
  <c r="K39" i="33"/>
  <c r="K135" i="33"/>
  <c r="K101" i="33"/>
  <c r="K57" i="33"/>
  <c r="K18" i="33"/>
  <c r="K89" i="38"/>
  <c r="K67" i="33"/>
  <c r="K41" i="38"/>
  <c r="K65" i="38"/>
  <c r="K19" i="38"/>
  <c r="K120" i="6"/>
  <c r="K46" i="6"/>
  <c r="K9" i="38"/>
  <c r="K110" i="6"/>
  <c r="J5" i="67" s="1"/>
  <c r="K134" i="6"/>
  <c r="K114" i="6"/>
  <c r="K80" i="6"/>
  <c r="K73" i="6"/>
  <c r="K164" i="6"/>
  <c r="K98" i="6"/>
  <c r="K54" i="6"/>
  <c r="L30" i="6"/>
  <c r="G158" i="40"/>
  <c r="G154" i="40"/>
  <c r="G160" i="40"/>
  <c r="G156" i="40"/>
  <c r="G157" i="40"/>
  <c r="G159" i="40"/>
  <c r="G155" i="40"/>
  <c r="G153" i="40"/>
  <c r="R213" i="40"/>
  <c r="R233" i="40"/>
  <c r="R742" i="40"/>
  <c r="R215" i="40"/>
  <c r="R739" i="40"/>
  <c r="F137" i="40"/>
  <c r="R231" i="40"/>
  <c r="R238" i="40"/>
  <c r="R236" i="40"/>
  <c r="R737" i="40"/>
  <c r="R218" i="40"/>
  <c r="R220" i="40"/>
  <c r="E47" i="39" l="1"/>
  <c r="J210" i="33"/>
  <c r="J211" i="33" s="1"/>
  <c r="J63" i="33"/>
  <c r="J64" i="33" s="1"/>
  <c r="F185" i="40"/>
  <c r="H5" i="7"/>
  <c r="F45" i="39"/>
  <c r="F53" i="39" s="1"/>
  <c r="F192" i="40"/>
  <c r="F36" i="39" s="1"/>
  <c r="F178" i="40"/>
  <c r="F184" i="40"/>
  <c r="F181" i="40"/>
  <c r="F179" i="40"/>
  <c r="E47" i="33"/>
  <c r="E48" i="33" s="1"/>
  <c r="E49" i="33" s="1"/>
  <c r="E51" i="33" s="1"/>
  <c r="F161" i="40"/>
  <c r="F162" i="40" s="1"/>
  <c r="G161" i="40"/>
  <c r="G162" i="40" s="1"/>
  <c r="F182" i="40"/>
  <c r="F183" i="40"/>
  <c r="F180" i="40"/>
  <c r="F191" i="40"/>
  <c r="F40" i="33"/>
  <c r="F43" i="33" s="1"/>
  <c r="G20" i="38"/>
  <c r="G66" i="38" s="1"/>
  <c r="H8" i="9"/>
  <c r="H5" i="13" s="1"/>
  <c r="H23" i="13"/>
  <c r="D52" i="33"/>
  <c r="D53" i="33" s="1"/>
  <c r="D54" i="33" s="1"/>
  <c r="H15" i="38"/>
  <c r="F41" i="33"/>
  <c r="F42" i="33" s="1"/>
  <c r="F90" i="38"/>
  <c r="F66" i="38"/>
  <c r="E23" i="38"/>
  <c r="E45" i="38" s="1"/>
  <c r="E44" i="38"/>
  <c r="E92" i="38"/>
  <c r="G85" i="68"/>
  <c r="G17" i="38"/>
  <c r="F21" i="38"/>
  <c r="F43" i="38" s="1"/>
  <c r="H45" i="68"/>
  <c r="H129" i="6" s="1"/>
  <c r="F41" i="39"/>
  <c r="H23" i="7"/>
  <c r="G55" i="6"/>
  <c r="G56" i="6" s="1"/>
  <c r="H13" i="38"/>
  <c r="H11" i="38"/>
  <c r="H83" i="68"/>
  <c r="H132" i="6" s="1"/>
  <c r="K37" i="46"/>
  <c r="K37" i="62"/>
  <c r="C69" i="38"/>
  <c r="C24" i="38"/>
  <c r="C93" i="38"/>
  <c r="C45" i="38"/>
  <c r="D23" i="38"/>
  <c r="D45" i="38" s="1"/>
  <c r="D68" i="38"/>
  <c r="D92" i="38"/>
  <c r="H42" i="38"/>
  <c r="H66" i="38"/>
  <c r="H21" i="38"/>
  <c r="H90" i="38"/>
  <c r="L90" i="68"/>
  <c r="L126" i="6"/>
  <c r="L47" i="68"/>
  <c r="L9" i="68"/>
  <c r="F147" i="40"/>
  <c r="G135" i="40"/>
  <c r="G136" i="40" s="1"/>
  <c r="F131" i="40"/>
  <c r="G145" i="40"/>
  <c r="G147" i="40" s="1"/>
  <c r="B256" i="33"/>
  <c r="B144" i="33"/>
  <c r="B183" i="33"/>
  <c r="B222" i="33"/>
  <c r="B76" i="33"/>
  <c r="B110" i="33"/>
  <c r="B173" i="6"/>
  <c r="H163" i="40"/>
  <c r="H126" i="40"/>
  <c r="H122" i="40"/>
  <c r="H118" i="40"/>
  <c r="H127" i="40"/>
  <c r="H123" i="40"/>
  <c r="H119" i="40"/>
  <c r="H164" i="40"/>
  <c r="H124" i="40"/>
  <c r="H125" i="40"/>
  <c r="H128" i="40"/>
  <c r="H46" i="39" s="1"/>
  <c r="H120" i="40"/>
  <c r="H121" i="40"/>
  <c r="G190" i="40"/>
  <c r="G191" i="40"/>
  <c r="G184" i="40"/>
  <c r="G180" i="40"/>
  <c r="G192" i="40"/>
  <c r="G36" i="39" s="1"/>
  <c r="G185" i="40"/>
  <c r="G183" i="40"/>
  <c r="G182" i="40"/>
  <c r="G178" i="40"/>
  <c r="G179" i="40"/>
  <c r="G181" i="40"/>
  <c r="C50" i="6"/>
  <c r="C49" i="6"/>
  <c r="G45" i="39"/>
  <c r="G40" i="33"/>
  <c r="G39" i="6"/>
  <c r="H159" i="40"/>
  <c r="H155" i="40"/>
  <c r="H157" i="40"/>
  <c r="H158" i="40"/>
  <c r="H160" i="40"/>
  <c r="H154" i="40"/>
  <c r="H153" i="40"/>
  <c r="H156" i="40"/>
  <c r="E14" i="39"/>
  <c r="E52" i="39" s="1"/>
  <c r="E44" i="6"/>
  <c r="F14" i="39"/>
  <c r="F52" i="39" s="1"/>
  <c r="F44" i="6"/>
  <c r="F48" i="6" s="1"/>
  <c r="G18" i="13"/>
  <c r="I132" i="40"/>
  <c r="H134" i="40"/>
  <c r="H133" i="40"/>
  <c r="N69" i="11"/>
  <c r="N39" i="11"/>
  <c r="N52" i="11"/>
  <c r="N59" i="11"/>
  <c r="N45" i="11"/>
  <c r="N81" i="11"/>
  <c r="N37" i="11"/>
  <c r="O32" i="11"/>
  <c r="N30" i="11"/>
  <c r="H144" i="40"/>
  <c r="H143" i="40"/>
  <c r="G193" i="40"/>
  <c r="G34" i="39"/>
  <c r="G37" i="39" s="1"/>
  <c r="G44" i="39"/>
  <c r="G50" i="39" s="1"/>
  <c r="G51" i="39" s="1"/>
  <c r="G41" i="33"/>
  <c r="G42" i="33" s="1"/>
  <c r="L170" i="40"/>
  <c r="L151" i="40"/>
  <c r="L139" i="40"/>
  <c r="L30" i="13"/>
  <c r="L116" i="40"/>
  <c r="L12" i="13"/>
  <c r="L16" i="9"/>
  <c r="L4" i="13"/>
  <c r="L29" i="7"/>
  <c r="L57" i="8"/>
  <c r="L12" i="7"/>
  <c r="L7" i="9"/>
  <c r="L4" i="7"/>
  <c r="L76" i="8"/>
  <c r="L32" i="8"/>
  <c r="L13" i="8"/>
  <c r="L12" i="39"/>
  <c r="L34" i="9"/>
  <c r="L79" i="8"/>
  <c r="L40" i="39"/>
  <c r="L32" i="39"/>
  <c r="L247" i="33"/>
  <c r="L213" i="33"/>
  <c r="L101" i="33"/>
  <c r="L170" i="33"/>
  <c r="L43" i="8"/>
  <c r="L21" i="8"/>
  <c r="L49" i="39"/>
  <c r="L135" i="33"/>
  <c r="L39" i="33"/>
  <c r="L57" i="33"/>
  <c r="L174" i="33"/>
  <c r="L67" i="33"/>
  <c r="L18" i="33"/>
  <c r="L65" i="38"/>
  <c r="L19" i="38"/>
  <c r="L89" i="38"/>
  <c r="L9" i="38"/>
  <c r="L110" i="6"/>
  <c r="K5" i="67" s="1"/>
  <c r="L80" i="6"/>
  <c r="L54" i="6"/>
  <c r="L134" i="6"/>
  <c r="L164" i="6"/>
  <c r="L114" i="6"/>
  <c r="L98" i="6"/>
  <c r="L73" i="6"/>
  <c r="L120" i="6"/>
  <c r="L41" i="38"/>
  <c r="L46" i="6"/>
  <c r="M30" i="6"/>
  <c r="K36" i="9"/>
  <c r="K35" i="9"/>
  <c r="H187" i="40"/>
  <c r="H188" i="40"/>
  <c r="H174" i="40"/>
  <c r="H189" i="40"/>
  <c r="H35" i="39" s="1"/>
  <c r="H186" i="40"/>
  <c r="H173" i="40"/>
  <c r="H176" i="40"/>
  <c r="H177" i="40"/>
  <c r="H172" i="40"/>
  <c r="H175" i="40"/>
  <c r="E34" i="65"/>
  <c r="AM25" i="6" s="1"/>
  <c r="AM24" i="6"/>
  <c r="T40" i="64"/>
  <c r="H38" i="6"/>
  <c r="H57" i="6" s="1"/>
  <c r="R743" i="40"/>
  <c r="R237" i="40"/>
  <c r="R219" i="40"/>
  <c r="G137" i="40"/>
  <c r="R232" i="40"/>
  <c r="R214" i="40"/>
  <c r="R738" i="40"/>
  <c r="K63" i="33" l="1"/>
  <c r="K64" i="33" s="1"/>
  <c r="K210" i="33"/>
  <c r="K211" i="33" s="1"/>
  <c r="G90" i="38"/>
  <c r="F47" i="39"/>
  <c r="H161" i="40"/>
  <c r="H162" i="40" s="1"/>
  <c r="G21" i="38"/>
  <c r="G43" i="38" s="1"/>
  <c r="G42" i="38"/>
  <c r="H17" i="38"/>
  <c r="F47" i="33"/>
  <c r="F48" i="33" s="1"/>
  <c r="F49" i="33" s="1"/>
  <c r="F51" i="33" s="1"/>
  <c r="E52" i="33"/>
  <c r="E53" i="33" s="1"/>
  <c r="E54" i="33" s="1"/>
  <c r="F22" i="38"/>
  <c r="F44" i="38" s="1"/>
  <c r="G41" i="39"/>
  <c r="E93" i="38"/>
  <c r="E24" i="38"/>
  <c r="E25" i="38" s="1"/>
  <c r="E69" i="38"/>
  <c r="G43" i="33"/>
  <c r="G47" i="33"/>
  <c r="F67" i="38"/>
  <c r="F91" i="38"/>
  <c r="H85" i="68"/>
  <c r="C25" i="38"/>
  <c r="C94" i="38"/>
  <c r="C46" i="38"/>
  <c r="C70" i="38"/>
  <c r="L37" i="46"/>
  <c r="L37" i="62"/>
  <c r="D93" i="38"/>
  <c r="D24" i="38"/>
  <c r="D94" i="38" s="1"/>
  <c r="D69" i="38"/>
  <c r="H43" i="38"/>
  <c r="H91" i="38"/>
  <c r="H67" i="38"/>
  <c r="H22" i="38"/>
  <c r="M90" i="68"/>
  <c r="M126" i="6"/>
  <c r="M47" i="68"/>
  <c r="M9" i="68"/>
  <c r="AM45" i="39"/>
  <c r="G131" i="40"/>
  <c r="H145" i="40"/>
  <c r="H146" i="40" s="1"/>
  <c r="H135" i="40"/>
  <c r="H136" i="40" s="1"/>
  <c r="G146" i="40"/>
  <c r="H18" i="7"/>
  <c r="H22" i="9"/>
  <c r="H191" i="40"/>
  <c r="H190" i="40"/>
  <c r="H192" i="40"/>
  <c r="H36" i="39" s="1"/>
  <c r="H184" i="40"/>
  <c r="H181" i="40"/>
  <c r="H185" i="40"/>
  <c r="H183" i="40"/>
  <c r="H178" i="40"/>
  <c r="H179" i="40"/>
  <c r="H180" i="40"/>
  <c r="H182" i="40"/>
  <c r="L36" i="9"/>
  <c r="L35" i="9"/>
  <c r="O59" i="11"/>
  <c r="O45" i="11"/>
  <c r="P32" i="11"/>
  <c r="O30" i="11"/>
  <c r="O69" i="11"/>
  <c r="O39" i="11"/>
  <c r="O81" i="11"/>
  <c r="O52" i="11"/>
  <c r="O37" i="11"/>
  <c r="F50" i="6"/>
  <c r="F49" i="6"/>
  <c r="F51" i="6" s="1"/>
  <c r="F52" i="6" s="1"/>
  <c r="G53" i="39"/>
  <c r="G47" i="39"/>
  <c r="G40" i="6"/>
  <c r="C51" i="6"/>
  <c r="H45" i="39"/>
  <c r="H40" i="33"/>
  <c r="H39" i="6"/>
  <c r="H40" i="6" s="1"/>
  <c r="H193" i="40"/>
  <c r="H34" i="39"/>
  <c r="H37" i="39" s="1"/>
  <c r="M170" i="40"/>
  <c r="M151" i="40"/>
  <c r="M139" i="40"/>
  <c r="M116" i="40"/>
  <c r="M12" i="13"/>
  <c r="M4" i="13"/>
  <c r="M29" i="7"/>
  <c r="M30" i="13"/>
  <c r="M34" i="9"/>
  <c r="M7" i="9"/>
  <c r="M12" i="7"/>
  <c r="M4" i="7"/>
  <c r="M76" i="8"/>
  <c r="M16" i="9"/>
  <c r="M79" i="8"/>
  <c r="M40" i="39"/>
  <c r="M32" i="39"/>
  <c r="M43" i="8"/>
  <c r="M21" i="8"/>
  <c r="M49" i="39"/>
  <c r="M13" i="8"/>
  <c r="M12" i="39"/>
  <c r="M170" i="33"/>
  <c r="M247" i="33"/>
  <c r="M57" i="8"/>
  <c r="M174" i="33"/>
  <c r="M57" i="33"/>
  <c r="M135" i="33"/>
  <c r="M101" i="33"/>
  <c r="M67" i="33"/>
  <c r="M18" i="33"/>
  <c r="M32" i="8"/>
  <c r="M213" i="33"/>
  <c r="M39" i="33"/>
  <c r="M89" i="38"/>
  <c r="M41" i="38"/>
  <c r="M19" i="38"/>
  <c r="M134" i="6"/>
  <c r="M164" i="6"/>
  <c r="M114" i="6"/>
  <c r="M98" i="6"/>
  <c r="M120" i="6"/>
  <c r="M65" i="38"/>
  <c r="M73" i="6"/>
  <c r="M9" i="38"/>
  <c r="M54" i="6"/>
  <c r="M110" i="6"/>
  <c r="L5" i="67" s="1"/>
  <c r="M80" i="6"/>
  <c r="N30" i="6"/>
  <c r="M46" i="6"/>
  <c r="E48" i="6"/>
  <c r="H44" i="39"/>
  <c r="H50" i="39" s="1"/>
  <c r="H51" i="39" s="1"/>
  <c r="H41" i="33"/>
  <c r="H42" i="33" s="1"/>
  <c r="H42" i="39"/>
  <c r="H55" i="6"/>
  <c r="H56" i="6" s="1"/>
  <c r="B257" i="33"/>
  <c r="B145" i="33"/>
  <c r="B184" i="33"/>
  <c r="B223" i="33"/>
  <c r="B111" i="33"/>
  <c r="B77" i="33"/>
  <c r="B174" i="6"/>
  <c r="I134" i="40"/>
  <c r="J132" i="40"/>
  <c r="I133" i="40"/>
  <c r="H137" i="40"/>
  <c r="L63" i="33" l="1"/>
  <c r="L64" i="33" s="1"/>
  <c r="L210" i="33"/>
  <c r="L211" i="33" s="1"/>
  <c r="F92" i="38"/>
  <c r="G67" i="38"/>
  <c r="G22" i="38"/>
  <c r="G92" i="38" s="1"/>
  <c r="G91" i="38"/>
  <c r="F68" i="38"/>
  <c r="F23" i="38"/>
  <c r="F45" i="38" s="1"/>
  <c r="F52" i="33"/>
  <c r="F53" i="33" s="1"/>
  <c r="F54" i="33" s="1"/>
  <c r="G48" i="33"/>
  <c r="G49" i="33" s="1"/>
  <c r="G51" i="33" s="1"/>
  <c r="E46" i="38"/>
  <c r="E70" i="38"/>
  <c r="E94" i="38"/>
  <c r="H43" i="33"/>
  <c r="H47" i="33"/>
  <c r="D46" i="38"/>
  <c r="D25" i="38"/>
  <c r="D71" i="38" s="1"/>
  <c r="D70" i="38"/>
  <c r="M37" i="46"/>
  <c r="M37" i="62"/>
  <c r="C71" i="38"/>
  <c r="C95" i="38"/>
  <c r="C47" i="38"/>
  <c r="C26" i="38"/>
  <c r="E47" i="38"/>
  <c r="E71" i="38"/>
  <c r="E26" i="38"/>
  <c r="E95" i="38"/>
  <c r="H92" i="38"/>
  <c r="H44" i="38"/>
  <c r="H68" i="38"/>
  <c r="H23" i="38"/>
  <c r="N90" i="68"/>
  <c r="N126" i="6"/>
  <c r="N47" i="68"/>
  <c r="N9" i="68"/>
  <c r="I135" i="40"/>
  <c r="I136" i="40" s="1"/>
  <c r="H147" i="40"/>
  <c r="H131" i="40"/>
  <c r="Q32" i="11"/>
  <c r="P30" i="11"/>
  <c r="P81" i="11"/>
  <c r="P52" i="11"/>
  <c r="P37" i="11"/>
  <c r="P59" i="11"/>
  <c r="P45" i="11"/>
  <c r="P69" i="11"/>
  <c r="P39" i="11"/>
  <c r="E50" i="6"/>
  <c r="E49" i="6"/>
  <c r="H18" i="13"/>
  <c r="H47" i="39"/>
  <c r="H53" i="39"/>
  <c r="G14" i="39"/>
  <c r="G52" i="39" s="1"/>
  <c r="G44" i="6"/>
  <c r="J133" i="40"/>
  <c r="J134" i="40"/>
  <c r="K132" i="40"/>
  <c r="H41" i="39"/>
  <c r="M36" i="9"/>
  <c r="M35" i="9"/>
  <c r="H14" i="39"/>
  <c r="H52" i="39" s="1"/>
  <c r="H44" i="6"/>
  <c r="H48" i="6" s="1"/>
  <c r="N151" i="40"/>
  <c r="N170" i="40"/>
  <c r="N139" i="40"/>
  <c r="N116" i="40"/>
  <c r="N12" i="13"/>
  <c r="N34" i="9"/>
  <c r="N4" i="13"/>
  <c r="N30" i="13"/>
  <c r="N12" i="7"/>
  <c r="N7" i="9"/>
  <c r="N16" i="9"/>
  <c r="N4" i="7"/>
  <c r="N76" i="8"/>
  <c r="N79" i="8"/>
  <c r="N57" i="8"/>
  <c r="N40" i="39"/>
  <c r="N32" i="39"/>
  <c r="N247" i="33"/>
  <c r="N43" i="8"/>
  <c r="N21" i="8"/>
  <c r="N49" i="39"/>
  <c r="N29" i="7"/>
  <c r="N32" i="8"/>
  <c r="N13" i="8"/>
  <c r="N12" i="39"/>
  <c r="N135" i="33"/>
  <c r="N174" i="33"/>
  <c r="N213" i="33"/>
  <c r="N101" i="33"/>
  <c r="N67" i="33"/>
  <c r="N18" i="33"/>
  <c r="N170" i="33"/>
  <c r="N39" i="33"/>
  <c r="N57" i="33"/>
  <c r="N89" i="38"/>
  <c r="N41" i="38"/>
  <c r="N65" i="38"/>
  <c r="N164" i="6"/>
  <c r="N114" i="6"/>
  <c r="N98" i="6"/>
  <c r="N73" i="6"/>
  <c r="N120" i="6"/>
  <c r="N9" i="38"/>
  <c r="N110" i="6"/>
  <c r="M5" i="67" s="1"/>
  <c r="N80" i="6"/>
  <c r="N54" i="6"/>
  <c r="N46" i="6"/>
  <c r="N19" i="38"/>
  <c r="N134" i="6"/>
  <c r="O30" i="6"/>
  <c r="B78" i="33"/>
  <c r="B258" i="33"/>
  <c r="B146" i="33"/>
  <c r="B185" i="33"/>
  <c r="B224" i="33"/>
  <c r="B112" i="33"/>
  <c r="M165" i="6"/>
  <c r="B175" i="6"/>
  <c r="C52" i="6"/>
  <c r="I137" i="40"/>
  <c r="M63" i="33" l="1"/>
  <c r="M64" i="33" s="1"/>
  <c r="M210" i="33"/>
  <c r="M211" i="33" s="1"/>
  <c r="G44" i="38"/>
  <c r="G23" i="38"/>
  <c r="G93" i="38" s="1"/>
  <c r="G68" i="38"/>
  <c r="F69" i="38"/>
  <c r="F24" i="38"/>
  <c r="F46" i="38" s="1"/>
  <c r="F93" i="38"/>
  <c r="G52" i="33"/>
  <c r="G53" i="33" s="1"/>
  <c r="G54" i="33" s="1"/>
  <c r="H48" i="33"/>
  <c r="H49" i="33" s="1"/>
  <c r="H51" i="33" s="1"/>
  <c r="D26" i="38"/>
  <c r="D72" i="38" s="1"/>
  <c r="D47" i="38"/>
  <c r="D95" i="38"/>
  <c r="C27" i="38"/>
  <c r="C96" i="38"/>
  <c r="C72" i="38"/>
  <c r="C48" i="38"/>
  <c r="N37" i="46"/>
  <c r="N37" i="62"/>
  <c r="E27" i="38"/>
  <c r="E72" i="38"/>
  <c r="E48" i="38"/>
  <c r="E96" i="38"/>
  <c r="H45" i="38"/>
  <c r="H93" i="38"/>
  <c r="H69" i="38"/>
  <c r="H24" i="38"/>
  <c r="O90" i="68"/>
  <c r="O126" i="6"/>
  <c r="O47" i="68"/>
  <c r="O9" i="68"/>
  <c r="I131" i="40"/>
  <c r="J135" i="40"/>
  <c r="J136" i="40" s="1"/>
  <c r="G48" i="6"/>
  <c r="O170" i="40"/>
  <c r="O139" i="40"/>
  <c r="O151" i="40"/>
  <c r="O116" i="40"/>
  <c r="O4" i="13"/>
  <c r="O30" i="13"/>
  <c r="O7" i="9"/>
  <c r="O34" i="9"/>
  <c r="O16" i="9"/>
  <c r="O12" i="13"/>
  <c r="O29" i="7"/>
  <c r="O79" i="8"/>
  <c r="O43" i="8"/>
  <c r="O57" i="8"/>
  <c r="O21" i="8"/>
  <c r="O49" i="39"/>
  <c r="O76" i="8"/>
  <c r="O32" i="8"/>
  <c r="O13" i="8"/>
  <c r="O4" i="7"/>
  <c r="O12" i="7"/>
  <c r="O247" i="33"/>
  <c r="O174" i="33"/>
  <c r="O213" i="33"/>
  <c r="O170" i="33"/>
  <c r="O32" i="39"/>
  <c r="O12" i="39"/>
  <c r="O135" i="33"/>
  <c r="O39" i="33"/>
  <c r="O40" i="39"/>
  <c r="O57" i="33"/>
  <c r="O89" i="38"/>
  <c r="O67" i="33"/>
  <c r="O101" i="33"/>
  <c r="O18" i="33"/>
  <c r="O41" i="38"/>
  <c r="O65" i="38"/>
  <c r="O19" i="38"/>
  <c r="O120" i="6"/>
  <c r="O46" i="6"/>
  <c r="O9" i="38"/>
  <c r="O110" i="6"/>
  <c r="N5" i="67" s="1"/>
  <c r="O134" i="6"/>
  <c r="O54" i="6"/>
  <c r="O164" i="6"/>
  <c r="O98" i="6"/>
  <c r="O80" i="6"/>
  <c r="O114" i="6"/>
  <c r="O73" i="6"/>
  <c r="P30" i="6"/>
  <c r="N29" i="8"/>
  <c r="N40" i="8"/>
  <c r="K134" i="40"/>
  <c r="L132" i="40"/>
  <c r="K133" i="40"/>
  <c r="E51" i="6"/>
  <c r="Q81" i="11"/>
  <c r="Q52" i="11"/>
  <c r="Q37" i="11"/>
  <c r="Q69" i="11"/>
  <c r="Q39" i="11"/>
  <c r="R32" i="11"/>
  <c r="Q30" i="11"/>
  <c r="Q59" i="11"/>
  <c r="Q45" i="11"/>
  <c r="B186" i="33"/>
  <c r="B225" i="33"/>
  <c r="B259" i="33"/>
  <c r="B79" i="33"/>
  <c r="B147" i="33"/>
  <c r="B113" i="33"/>
  <c r="N165" i="6"/>
  <c r="B176" i="6"/>
  <c r="N166" i="6"/>
  <c r="N36" i="9"/>
  <c r="N35" i="9"/>
  <c r="H50" i="6"/>
  <c r="H49" i="6"/>
  <c r="H51" i="6" s="1"/>
  <c r="H52" i="6" s="1"/>
  <c r="J137" i="40"/>
  <c r="N63" i="33" l="1"/>
  <c r="N64" i="33" s="1"/>
  <c r="G24" i="38"/>
  <c r="G70" i="38" s="1"/>
  <c r="N210" i="33"/>
  <c r="N211" i="33" s="1"/>
  <c r="G45" i="38"/>
  <c r="G69" i="38"/>
  <c r="F25" i="38"/>
  <c r="F71" i="38" s="1"/>
  <c r="F70" i="38"/>
  <c r="F94" i="38"/>
  <c r="D27" i="38"/>
  <c r="D97" i="38" s="1"/>
  <c r="H52" i="33"/>
  <c r="H53" i="33" s="1"/>
  <c r="H54" i="33" s="1"/>
  <c r="D48" i="38"/>
  <c r="D96" i="38"/>
  <c r="O37" i="46"/>
  <c r="O37" i="62"/>
  <c r="C49" i="38"/>
  <c r="C73" i="38"/>
  <c r="C28" i="38"/>
  <c r="C97" i="38"/>
  <c r="E73" i="38"/>
  <c r="E28" i="38"/>
  <c r="E49" i="38"/>
  <c r="E97" i="38"/>
  <c r="H70" i="38"/>
  <c r="H25" i="38"/>
  <c r="H94" i="38"/>
  <c r="H46" i="38"/>
  <c r="P90" i="68"/>
  <c r="P126" i="6"/>
  <c r="P47" i="68"/>
  <c r="P9" i="68"/>
  <c r="K135" i="40"/>
  <c r="K136" i="40" s="1"/>
  <c r="J131" i="40"/>
  <c r="R69" i="11"/>
  <c r="R39" i="11"/>
  <c r="R81" i="11"/>
  <c r="R37" i="11"/>
  <c r="R59" i="11"/>
  <c r="R45" i="11"/>
  <c r="R52" i="11"/>
  <c r="S32" i="11"/>
  <c r="R30" i="11"/>
  <c r="B260" i="33"/>
  <c r="B226" i="33"/>
  <c r="B114" i="33"/>
  <c r="B148" i="33"/>
  <c r="B80" i="33"/>
  <c r="B187" i="33"/>
  <c r="O167" i="6"/>
  <c r="O166" i="6"/>
  <c r="B177" i="6"/>
  <c r="O165" i="6"/>
  <c r="O30" i="8"/>
  <c r="O29" i="8"/>
  <c r="O36" i="9"/>
  <c r="O35" i="9"/>
  <c r="G50" i="6"/>
  <c r="G49" i="6"/>
  <c r="M132" i="40"/>
  <c r="L134" i="40"/>
  <c r="L133" i="40"/>
  <c r="O40" i="8"/>
  <c r="O41" i="8"/>
  <c r="E52" i="6"/>
  <c r="P170" i="40"/>
  <c r="P151" i="40"/>
  <c r="P139" i="40"/>
  <c r="P30" i="13"/>
  <c r="P12" i="13"/>
  <c r="P4" i="13"/>
  <c r="P34" i="9"/>
  <c r="P16" i="9"/>
  <c r="P29" i="7"/>
  <c r="P116" i="40"/>
  <c r="P57" i="8"/>
  <c r="P7" i="9"/>
  <c r="P12" i="7"/>
  <c r="P4" i="7"/>
  <c r="P76" i="8"/>
  <c r="P43" i="8"/>
  <c r="P32" i="8"/>
  <c r="P13" i="8"/>
  <c r="P12" i="39"/>
  <c r="P79" i="8"/>
  <c r="P40" i="39"/>
  <c r="P32" i="39"/>
  <c r="P247" i="33"/>
  <c r="P213" i="33"/>
  <c r="P101" i="33"/>
  <c r="P21" i="8"/>
  <c r="P49" i="39"/>
  <c r="P170" i="33"/>
  <c r="P135" i="33"/>
  <c r="P39" i="33"/>
  <c r="P174" i="33"/>
  <c r="P57" i="33"/>
  <c r="P67" i="33"/>
  <c r="P18" i="33"/>
  <c r="P89" i="38"/>
  <c r="P65" i="38"/>
  <c r="P19" i="38"/>
  <c r="P9" i="38"/>
  <c r="P110" i="6"/>
  <c r="O5" i="67" s="1"/>
  <c r="P80" i="6"/>
  <c r="P54" i="6"/>
  <c r="P134" i="6"/>
  <c r="P41" i="38"/>
  <c r="P164" i="6"/>
  <c r="P114" i="6"/>
  <c r="P98" i="6"/>
  <c r="P73" i="6"/>
  <c r="P46" i="6"/>
  <c r="P120" i="6"/>
  <c r="Q30" i="6"/>
  <c r="K137" i="40"/>
  <c r="O63" i="33" l="1"/>
  <c r="O64" i="33" s="1"/>
  <c r="G25" i="38"/>
  <c r="G26" i="38" s="1"/>
  <c r="G27" i="38" s="1"/>
  <c r="G73" i="38" s="1"/>
  <c r="G46" i="38"/>
  <c r="G94" i="38"/>
  <c r="O210" i="33"/>
  <c r="O211" i="33" s="1"/>
  <c r="F95" i="38"/>
  <c r="F26" i="38"/>
  <c r="F48" i="38" s="1"/>
  <c r="D28" i="38"/>
  <c r="D29" i="38" s="1"/>
  <c r="F47" i="38"/>
  <c r="D73" i="38"/>
  <c r="D49" i="38"/>
  <c r="P37" i="46"/>
  <c r="P37" i="62"/>
  <c r="C29" i="38"/>
  <c r="C98" i="38"/>
  <c r="C74" i="38"/>
  <c r="C50" i="38"/>
  <c r="E50" i="38"/>
  <c r="E74" i="38"/>
  <c r="E98" i="38"/>
  <c r="E29" i="38"/>
  <c r="H47" i="38"/>
  <c r="H95" i="38"/>
  <c r="H71" i="38"/>
  <c r="H26" i="38"/>
  <c r="Q90" i="68"/>
  <c r="Q126" i="6"/>
  <c r="Q47" i="68"/>
  <c r="Q9" i="68"/>
  <c r="K131" i="40"/>
  <c r="L135" i="40"/>
  <c r="L136" i="40" s="1"/>
  <c r="S59" i="11"/>
  <c r="S45" i="11"/>
  <c r="S69" i="11"/>
  <c r="S39" i="11"/>
  <c r="T32" i="11"/>
  <c r="S30" i="11"/>
  <c r="S81" i="11"/>
  <c r="S52" i="11"/>
  <c r="S37" i="11"/>
  <c r="P40" i="8"/>
  <c r="P41" i="8"/>
  <c r="G51" i="6"/>
  <c r="Q170" i="40"/>
  <c r="Q151" i="40"/>
  <c r="Q139" i="40"/>
  <c r="Q12" i="13"/>
  <c r="Q116" i="40"/>
  <c r="Q4" i="13"/>
  <c r="Q29" i="7"/>
  <c r="Q30" i="13"/>
  <c r="Q7" i="9"/>
  <c r="Q16" i="9"/>
  <c r="Q12" i="7"/>
  <c r="Q4" i="7"/>
  <c r="Q76" i="8"/>
  <c r="Q34" i="9"/>
  <c r="Q79" i="8"/>
  <c r="Q40" i="39"/>
  <c r="Q32" i="39"/>
  <c r="Q57" i="8"/>
  <c r="Q21" i="8"/>
  <c r="Q49" i="39"/>
  <c r="Q170" i="33"/>
  <c r="Q43" i="8"/>
  <c r="Q32" i="8"/>
  <c r="Q12" i="39"/>
  <c r="Q174" i="33"/>
  <c r="Q247" i="33"/>
  <c r="Q57" i="33"/>
  <c r="Q67" i="33"/>
  <c r="Q18" i="33"/>
  <c r="Q13" i="8"/>
  <c r="Q213" i="33"/>
  <c r="Q101" i="33"/>
  <c r="Q135" i="33"/>
  <c r="Q39" i="33"/>
  <c r="Q41" i="38"/>
  <c r="Q134" i="6"/>
  <c r="Q164" i="6"/>
  <c r="Q114" i="6"/>
  <c r="Q98" i="6"/>
  <c r="Q65" i="38"/>
  <c r="Q19" i="38"/>
  <c r="Q120" i="6"/>
  <c r="Q9" i="38"/>
  <c r="Q80" i="6"/>
  <c r="Q89" i="38"/>
  <c r="Q110" i="6"/>
  <c r="P5" i="67" s="1"/>
  <c r="Q73" i="6"/>
  <c r="Q54" i="6"/>
  <c r="R30" i="6"/>
  <c r="Q46" i="6"/>
  <c r="B261" i="33"/>
  <c r="B227" i="33"/>
  <c r="B115" i="33"/>
  <c r="B149" i="33"/>
  <c r="B188" i="33"/>
  <c r="B81" i="33"/>
  <c r="P166" i="6"/>
  <c r="P165" i="6"/>
  <c r="P168" i="6"/>
  <c r="P167" i="6"/>
  <c r="B178" i="6"/>
  <c r="P36" i="9"/>
  <c r="P35" i="9"/>
  <c r="M133" i="40"/>
  <c r="M134" i="40"/>
  <c r="P29" i="8"/>
  <c r="P30" i="8"/>
  <c r="L137" i="40"/>
  <c r="P63" i="33" l="1"/>
  <c r="P64" i="33" s="1"/>
  <c r="G47" i="38"/>
  <c r="G49" i="38"/>
  <c r="G96" i="38"/>
  <c r="G97" i="38"/>
  <c r="G95" i="38"/>
  <c r="G28" i="38"/>
  <c r="G74" i="38" s="1"/>
  <c r="G48" i="38"/>
  <c r="G71" i="38"/>
  <c r="G72" i="38"/>
  <c r="P210" i="33"/>
  <c r="P211" i="33" s="1"/>
  <c r="F72" i="38"/>
  <c r="F96" i="38"/>
  <c r="F27" i="38"/>
  <c r="F73" i="38" s="1"/>
  <c r="D74" i="38"/>
  <c r="D50" i="38"/>
  <c r="D98" i="38"/>
  <c r="C30" i="38"/>
  <c r="C51" i="38"/>
  <c r="C99" i="38"/>
  <c r="C75" i="38"/>
  <c r="Q37" i="46"/>
  <c r="Q37" i="62"/>
  <c r="E51" i="38"/>
  <c r="E75" i="38"/>
  <c r="E30" i="38"/>
  <c r="E99" i="38"/>
  <c r="H27" i="38"/>
  <c r="H96" i="38"/>
  <c r="H72" i="38"/>
  <c r="H48" i="38"/>
  <c r="D99" i="38"/>
  <c r="D51" i="38"/>
  <c r="D30" i="38"/>
  <c r="D75" i="38"/>
  <c r="R90" i="68"/>
  <c r="R126" i="6"/>
  <c r="R47" i="68"/>
  <c r="R9" i="68"/>
  <c r="M135" i="40"/>
  <c r="M136" i="40" s="1"/>
  <c r="L131" i="40"/>
  <c r="R170" i="40"/>
  <c r="R151" i="40"/>
  <c r="R116" i="40"/>
  <c r="R139" i="40"/>
  <c r="R12" i="13"/>
  <c r="R34" i="9"/>
  <c r="R4" i="13"/>
  <c r="R30" i="13"/>
  <c r="R12" i="7"/>
  <c r="R7" i="9"/>
  <c r="R16" i="9"/>
  <c r="R4" i="7"/>
  <c r="R76" i="8"/>
  <c r="R79" i="8"/>
  <c r="R29" i="7"/>
  <c r="R57" i="8"/>
  <c r="R40" i="39"/>
  <c r="R32" i="39"/>
  <c r="R247" i="33"/>
  <c r="R21" i="8"/>
  <c r="R49" i="39"/>
  <c r="R43" i="8"/>
  <c r="R32" i="8"/>
  <c r="R13" i="8"/>
  <c r="R12" i="39"/>
  <c r="R135" i="33"/>
  <c r="R174" i="33"/>
  <c r="R213" i="33"/>
  <c r="R170" i="33"/>
  <c r="R67" i="33"/>
  <c r="R18" i="33"/>
  <c r="R101" i="33"/>
  <c r="R39" i="33"/>
  <c r="R57" i="33"/>
  <c r="R41" i="38"/>
  <c r="R89" i="38"/>
  <c r="R65" i="38"/>
  <c r="R164" i="6"/>
  <c r="R114" i="6"/>
  <c r="R98" i="6"/>
  <c r="R73" i="6"/>
  <c r="R19" i="38"/>
  <c r="R120" i="6"/>
  <c r="R9" i="38"/>
  <c r="R110" i="6"/>
  <c r="Q5" i="67" s="1"/>
  <c r="R80" i="6"/>
  <c r="R54" i="6"/>
  <c r="R134" i="6"/>
  <c r="R46" i="6"/>
  <c r="S30" i="6"/>
  <c r="Q29" i="8"/>
  <c r="Q30" i="8"/>
  <c r="B262" i="33"/>
  <c r="B189" i="33"/>
  <c r="B228" i="33"/>
  <c r="B116" i="33"/>
  <c r="B150" i="33"/>
  <c r="B82" i="33"/>
  <c r="B179" i="6"/>
  <c r="Q165" i="6"/>
  <c r="Q168" i="6"/>
  <c r="Q167" i="6"/>
  <c r="Q169" i="6"/>
  <c r="Q166" i="6"/>
  <c r="Q36" i="9"/>
  <c r="Q35" i="9"/>
  <c r="G52" i="6"/>
  <c r="Q40" i="8"/>
  <c r="Q41" i="8"/>
  <c r="U32" i="11"/>
  <c r="T30" i="11"/>
  <c r="T59" i="11"/>
  <c r="T45" i="11"/>
  <c r="T81" i="11"/>
  <c r="T52" i="11"/>
  <c r="T37" i="11"/>
  <c r="T69" i="11"/>
  <c r="T39" i="11"/>
  <c r="M137" i="40"/>
  <c r="Q63" i="33" l="1"/>
  <c r="Q64" i="33" s="1"/>
  <c r="Q210" i="33"/>
  <c r="Q211" i="33" s="1"/>
  <c r="G98" i="38"/>
  <c r="G50" i="38"/>
  <c r="G29" i="38"/>
  <c r="G51" i="38" s="1"/>
  <c r="F28" i="38"/>
  <c r="F98" i="38" s="1"/>
  <c r="F49" i="38"/>
  <c r="F97" i="38"/>
  <c r="R37" i="46"/>
  <c r="R37" i="62"/>
  <c r="C52" i="38"/>
  <c r="C76" i="38"/>
  <c r="C31" i="38"/>
  <c r="C100" i="38"/>
  <c r="E76" i="38"/>
  <c r="E100" i="38"/>
  <c r="E31" i="38"/>
  <c r="E52" i="38"/>
  <c r="D100" i="38"/>
  <c r="D52" i="38"/>
  <c r="D76" i="38"/>
  <c r="D31" i="38"/>
  <c r="H97" i="38"/>
  <c r="H49" i="38"/>
  <c r="H73" i="38"/>
  <c r="H28" i="38"/>
  <c r="S90" i="68"/>
  <c r="S126" i="6"/>
  <c r="S47" i="68"/>
  <c r="S9" i="68"/>
  <c r="M131" i="40"/>
  <c r="R41" i="8"/>
  <c r="R40" i="8"/>
  <c r="B83" i="33"/>
  <c r="B151" i="33"/>
  <c r="B190" i="33"/>
  <c r="B229" i="33"/>
  <c r="B117" i="33"/>
  <c r="B263" i="33"/>
  <c r="B180" i="6"/>
  <c r="R170" i="6"/>
  <c r="R165" i="6"/>
  <c r="R168" i="6"/>
  <c r="R167" i="6"/>
  <c r="R169" i="6"/>
  <c r="R166" i="6"/>
  <c r="R36" i="9"/>
  <c r="R35" i="9"/>
  <c r="R30" i="8"/>
  <c r="R29" i="8"/>
  <c r="U81" i="11"/>
  <c r="U52" i="11"/>
  <c r="U37" i="11"/>
  <c r="U30" i="11"/>
  <c r="U69" i="11"/>
  <c r="U39" i="11"/>
  <c r="V32" i="11"/>
  <c r="U59" i="11"/>
  <c r="U45" i="11"/>
  <c r="S139" i="40"/>
  <c r="S151" i="40"/>
  <c r="S170" i="40"/>
  <c r="S4" i="13"/>
  <c r="S116" i="40"/>
  <c r="S30" i="13"/>
  <c r="S7" i="9"/>
  <c r="S12" i="13"/>
  <c r="S16" i="9"/>
  <c r="S34" i="9"/>
  <c r="S29" i="7"/>
  <c r="S12" i="7"/>
  <c r="S79" i="8"/>
  <c r="S43" i="8"/>
  <c r="S57" i="8"/>
  <c r="S76" i="8"/>
  <c r="S21" i="8"/>
  <c r="S49" i="39"/>
  <c r="S4" i="7"/>
  <c r="S32" i="8"/>
  <c r="S13" i="8"/>
  <c r="S174" i="33"/>
  <c r="S12" i="39"/>
  <c r="S213" i="33"/>
  <c r="S40" i="39"/>
  <c r="S32" i="39"/>
  <c r="S247" i="33"/>
  <c r="S170" i="33"/>
  <c r="S101" i="33"/>
  <c r="S39" i="33"/>
  <c r="S135" i="33"/>
  <c r="S57" i="33"/>
  <c r="S89" i="38"/>
  <c r="S67" i="33"/>
  <c r="S18" i="33"/>
  <c r="S41" i="38"/>
  <c r="S65" i="38"/>
  <c r="S19" i="38"/>
  <c r="S120" i="6"/>
  <c r="S46" i="6"/>
  <c r="S9" i="38"/>
  <c r="S110" i="6"/>
  <c r="R5" i="67" s="1"/>
  <c r="S134" i="6"/>
  <c r="S80" i="6"/>
  <c r="S164" i="6"/>
  <c r="S98" i="6"/>
  <c r="S73" i="6"/>
  <c r="S114" i="6"/>
  <c r="T30" i="6"/>
  <c r="S54" i="6"/>
  <c r="R63" i="33" l="1"/>
  <c r="R64" i="33" s="1"/>
  <c r="R210" i="33"/>
  <c r="R211" i="33" s="1"/>
  <c r="G99" i="38"/>
  <c r="G30" i="38"/>
  <c r="G52" i="38" s="1"/>
  <c r="G75" i="38"/>
  <c r="F50" i="38"/>
  <c r="F29" i="38"/>
  <c r="F75" i="38" s="1"/>
  <c r="F74" i="38"/>
  <c r="S37" i="46"/>
  <c r="S37" i="62"/>
  <c r="C53" i="38"/>
  <c r="C77" i="38"/>
  <c r="C32" i="38"/>
  <c r="C101" i="38"/>
  <c r="E101" i="38"/>
  <c r="E77" i="38"/>
  <c r="E32" i="38"/>
  <c r="E53" i="38"/>
  <c r="H98" i="38"/>
  <c r="H74" i="38"/>
  <c r="H50" i="38"/>
  <c r="H29" i="38"/>
  <c r="D53" i="38"/>
  <c r="D101" i="38"/>
  <c r="D32" i="38"/>
  <c r="D77" i="38"/>
  <c r="T90" i="68"/>
  <c r="T126" i="6"/>
  <c r="T47" i="68"/>
  <c r="T9" i="68"/>
  <c r="S36" i="9"/>
  <c r="S35" i="9"/>
  <c r="B264" i="33"/>
  <c r="B152" i="33"/>
  <c r="B191" i="33"/>
  <c r="B230" i="33"/>
  <c r="B84" i="33"/>
  <c r="B118" i="33"/>
  <c r="B181" i="6"/>
  <c r="S168" i="6"/>
  <c r="S167" i="6"/>
  <c r="S169" i="6"/>
  <c r="S166" i="6"/>
  <c r="S171" i="6"/>
  <c r="S170" i="6"/>
  <c r="S165" i="6"/>
  <c r="V69" i="11"/>
  <c r="V39" i="11"/>
  <c r="V52" i="11"/>
  <c r="V59" i="11"/>
  <c r="V45" i="11"/>
  <c r="V81" i="11"/>
  <c r="V37" i="11"/>
  <c r="W32" i="11"/>
  <c r="V30" i="11"/>
  <c r="S29" i="8"/>
  <c r="S30" i="8"/>
  <c r="T170" i="40"/>
  <c r="T151" i="40"/>
  <c r="T139" i="40"/>
  <c r="T116" i="40"/>
  <c r="T30" i="13"/>
  <c r="T12" i="13"/>
  <c r="T16" i="9"/>
  <c r="T34" i="9"/>
  <c r="T29" i="7"/>
  <c r="T7" i="9"/>
  <c r="T57" i="8"/>
  <c r="T4" i="7"/>
  <c r="T76" i="8"/>
  <c r="T4" i="13"/>
  <c r="T79" i="8"/>
  <c r="T32" i="8"/>
  <c r="T13" i="8"/>
  <c r="T12" i="39"/>
  <c r="T43" i="8"/>
  <c r="T12" i="7"/>
  <c r="T40" i="39"/>
  <c r="T32" i="39"/>
  <c r="T247" i="33"/>
  <c r="T21" i="8"/>
  <c r="T49" i="39"/>
  <c r="T213" i="33"/>
  <c r="T101" i="33"/>
  <c r="T170" i="33"/>
  <c r="T135" i="33"/>
  <c r="T174" i="33"/>
  <c r="T39" i="33"/>
  <c r="T57" i="33"/>
  <c r="T67" i="33"/>
  <c r="T18" i="33"/>
  <c r="T65" i="38"/>
  <c r="T19" i="38"/>
  <c r="T89" i="38"/>
  <c r="T9" i="38"/>
  <c r="T110" i="6"/>
  <c r="S5" i="67" s="1"/>
  <c r="T80" i="6"/>
  <c r="T54" i="6"/>
  <c r="T41" i="38"/>
  <c r="T134" i="6"/>
  <c r="T164" i="6"/>
  <c r="T114" i="6"/>
  <c r="T98" i="6"/>
  <c r="T73" i="6"/>
  <c r="T46" i="6"/>
  <c r="T120" i="6"/>
  <c r="U30" i="6"/>
  <c r="S40" i="8"/>
  <c r="S41" i="8"/>
  <c r="S63" i="33" l="1"/>
  <c r="S64" i="33" s="1"/>
  <c r="S210" i="33"/>
  <c r="S211" i="33" s="1"/>
  <c r="G100" i="38"/>
  <c r="G31" i="38"/>
  <c r="G101" i="38" s="1"/>
  <c r="G76" i="38"/>
  <c r="F30" i="38"/>
  <c r="F31" i="38" s="1"/>
  <c r="F77" i="38" s="1"/>
  <c r="F51" i="38"/>
  <c r="F99" i="38"/>
  <c r="T37" i="46"/>
  <c r="T37" i="62"/>
  <c r="C78" i="38"/>
  <c r="C33" i="38"/>
  <c r="C102" i="38"/>
  <c r="C54" i="38"/>
  <c r="E54" i="38"/>
  <c r="E33" i="38"/>
  <c r="E102" i="38"/>
  <c r="E78" i="38"/>
  <c r="D78" i="38"/>
  <c r="D33" i="38"/>
  <c r="D54" i="38"/>
  <c r="D102" i="38"/>
  <c r="H30" i="38"/>
  <c r="H99" i="38"/>
  <c r="H51" i="38"/>
  <c r="H75" i="38"/>
  <c r="U90" i="68"/>
  <c r="U126" i="6"/>
  <c r="U47" i="68"/>
  <c r="U9" i="68"/>
  <c r="T36" i="9"/>
  <c r="T35" i="9"/>
  <c r="W59" i="11"/>
  <c r="W45" i="11"/>
  <c r="X32" i="11"/>
  <c r="W30" i="11"/>
  <c r="W69" i="11"/>
  <c r="W39" i="11"/>
  <c r="W81" i="11"/>
  <c r="W52" i="11"/>
  <c r="W37" i="11"/>
  <c r="U170" i="40"/>
  <c r="U139" i="40"/>
  <c r="U151" i="40"/>
  <c r="U12" i="13"/>
  <c r="U34" i="9"/>
  <c r="U4" i="13"/>
  <c r="U30" i="13"/>
  <c r="U29" i="7"/>
  <c r="U116" i="40"/>
  <c r="U7" i="9"/>
  <c r="U16" i="9"/>
  <c r="U4" i="7"/>
  <c r="U76" i="8"/>
  <c r="U12" i="7"/>
  <c r="U79" i="8"/>
  <c r="U43" i="8"/>
  <c r="U57" i="8"/>
  <c r="U40" i="39"/>
  <c r="U32" i="39"/>
  <c r="U21" i="8"/>
  <c r="U49" i="39"/>
  <c r="U12" i="39"/>
  <c r="U170" i="33"/>
  <c r="U32" i="8"/>
  <c r="U247" i="33"/>
  <c r="U13" i="8"/>
  <c r="U174" i="33"/>
  <c r="U57" i="33"/>
  <c r="U213" i="33"/>
  <c r="U135" i="33"/>
  <c r="U67" i="33"/>
  <c r="U18" i="33"/>
  <c r="U101" i="33"/>
  <c r="U39" i="33"/>
  <c r="U89" i="38"/>
  <c r="U41" i="38"/>
  <c r="U19" i="38"/>
  <c r="U134" i="6"/>
  <c r="U65" i="38"/>
  <c r="U164" i="6"/>
  <c r="U114" i="6"/>
  <c r="U98" i="6"/>
  <c r="U120" i="6"/>
  <c r="U73" i="6"/>
  <c r="U46" i="6"/>
  <c r="U110" i="6"/>
  <c r="T5" i="67" s="1"/>
  <c r="U54" i="6"/>
  <c r="U9" i="38"/>
  <c r="U80" i="6"/>
  <c r="V30" i="6"/>
  <c r="B265" i="33"/>
  <c r="B153" i="33"/>
  <c r="B192" i="33"/>
  <c r="B231" i="33"/>
  <c r="B85" i="33"/>
  <c r="B119" i="33"/>
  <c r="T169" i="6"/>
  <c r="T166" i="6"/>
  <c r="B182" i="6"/>
  <c r="T172" i="6"/>
  <c r="T171" i="6"/>
  <c r="T170" i="6"/>
  <c r="T165" i="6"/>
  <c r="T168" i="6"/>
  <c r="T167" i="6"/>
  <c r="T29" i="8"/>
  <c r="T30" i="8"/>
  <c r="T41" i="8"/>
  <c r="T40" i="8"/>
  <c r="T63" i="33" l="1"/>
  <c r="T64" i="33" s="1"/>
  <c r="G32" i="38"/>
  <c r="G102" i="38" s="1"/>
  <c r="G77" i="38"/>
  <c r="T210" i="33"/>
  <c r="T211" i="33" s="1"/>
  <c r="G53" i="38"/>
  <c r="F32" i="38"/>
  <c r="F54" i="38" s="1"/>
  <c r="F101" i="38"/>
  <c r="F76" i="38"/>
  <c r="F53" i="38"/>
  <c r="F52" i="38"/>
  <c r="F100" i="38"/>
  <c r="C55" i="38"/>
  <c r="C103" i="38"/>
  <c r="C79" i="38"/>
  <c r="C34" i="38"/>
  <c r="U37" i="46"/>
  <c r="U37" i="62"/>
  <c r="E79" i="38"/>
  <c r="E34" i="38"/>
  <c r="E103" i="38"/>
  <c r="E55" i="38"/>
  <c r="D103" i="38"/>
  <c r="D79" i="38"/>
  <c r="D34" i="38"/>
  <c r="D55" i="38"/>
  <c r="H31" i="38"/>
  <c r="H76" i="38"/>
  <c r="H52" i="38"/>
  <c r="H100" i="38"/>
  <c r="V90" i="68"/>
  <c r="V126" i="6"/>
  <c r="V47" i="68"/>
  <c r="V9" i="68"/>
  <c r="U36" i="9"/>
  <c r="U35" i="9"/>
  <c r="V139" i="40"/>
  <c r="V116" i="40"/>
  <c r="V170" i="40"/>
  <c r="V12" i="13"/>
  <c r="V34" i="9"/>
  <c r="V151" i="40"/>
  <c r="V4" i="13"/>
  <c r="V30" i="13"/>
  <c r="V12" i="7"/>
  <c r="V7" i="9"/>
  <c r="V16" i="9"/>
  <c r="V4" i="7"/>
  <c r="V76" i="8"/>
  <c r="V29" i="7"/>
  <c r="V79" i="8"/>
  <c r="V57" i="8"/>
  <c r="V40" i="39"/>
  <c r="V32" i="39"/>
  <c r="V247" i="33"/>
  <c r="V21" i="8"/>
  <c r="V49" i="39"/>
  <c r="V32" i="8"/>
  <c r="V13" i="8"/>
  <c r="V12" i="39"/>
  <c r="V43" i="8"/>
  <c r="V135" i="33"/>
  <c r="V174" i="33"/>
  <c r="V213" i="33"/>
  <c r="V67" i="33"/>
  <c r="V18" i="33"/>
  <c r="V101" i="33"/>
  <c r="V39" i="33"/>
  <c r="V170" i="33"/>
  <c r="V57" i="33"/>
  <c r="V41" i="38"/>
  <c r="V65" i="38"/>
  <c r="V164" i="6"/>
  <c r="V114" i="6"/>
  <c r="V98" i="6"/>
  <c r="V73" i="6"/>
  <c r="V120" i="6"/>
  <c r="V89" i="38"/>
  <c r="V9" i="38"/>
  <c r="V110" i="6"/>
  <c r="U5" i="67" s="1"/>
  <c r="V80" i="6"/>
  <c r="V54" i="6"/>
  <c r="V19" i="38"/>
  <c r="V134" i="6"/>
  <c r="V46" i="6"/>
  <c r="W30" i="6"/>
  <c r="B86" i="33"/>
  <c r="B154" i="33"/>
  <c r="B193" i="33"/>
  <c r="B232" i="33"/>
  <c r="B266" i="33"/>
  <c r="B120" i="33"/>
  <c r="U172" i="6"/>
  <c r="U171" i="6"/>
  <c r="U173" i="6"/>
  <c r="U170" i="6"/>
  <c r="U165" i="6"/>
  <c r="U168" i="6"/>
  <c r="U167" i="6"/>
  <c r="U169" i="6"/>
  <c r="U166" i="6"/>
  <c r="B183" i="6"/>
  <c r="U40" i="8"/>
  <c r="U41" i="8"/>
  <c r="U29" i="8"/>
  <c r="U30" i="8"/>
  <c r="Y32" i="11"/>
  <c r="X30" i="11"/>
  <c r="X81" i="11"/>
  <c r="X52" i="11"/>
  <c r="X37" i="11"/>
  <c r="X59" i="11"/>
  <c r="X45" i="11"/>
  <c r="X69" i="11"/>
  <c r="X39" i="11"/>
  <c r="U63" i="33" l="1"/>
  <c r="U64" i="33" s="1"/>
  <c r="G78" i="38"/>
  <c r="G33" i="38"/>
  <c r="G55" i="38" s="1"/>
  <c r="G54" i="38"/>
  <c r="U210" i="33"/>
  <c r="U211" i="33" s="1"/>
  <c r="F78" i="38"/>
  <c r="F102" i="38"/>
  <c r="F33" i="38"/>
  <c r="F55" i="38" s="1"/>
  <c r="C80" i="38"/>
  <c r="C35" i="38"/>
  <c r="C56" i="38"/>
  <c r="C104" i="38"/>
  <c r="V37" i="46"/>
  <c r="V37" i="62"/>
  <c r="E56" i="38"/>
  <c r="E35" i="38"/>
  <c r="E80" i="38"/>
  <c r="E104" i="38"/>
  <c r="D56" i="38"/>
  <c r="D104" i="38"/>
  <c r="D35" i="38"/>
  <c r="D80" i="38"/>
  <c r="H32" i="38"/>
  <c r="H101" i="38"/>
  <c r="H53" i="38"/>
  <c r="H77" i="38"/>
  <c r="W90" i="68"/>
  <c r="W126" i="6"/>
  <c r="W47" i="68"/>
  <c r="W9" i="68"/>
  <c r="W139" i="40"/>
  <c r="W170" i="40"/>
  <c r="W151" i="40"/>
  <c r="W4" i="13"/>
  <c r="W30" i="13"/>
  <c r="W116" i="40"/>
  <c r="W12" i="13"/>
  <c r="W34" i="9"/>
  <c r="W7" i="9"/>
  <c r="W16" i="9"/>
  <c r="W29" i="7"/>
  <c r="W79" i="8"/>
  <c r="W43" i="8"/>
  <c r="W12" i="7"/>
  <c r="W57" i="8"/>
  <c r="W4" i="7"/>
  <c r="W21" i="8"/>
  <c r="W49" i="39"/>
  <c r="W32" i="8"/>
  <c r="W13" i="8"/>
  <c r="W247" i="33"/>
  <c r="W174" i="33"/>
  <c r="W76" i="8"/>
  <c r="W40" i="39"/>
  <c r="W32" i="39"/>
  <c r="W213" i="33"/>
  <c r="W170" i="33"/>
  <c r="W135" i="33"/>
  <c r="W101" i="33"/>
  <c r="W39" i="33"/>
  <c r="W57" i="33"/>
  <c r="W12" i="39"/>
  <c r="W67" i="33"/>
  <c r="W89" i="38"/>
  <c r="W18" i="33"/>
  <c r="W41" i="38"/>
  <c r="W65" i="38"/>
  <c r="W19" i="38"/>
  <c r="W120" i="6"/>
  <c r="W46" i="6"/>
  <c r="W9" i="38"/>
  <c r="W110" i="6"/>
  <c r="V5" i="67" s="1"/>
  <c r="W134" i="6"/>
  <c r="W164" i="6"/>
  <c r="W98" i="6"/>
  <c r="W54" i="6"/>
  <c r="W114" i="6"/>
  <c r="W80" i="6"/>
  <c r="W73" i="6"/>
  <c r="X30" i="6"/>
  <c r="V30" i="8"/>
  <c r="V29" i="8"/>
  <c r="V40" i="8"/>
  <c r="V41" i="8"/>
  <c r="V36" i="9"/>
  <c r="V35" i="9"/>
  <c r="Y81" i="11"/>
  <c r="Y52" i="11"/>
  <c r="Y37" i="11"/>
  <c r="Y69" i="11"/>
  <c r="Y39" i="11"/>
  <c r="Z32" i="11"/>
  <c r="Y30" i="11"/>
  <c r="Y59" i="11"/>
  <c r="Y45" i="11"/>
  <c r="B233" i="33"/>
  <c r="B267" i="33"/>
  <c r="B194" i="33"/>
  <c r="B155" i="33"/>
  <c r="B87" i="33"/>
  <c r="B121" i="33"/>
  <c r="V173" i="6"/>
  <c r="V170" i="6"/>
  <c r="V165" i="6"/>
  <c r="V168" i="6"/>
  <c r="V167" i="6"/>
  <c r="B184" i="6"/>
  <c r="V174" i="6"/>
  <c r="V169" i="6"/>
  <c r="V166" i="6"/>
  <c r="V171" i="6"/>
  <c r="V172" i="6"/>
  <c r="V63" i="33" l="1"/>
  <c r="V64" i="33" s="1"/>
  <c r="V210" i="33"/>
  <c r="V211" i="33" s="1"/>
  <c r="G34" i="38"/>
  <c r="G80" i="38" s="1"/>
  <c r="G103" i="38"/>
  <c r="G79" i="38"/>
  <c r="F79" i="38"/>
  <c r="F103" i="38"/>
  <c r="F34" i="38"/>
  <c r="F56" i="38" s="1"/>
  <c r="C105" i="38"/>
  <c r="C57" i="38"/>
  <c r="C81" i="38"/>
  <c r="C36" i="38"/>
  <c r="W37" i="46"/>
  <c r="W37" i="62"/>
  <c r="E105" i="38"/>
  <c r="E57" i="38"/>
  <c r="E81" i="38"/>
  <c r="E36" i="38"/>
  <c r="D36" i="38"/>
  <c r="D57" i="38"/>
  <c r="D105" i="38"/>
  <c r="D81" i="38"/>
  <c r="H54" i="38"/>
  <c r="H78" i="38"/>
  <c r="H33" i="38"/>
  <c r="H102" i="38"/>
  <c r="X90" i="68"/>
  <c r="X126" i="6"/>
  <c r="X47" i="68"/>
  <c r="X9" i="68"/>
  <c r="W30" i="8"/>
  <c r="W29" i="8"/>
  <c r="W36" i="9"/>
  <c r="W35" i="9"/>
  <c r="X170" i="40"/>
  <c r="X151" i="40"/>
  <c r="X30" i="13"/>
  <c r="X116" i="40"/>
  <c r="X12" i="13"/>
  <c r="X139" i="40"/>
  <c r="X16" i="9"/>
  <c r="X29" i="7"/>
  <c r="X4" i="13"/>
  <c r="X12" i="7"/>
  <c r="X57" i="8"/>
  <c r="X34" i="9"/>
  <c r="X4" i="7"/>
  <c r="X76" i="8"/>
  <c r="X7" i="9"/>
  <c r="X32" i="8"/>
  <c r="X13" i="8"/>
  <c r="X12" i="39"/>
  <c r="X43" i="8"/>
  <c r="X40" i="39"/>
  <c r="X32" i="39"/>
  <c r="X247" i="33"/>
  <c r="X213" i="33"/>
  <c r="X101" i="33"/>
  <c r="X79" i="8"/>
  <c r="X170" i="33"/>
  <c r="X135" i="33"/>
  <c r="X39" i="33"/>
  <c r="X57" i="33"/>
  <c r="X67" i="33"/>
  <c r="X18" i="33"/>
  <c r="X21" i="8"/>
  <c r="X49" i="39"/>
  <c r="X174" i="33"/>
  <c r="X65" i="38"/>
  <c r="X19" i="38"/>
  <c r="X89" i="38"/>
  <c r="X41" i="38"/>
  <c r="X9" i="38"/>
  <c r="X110" i="6"/>
  <c r="W5" i="67" s="1"/>
  <c r="X80" i="6"/>
  <c r="X54" i="6"/>
  <c r="X134" i="6"/>
  <c r="X164" i="6"/>
  <c r="X114" i="6"/>
  <c r="X98" i="6"/>
  <c r="X73" i="6"/>
  <c r="X120" i="6"/>
  <c r="Y30" i="6"/>
  <c r="X46" i="6"/>
  <c r="B268" i="33"/>
  <c r="B122" i="33"/>
  <c r="B234" i="33"/>
  <c r="B156" i="33"/>
  <c r="B195" i="33"/>
  <c r="B88" i="33"/>
  <c r="W175" i="6"/>
  <c r="W168" i="6"/>
  <c r="W167" i="6"/>
  <c r="W174" i="6"/>
  <c r="W169" i="6"/>
  <c r="W166" i="6"/>
  <c r="B185" i="6"/>
  <c r="W172" i="6"/>
  <c r="W171" i="6"/>
  <c r="W170" i="6"/>
  <c r="W165" i="6"/>
  <c r="W173" i="6"/>
  <c r="Z69" i="11"/>
  <c r="Z39" i="11"/>
  <c r="Z37" i="11"/>
  <c r="Z59" i="11"/>
  <c r="Z45" i="11"/>
  <c r="Z81" i="11"/>
  <c r="Z52" i="11"/>
  <c r="AA32" i="11"/>
  <c r="Z30" i="11"/>
  <c r="W40" i="8"/>
  <c r="W41" i="8"/>
  <c r="W63" i="33" l="1"/>
  <c r="W64" i="33" s="1"/>
  <c r="W210" i="33"/>
  <c r="W211" i="33" s="1"/>
  <c r="G56" i="38"/>
  <c r="G104" i="38"/>
  <c r="G35" i="38"/>
  <c r="G57" i="38" s="1"/>
  <c r="F35" i="38"/>
  <c r="F81" i="38" s="1"/>
  <c r="F104" i="38"/>
  <c r="F80" i="38"/>
  <c r="X37" i="46"/>
  <c r="X37" i="62"/>
  <c r="C82" i="38"/>
  <c r="C106" i="38"/>
  <c r="C37" i="38"/>
  <c r="C58" i="38"/>
  <c r="E58" i="38"/>
  <c r="E37" i="38"/>
  <c r="E82" i="38"/>
  <c r="E106" i="38"/>
  <c r="H34" i="38"/>
  <c r="H55" i="38"/>
  <c r="H103" i="38"/>
  <c r="H79" i="38"/>
  <c r="D106" i="38"/>
  <c r="D82" i="38"/>
  <c r="D37" i="38"/>
  <c r="D58" i="38"/>
  <c r="Y90" i="68"/>
  <c r="Y126" i="6"/>
  <c r="Y47" i="68"/>
  <c r="Y9" i="68"/>
  <c r="AA59" i="11"/>
  <c r="AA45" i="11"/>
  <c r="AA69" i="11"/>
  <c r="AA39" i="11"/>
  <c r="AB32" i="11"/>
  <c r="AA30" i="11"/>
  <c r="AA81" i="11"/>
  <c r="AA52" i="11"/>
  <c r="AA37" i="11"/>
  <c r="Y151" i="40"/>
  <c r="Y170" i="40"/>
  <c r="Y139" i="40"/>
  <c r="Y116" i="40"/>
  <c r="Y12" i="13"/>
  <c r="Y34" i="9"/>
  <c r="Y4" i="13"/>
  <c r="Y29" i="7"/>
  <c r="Y7" i="9"/>
  <c r="Y4" i="7"/>
  <c r="Y76" i="8"/>
  <c r="Y30" i="13"/>
  <c r="Y79" i="8"/>
  <c r="Y16" i="9"/>
  <c r="Y57" i="8"/>
  <c r="Y12" i="7"/>
  <c r="Y43" i="8"/>
  <c r="Y40" i="39"/>
  <c r="Y32" i="39"/>
  <c r="Y21" i="8"/>
  <c r="Y49" i="39"/>
  <c r="Y32" i="8"/>
  <c r="Y170" i="33"/>
  <c r="Y13" i="8"/>
  <c r="Y12" i="39"/>
  <c r="Y174" i="33"/>
  <c r="Y213" i="33"/>
  <c r="Y101" i="33"/>
  <c r="Y57" i="33"/>
  <c r="Y67" i="33"/>
  <c r="Y18" i="33"/>
  <c r="Y247" i="33"/>
  <c r="Y135" i="33"/>
  <c r="Y39" i="33"/>
  <c r="Y89" i="38"/>
  <c r="Y41" i="38"/>
  <c r="Y65" i="38"/>
  <c r="Y134" i="6"/>
  <c r="Y164" i="6"/>
  <c r="Y114" i="6"/>
  <c r="Y98" i="6"/>
  <c r="Y19" i="38"/>
  <c r="Y120" i="6"/>
  <c r="Y110" i="6"/>
  <c r="X5" i="67" s="1"/>
  <c r="Y80" i="6"/>
  <c r="Y46" i="6"/>
  <c r="Y9" i="38"/>
  <c r="Y73" i="6"/>
  <c r="Z30" i="6"/>
  <c r="Y54" i="6"/>
  <c r="B269" i="33"/>
  <c r="B123" i="33"/>
  <c r="B235" i="33"/>
  <c r="B157" i="33"/>
  <c r="B89" i="33"/>
  <c r="B196" i="33"/>
  <c r="X174" i="6"/>
  <c r="X169" i="6"/>
  <c r="X166" i="6"/>
  <c r="X172" i="6"/>
  <c r="X171" i="6"/>
  <c r="X173" i="6"/>
  <c r="X170" i="6"/>
  <c r="X165" i="6"/>
  <c r="X176" i="6"/>
  <c r="B186" i="6"/>
  <c r="X175" i="6"/>
  <c r="X168" i="6"/>
  <c r="X167" i="6"/>
  <c r="X30" i="8"/>
  <c r="X29" i="8"/>
  <c r="X41" i="8"/>
  <c r="X40" i="8"/>
  <c r="X36" i="9"/>
  <c r="X35" i="9"/>
  <c r="X63" i="33" l="1"/>
  <c r="X64" i="33" s="1"/>
  <c r="X210" i="33"/>
  <c r="X211" i="33" s="1"/>
  <c r="G36" i="38"/>
  <c r="G37" i="38" s="1"/>
  <c r="G105" i="38"/>
  <c r="G81" i="38"/>
  <c r="F105" i="38"/>
  <c r="F57" i="38"/>
  <c r="F36" i="38"/>
  <c r="F82" i="38" s="1"/>
  <c r="Y37" i="46"/>
  <c r="Y37" i="62"/>
  <c r="C107" i="38"/>
  <c r="C38" i="38"/>
  <c r="C59" i="38"/>
  <c r="C83" i="38"/>
  <c r="E83" i="38"/>
  <c r="E38" i="38"/>
  <c r="E107" i="38"/>
  <c r="E59" i="38"/>
  <c r="D38" i="38"/>
  <c r="D107" i="38"/>
  <c r="D83" i="38"/>
  <c r="D59" i="38"/>
  <c r="H35" i="38"/>
  <c r="H104" i="38"/>
  <c r="H56" i="38"/>
  <c r="H80" i="38"/>
  <c r="Z90" i="68"/>
  <c r="Z126" i="6"/>
  <c r="Z47" i="68"/>
  <c r="Z9" i="68"/>
  <c r="Z170" i="40"/>
  <c r="Z139" i="40"/>
  <c r="Z116" i="40"/>
  <c r="Z151" i="40"/>
  <c r="Z12" i="13"/>
  <c r="Z34" i="9"/>
  <c r="Z4" i="13"/>
  <c r="Z30" i="13"/>
  <c r="Z12" i="7"/>
  <c r="Z7" i="9"/>
  <c r="Z16" i="9"/>
  <c r="Z29" i="7"/>
  <c r="Z4" i="7"/>
  <c r="Z76" i="8"/>
  <c r="Z79" i="8"/>
  <c r="Z57" i="8"/>
  <c r="Z43" i="8"/>
  <c r="Z40" i="39"/>
  <c r="Z32" i="39"/>
  <c r="Z247" i="33"/>
  <c r="Z21" i="8"/>
  <c r="Z49" i="39"/>
  <c r="Z32" i="8"/>
  <c r="Z13" i="8"/>
  <c r="Z12" i="39"/>
  <c r="Z135" i="33"/>
  <c r="Z174" i="33"/>
  <c r="Z213" i="33"/>
  <c r="Z67" i="33"/>
  <c r="Z18" i="33"/>
  <c r="Z170" i="33"/>
  <c r="Z39" i="33"/>
  <c r="Z101" i="33"/>
  <c r="Z57" i="33"/>
  <c r="Z89" i="38"/>
  <c r="Z41" i="38"/>
  <c r="Z65" i="38"/>
  <c r="Z164" i="6"/>
  <c r="Z114" i="6"/>
  <c r="Z98" i="6"/>
  <c r="Z73" i="6"/>
  <c r="Z19" i="38"/>
  <c r="Z120" i="6"/>
  <c r="Z9" i="38"/>
  <c r="Z110" i="6"/>
  <c r="Y5" i="67" s="1"/>
  <c r="Z80" i="6"/>
  <c r="Z54" i="6"/>
  <c r="Z134" i="6"/>
  <c r="Z46" i="6"/>
  <c r="AA30" i="6"/>
  <c r="B236" i="33"/>
  <c r="B197" i="33"/>
  <c r="B270" i="33"/>
  <c r="B90" i="33"/>
  <c r="B158" i="33"/>
  <c r="B124" i="33"/>
  <c r="Y172" i="6"/>
  <c r="Y171" i="6"/>
  <c r="B187" i="6"/>
  <c r="Y173" i="6"/>
  <c r="Y170" i="6"/>
  <c r="Y165" i="6"/>
  <c r="Y176" i="6"/>
  <c r="Y175" i="6"/>
  <c r="Y168" i="6"/>
  <c r="Y167" i="6"/>
  <c r="Y174" i="6"/>
  <c r="Y177" i="6"/>
  <c r="Y169" i="6"/>
  <c r="Y166" i="6"/>
  <c r="Y63" i="33"/>
  <c r="Y64" i="33" s="1"/>
  <c r="Y41" i="8"/>
  <c r="Y40" i="8"/>
  <c r="AC32" i="11"/>
  <c r="AB30" i="11"/>
  <c r="AB59" i="11"/>
  <c r="AB45" i="11"/>
  <c r="AB81" i="11"/>
  <c r="AB52" i="11"/>
  <c r="AB37" i="11"/>
  <c r="AB69" i="11"/>
  <c r="AB39" i="11"/>
  <c r="Y36" i="9"/>
  <c r="Y35" i="9"/>
  <c r="Y29" i="8"/>
  <c r="Y30" i="8"/>
  <c r="Y210" i="33" l="1"/>
  <c r="Y211" i="33" s="1"/>
  <c r="G82" i="38"/>
  <c r="G58" i="38"/>
  <c r="G106" i="38"/>
  <c r="F58" i="38"/>
  <c r="F37" i="38"/>
  <c r="F38" i="38" s="1"/>
  <c r="F60" i="38" s="1"/>
  <c r="F106" i="38"/>
  <c r="C84" i="38"/>
  <c r="C39" i="38"/>
  <c r="C108" i="38"/>
  <c r="C60" i="38"/>
  <c r="Z37" i="46"/>
  <c r="Z37" i="62"/>
  <c r="E84" i="38"/>
  <c r="E108" i="38"/>
  <c r="E60" i="38"/>
  <c r="E39" i="38"/>
  <c r="H57" i="38"/>
  <c r="H36" i="38"/>
  <c r="H105" i="38"/>
  <c r="H81" i="38"/>
  <c r="D84" i="38"/>
  <c r="D108" i="38"/>
  <c r="D39" i="38"/>
  <c r="D60" i="38"/>
  <c r="G59" i="38"/>
  <c r="G83" i="38"/>
  <c r="G38" i="38"/>
  <c r="G107" i="38"/>
  <c r="AA90" i="68"/>
  <c r="AA126" i="6"/>
  <c r="AA47" i="68"/>
  <c r="AA9" i="68"/>
  <c r="Z63" i="33"/>
  <c r="Z64" i="33" s="1"/>
  <c r="Z29" i="8"/>
  <c r="Z30" i="8"/>
  <c r="AC81" i="11"/>
  <c r="AC52" i="11"/>
  <c r="AC37" i="11"/>
  <c r="AC69" i="11"/>
  <c r="AC39" i="11"/>
  <c r="AD32" i="11"/>
  <c r="AC30" i="11"/>
  <c r="AC59" i="11"/>
  <c r="AC45" i="11"/>
  <c r="Z40" i="8"/>
  <c r="Z41" i="8"/>
  <c r="AA139" i="40"/>
  <c r="AA170" i="40"/>
  <c r="AA151" i="40"/>
  <c r="AA4" i="13"/>
  <c r="AA30" i="13"/>
  <c r="AA116" i="40"/>
  <c r="AA7" i="9"/>
  <c r="AA16" i="9"/>
  <c r="AA34" i="9"/>
  <c r="AA29" i="7"/>
  <c r="AA79" i="8"/>
  <c r="AA43" i="8"/>
  <c r="AA12" i="13"/>
  <c r="AA57" i="8"/>
  <c r="AA12" i="7"/>
  <c r="AA21" i="8"/>
  <c r="AA49" i="39"/>
  <c r="AA32" i="8"/>
  <c r="AA13" i="8"/>
  <c r="AA12" i="39"/>
  <c r="AA76" i="8"/>
  <c r="AA40" i="39"/>
  <c r="AA32" i="39"/>
  <c r="AA174" i="33"/>
  <c r="AA213" i="33"/>
  <c r="AA247" i="33"/>
  <c r="AA170" i="33"/>
  <c r="AA4" i="7"/>
  <c r="AA39" i="33"/>
  <c r="AA135" i="33"/>
  <c r="AA101" i="33"/>
  <c r="AA57" i="33"/>
  <c r="AA18" i="33"/>
  <c r="AA89" i="38"/>
  <c r="AA67" i="33"/>
  <c r="AA41" i="38"/>
  <c r="AA65" i="38"/>
  <c r="AA19" i="38"/>
  <c r="AA120" i="6"/>
  <c r="AA46" i="6"/>
  <c r="AA9" i="38"/>
  <c r="AA110" i="6"/>
  <c r="Z5" i="67" s="1"/>
  <c r="AA134" i="6"/>
  <c r="AA114" i="6"/>
  <c r="AA80" i="6"/>
  <c r="AA73" i="6"/>
  <c r="AA164" i="6"/>
  <c r="AA98" i="6"/>
  <c r="AA54" i="6"/>
  <c r="AB30" i="6"/>
  <c r="B91" i="33"/>
  <c r="B271" i="33"/>
  <c r="B237" i="33"/>
  <c r="B159" i="33"/>
  <c r="B198" i="33"/>
  <c r="B125" i="33"/>
  <c r="B188" i="6"/>
  <c r="Z178" i="6"/>
  <c r="Z173" i="6"/>
  <c r="Z170" i="6"/>
  <c r="Z165" i="6"/>
  <c r="Z176" i="6"/>
  <c r="Z175" i="6"/>
  <c r="Z168" i="6"/>
  <c r="Z167" i="6"/>
  <c r="Z177" i="6"/>
  <c r="Z174" i="6"/>
  <c r="Z169" i="6"/>
  <c r="Z166" i="6"/>
  <c r="Z171" i="6"/>
  <c r="Z172" i="6"/>
  <c r="Z36" i="9"/>
  <c r="Z35" i="9"/>
  <c r="Z210" i="33" l="1"/>
  <c r="Z211" i="33" s="1"/>
  <c r="F59" i="38"/>
  <c r="F108" i="38"/>
  <c r="F84" i="38"/>
  <c r="F39" i="38"/>
  <c r="F85" i="38" s="1"/>
  <c r="F83" i="38"/>
  <c r="F107" i="38"/>
  <c r="C109" i="38"/>
  <c r="C110" i="38" s="1"/>
  <c r="C61" i="38"/>
  <c r="C62" i="38" s="1"/>
  <c r="C85" i="38"/>
  <c r="AA37" i="46"/>
  <c r="AA37" i="62"/>
  <c r="E109" i="38"/>
  <c r="E110" i="38" s="1"/>
  <c r="E85" i="38"/>
  <c r="E87" i="38" s="1"/>
  <c r="E143" i="6" s="1"/>
  <c r="E61" i="38"/>
  <c r="E62" i="38" s="1"/>
  <c r="D61" i="38"/>
  <c r="D85" i="38"/>
  <c r="D109" i="38"/>
  <c r="H106" i="38"/>
  <c r="H82" i="38"/>
  <c r="H37" i="38"/>
  <c r="H58" i="38"/>
  <c r="G39" i="38"/>
  <c r="G108" i="38"/>
  <c r="G84" i="38"/>
  <c r="G60" i="38"/>
  <c r="AB90" i="68"/>
  <c r="AB126" i="6"/>
  <c r="AB47" i="68"/>
  <c r="AB9" i="68"/>
  <c r="AA36" i="9"/>
  <c r="AA35" i="9"/>
  <c r="AA40" i="8"/>
  <c r="AA41" i="8"/>
  <c r="AB170" i="40"/>
  <c r="AB151" i="40"/>
  <c r="AB139" i="40"/>
  <c r="AB30" i="13"/>
  <c r="AB116" i="40"/>
  <c r="AB12" i="13"/>
  <c r="AB16" i="9"/>
  <c r="AB4" i="13"/>
  <c r="AB34" i="9"/>
  <c r="AB29" i="7"/>
  <c r="AB57" i="8"/>
  <c r="AB12" i="7"/>
  <c r="AB7" i="9"/>
  <c r="AB4" i="7"/>
  <c r="AB76" i="8"/>
  <c r="AB32" i="8"/>
  <c r="AB13" i="8"/>
  <c r="AB12" i="39"/>
  <c r="AB79" i="8"/>
  <c r="AB40" i="39"/>
  <c r="AB32" i="39"/>
  <c r="AB247" i="33"/>
  <c r="AB213" i="33"/>
  <c r="AB101" i="33"/>
  <c r="AB170" i="33"/>
  <c r="AB21" i="8"/>
  <c r="AB49" i="39"/>
  <c r="AB135" i="33"/>
  <c r="AB39" i="33"/>
  <c r="AB57" i="33"/>
  <c r="AB174" i="33"/>
  <c r="AB67" i="33"/>
  <c r="AB18" i="33"/>
  <c r="AB43" i="8"/>
  <c r="AB65" i="38"/>
  <c r="AB19" i="38"/>
  <c r="AB9" i="38"/>
  <c r="AB110" i="6"/>
  <c r="AA5" i="67" s="1"/>
  <c r="AB80" i="6"/>
  <c r="AB54" i="6"/>
  <c r="AB89" i="38"/>
  <c r="AB134" i="6"/>
  <c r="AB164" i="6"/>
  <c r="AB114" i="6"/>
  <c r="AB98" i="6"/>
  <c r="AB73" i="6"/>
  <c r="AB120" i="6"/>
  <c r="AB41" i="38"/>
  <c r="AC30" i="6"/>
  <c r="AB46" i="6"/>
  <c r="B272" i="33"/>
  <c r="B160" i="33"/>
  <c r="B199" i="33"/>
  <c r="B238" i="33"/>
  <c r="B126" i="33"/>
  <c r="B92" i="33"/>
  <c r="B189" i="6"/>
  <c r="AA176" i="6"/>
  <c r="AA175" i="6"/>
  <c r="AA168" i="6"/>
  <c r="AA167" i="6"/>
  <c r="AA177" i="6"/>
  <c r="AA174" i="6"/>
  <c r="AA169" i="6"/>
  <c r="AA166" i="6"/>
  <c r="AA179" i="6"/>
  <c r="AA172" i="6"/>
  <c r="AA171" i="6"/>
  <c r="AA178" i="6"/>
  <c r="AA173" i="6"/>
  <c r="AA170" i="6"/>
  <c r="AA165" i="6"/>
  <c r="AA63" i="33"/>
  <c r="AA64" i="33" s="1"/>
  <c r="AA30" i="8"/>
  <c r="AA29" i="8"/>
  <c r="AD69" i="11"/>
  <c r="AD39" i="11"/>
  <c r="AD59" i="11"/>
  <c r="AD45" i="11"/>
  <c r="AD81" i="11"/>
  <c r="AD52" i="11"/>
  <c r="AD37" i="11"/>
  <c r="AE32" i="11"/>
  <c r="AD30" i="11"/>
  <c r="AA210" i="33" l="1"/>
  <c r="AA211" i="33" s="1"/>
  <c r="F61" i="38"/>
  <c r="F62" i="38" s="1"/>
  <c r="F109" i="38"/>
  <c r="F110" i="38" s="1"/>
  <c r="AB37" i="46"/>
  <c r="AB37" i="62"/>
  <c r="C111" i="38"/>
  <c r="C149" i="6" s="1"/>
  <c r="C87" i="38"/>
  <c r="C143" i="6" s="1"/>
  <c r="C86" i="38"/>
  <c r="C63" i="38"/>
  <c r="C137" i="6" s="1"/>
  <c r="E86" i="38"/>
  <c r="E63" i="38"/>
  <c r="E137" i="6" s="1"/>
  <c r="E25" i="33"/>
  <c r="E145" i="6"/>
  <c r="E111" i="38"/>
  <c r="E149" i="6" s="1"/>
  <c r="D110" i="38"/>
  <c r="D111" i="38"/>
  <c r="D149" i="6" s="1"/>
  <c r="H83" i="38"/>
  <c r="H38" i="38"/>
  <c r="H59" i="38"/>
  <c r="H107" i="38"/>
  <c r="D86" i="38"/>
  <c r="D87" i="38"/>
  <c r="D143" i="6" s="1"/>
  <c r="D62" i="38"/>
  <c r="D63" i="38"/>
  <c r="D137" i="6" s="1"/>
  <c r="F86" i="38"/>
  <c r="F87" i="38"/>
  <c r="F143" i="6" s="1"/>
  <c r="F25" i="33" s="1"/>
  <c r="G109" i="38"/>
  <c r="G110" i="38" s="1"/>
  <c r="G61" i="38"/>
  <c r="G63" i="38" s="1"/>
  <c r="G137" i="6" s="1"/>
  <c r="G21" i="33" s="1"/>
  <c r="G85" i="38"/>
  <c r="AC90" i="68"/>
  <c r="AC126" i="6"/>
  <c r="AC47" i="68"/>
  <c r="AC9" i="68"/>
  <c r="AE59" i="11"/>
  <c r="AE45" i="11"/>
  <c r="AF32" i="11"/>
  <c r="AE30" i="11"/>
  <c r="AE69" i="11"/>
  <c r="AE39" i="11"/>
  <c r="AE81" i="11"/>
  <c r="AE52" i="11"/>
  <c r="AE37" i="11"/>
  <c r="AB36" i="9"/>
  <c r="AB35" i="9"/>
  <c r="AB63" i="33"/>
  <c r="AB64" i="33" s="1"/>
  <c r="AB40" i="8"/>
  <c r="AB41" i="8"/>
  <c r="AC170" i="40"/>
  <c r="AC151" i="40"/>
  <c r="AC139" i="40"/>
  <c r="AC116" i="40"/>
  <c r="AC12" i="13"/>
  <c r="AC34" i="9"/>
  <c r="AC4" i="13"/>
  <c r="AC29" i="7"/>
  <c r="AC30" i="13"/>
  <c r="AC7" i="9"/>
  <c r="AC12" i="7"/>
  <c r="AC4" i="7"/>
  <c r="AC76" i="8"/>
  <c r="AC16" i="9"/>
  <c r="AC79" i="8"/>
  <c r="AC40" i="39"/>
  <c r="AC32" i="39"/>
  <c r="AC43" i="8"/>
  <c r="AC21" i="8"/>
  <c r="AC49" i="39"/>
  <c r="AC13" i="8"/>
  <c r="AC170" i="33"/>
  <c r="AC57" i="8"/>
  <c r="AC12" i="39"/>
  <c r="AC247" i="33"/>
  <c r="AC174" i="33"/>
  <c r="AC57" i="33"/>
  <c r="AC135" i="33"/>
  <c r="AC101" i="33"/>
  <c r="AC67" i="33"/>
  <c r="AC18" i="33"/>
  <c r="AC32" i="8"/>
  <c r="AC39" i="33"/>
  <c r="AC213" i="33"/>
  <c r="AC89" i="38"/>
  <c r="AC41" i="38"/>
  <c r="AC19" i="38"/>
  <c r="AC134" i="6"/>
  <c r="AC164" i="6"/>
  <c r="AC114" i="6"/>
  <c r="AC98" i="6"/>
  <c r="AC120" i="6"/>
  <c r="AC73" i="6"/>
  <c r="AC9" i="38"/>
  <c r="AC54" i="6"/>
  <c r="AC65" i="38"/>
  <c r="AC110" i="6"/>
  <c r="AB5" i="67" s="1"/>
  <c r="AC80" i="6"/>
  <c r="AD30" i="6"/>
  <c r="AC46" i="6"/>
  <c r="B273" i="33"/>
  <c r="B239" i="33"/>
  <c r="B161" i="33"/>
  <c r="B200" i="33"/>
  <c r="B127" i="33"/>
  <c r="B93" i="33"/>
  <c r="AB177" i="6"/>
  <c r="AB174" i="6"/>
  <c r="AB169" i="6"/>
  <c r="AB166" i="6"/>
  <c r="B190" i="6"/>
  <c r="AB180" i="6"/>
  <c r="AB179" i="6"/>
  <c r="AB172" i="6"/>
  <c r="AB171" i="6"/>
  <c r="AB178" i="6"/>
  <c r="AB173" i="6"/>
  <c r="AB170" i="6"/>
  <c r="AB165" i="6"/>
  <c r="AB175" i="6"/>
  <c r="AB168" i="6"/>
  <c r="AB167" i="6"/>
  <c r="AB176" i="6"/>
  <c r="AB29" i="8"/>
  <c r="AB30" i="8"/>
  <c r="AB210" i="33" l="1"/>
  <c r="AB211" i="33" s="1"/>
  <c r="F111" i="38"/>
  <c r="F149" i="6" s="1"/>
  <c r="F29" i="33" s="1"/>
  <c r="F63" i="38"/>
  <c r="F137" i="6" s="1"/>
  <c r="F139" i="6" s="1"/>
  <c r="C25" i="33"/>
  <c r="C144" i="6"/>
  <c r="C26" i="33" s="1"/>
  <c r="C145" i="6"/>
  <c r="C146" i="6" s="1"/>
  <c r="C153" i="6"/>
  <c r="C150" i="6"/>
  <c r="C30" i="33" s="1"/>
  <c r="C151" i="6"/>
  <c r="C152" i="6" s="1"/>
  <c r="C29" i="33"/>
  <c r="C21" i="33"/>
  <c r="C139" i="6"/>
  <c r="C140" i="6" s="1"/>
  <c r="C138" i="6"/>
  <c r="C22" i="33" s="1"/>
  <c r="AC37" i="46"/>
  <c r="AC37" i="62"/>
  <c r="E29" i="33"/>
  <c r="E153" i="6"/>
  <c r="E151" i="6"/>
  <c r="E21" i="33"/>
  <c r="E139" i="6"/>
  <c r="D25" i="33"/>
  <c r="D145" i="6"/>
  <c r="D139" i="6"/>
  <c r="D21" i="33"/>
  <c r="D29" i="33"/>
  <c r="D151" i="6"/>
  <c r="D153" i="6"/>
  <c r="H84" i="38"/>
  <c r="H60" i="38"/>
  <c r="H108" i="38"/>
  <c r="H39" i="38"/>
  <c r="F145" i="6"/>
  <c r="G139" i="6"/>
  <c r="G62" i="38"/>
  <c r="G87" i="38"/>
  <c r="G143" i="6" s="1"/>
  <c r="G86" i="38"/>
  <c r="G111" i="38"/>
  <c r="G149" i="6" s="1"/>
  <c r="AD90" i="68"/>
  <c r="AD126" i="6"/>
  <c r="AD47" i="68"/>
  <c r="AD9" i="68"/>
  <c r="AC63" i="33"/>
  <c r="AC64" i="33" s="1"/>
  <c r="AC40" i="8"/>
  <c r="AC41" i="8"/>
  <c r="AC36" i="9"/>
  <c r="AC35" i="9"/>
  <c r="AD151" i="40"/>
  <c r="AD170" i="40"/>
  <c r="AD116" i="40"/>
  <c r="AD12" i="13"/>
  <c r="AD34" i="9"/>
  <c r="AD4" i="13"/>
  <c r="AD139" i="40"/>
  <c r="AD30" i="13"/>
  <c r="AD12" i="7"/>
  <c r="AD7" i="9"/>
  <c r="AD16" i="9"/>
  <c r="AD4" i="7"/>
  <c r="AD76" i="8"/>
  <c r="AD79" i="8"/>
  <c r="AD57" i="8"/>
  <c r="AD40" i="39"/>
  <c r="AD32" i="39"/>
  <c r="AD247" i="33"/>
  <c r="AD29" i="7"/>
  <c r="AD43" i="8"/>
  <c r="AD21" i="8"/>
  <c r="AD49" i="39"/>
  <c r="AD32" i="8"/>
  <c r="AD13" i="8"/>
  <c r="AD12" i="39"/>
  <c r="AD135" i="33"/>
  <c r="AD174" i="33"/>
  <c r="AD213" i="33"/>
  <c r="AD101" i="33"/>
  <c r="AD67" i="33"/>
  <c r="AD18" i="33"/>
  <c r="AD170" i="33"/>
  <c r="AD39" i="33"/>
  <c r="AD57" i="33"/>
  <c r="AD89" i="38"/>
  <c r="AD41" i="38"/>
  <c r="AD65" i="38"/>
  <c r="AD164" i="6"/>
  <c r="AD114" i="6"/>
  <c r="AD98" i="6"/>
  <c r="AD73" i="6"/>
  <c r="AD120" i="6"/>
  <c r="AD9" i="38"/>
  <c r="AD110" i="6"/>
  <c r="AC5" i="67" s="1"/>
  <c r="AD80" i="6"/>
  <c r="AD54" i="6"/>
  <c r="AD19" i="38"/>
  <c r="AD46" i="6"/>
  <c r="AD134" i="6"/>
  <c r="AE30" i="6"/>
  <c r="B240" i="33"/>
  <c r="B94" i="33"/>
  <c r="B274" i="33"/>
  <c r="B162" i="33"/>
  <c r="B201" i="33"/>
  <c r="B128" i="33"/>
  <c r="AC180" i="6"/>
  <c r="AC179" i="6"/>
  <c r="AC172" i="6"/>
  <c r="AC171" i="6"/>
  <c r="AC181" i="6"/>
  <c r="AC178" i="6"/>
  <c r="AC173" i="6"/>
  <c r="AC170" i="6"/>
  <c r="AC165" i="6"/>
  <c r="AC176" i="6"/>
  <c r="AC175" i="6"/>
  <c r="AC168" i="6"/>
  <c r="AC167" i="6"/>
  <c r="AC177" i="6"/>
  <c r="AC169" i="6"/>
  <c r="AC166" i="6"/>
  <c r="B191" i="6"/>
  <c r="AC174" i="6"/>
  <c r="AC29" i="8"/>
  <c r="AC30" i="8"/>
  <c r="AG32" i="11"/>
  <c r="AF30" i="11"/>
  <c r="AF81" i="11"/>
  <c r="AF52" i="11"/>
  <c r="AF37" i="11"/>
  <c r="AF59" i="11"/>
  <c r="AF45" i="11"/>
  <c r="AF69" i="11"/>
  <c r="AF39" i="11"/>
  <c r="AC210" i="33" l="1"/>
  <c r="AC211" i="33" s="1"/>
  <c r="F151" i="6"/>
  <c r="F153" i="6"/>
  <c r="F10" i="68" s="1"/>
  <c r="F13" i="68" s="1"/>
  <c r="D152" i="6"/>
  <c r="E152" i="6" s="1"/>
  <c r="F21" i="33"/>
  <c r="D150" i="6"/>
  <c r="E150" i="6" s="1"/>
  <c r="D144" i="6"/>
  <c r="D26" i="33" s="1"/>
  <c r="D140" i="6"/>
  <c r="E140" i="6" s="1"/>
  <c r="F140" i="6" s="1"/>
  <c r="G140" i="6" s="1"/>
  <c r="C10" i="68"/>
  <c r="C13" i="68" s="1"/>
  <c r="C31" i="33"/>
  <c r="C154" i="6"/>
  <c r="D154" i="6" s="1"/>
  <c r="D146" i="6"/>
  <c r="E146" i="6" s="1"/>
  <c r="F146" i="6" s="1"/>
  <c r="AD37" i="46"/>
  <c r="AD37" i="62"/>
  <c r="D138" i="6"/>
  <c r="D22" i="33" s="1"/>
  <c r="E10" i="68"/>
  <c r="E13" i="68" s="1"/>
  <c r="E31" i="33"/>
  <c r="H85" i="38"/>
  <c r="H86" i="38" s="1"/>
  <c r="H109" i="38"/>
  <c r="H110" i="38" s="1"/>
  <c r="H61" i="38"/>
  <c r="D31" i="33"/>
  <c r="D10" i="68"/>
  <c r="D13" i="68" s="1"/>
  <c r="G151" i="6"/>
  <c r="G29" i="33"/>
  <c r="G153" i="6"/>
  <c r="G25" i="33"/>
  <c r="G145" i="6"/>
  <c r="AE90" i="68"/>
  <c r="AE126" i="6"/>
  <c r="AE47" i="68"/>
  <c r="AE9" i="68"/>
  <c r="AE170" i="40"/>
  <c r="AE139" i="40"/>
  <c r="AE151" i="40"/>
  <c r="AE116" i="40"/>
  <c r="AE4" i="13"/>
  <c r="AE30" i="13"/>
  <c r="AE34" i="9"/>
  <c r="AE7" i="9"/>
  <c r="AE16" i="9"/>
  <c r="AE12" i="13"/>
  <c r="AE29" i="7"/>
  <c r="AE79" i="8"/>
  <c r="AE43" i="8"/>
  <c r="AE57" i="8"/>
  <c r="AE12" i="7"/>
  <c r="AE21" i="8"/>
  <c r="AE49" i="39"/>
  <c r="AE76" i="8"/>
  <c r="AE32" i="8"/>
  <c r="AE13" i="8"/>
  <c r="AE12" i="39"/>
  <c r="AE4" i="7"/>
  <c r="AE247" i="33"/>
  <c r="AE174" i="33"/>
  <c r="AE213" i="33"/>
  <c r="AE170" i="33"/>
  <c r="AE135" i="33"/>
  <c r="AE40" i="39"/>
  <c r="AE39" i="33"/>
  <c r="AE57" i="33"/>
  <c r="AE32" i="39"/>
  <c r="AE101" i="33"/>
  <c r="AE89" i="38"/>
  <c r="AE67" i="33"/>
  <c r="AE18" i="33"/>
  <c r="AE41" i="38"/>
  <c r="AE65" i="38"/>
  <c r="AE19" i="38"/>
  <c r="AE120" i="6"/>
  <c r="AE46" i="6"/>
  <c r="AE9" i="38"/>
  <c r="AE110" i="6"/>
  <c r="AD5" i="67" s="1"/>
  <c r="AE134" i="6"/>
  <c r="AE54" i="6"/>
  <c r="AE164" i="6"/>
  <c r="AE98" i="6"/>
  <c r="AE80" i="6"/>
  <c r="AE114" i="6"/>
  <c r="AE73" i="6"/>
  <c r="AF30" i="6"/>
  <c r="B241" i="33"/>
  <c r="B202" i="33"/>
  <c r="B275" i="33"/>
  <c r="B129" i="33"/>
  <c r="B95" i="33"/>
  <c r="B163" i="33"/>
  <c r="AD181" i="6"/>
  <c r="AD178" i="6"/>
  <c r="AD173" i="6"/>
  <c r="AD170" i="6"/>
  <c r="AD165" i="6"/>
  <c r="AD176" i="6"/>
  <c r="AD175" i="6"/>
  <c r="AD168" i="6"/>
  <c r="AD167" i="6"/>
  <c r="B192" i="6"/>
  <c r="AD182" i="6"/>
  <c r="AD177" i="6"/>
  <c r="AD174" i="6"/>
  <c r="AD169" i="6"/>
  <c r="AD166" i="6"/>
  <c r="AD172" i="6"/>
  <c r="AD180" i="6"/>
  <c r="AD179" i="6"/>
  <c r="AD171" i="6"/>
  <c r="AG81" i="11"/>
  <c r="AG52" i="11"/>
  <c r="AG37" i="11"/>
  <c r="AG30" i="11"/>
  <c r="AG69" i="11"/>
  <c r="AG39" i="11"/>
  <c r="AG59" i="11"/>
  <c r="AG45" i="11"/>
  <c r="AD63" i="33"/>
  <c r="AD64" i="33" s="1"/>
  <c r="AD36" i="9"/>
  <c r="AD35" i="9"/>
  <c r="AD29" i="8"/>
  <c r="AD30" i="8"/>
  <c r="AD41" i="8"/>
  <c r="AD40" i="8"/>
  <c r="AD210" i="33" l="1"/>
  <c r="AD211" i="33" s="1"/>
  <c r="F31" i="33"/>
  <c r="H71" i="33" s="1"/>
  <c r="F152" i="6"/>
  <c r="G152" i="6" s="1"/>
  <c r="E144" i="6"/>
  <c r="F144" i="6" s="1"/>
  <c r="D30" i="33"/>
  <c r="AE37" i="46"/>
  <c r="AE37" i="62"/>
  <c r="C11" i="68"/>
  <c r="C12" i="68" s="1"/>
  <c r="C127" i="6" s="1"/>
  <c r="C32" i="33"/>
  <c r="C155" i="6"/>
  <c r="C15" i="39"/>
  <c r="C16" i="39" s="1"/>
  <c r="E138" i="6"/>
  <c r="F138" i="6" s="1"/>
  <c r="F68" i="33"/>
  <c r="X102" i="33"/>
  <c r="H102" i="33"/>
  <c r="S102" i="33"/>
  <c r="AC102" i="33"/>
  <c r="G102" i="33"/>
  <c r="Q102" i="33"/>
  <c r="O102" i="33"/>
  <c r="E102" i="33"/>
  <c r="D102" i="33"/>
  <c r="N102" i="33"/>
  <c r="W102" i="33"/>
  <c r="AG102" i="33"/>
  <c r="AE102" i="33"/>
  <c r="AF102" i="33"/>
  <c r="P102" i="33"/>
  <c r="AD102" i="33"/>
  <c r="R102" i="33"/>
  <c r="AA102" i="33"/>
  <c r="J102" i="33"/>
  <c r="L102" i="33"/>
  <c r="V102" i="33"/>
  <c r="C68" i="33"/>
  <c r="C99" i="33" s="1"/>
  <c r="G68" i="33"/>
  <c r="T102" i="33"/>
  <c r="K102" i="33"/>
  <c r="I102" i="33"/>
  <c r="F102" i="33"/>
  <c r="Y102" i="33"/>
  <c r="M102" i="33"/>
  <c r="Z102" i="33"/>
  <c r="E68" i="33"/>
  <c r="H68" i="33"/>
  <c r="D68" i="33"/>
  <c r="AB102" i="33"/>
  <c r="C102" i="33"/>
  <c r="U102" i="33"/>
  <c r="AG104" i="33"/>
  <c r="I104" i="33"/>
  <c r="O104" i="33"/>
  <c r="Y104" i="33"/>
  <c r="AA104" i="33"/>
  <c r="J104" i="33"/>
  <c r="W104" i="33"/>
  <c r="E104" i="33"/>
  <c r="L104" i="33"/>
  <c r="AC104" i="33"/>
  <c r="AB104" i="33"/>
  <c r="X104" i="33"/>
  <c r="K104" i="33"/>
  <c r="T104" i="33"/>
  <c r="G104" i="33"/>
  <c r="N104" i="33"/>
  <c r="S104" i="33"/>
  <c r="P104" i="33"/>
  <c r="F70" i="33"/>
  <c r="G70" i="33"/>
  <c r="U104" i="33"/>
  <c r="H70" i="33"/>
  <c r="F104" i="33"/>
  <c r="H104" i="33"/>
  <c r="V104" i="33"/>
  <c r="R104" i="33"/>
  <c r="Q104" i="33"/>
  <c r="M104" i="33"/>
  <c r="AD104" i="33"/>
  <c r="AE104" i="33"/>
  <c r="AF104" i="33"/>
  <c r="Z104" i="33"/>
  <c r="E70" i="33"/>
  <c r="G146" i="6"/>
  <c r="H87" i="38"/>
  <c r="H143" i="6" s="1"/>
  <c r="H25" i="33" s="1"/>
  <c r="H63" i="38"/>
  <c r="H137" i="6" s="1"/>
  <c r="H62" i="38"/>
  <c r="D11" i="68"/>
  <c r="D12" i="68" s="1"/>
  <c r="D127" i="6" s="1"/>
  <c r="E154" i="6"/>
  <c r="D155" i="6"/>
  <c r="D32" i="33"/>
  <c r="D15" i="39"/>
  <c r="D16" i="39" s="1"/>
  <c r="E30" i="33"/>
  <c r="F150" i="6"/>
  <c r="H111" i="38"/>
  <c r="H149" i="6" s="1"/>
  <c r="U103" i="33"/>
  <c r="AB103" i="33"/>
  <c r="AE103" i="33"/>
  <c r="AF103" i="33"/>
  <c r="Q103" i="33"/>
  <c r="AA103" i="33"/>
  <c r="Z103" i="33"/>
  <c r="K103" i="33"/>
  <c r="T103" i="33"/>
  <c r="E103" i="33"/>
  <c r="G103" i="33"/>
  <c r="J103" i="33"/>
  <c r="V103" i="33"/>
  <c r="I103" i="33"/>
  <c r="E69" i="33"/>
  <c r="D103" i="33"/>
  <c r="P103" i="33"/>
  <c r="H103" i="33"/>
  <c r="O103" i="33"/>
  <c r="F103" i="33"/>
  <c r="S103" i="33"/>
  <c r="D69" i="33"/>
  <c r="AD103" i="33"/>
  <c r="AC103" i="33"/>
  <c r="N103" i="33"/>
  <c r="F69" i="33"/>
  <c r="X103" i="33"/>
  <c r="AG103" i="33"/>
  <c r="W103" i="33"/>
  <c r="H69" i="33"/>
  <c r="L103" i="33"/>
  <c r="M103" i="33"/>
  <c r="R103" i="33"/>
  <c r="G69" i="33"/>
  <c r="Y103" i="33"/>
  <c r="G10" i="68"/>
  <c r="G13" i="68" s="1"/>
  <c r="G31" i="33"/>
  <c r="AF90" i="68"/>
  <c r="AF126" i="6"/>
  <c r="AF47" i="68"/>
  <c r="AF9" i="68"/>
  <c r="AF170" i="40"/>
  <c r="AF151" i="40"/>
  <c r="AF139" i="40"/>
  <c r="AF30" i="13"/>
  <c r="AF12" i="13"/>
  <c r="AF34" i="9"/>
  <c r="AF4" i="13"/>
  <c r="AF16" i="9"/>
  <c r="AF29" i="7"/>
  <c r="AF116" i="40"/>
  <c r="AF57" i="8"/>
  <c r="AF7" i="9"/>
  <c r="AF12" i="7"/>
  <c r="AF4" i="7"/>
  <c r="AF76" i="8"/>
  <c r="AF43" i="8"/>
  <c r="AF32" i="8"/>
  <c r="AF13" i="8"/>
  <c r="AF12" i="39"/>
  <c r="AF79" i="8"/>
  <c r="AF40" i="39"/>
  <c r="AF32" i="39"/>
  <c r="AF247" i="33"/>
  <c r="AF213" i="33"/>
  <c r="AF101" i="33"/>
  <c r="AF21" i="8"/>
  <c r="AF49" i="39"/>
  <c r="AF170" i="33"/>
  <c r="AF135" i="33"/>
  <c r="AF39" i="33"/>
  <c r="AF174" i="33"/>
  <c r="AF57" i="33"/>
  <c r="AF67" i="33"/>
  <c r="AF18" i="33"/>
  <c r="AF89" i="38"/>
  <c r="AF65" i="38"/>
  <c r="AF19" i="38"/>
  <c r="AF9" i="38"/>
  <c r="AF110" i="6"/>
  <c r="AE5" i="67" s="1"/>
  <c r="AF80" i="6"/>
  <c r="AF54" i="6"/>
  <c r="AF134" i="6"/>
  <c r="AF41" i="38"/>
  <c r="AF164" i="6"/>
  <c r="AF114" i="6"/>
  <c r="AF98" i="6"/>
  <c r="AF73" i="6"/>
  <c r="AF46" i="6"/>
  <c r="AF120" i="6"/>
  <c r="AG30" i="6"/>
  <c r="AE30" i="8"/>
  <c r="AE29" i="8"/>
  <c r="AE36" i="9"/>
  <c r="AE35" i="9"/>
  <c r="B276" i="33"/>
  <c r="B130" i="33"/>
  <c r="B242" i="33"/>
  <c r="B164" i="33"/>
  <c r="B96" i="33"/>
  <c r="B203" i="33"/>
  <c r="AE183" i="6"/>
  <c r="AE176" i="6"/>
  <c r="AE175" i="6"/>
  <c r="AE168" i="6"/>
  <c r="AE167" i="6"/>
  <c r="AE182" i="6"/>
  <c r="AE177" i="6"/>
  <c r="AE174" i="6"/>
  <c r="AE169" i="6"/>
  <c r="AE166" i="6"/>
  <c r="B193" i="6"/>
  <c r="AE180" i="6"/>
  <c r="AE179" i="6"/>
  <c r="AE172" i="6"/>
  <c r="AE171" i="6"/>
  <c r="AE181" i="6"/>
  <c r="AE173" i="6"/>
  <c r="AE170" i="6"/>
  <c r="AE165" i="6"/>
  <c r="AE178" i="6"/>
  <c r="AE41" i="8"/>
  <c r="AE40" i="8"/>
  <c r="AE63" i="33"/>
  <c r="AE64" i="33" s="1"/>
  <c r="Q105" i="33" l="1"/>
  <c r="AE210" i="33"/>
  <c r="AE211" i="33" s="1"/>
  <c r="R105" i="33"/>
  <c r="J105" i="33"/>
  <c r="P105" i="33"/>
  <c r="L105" i="33"/>
  <c r="F71" i="33"/>
  <c r="F99" i="33" s="1"/>
  <c r="F59" i="33" s="1"/>
  <c r="F58" i="33" s="1"/>
  <c r="E14" i="67" s="1"/>
  <c r="O105" i="33"/>
  <c r="G71" i="33"/>
  <c r="T105" i="33"/>
  <c r="K105" i="33"/>
  <c r="S105" i="33"/>
  <c r="AE105" i="33"/>
  <c r="U105" i="33"/>
  <c r="N105" i="33"/>
  <c r="AC105" i="33"/>
  <c r="X105" i="33"/>
  <c r="V105" i="33"/>
  <c r="AB105" i="33"/>
  <c r="I105" i="33"/>
  <c r="AA105" i="33"/>
  <c r="Y105" i="33"/>
  <c r="AD105" i="33"/>
  <c r="Z105" i="33"/>
  <c r="AG105" i="33"/>
  <c r="F105" i="33"/>
  <c r="G105" i="33"/>
  <c r="M105" i="33"/>
  <c r="W105" i="33"/>
  <c r="AF105" i="33"/>
  <c r="H105" i="33"/>
  <c r="E26" i="33"/>
  <c r="D99" i="33"/>
  <c r="D59" i="33" s="1"/>
  <c r="D58" i="33" s="1"/>
  <c r="C14" i="67" s="1"/>
  <c r="E22" i="33"/>
  <c r="C59" i="33"/>
  <c r="C58" i="33" s="1"/>
  <c r="B14" i="67" s="1"/>
  <c r="C171" i="33"/>
  <c r="C54" i="39"/>
  <c r="C17" i="39"/>
  <c r="C56" i="39"/>
  <c r="C18" i="39"/>
  <c r="AF37" i="46"/>
  <c r="AF37" i="62"/>
  <c r="C49" i="68"/>
  <c r="C50" i="68" s="1"/>
  <c r="C130" i="6" s="1"/>
  <c r="C87" i="6" s="1"/>
  <c r="C33" i="33"/>
  <c r="C214" i="33" s="1"/>
  <c r="C245" i="33" s="1"/>
  <c r="C157" i="6"/>
  <c r="C156" i="6"/>
  <c r="E99" i="33"/>
  <c r="E59" i="33" s="1"/>
  <c r="E58" i="33" s="1"/>
  <c r="D14" i="67" s="1"/>
  <c r="H145" i="6"/>
  <c r="H146" i="6" s="1"/>
  <c r="F22" i="33"/>
  <c r="G138" i="6"/>
  <c r="G150" i="6"/>
  <c r="F30" i="33"/>
  <c r="D49" i="68"/>
  <c r="D50" i="68" s="1"/>
  <c r="D130" i="6" s="1"/>
  <c r="D87" i="6" s="1"/>
  <c r="D157" i="6"/>
  <c r="D33" i="33"/>
  <c r="D156" i="6"/>
  <c r="E11" i="68"/>
  <c r="E12" i="68" s="1"/>
  <c r="E127" i="6" s="1"/>
  <c r="E15" i="39"/>
  <c r="E16" i="39" s="1"/>
  <c r="E32" i="33"/>
  <c r="F154" i="6"/>
  <c r="E155" i="6"/>
  <c r="H21" i="33"/>
  <c r="H139" i="6"/>
  <c r="H140" i="6" s="1"/>
  <c r="H153" i="6"/>
  <c r="H151" i="6"/>
  <c r="H152" i="6" s="1"/>
  <c r="H29" i="33"/>
  <c r="D17" i="39"/>
  <c r="D56" i="39"/>
  <c r="D18" i="39"/>
  <c r="D54" i="39"/>
  <c r="D55" i="39" s="1"/>
  <c r="F26" i="33"/>
  <c r="G144" i="6"/>
  <c r="R106" i="33"/>
  <c r="X106" i="33"/>
  <c r="AG106" i="33"/>
  <c r="L106" i="33"/>
  <c r="U106" i="33"/>
  <c r="I106" i="33"/>
  <c r="H106" i="33"/>
  <c r="AE106" i="33"/>
  <c r="G72" i="33"/>
  <c r="AD106" i="33"/>
  <c r="N106" i="33"/>
  <c r="S106" i="33"/>
  <c r="AB106" i="33"/>
  <c r="G106" i="33"/>
  <c r="P106" i="33"/>
  <c r="Y106" i="33"/>
  <c r="Z106" i="33"/>
  <c r="J106" i="33"/>
  <c r="M106" i="33"/>
  <c r="W106" i="33"/>
  <c r="AF106" i="33"/>
  <c r="K106" i="33"/>
  <c r="T106" i="33"/>
  <c r="AC106" i="33"/>
  <c r="AA106" i="33"/>
  <c r="H72" i="33"/>
  <c r="V106" i="33"/>
  <c r="Q106" i="33"/>
  <c r="O106" i="33"/>
  <c r="AG90" i="68"/>
  <c r="AG126" i="6"/>
  <c r="AG47" i="68"/>
  <c r="AG9" i="68"/>
  <c r="D87" i="68" s="1"/>
  <c r="AF29" i="8"/>
  <c r="AF30" i="8"/>
  <c r="AG139" i="40"/>
  <c r="AG151" i="40"/>
  <c r="AG12" i="13"/>
  <c r="AG34" i="9"/>
  <c r="AG170" i="40"/>
  <c r="AG116" i="40"/>
  <c r="AG4" i="13"/>
  <c r="AG29" i="7"/>
  <c r="AG30" i="13"/>
  <c r="AG7" i="9"/>
  <c r="AG16" i="9"/>
  <c r="AG12" i="7"/>
  <c r="AG4" i="7"/>
  <c r="AG76" i="8"/>
  <c r="AG79" i="8"/>
  <c r="AG40" i="39"/>
  <c r="AG32" i="39"/>
  <c r="AG57" i="8"/>
  <c r="AG21" i="8"/>
  <c r="AG49" i="39"/>
  <c r="AG12" i="39"/>
  <c r="AG170" i="33"/>
  <c r="AG43" i="8"/>
  <c r="AG32" i="8"/>
  <c r="AG174" i="33"/>
  <c r="AG57" i="33"/>
  <c r="AG13" i="8"/>
  <c r="AG67" i="33"/>
  <c r="AG18" i="33"/>
  <c r="AG247" i="33"/>
  <c r="AG213" i="33"/>
  <c r="AG101" i="33"/>
  <c r="AG135" i="33"/>
  <c r="AG39" i="33"/>
  <c r="AG41" i="38"/>
  <c r="AG89" i="38"/>
  <c r="AG134" i="6"/>
  <c r="AG164" i="6"/>
  <c r="AG114" i="6"/>
  <c r="AG98" i="6"/>
  <c r="AG65" i="38"/>
  <c r="AG19" i="38"/>
  <c r="AG120" i="6"/>
  <c r="AG9" i="38"/>
  <c r="AG80" i="6"/>
  <c r="AG110" i="6"/>
  <c r="AF5" i="67" s="1"/>
  <c r="AG73" i="6"/>
  <c r="AG54" i="6"/>
  <c r="A37" i="59" s="1"/>
  <c r="AG46" i="6"/>
  <c r="AF63" i="33"/>
  <c r="AF64" i="33" s="1"/>
  <c r="AF41" i="8"/>
  <c r="AF40" i="8"/>
  <c r="B277" i="33"/>
  <c r="B243" i="33"/>
  <c r="B131" i="33"/>
  <c r="B165" i="33"/>
  <c r="B204" i="33"/>
  <c r="B97" i="33"/>
  <c r="AF182" i="6"/>
  <c r="AF177" i="6"/>
  <c r="AF174" i="6"/>
  <c r="AF169" i="6"/>
  <c r="AF166" i="6"/>
  <c r="AF180" i="6"/>
  <c r="AF179" i="6"/>
  <c r="AF172" i="6"/>
  <c r="AF171" i="6"/>
  <c r="AF181" i="6"/>
  <c r="AF178" i="6"/>
  <c r="AF173" i="6"/>
  <c r="AF170" i="6"/>
  <c r="AF165" i="6"/>
  <c r="AF175" i="6"/>
  <c r="B194" i="6"/>
  <c r="AF168" i="6"/>
  <c r="AF167" i="6"/>
  <c r="AF176" i="6"/>
  <c r="AF184" i="6"/>
  <c r="AF183" i="6"/>
  <c r="AF36" i="9"/>
  <c r="AF35" i="9"/>
  <c r="AF210" i="33" l="1"/>
  <c r="AF211" i="33" s="1"/>
  <c r="G99" i="33"/>
  <c r="G59" i="33" s="1"/>
  <c r="G58" i="33" s="1"/>
  <c r="F14" i="67" s="1"/>
  <c r="D171" i="33"/>
  <c r="C35" i="33"/>
  <c r="D248" i="33" s="1"/>
  <c r="C48" i="68"/>
  <c r="D35" i="33"/>
  <c r="K249" i="33" s="1"/>
  <c r="D48" i="68"/>
  <c r="F171" i="33"/>
  <c r="E171" i="33"/>
  <c r="C55" i="39"/>
  <c r="C57" i="39" s="1"/>
  <c r="C29" i="9"/>
  <c r="C25" i="13" s="1"/>
  <c r="C24" i="7"/>
  <c r="D24" i="7" s="1"/>
  <c r="C23" i="9"/>
  <c r="C19" i="13" s="1"/>
  <c r="C19" i="7"/>
  <c r="D19" i="7" s="1"/>
  <c r="AG37" i="46"/>
  <c r="AG37" i="62"/>
  <c r="C70" i="8"/>
  <c r="C34" i="33"/>
  <c r="C158" i="6"/>
  <c r="C19" i="39"/>
  <c r="C20" i="39" s="1"/>
  <c r="D57" i="39"/>
  <c r="F11" i="68"/>
  <c r="F12" i="68" s="1"/>
  <c r="F127" i="6" s="1"/>
  <c r="F155" i="6"/>
  <c r="G154" i="6"/>
  <c r="F15" i="39"/>
  <c r="F16" i="39" s="1"/>
  <c r="F32" i="33"/>
  <c r="G22" i="33"/>
  <c r="H138" i="6"/>
  <c r="H22" i="33" s="1"/>
  <c r="D29" i="9"/>
  <c r="D23" i="9"/>
  <c r="D38" i="39"/>
  <c r="H144" i="6"/>
  <c r="H26" i="33" s="1"/>
  <c r="G26" i="33"/>
  <c r="H10" i="68"/>
  <c r="H13" i="68" s="1"/>
  <c r="H31" i="33"/>
  <c r="E56" i="39"/>
  <c r="E18" i="39"/>
  <c r="E54" i="39"/>
  <c r="E55" i="39" s="1"/>
  <c r="E17" i="39"/>
  <c r="D158" i="6"/>
  <c r="D70" i="8"/>
  <c r="D34" i="33"/>
  <c r="D19" i="39"/>
  <c r="D20" i="39" s="1"/>
  <c r="E49" i="68"/>
  <c r="E50" i="68" s="1"/>
  <c r="E130" i="6" s="1"/>
  <c r="E87" i="6" s="1"/>
  <c r="E157" i="6"/>
  <c r="E33" i="33"/>
  <c r="E156" i="6"/>
  <c r="D215" i="33"/>
  <c r="D214" i="33"/>
  <c r="G30" i="33"/>
  <c r="H150" i="6"/>
  <c r="H30" i="33" s="1"/>
  <c r="AG29" i="8"/>
  <c r="AG30" i="8"/>
  <c r="AG63" i="33"/>
  <c r="AG64" i="33" s="1"/>
  <c r="B244" i="33"/>
  <c r="B278" i="33"/>
  <c r="B205" i="33"/>
  <c r="B166" i="33"/>
  <c r="B98" i="33"/>
  <c r="B132" i="33"/>
  <c r="AG180" i="6"/>
  <c r="AG179" i="6"/>
  <c r="AG172" i="6"/>
  <c r="AG171" i="6"/>
  <c r="B195" i="6"/>
  <c r="AG181" i="6"/>
  <c r="AG178" i="6"/>
  <c r="AG173" i="6"/>
  <c r="AG170" i="6"/>
  <c r="AG165" i="6"/>
  <c r="AG184" i="6"/>
  <c r="AG183" i="6"/>
  <c r="AG176" i="6"/>
  <c r="AG175" i="6"/>
  <c r="AG168" i="6"/>
  <c r="AG167" i="6"/>
  <c r="AG177" i="6"/>
  <c r="AG169" i="6"/>
  <c r="AG166" i="6"/>
  <c r="AG174" i="6"/>
  <c r="AG185" i="6"/>
  <c r="AG182" i="6"/>
  <c r="AG36" i="9"/>
  <c r="AG35" i="9"/>
  <c r="AG40" i="8"/>
  <c r="AG41" i="8"/>
  <c r="AG210" i="33" l="1"/>
  <c r="AG211" i="33" s="1"/>
  <c r="G171" i="33"/>
  <c r="X248" i="33"/>
  <c r="Q248" i="33"/>
  <c r="P248" i="33"/>
  <c r="U248" i="33"/>
  <c r="AD248" i="33"/>
  <c r="C248" i="33"/>
  <c r="J248" i="33"/>
  <c r="T248" i="33"/>
  <c r="J249" i="33"/>
  <c r="AA249" i="33"/>
  <c r="N248" i="33"/>
  <c r="Z248" i="33"/>
  <c r="AG248" i="33"/>
  <c r="I248" i="33"/>
  <c r="AA248" i="33"/>
  <c r="AF248" i="33"/>
  <c r="E248" i="33"/>
  <c r="F248" i="33"/>
  <c r="K248" i="33"/>
  <c r="S248" i="33"/>
  <c r="M248" i="33"/>
  <c r="W248" i="33"/>
  <c r="AC248" i="33"/>
  <c r="R248" i="33"/>
  <c r="G248" i="33"/>
  <c r="V248" i="33"/>
  <c r="S249" i="33"/>
  <c r="O248" i="33"/>
  <c r="L248" i="33"/>
  <c r="H248" i="33"/>
  <c r="AB248" i="33"/>
  <c r="AE248" i="33"/>
  <c r="Y248" i="33"/>
  <c r="T249" i="33"/>
  <c r="AG249" i="33"/>
  <c r="D249" i="33"/>
  <c r="Z249" i="33"/>
  <c r="O249" i="33"/>
  <c r="E249" i="33"/>
  <c r="AC249" i="33"/>
  <c r="P249" i="33"/>
  <c r="R249" i="33"/>
  <c r="U249" i="33"/>
  <c r="AE249" i="33"/>
  <c r="I249" i="33"/>
  <c r="F249" i="33"/>
  <c r="G249" i="33"/>
  <c r="X249" i="33"/>
  <c r="AB249" i="33"/>
  <c r="Y249" i="33"/>
  <c r="AD249" i="33"/>
  <c r="L249" i="33"/>
  <c r="V249" i="33"/>
  <c r="Q249" i="33"/>
  <c r="H249" i="33"/>
  <c r="W249" i="33"/>
  <c r="M249" i="33"/>
  <c r="AF249" i="33"/>
  <c r="N249" i="33"/>
  <c r="E35" i="33"/>
  <c r="U250" i="33" s="1"/>
  <c r="E48" i="68"/>
  <c r="D25" i="13"/>
  <c r="C21" i="39"/>
  <c r="C60" i="6" s="1"/>
  <c r="C62" i="6" s="1"/>
  <c r="C6" i="7" s="1"/>
  <c r="C61" i="6"/>
  <c r="D21" i="39"/>
  <c r="D60" i="6" s="1"/>
  <c r="D62" i="6" s="1"/>
  <c r="D70" i="6" s="1"/>
  <c r="D75" i="6" s="1"/>
  <c r="D99" i="6" s="1"/>
  <c r="D90" i="6" s="1"/>
  <c r="D61" i="6"/>
  <c r="C160" i="6"/>
  <c r="C161" i="6" s="1"/>
  <c r="C121" i="6" s="1"/>
  <c r="C123" i="6" s="1"/>
  <c r="C122" i="6" s="1"/>
  <c r="C36" i="33"/>
  <c r="C159" i="6"/>
  <c r="C37" i="33" s="1"/>
  <c r="C51" i="68"/>
  <c r="B11" i="67"/>
  <c r="D19" i="13"/>
  <c r="C71" i="8"/>
  <c r="C68" i="8"/>
  <c r="C38" i="39"/>
  <c r="E38" i="39"/>
  <c r="E29" i="9"/>
  <c r="E23" i="9"/>
  <c r="E19" i="7"/>
  <c r="E24" i="7"/>
  <c r="D160" i="6"/>
  <c r="D36" i="33"/>
  <c r="F54" i="39"/>
  <c r="F55" i="39" s="1"/>
  <c r="F17" i="39"/>
  <c r="F56" i="39"/>
  <c r="F18" i="39"/>
  <c r="E158" i="6"/>
  <c r="E70" i="8"/>
  <c r="E34" i="33"/>
  <c r="D51" i="68"/>
  <c r="C11" i="67"/>
  <c r="G11" i="68"/>
  <c r="G12" i="68" s="1"/>
  <c r="G127" i="6" s="1"/>
  <c r="G155" i="6"/>
  <c r="G32" i="33"/>
  <c r="H154" i="6"/>
  <c r="G15" i="39"/>
  <c r="G16" i="39" s="1"/>
  <c r="E57" i="39"/>
  <c r="E215" i="33"/>
  <c r="E216" i="33"/>
  <c r="E214" i="33"/>
  <c r="E19" i="39"/>
  <c r="E20" i="39" s="1"/>
  <c r="AA107" i="33"/>
  <c r="Z107" i="33"/>
  <c r="AC107" i="33"/>
  <c r="T107" i="33"/>
  <c r="AD107" i="33"/>
  <c r="L107" i="33"/>
  <c r="AB107" i="33"/>
  <c r="O107" i="33"/>
  <c r="K107" i="33"/>
  <c r="Y107" i="33"/>
  <c r="H107" i="33"/>
  <c r="AF107" i="33"/>
  <c r="S107" i="33"/>
  <c r="P107" i="33"/>
  <c r="J107" i="33"/>
  <c r="M107" i="33"/>
  <c r="I107" i="33"/>
  <c r="Q107" i="33"/>
  <c r="AE107" i="33"/>
  <c r="X107" i="33"/>
  <c r="N107" i="33"/>
  <c r="H73" i="33"/>
  <c r="H99" i="33" s="1"/>
  <c r="H59" i="33" s="1"/>
  <c r="H58" i="33" s="1"/>
  <c r="G14" i="67" s="1"/>
  <c r="V107" i="33"/>
  <c r="W107" i="33"/>
  <c r="U107" i="33"/>
  <c r="AG107" i="33"/>
  <c r="R107" i="33"/>
  <c r="F49" i="68"/>
  <c r="F50" i="68" s="1"/>
  <c r="F130" i="6" s="1"/>
  <c r="F87" i="6" s="1"/>
  <c r="F157" i="6"/>
  <c r="F156" i="6"/>
  <c r="F33" i="33"/>
  <c r="D245" i="33"/>
  <c r="D68" i="8"/>
  <c r="D71" i="8"/>
  <c r="M250" i="33" l="1"/>
  <c r="AG250" i="33"/>
  <c r="AF250" i="33"/>
  <c r="N250" i="33"/>
  <c r="V250" i="33"/>
  <c r="Y250" i="33"/>
  <c r="P250" i="33"/>
  <c r="Z250" i="33"/>
  <c r="K250" i="33"/>
  <c r="Q250" i="33"/>
  <c r="H250" i="33"/>
  <c r="AC250" i="33"/>
  <c r="R250" i="33"/>
  <c r="G250" i="33"/>
  <c r="S250" i="33"/>
  <c r="AD250" i="33"/>
  <c r="J250" i="33"/>
  <c r="W250" i="33"/>
  <c r="AE250" i="33"/>
  <c r="L250" i="33"/>
  <c r="E250" i="33"/>
  <c r="I250" i="33"/>
  <c r="F250" i="33"/>
  <c r="AA250" i="33"/>
  <c r="AB250" i="33"/>
  <c r="O250" i="33"/>
  <c r="T250" i="33"/>
  <c r="X250" i="33"/>
  <c r="F35" i="33"/>
  <c r="N251" i="33" s="1"/>
  <c r="F48" i="68"/>
  <c r="E25" i="13"/>
  <c r="C59" i="8"/>
  <c r="C58" i="8" s="1"/>
  <c r="C81" i="8" s="1"/>
  <c r="C81" i="6" s="1"/>
  <c r="C70" i="6"/>
  <c r="C75" i="6" s="1"/>
  <c r="D11" i="9"/>
  <c r="E19" i="13"/>
  <c r="D6" i="7"/>
  <c r="C9" i="9"/>
  <c r="C6" i="13" s="1"/>
  <c r="C63" i="6"/>
  <c r="D63" i="6"/>
  <c r="C64" i="6"/>
  <c r="D64" i="6" s="1"/>
  <c r="D65" i="6" s="1"/>
  <c r="D161" i="6"/>
  <c r="D121" i="6" s="1"/>
  <c r="D123" i="6" s="1"/>
  <c r="D78" i="6"/>
  <c r="D14" i="9" s="1"/>
  <c r="E21" i="39"/>
  <c r="E60" i="6" s="1"/>
  <c r="E62" i="6" s="1"/>
  <c r="E70" i="6" s="1"/>
  <c r="E75" i="6" s="1"/>
  <c r="E61" i="6"/>
  <c r="D9" i="9"/>
  <c r="D159" i="6"/>
  <c r="E159" i="6" s="1"/>
  <c r="C39" i="62"/>
  <c r="B12" i="67"/>
  <c r="C39" i="46"/>
  <c r="F57" i="39"/>
  <c r="F38" i="39"/>
  <c r="H171" i="33"/>
  <c r="E245" i="33"/>
  <c r="F23" i="9"/>
  <c r="F19" i="7"/>
  <c r="F24" i="7"/>
  <c r="F29" i="9"/>
  <c r="E51" i="68"/>
  <c r="D11" i="67"/>
  <c r="F214" i="33"/>
  <c r="F215" i="33"/>
  <c r="F216" i="33"/>
  <c r="F217" i="33"/>
  <c r="G49" i="68"/>
  <c r="G50" i="68" s="1"/>
  <c r="G130" i="6" s="1"/>
  <c r="G87" i="6" s="1"/>
  <c r="G156" i="6"/>
  <c r="G33" i="33"/>
  <c r="G157" i="6"/>
  <c r="F158" i="6"/>
  <c r="F70" i="8"/>
  <c r="F34" i="33"/>
  <c r="G18" i="39"/>
  <c r="G56" i="39"/>
  <c r="G54" i="39"/>
  <c r="G55" i="39" s="1"/>
  <c r="G17" i="39"/>
  <c r="E71" i="8"/>
  <c r="E68" i="8"/>
  <c r="H11" i="68"/>
  <c r="H12" i="68" s="1"/>
  <c r="H127" i="6" s="1"/>
  <c r="H15" i="39"/>
  <c r="H16" i="39" s="1"/>
  <c r="H155" i="6"/>
  <c r="H32" i="33"/>
  <c r="E160" i="6"/>
  <c r="E36" i="33"/>
  <c r="F19" i="39"/>
  <c r="F20" i="39" s="1"/>
  <c r="D25" i="9"/>
  <c r="T251" i="33" l="1"/>
  <c r="R251" i="33"/>
  <c r="AC251" i="33"/>
  <c r="P251" i="33"/>
  <c r="Y251" i="33"/>
  <c r="W251" i="33"/>
  <c r="I251" i="33"/>
  <c r="F251" i="33"/>
  <c r="AG251" i="33"/>
  <c r="K251" i="33"/>
  <c r="S251" i="33"/>
  <c r="AB251" i="33"/>
  <c r="Z251" i="33"/>
  <c r="AD251" i="33"/>
  <c r="H251" i="33"/>
  <c r="Q251" i="33"/>
  <c r="V251" i="33"/>
  <c r="O251" i="33"/>
  <c r="M251" i="33"/>
  <c r="AF251" i="33"/>
  <c r="U251" i="33"/>
  <c r="G251" i="33"/>
  <c r="X251" i="33"/>
  <c r="L251" i="33"/>
  <c r="AA251" i="33"/>
  <c r="J251" i="33"/>
  <c r="AE251" i="33"/>
  <c r="G35" i="33"/>
  <c r="V252" i="33" s="1"/>
  <c r="G48" i="68"/>
  <c r="F25" i="13"/>
  <c r="C71" i="6"/>
  <c r="D71" i="6" s="1"/>
  <c r="E71" i="6" s="1"/>
  <c r="F19" i="13"/>
  <c r="D6" i="13"/>
  <c r="E63" i="6"/>
  <c r="E161" i="6"/>
  <c r="E121" i="6" s="1"/>
  <c r="E123" i="6" s="1"/>
  <c r="E122" i="6" s="1"/>
  <c r="E39" i="62" s="1"/>
  <c r="C65" i="6"/>
  <c r="D124" i="6"/>
  <c r="D122" i="6"/>
  <c r="E9" i="9"/>
  <c r="E6" i="7"/>
  <c r="E64" i="6"/>
  <c r="E65" i="6" s="1"/>
  <c r="F21" i="39"/>
  <c r="F60" i="6" s="1"/>
  <c r="F62" i="6" s="1"/>
  <c r="F61" i="6"/>
  <c r="D37" i="33"/>
  <c r="C78" i="6"/>
  <c r="C99" i="6"/>
  <c r="C90" i="6" s="1"/>
  <c r="C21" i="7" s="1"/>
  <c r="D21" i="7" s="1"/>
  <c r="C11" i="9"/>
  <c r="C7" i="13" s="1"/>
  <c r="D7" i="13" s="1"/>
  <c r="C7" i="7"/>
  <c r="D7" i="7" s="1"/>
  <c r="E7" i="7" s="1"/>
  <c r="C13" i="7"/>
  <c r="C85" i="6" s="1"/>
  <c r="D165" i="6"/>
  <c r="H165" i="6"/>
  <c r="L165" i="6"/>
  <c r="C165" i="6"/>
  <c r="C17" i="9"/>
  <c r="C13" i="13" s="1"/>
  <c r="E165" i="6"/>
  <c r="I165" i="6"/>
  <c r="G165" i="6"/>
  <c r="AI165" i="6"/>
  <c r="F165" i="6"/>
  <c r="J165" i="6"/>
  <c r="K165" i="6"/>
  <c r="G38" i="39"/>
  <c r="H49" i="68"/>
  <c r="H50" i="68" s="1"/>
  <c r="H130" i="6" s="1"/>
  <c r="H87" i="6" s="1"/>
  <c r="H157" i="6"/>
  <c r="H156" i="6"/>
  <c r="H33" i="33"/>
  <c r="F160" i="6"/>
  <c r="F36" i="33"/>
  <c r="G158" i="6"/>
  <c r="G34" i="33"/>
  <c r="G70" i="8"/>
  <c r="H17" i="39"/>
  <c r="H54" i="39"/>
  <c r="H55" i="39" s="1"/>
  <c r="H56" i="39"/>
  <c r="H18" i="39"/>
  <c r="F51" i="68"/>
  <c r="E11" i="67"/>
  <c r="E37" i="33"/>
  <c r="F159" i="6"/>
  <c r="G23" i="9"/>
  <c r="G24" i="7"/>
  <c r="G19" i="7"/>
  <c r="G29" i="9"/>
  <c r="G19" i="39"/>
  <c r="G20" i="39" s="1"/>
  <c r="F245" i="33"/>
  <c r="E99" i="6"/>
  <c r="E90" i="6" s="1"/>
  <c r="E25" i="9" s="1"/>
  <c r="E78" i="6"/>
  <c r="E14" i="9" s="1"/>
  <c r="E11" i="9"/>
  <c r="G57" i="39"/>
  <c r="F71" i="8"/>
  <c r="F68" i="8"/>
  <c r="G218" i="33"/>
  <c r="G216" i="33"/>
  <c r="G215" i="33"/>
  <c r="G217" i="33"/>
  <c r="G214" i="33"/>
  <c r="I252" i="33" l="1"/>
  <c r="Y252" i="33"/>
  <c r="M252" i="33"/>
  <c r="AF252" i="33"/>
  <c r="O252" i="33"/>
  <c r="AC252" i="33"/>
  <c r="K252" i="33"/>
  <c r="AB252" i="33"/>
  <c r="P252" i="33"/>
  <c r="AD252" i="33"/>
  <c r="R252" i="33"/>
  <c r="AE252" i="33"/>
  <c r="J252" i="33"/>
  <c r="T252" i="33"/>
  <c r="X252" i="33"/>
  <c r="L252" i="33"/>
  <c r="AA252" i="33"/>
  <c r="Q252" i="33"/>
  <c r="W252" i="33"/>
  <c r="G252" i="33"/>
  <c r="AG252" i="33"/>
  <c r="Z252" i="33"/>
  <c r="N252" i="33"/>
  <c r="U252" i="33"/>
  <c r="H252" i="33"/>
  <c r="S252" i="33"/>
  <c r="G25" i="13"/>
  <c r="E124" i="6"/>
  <c r="E40" i="62" s="1"/>
  <c r="H35" i="33"/>
  <c r="I253" i="33" s="1"/>
  <c r="H48" i="68"/>
  <c r="D12" i="67"/>
  <c r="G19" i="13"/>
  <c r="E6" i="13"/>
  <c r="E39" i="46"/>
  <c r="F161" i="6"/>
  <c r="F121" i="6" s="1"/>
  <c r="F123" i="6" s="1"/>
  <c r="F124" i="6" s="1"/>
  <c r="F40" i="62" s="1"/>
  <c r="F6" i="7"/>
  <c r="D39" i="62"/>
  <c r="C12" i="67"/>
  <c r="D39" i="46"/>
  <c r="D40" i="62"/>
  <c r="D69" i="8"/>
  <c r="D40" i="46"/>
  <c r="F64" i="6"/>
  <c r="F65" i="6" s="1"/>
  <c r="F70" i="6"/>
  <c r="F75" i="6" s="1"/>
  <c r="F63" i="6"/>
  <c r="F9" i="9"/>
  <c r="C25" i="9"/>
  <c r="C21" i="13" s="1"/>
  <c r="G21" i="39"/>
  <c r="G60" i="6" s="1"/>
  <c r="G62" i="6" s="1"/>
  <c r="G61" i="6"/>
  <c r="E7" i="13"/>
  <c r="E21" i="7"/>
  <c r="C196" i="6"/>
  <c r="AH165" i="6"/>
  <c r="AJ165" i="6" s="1"/>
  <c r="C83" i="6"/>
  <c r="C17" i="7"/>
  <c r="C21" i="9"/>
  <c r="C17" i="13" s="1"/>
  <c r="C10" i="7"/>
  <c r="D10" i="7" s="1"/>
  <c r="E10" i="7" s="1"/>
  <c r="C14" i="9"/>
  <c r="C10" i="13" s="1"/>
  <c r="D10" i="13" s="1"/>
  <c r="E10" i="13" s="1"/>
  <c r="H57" i="39"/>
  <c r="H38" i="39"/>
  <c r="G245" i="33"/>
  <c r="H19" i="39"/>
  <c r="H20" i="39" s="1"/>
  <c r="G160" i="6"/>
  <c r="G36" i="33"/>
  <c r="H214" i="33"/>
  <c r="H216" i="33"/>
  <c r="H219" i="33"/>
  <c r="H217" i="33"/>
  <c r="H215" i="33"/>
  <c r="H218" i="33"/>
  <c r="G51" i="68"/>
  <c r="F11" i="67"/>
  <c r="H158" i="6"/>
  <c r="H70" i="8"/>
  <c r="H34" i="33"/>
  <c r="F37" i="33"/>
  <c r="G159" i="6"/>
  <c r="G71" i="8"/>
  <c r="G68" i="8"/>
  <c r="H19" i="7"/>
  <c r="H24" i="7"/>
  <c r="H29" i="9"/>
  <c r="H23" i="9"/>
  <c r="H25" i="13" l="1"/>
  <c r="Y253" i="33"/>
  <c r="E69" i="8"/>
  <c r="E59" i="8" s="1"/>
  <c r="E58" i="8" s="1"/>
  <c r="J253" i="33"/>
  <c r="Z253" i="33"/>
  <c r="W253" i="33"/>
  <c r="U253" i="33"/>
  <c r="K253" i="33"/>
  <c r="L253" i="33"/>
  <c r="P253" i="33"/>
  <c r="AA253" i="33"/>
  <c r="AD253" i="33"/>
  <c r="N253" i="33"/>
  <c r="T253" i="33"/>
  <c r="V253" i="33"/>
  <c r="Q253" i="33"/>
  <c r="S253" i="33"/>
  <c r="R253" i="33"/>
  <c r="AC253" i="33"/>
  <c r="O253" i="33"/>
  <c r="M253" i="33"/>
  <c r="H253" i="33"/>
  <c r="AB253" i="33"/>
  <c r="AG253" i="33"/>
  <c r="X253" i="33"/>
  <c r="AE253" i="33"/>
  <c r="AF253" i="33"/>
  <c r="H19" i="13"/>
  <c r="E40" i="46"/>
  <c r="F6" i="13"/>
  <c r="G161" i="6"/>
  <c r="G121" i="6" s="1"/>
  <c r="G123" i="6" s="1"/>
  <c r="G122" i="6" s="1"/>
  <c r="G39" i="62" s="1"/>
  <c r="F122" i="6"/>
  <c r="F39" i="62" s="1"/>
  <c r="D59" i="8"/>
  <c r="D58" i="8" s="1"/>
  <c r="F69" i="8"/>
  <c r="F40" i="46"/>
  <c r="F71" i="6"/>
  <c r="G6" i="7"/>
  <c r="G64" i="6"/>
  <c r="G65" i="6" s="1"/>
  <c r="G70" i="6"/>
  <c r="G75" i="6" s="1"/>
  <c r="G99" i="6" s="1"/>
  <c r="G90" i="6" s="1"/>
  <c r="G25" i="9" s="1"/>
  <c r="G9" i="9"/>
  <c r="G63" i="6"/>
  <c r="H21" i="39"/>
  <c r="H60" i="6" s="1"/>
  <c r="H62" i="6" s="1"/>
  <c r="H70" i="6" s="1"/>
  <c r="H75" i="6" s="1"/>
  <c r="H61" i="6"/>
  <c r="C82" i="6"/>
  <c r="C15" i="7"/>
  <c r="C19" i="9"/>
  <c r="C15" i="13" s="1"/>
  <c r="H68" i="8"/>
  <c r="H71" i="8"/>
  <c r="H160" i="6"/>
  <c r="H36" i="33"/>
  <c r="H159" i="6"/>
  <c r="H37" i="33" s="1"/>
  <c r="G37" i="33"/>
  <c r="F99" i="6"/>
  <c r="F90" i="6" s="1"/>
  <c r="F78" i="6"/>
  <c r="F7" i="7"/>
  <c r="F11" i="9"/>
  <c r="F7" i="13" s="1"/>
  <c r="H51" i="68"/>
  <c r="G11" i="67"/>
  <c r="H245" i="33"/>
  <c r="D21" i="13"/>
  <c r="G6" i="13" l="1"/>
  <c r="H161" i="6"/>
  <c r="H121" i="6" s="1"/>
  <c r="H123" i="6" s="1"/>
  <c r="H122" i="6" s="1"/>
  <c r="H39" i="62" s="1"/>
  <c r="E12" i="67"/>
  <c r="G39" i="46"/>
  <c r="F12" i="67"/>
  <c r="G124" i="6"/>
  <c r="G40" i="62" s="1"/>
  <c r="F39" i="46"/>
  <c r="E81" i="8"/>
  <c r="E81" i="6" s="1"/>
  <c r="D81" i="8"/>
  <c r="D81" i="6" s="1"/>
  <c r="F59" i="8"/>
  <c r="F58" i="8" s="1"/>
  <c r="G11" i="9"/>
  <c r="G7" i="13" s="1"/>
  <c r="G7" i="7"/>
  <c r="H7" i="7" s="1"/>
  <c r="G78" i="6"/>
  <c r="G14" i="9" s="1"/>
  <c r="G71" i="6"/>
  <c r="H71" i="6" s="1"/>
  <c r="H9" i="9"/>
  <c r="H63" i="6"/>
  <c r="H6" i="7"/>
  <c r="H64" i="6"/>
  <c r="H65" i="6" s="1"/>
  <c r="F14" i="9"/>
  <c r="F10" i="13" s="1"/>
  <c r="F10" i="7"/>
  <c r="F25" i="9"/>
  <c r="F21" i="7"/>
  <c r="G21" i="7" s="1"/>
  <c r="E21" i="13"/>
  <c r="H11" i="9"/>
  <c r="H99" i="6"/>
  <c r="H78" i="6"/>
  <c r="H6" i="13" l="1"/>
  <c r="G40" i="46"/>
  <c r="H124" i="6"/>
  <c r="H40" i="62" s="1"/>
  <c r="H39" i="46"/>
  <c r="G12" i="67"/>
  <c r="G69" i="8"/>
  <c r="G59" i="8" s="1"/>
  <c r="G58" i="8" s="1"/>
  <c r="D13" i="7"/>
  <c r="D85" i="6" s="1"/>
  <c r="D21" i="9" s="1"/>
  <c r="D17" i="13" s="1"/>
  <c r="L166" i="6"/>
  <c r="AI166" i="6"/>
  <c r="I166" i="6"/>
  <c r="H166" i="6"/>
  <c r="K166" i="6"/>
  <c r="D166" i="6"/>
  <c r="D196" i="6" s="1"/>
  <c r="F166" i="6"/>
  <c r="E166" i="6"/>
  <c r="D17" i="9"/>
  <c r="D13" i="13" s="1"/>
  <c r="J166" i="6"/>
  <c r="G166" i="6"/>
  <c r="M166" i="6"/>
  <c r="AI167" i="6"/>
  <c r="G167" i="6"/>
  <c r="M167" i="6"/>
  <c r="N167" i="6"/>
  <c r="E167" i="6"/>
  <c r="L167" i="6"/>
  <c r="J167" i="6"/>
  <c r="K167" i="6"/>
  <c r="F167" i="6"/>
  <c r="E17" i="9"/>
  <c r="I167" i="6"/>
  <c r="H167" i="6"/>
  <c r="F81" i="8"/>
  <c r="F81" i="6" s="1"/>
  <c r="G10" i="7"/>
  <c r="H10" i="7" s="1"/>
  <c r="G10" i="13"/>
  <c r="H14" i="9"/>
  <c r="H7" i="13"/>
  <c r="F21" i="13"/>
  <c r="H90" i="6"/>
  <c r="H69" i="8" l="1"/>
  <c r="H59" i="8" s="1"/>
  <c r="H58" i="8" s="1"/>
  <c r="H40" i="46"/>
  <c r="E13" i="7"/>
  <c r="E85" i="6" s="1"/>
  <c r="E21" i="9" s="1"/>
  <c r="E17" i="13" s="1"/>
  <c r="D17" i="7"/>
  <c r="D83" i="6"/>
  <c r="D82" i="6" s="1"/>
  <c r="AH166" i="6"/>
  <c r="AJ166" i="6" s="1"/>
  <c r="AH167" i="6"/>
  <c r="AJ167" i="6" s="1"/>
  <c r="E196" i="6"/>
  <c r="G168" i="6"/>
  <c r="F168" i="6"/>
  <c r="F196" i="6" s="1"/>
  <c r="J168" i="6"/>
  <c r="F17" i="9"/>
  <c r="H168" i="6"/>
  <c r="K168" i="6"/>
  <c r="M168" i="6"/>
  <c r="N168" i="6"/>
  <c r="I168" i="6"/>
  <c r="L168" i="6"/>
  <c r="O168" i="6"/>
  <c r="AI168" i="6"/>
  <c r="G81" i="8"/>
  <c r="G81" i="6" s="1"/>
  <c r="E13" i="13"/>
  <c r="H25" i="9"/>
  <c r="H21" i="7"/>
  <c r="G21" i="13"/>
  <c r="H10" i="13"/>
  <c r="E83" i="6" l="1"/>
  <c r="E82" i="6" s="1"/>
  <c r="F13" i="7"/>
  <c r="F85" i="6" s="1"/>
  <c r="F83" i="6" s="1"/>
  <c r="E17" i="7"/>
  <c r="D15" i="7"/>
  <c r="D19" i="9"/>
  <c r="D15" i="13" s="1"/>
  <c r="G169" i="6"/>
  <c r="G196" i="6" s="1"/>
  <c r="N169" i="6"/>
  <c r="AI169" i="6"/>
  <c r="I169" i="6"/>
  <c r="G17" i="9"/>
  <c r="L169" i="6"/>
  <c r="P169" i="6"/>
  <c r="H169" i="6"/>
  <c r="K169" i="6"/>
  <c r="J169" i="6"/>
  <c r="M169" i="6"/>
  <c r="O169" i="6"/>
  <c r="AH168" i="6"/>
  <c r="AJ168" i="6" s="1"/>
  <c r="F13" i="13"/>
  <c r="H81" i="8"/>
  <c r="H81" i="6" s="1"/>
  <c r="D18" i="9"/>
  <c r="D100" i="6"/>
  <c r="D95" i="6"/>
  <c r="H21" i="13"/>
  <c r="E19" i="9" l="1"/>
  <c r="E15" i="13" s="1"/>
  <c r="E15" i="7"/>
  <c r="F15" i="7" s="1"/>
  <c r="F21" i="9"/>
  <c r="F17" i="13" s="1"/>
  <c r="G13" i="7"/>
  <c r="G85" i="6" s="1"/>
  <c r="G21" i="9" s="1"/>
  <c r="F17" i="7"/>
  <c r="AH169" i="6"/>
  <c r="AJ169" i="6" s="1"/>
  <c r="G13" i="13"/>
  <c r="J170" i="6"/>
  <c r="AI170" i="6"/>
  <c r="N170" i="6"/>
  <c r="H170" i="6"/>
  <c r="H196" i="6" s="1"/>
  <c r="K170" i="6"/>
  <c r="H17" i="9"/>
  <c r="P170" i="6"/>
  <c r="O170" i="6"/>
  <c r="Q170" i="6"/>
  <c r="I170" i="6"/>
  <c r="M170" i="6"/>
  <c r="L170" i="6"/>
  <c r="F82" i="6"/>
  <c r="F19" i="9"/>
  <c r="E100" i="6"/>
  <c r="E18" i="9"/>
  <c r="E95" i="6"/>
  <c r="D101" i="6"/>
  <c r="D104" i="6" s="1"/>
  <c r="D106" i="6"/>
  <c r="D107" i="6" s="1"/>
  <c r="D91" i="6" s="1"/>
  <c r="G83" i="6" l="1"/>
  <c r="G19" i="9" s="1"/>
  <c r="G17" i="7"/>
  <c r="G17" i="13"/>
  <c r="F15" i="13"/>
  <c r="H13" i="7"/>
  <c r="H85" i="6" s="1"/>
  <c r="H21" i="9" s="1"/>
  <c r="H13" i="13"/>
  <c r="AH170" i="6"/>
  <c r="AJ170" i="6" s="1"/>
  <c r="D26" i="9"/>
  <c r="D24" i="9" s="1"/>
  <c r="D89" i="6"/>
  <c r="E101" i="6"/>
  <c r="E104" i="6" s="1"/>
  <c r="E106" i="6"/>
  <c r="E107" i="6" s="1"/>
  <c r="E91" i="6" s="1"/>
  <c r="E89" i="6" s="1"/>
  <c r="F100" i="6"/>
  <c r="F95" i="6"/>
  <c r="F18" i="9"/>
  <c r="G82" i="6" l="1"/>
  <c r="G18" i="9" s="1"/>
  <c r="G15" i="7"/>
  <c r="H17" i="13"/>
  <c r="G15" i="13"/>
  <c r="H83" i="6"/>
  <c r="H17" i="7"/>
  <c r="E26" i="9"/>
  <c r="E24" i="9" s="1"/>
  <c r="D93" i="6"/>
  <c r="D28" i="9"/>
  <c r="F101" i="6"/>
  <c r="F104" i="6" s="1"/>
  <c r="F106" i="6"/>
  <c r="F107" i="6" s="1"/>
  <c r="F91" i="6" s="1"/>
  <c r="E28" i="9"/>
  <c r="E93" i="6"/>
  <c r="G100" i="6" l="1"/>
  <c r="G95" i="6"/>
  <c r="G106" i="6" s="1"/>
  <c r="G107" i="6" s="1"/>
  <c r="G91" i="6" s="1"/>
  <c r="H15" i="7"/>
  <c r="H19" i="9"/>
  <c r="H15" i="13" s="1"/>
  <c r="H82" i="6"/>
  <c r="H100" i="6" s="1"/>
  <c r="F26" i="9"/>
  <c r="F24" i="9" s="1"/>
  <c r="F89" i="6"/>
  <c r="D30" i="9"/>
  <c r="D32" i="9" s="1"/>
  <c r="D96" i="6"/>
  <c r="E30" i="9"/>
  <c r="E96" i="6"/>
  <c r="G101" i="6" l="1"/>
  <c r="G104" i="6" s="1"/>
  <c r="H18" i="9"/>
  <c r="H95" i="6"/>
  <c r="H101" i="6" s="1"/>
  <c r="H104" i="6" s="1"/>
  <c r="G26" i="9"/>
  <c r="G24" i="9" s="1"/>
  <c r="G89" i="6"/>
  <c r="F93" i="6"/>
  <c r="F28" i="9"/>
  <c r="E32" i="9"/>
  <c r="H106" i="6" l="1"/>
  <c r="H107" i="6" s="1"/>
  <c r="H91" i="6" s="1"/>
  <c r="H26" i="9" s="1"/>
  <c r="H24" i="9" s="1"/>
  <c r="F96" i="6"/>
  <c r="F30" i="9"/>
  <c r="F32" i="9" s="1"/>
  <c r="G28" i="9"/>
  <c r="G93" i="6"/>
  <c r="H89" i="6" l="1"/>
  <c r="H28" i="9" s="1"/>
  <c r="G30" i="9"/>
  <c r="G32" i="9" s="1"/>
  <c r="G96" i="6"/>
  <c r="H93" i="6" l="1"/>
  <c r="H30" i="9" s="1"/>
  <c r="H32" i="9" s="1"/>
  <c r="H96" i="6" l="1"/>
  <c r="I111" i="6" s="1"/>
  <c r="I136" i="33" s="1"/>
  <c r="I74" i="6" l="1"/>
  <c r="I10" i="9" s="1"/>
  <c r="I178" i="33"/>
  <c r="I180" i="33"/>
  <c r="I139" i="33"/>
  <c r="I176" i="33"/>
  <c r="I177" i="33"/>
  <c r="I141" i="33"/>
  <c r="I175" i="33"/>
  <c r="I140" i="33"/>
  <c r="I33" i="68"/>
  <c r="I137" i="33"/>
  <c r="I138" i="33"/>
  <c r="I179" i="33"/>
  <c r="I75" i="68"/>
  <c r="I16" i="68"/>
  <c r="I56" i="68"/>
  <c r="I73" i="33"/>
  <c r="I17" i="68"/>
  <c r="I60" i="68"/>
  <c r="I40" i="68"/>
  <c r="I66" i="68"/>
  <c r="I135" i="6"/>
  <c r="I136" i="6" s="1"/>
  <c r="I20" i="33" s="1"/>
  <c r="I16" i="8"/>
  <c r="I35" i="68"/>
  <c r="I26" i="68"/>
  <c r="I65" i="68"/>
  <c r="I73" i="68"/>
  <c r="H6" i="67"/>
  <c r="H9" i="67" s="1"/>
  <c r="I24" i="68"/>
  <c r="I42" i="68"/>
  <c r="I63" i="68"/>
  <c r="I71" i="33"/>
  <c r="I28" i="8"/>
  <c r="I38" i="8"/>
  <c r="I51" i="8"/>
  <c r="I50" i="8"/>
  <c r="I67" i="8"/>
  <c r="I62" i="8"/>
  <c r="I112" i="6"/>
  <c r="H17" i="67" s="1"/>
  <c r="I15" i="68"/>
  <c r="I23" i="68"/>
  <c r="I39" i="68"/>
  <c r="I28" i="68"/>
  <c r="I21" i="68"/>
  <c r="I37" i="68"/>
  <c r="I30" i="68"/>
  <c r="I55" i="68"/>
  <c r="I54" i="68"/>
  <c r="I59" i="68"/>
  <c r="I68" i="68"/>
  <c r="I67" i="68"/>
  <c r="I70" i="68"/>
  <c r="I79" i="68"/>
  <c r="I77" i="68"/>
  <c r="I70" i="33"/>
  <c r="I77" i="6"/>
  <c r="I9" i="7" s="1"/>
  <c r="I19" i="8"/>
  <c r="I147" i="6"/>
  <c r="I14" i="38" s="1"/>
  <c r="I26" i="8"/>
  <c r="I39" i="8"/>
  <c r="I49" i="8"/>
  <c r="I48" i="8"/>
  <c r="I55" i="8" s="1"/>
  <c r="I61" i="8"/>
  <c r="I60" i="8"/>
  <c r="I116" i="6"/>
  <c r="I77" i="8" s="1"/>
  <c r="I84" i="6"/>
  <c r="I20" i="9" s="1"/>
  <c r="I16" i="13" s="1"/>
  <c r="I18" i="68"/>
  <c r="I27" i="68"/>
  <c r="I43" i="68"/>
  <c r="I32" i="68"/>
  <c r="I25" i="68"/>
  <c r="I41" i="68"/>
  <c r="I34" i="68"/>
  <c r="I57" i="68"/>
  <c r="I52" i="68"/>
  <c r="I58" i="68"/>
  <c r="I69" i="68"/>
  <c r="I72" i="68"/>
  <c r="I71" i="68"/>
  <c r="I74" i="68"/>
  <c r="I81" i="68"/>
  <c r="I68" i="33"/>
  <c r="I76" i="6"/>
  <c r="I8" i="7" s="1"/>
  <c r="I17" i="8"/>
  <c r="I27" i="8"/>
  <c r="I24" i="8"/>
  <c r="I37" i="8"/>
  <c r="I47" i="8"/>
  <c r="I46" i="8"/>
  <c r="I66" i="8"/>
  <c r="I54" i="8"/>
  <c r="I115" i="6"/>
  <c r="H16" i="67" s="1"/>
  <c r="I14" i="68"/>
  <c r="I19" i="68"/>
  <c r="I31" i="68"/>
  <c r="I20" i="68"/>
  <c r="I36" i="68"/>
  <c r="I29" i="68"/>
  <c r="I22" i="68"/>
  <c r="I38" i="68"/>
  <c r="I53" i="68"/>
  <c r="I61" i="68"/>
  <c r="I64" i="68"/>
  <c r="I80" i="68"/>
  <c r="I62" i="68"/>
  <c r="I76" i="68"/>
  <c r="I78" i="68"/>
  <c r="I69" i="33"/>
  <c r="I72" i="33"/>
  <c r="I141" i="6"/>
  <c r="I142" i="6" s="1"/>
  <c r="I18" i="8"/>
  <c r="I25" i="8"/>
  <c r="I29" i="8" s="1"/>
  <c r="J30" i="8" s="1"/>
  <c r="I36" i="8"/>
  <c r="I40" i="8" s="1"/>
  <c r="J41" i="8" s="1"/>
  <c r="I35" i="8"/>
  <c r="I52" i="8"/>
  <c r="I63" i="8"/>
  <c r="I64" i="8"/>
  <c r="I88" i="6"/>
  <c r="I11" i="38" l="1"/>
  <c r="I10" i="38"/>
  <c r="I19" i="33"/>
  <c r="H7" i="67"/>
  <c r="I12" i="9"/>
  <c r="I8" i="13" s="1"/>
  <c r="I45" i="8"/>
  <c r="I44" i="8" s="1"/>
  <c r="I23" i="33"/>
  <c r="I16" i="7"/>
  <c r="I27" i="33"/>
  <c r="H8" i="67"/>
  <c r="I80" i="8"/>
  <c r="I92" i="6" s="1"/>
  <c r="I23" i="7" s="1"/>
  <c r="I12" i="38"/>
  <c r="H10" i="67"/>
  <c r="I148" i="6"/>
  <c r="I28" i="33" s="1"/>
  <c r="I44" i="68"/>
  <c r="I45" i="68" s="1"/>
  <c r="I129" i="6" s="1"/>
  <c r="I82" i="68"/>
  <c r="I131" i="6" s="1"/>
  <c r="I34" i="8"/>
  <c r="I33" i="8" s="1"/>
  <c r="I15" i="8"/>
  <c r="I14" i="8" s="1"/>
  <c r="I23" i="8"/>
  <c r="I22" i="8" s="1"/>
  <c r="I13" i="9"/>
  <c r="I9" i="13" s="1"/>
  <c r="I24" i="33"/>
  <c r="I13" i="38"/>
  <c r="I16" i="38" l="1"/>
  <c r="I20" i="38" s="1"/>
  <c r="I42" i="38" s="1"/>
  <c r="I15" i="38"/>
  <c r="I128" i="6"/>
  <c r="I27" i="9"/>
  <c r="I23" i="13" s="1"/>
  <c r="I83" i="68"/>
  <c r="I132" i="6" s="1"/>
  <c r="I31" i="6" s="1"/>
  <c r="I32" i="6" s="1"/>
  <c r="I72" i="8" s="1"/>
  <c r="I73" i="8" s="1"/>
  <c r="I66" i="38" l="1"/>
  <c r="I90" i="38"/>
  <c r="I17" i="38"/>
  <c r="I21" i="38" s="1"/>
  <c r="I67" i="38" s="1"/>
  <c r="I85" i="68"/>
  <c r="I74" i="8"/>
  <c r="I65" i="8" l="1"/>
  <c r="H13" i="67" s="1"/>
  <c r="I91" i="38"/>
  <c r="I22" i="38"/>
  <c r="I44" i="38" s="1"/>
  <c r="I43" i="38"/>
  <c r="I68" i="38" l="1"/>
  <c r="I23" i="38"/>
  <c r="I45" i="38" s="1"/>
  <c r="I92" i="38"/>
  <c r="I69" i="38" l="1"/>
  <c r="I93" i="38"/>
  <c r="I24" i="38"/>
  <c r="I25" i="38" s="1"/>
  <c r="I95" i="38" s="1"/>
  <c r="I46" i="38" l="1"/>
  <c r="I47" i="38"/>
  <c r="I70" i="38"/>
  <c r="I26" i="38"/>
  <c r="I27" i="38" s="1"/>
  <c r="I71" i="38"/>
  <c r="I94" i="38"/>
  <c r="I72" i="38" l="1"/>
  <c r="I48" i="38"/>
  <c r="I96" i="38"/>
  <c r="I49" i="38"/>
  <c r="I97" i="38"/>
  <c r="I73" i="38"/>
  <c r="I28" i="38"/>
  <c r="I50" i="38" l="1"/>
  <c r="I29" i="38"/>
  <c r="I74" i="38"/>
  <c r="I98" i="38"/>
  <c r="I51" i="38" l="1"/>
  <c r="I75" i="38"/>
  <c r="I30" i="38"/>
  <c r="I99" i="38"/>
  <c r="I100" i="38" l="1"/>
  <c r="I52" i="38"/>
  <c r="I31" i="38"/>
  <c r="I76" i="38"/>
  <c r="I32" i="38" l="1"/>
  <c r="I101" i="38"/>
  <c r="I53" i="38"/>
  <c r="I77" i="38"/>
  <c r="I102" i="38" l="1"/>
  <c r="I54" i="38"/>
  <c r="I33" i="38"/>
  <c r="I78" i="38"/>
  <c r="I103" i="38" l="1"/>
  <c r="I55" i="38"/>
  <c r="I79" i="38"/>
  <c r="I34" i="38"/>
  <c r="I104" i="38" l="1"/>
  <c r="I80" i="38"/>
  <c r="I56" i="38"/>
  <c r="I35" i="38"/>
  <c r="I57" i="38" l="1"/>
  <c r="I81" i="38"/>
  <c r="I36" i="38"/>
  <c r="I105" i="38"/>
  <c r="I58" i="38" l="1"/>
  <c r="I37" i="38"/>
  <c r="I82" i="38"/>
  <c r="I106" i="38"/>
  <c r="I59" i="38" l="1"/>
  <c r="I83" i="38"/>
  <c r="I107" i="38"/>
  <c r="I38" i="38"/>
  <c r="I39" i="38" l="1"/>
  <c r="I84" i="38"/>
  <c r="I108" i="38"/>
  <c r="I60" i="38"/>
  <c r="I109" i="38" l="1"/>
  <c r="I61" i="38"/>
  <c r="I85" i="38"/>
  <c r="I87" i="38" l="1"/>
  <c r="I86" i="38"/>
  <c r="I62" i="38"/>
  <c r="I63" i="38"/>
  <c r="I110" i="38"/>
  <c r="I111" i="38"/>
  <c r="I137" i="6" l="1"/>
  <c r="I149" i="6"/>
  <c r="I143" i="6"/>
  <c r="I29" i="33" l="1"/>
  <c r="I153" i="6"/>
  <c r="I151" i="6"/>
  <c r="I152" i="6" s="1"/>
  <c r="I150" i="6"/>
  <c r="I30" i="33" s="1"/>
  <c r="I25" i="33"/>
  <c r="I145" i="6"/>
  <c r="I146" i="6" s="1"/>
  <c r="I144" i="6"/>
  <c r="I26" i="33" s="1"/>
  <c r="I21" i="33"/>
  <c r="I138" i="6"/>
  <c r="I22" i="33" s="1"/>
  <c r="I139" i="6"/>
  <c r="I140" i="6" s="1"/>
  <c r="I10" i="68" l="1"/>
  <c r="I13" i="68" s="1"/>
  <c r="I31" i="33"/>
  <c r="I154" i="6"/>
  <c r="I142" i="33" l="1"/>
  <c r="I167" i="33" s="1"/>
  <c r="I11" i="68"/>
  <c r="I12" i="68" s="1"/>
  <c r="I127" i="6" s="1"/>
  <c r="I32" i="33"/>
  <c r="I74" i="33" s="1"/>
  <c r="I155" i="6"/>
  <c r="I15" i="39"/>
  <c r="I108" i="33" l="1"/>
  <c r="I99" i="33"/>
  <c r="I171" i="33" s="1"/>
  <c r="I49" i="68"/>
  <c r="I156" i="6"/>
  <c r="I157" i="6"/>
  <c r="I33" i="33"/>
  <c r="I50" i="68" l="1"/>
  <c r="I130" i="6" s="1"/>
  <c r="I87" i="6" s="1"/>
  <c r="I23" i="9" s="1"/>
  <c r="I19" i="13" s="1"/>
  <c r="I67" i="6"/>
  <c r="I66" i="6" s="1"/>
  <c r="I68" i="6" s="1"/>
  <c r="I69" i="6" s="1"/>
  <c r="I35" i="33"/>
  <c r="I181" i="33" s="1"/>
  <c r="I206" i="33" s="1"/>
  <c r="I48" i="68"/>
  <c r="I70" i="8"/>
  <c r="I34" i="33"/>
  <c r="I158" i="6"/>
  <c r="I218" i="33"/>
  <c r="I219" i="33"/>
  <c r="I215" i="33"/>
  <c r="I216" i="33"/>
  <c r="I217" i="33"/>
  <c r="I214" i="33"/>
  <c r="I24" i="7" l="1"/>
  <c r="I19" i="7"/>
  <c r="I220" i="33"/>
  <c r="I254" i="33" s="1"/>
  <c r="I29" i="9"/>
  <c r="I25" i="13" s="1"/>
  <c r="I160" i="6"/>
  <c r="I161" i="6" s="1"/>
  <c r="I121" i="6" s="1"/>
  <c r="I123" i="6" s="1"/>
  <c r="I36" i="33"/>
  <c r="I159" i="6"/>
  <c r="I71" i="8"/>
  <c r="I68" i="8"/>
  <c r="I51" i="68"/>
  <c r="H11" i="67"/>
  <c r="I245" i="33" l="1"/>
  <c r="I59" i="33" s="1"/>
  <c r="I58" i="33" s="1"/>
  <c r="H14" i="67" s="1"/>
  <c r="I122" i="6"/>
  <c r="I124" i="6"/>
  <c r="I37" i="33"/>
  <c r="I33" i="6" l="1"/>
  <c r="I35" i="6" s="1"/>
  <c r="I37" i="6" s="1"/>
  <c r="I40" i="62"/>
  <c r="I40" i="46"/>
  <c r="I69" i="8"/>
  <c r="I39" i="62"/>
  <c r="H12" i="67"/>
  <c r="I39" i="46"/>
  <c r="I13" i="39" l="1"/>
  <c r="I33" i="39" s="1"/>
  <c r="I34" i="6"/>
  <c r="I5" i="7" s="1"/>
  <c r="I86" i="6"/>
  <c r="I38" i="6"/>
  <c r="I59" i="8"/>
  <c r="I58" i="8" s="1"/>
  <c r="I36" i="6" l="1"/>
  <c r="I8" i="9"/>
  <c r="I5" i="13" s="1"/>
  <c r="I22" i="9"/>
  <c r="I18" i="13" s="1"/>
  <c r="I18" i="7"/>
  <c r="I57" i="6"/>
  <c r="I42" i="39" s="1"/>
  <c r="I55" i="6"/>
  <c r="I58" i="6"/>
  <c r="I81" i="8"/>
  <c r="I81" i="6" s="1"/>
  <c r="I41" i="39" l="1"/>
  <c r="I56" i="6"/>
  <c r="I152" i="40"/>
  <c r="I117" i="40"/>
  <c r="I140" i="40"/>
  <c r="I141" i="40" s="1"/>
  <c r="I142" i="40" s="1"/>
  <c r="I171" i="40"/>
  <c r="I43" i="39"/>
  <c r="I59" i="6"/>
  <c r="P171" i="6"/>
  <c r="I17" i="9"/>
  <c r="I13" i="13" s="1"/>
  <c r="R171" i="6"/>
  <c r="Q171" i="6"/>
  <c r="L171" i="6"/>
  <c r="K171" i="6"/>
  <c r="I13" i="7"/>
  <c r="I85" i="6" s="1"/>
  <c r="I17" i="7" s="1"/>
  <c r="O171" i="6"/>
  <c r="AI171" i="6"/>
  <c r="N171" i="6"/>
  <c r="J171" i="6"/>
  <c r="I171" i="6"/>
  <c r="I196" i="6" s="1"/>
  <c r="M171" i="6"/>
  <c r="I119" i="40" l="1"/>
  <c r="I127" i="40" s="1"/>
  <c r="I163" i="40"/>
  <c r="I118" i="40"/>
  <c r="I120" i="40" s="1"/>
  <c r="I164" i="40"/>
  <c r="I177" i="40"/>
  <c r="I173" i="40"/>
  <c r="I175" i="40" s="1"/>
  <c r="I172" i="40"/>
  <c r="I187" i="40" s="1"/>
  <c r="I144" i="40"/>
  <c r="I143" i="40"/>
  <c r="I83" i="6"/>
  <c r="I21" i="9"/>
  <c r="I17" i="13" s="1"/>
  <c r="AH171" i="6"/>
  <c r="AJ171" i="6" s="1"/>
  <c r="I121" i="40" l="1"/>
  <c r="I122" i="40" s="1"/>
  <c r="I39" i="6" s="1"/>
  <c r="I145" i="40"/>
  <c r="I146" i="40" s="1"/>
  <c r="I174" i="40"/>
  <c r="I176" i="40" s="1"/>
  <c r="I124" i="40"/>
  <c r="I126" i="40"/>
  <c r="I128" i="40" s="1"/>
  <c r="I46" i="39" s="1"/>
  <c r="I188" i="40"/>
  <c r="I189" i="40" s="1"/>
  <c r="I35" i="39" s="1"/>
  <c r="I179" i="40"/>
  <c r="I191" i="40" s="1"/>
  <c r="I178" i="40"/>
  <c r="I183" i="40" s="1"/>
  <c r="I123" i="40"/>
  <c r="I82" i="6"/>
  <c r="I15" i="7"/>
  <c r="I19" i="9"/>
  <c r="I15" i="13" s="1"/>
  <c r="I40" i="33" l="1"/>
  <c r="I43" i="33" s="1"/>
  <c r="I181" i="40"/>
  <c r="I147" i="40"/>
  <c r="I45" i="39"/>
  <c r="I184" i="40"/>
  <c r="I185" i="40" s="1"/>
  <c r="I190" i="40"/>
  <c r="I192" i="40" s="1"/>
  <c r="I36" i="39" s="1"/>
  <c r="I125" i="40"/>
  <c r="I44" i="39" s="1"/>
  <c r="I50" i="39" s="1"/>
  <c r="I51" i="39" s="1"/>
  <c r="I180" i="40"/>
  <c r="I40" i="6"/>
  <c r="I41" i="6"/>
  <c r="I42" i="6" s="1"/>
  <c r="I43" i="6" s="1"/>
  <c r="I18" i="9"/>
  <c r="I100" i="6"/>
  <c r="I153" i="40"/>
  <c r="I154" i="40"/>
  <c r="I182" i="40" l="1"/>
  <c r="I186" i="40" s="1"/>
  <c r="I34" i="39" s="1"/>
  <c r="I53" i="39"/>
  <c r="I41" i="33"/>
  <c r="I42" i="33" s="1"/>
  <c r="I14" i="39"/>
  <c r="I44" i="6"/>
  <c r="I48" i="6" s="1"/>
  <c r="I155" i="40"/>
  <c r="I159" i="40"/>
  <c r="I158" i="40"/>
  <c r="I156" i="40"/>
  <c r="I193" i="40" l="1"/>
  <c r="I47" i="33"/>
  <c r="I48" i="33" s="1"/>
  <c r="I49" i="33" s="1"/>
  <c r="I51" i="33" s="1"/>
  <c r="I52" i="33" s="1"/>
  <c r="I53" i="33" s="1"/>
  <c r="I54" i="33" s="1"/>
  <c r="I52" i="39"/>
  <c r="I16" i="39"/>
  <c r="I50" i="6"/>
  <c r="I49" i="6"/>
  <c r="I51" i="6" s="1"/>
  <c r="I52" i="6" s="1"/>
  <c r="I37" i="39"/>
  <c r="I47" i="39"/>
  <c r="I160" i="40"/>
  <c r="I157" i="40"/>
  <c r="I161" i="40" l="1"/>
  <c r="I162" i="40" s="1"/>
  <c r="I18" i="39" s="1"/>
  <c r="I56" i="39"/>
  <c r="I17" i="39"/>
  <c r="I54" i="39"/>
  <c r="I55" i="39" s="1"/>
  <c r="I57" i="39" l="1"/>
  <c r="I19" i="39"/>
  <c r="I20" i="39" s="1"/>
  <c r="I38" i="39"/>
  <c r="I21" i="39" l="1"/>
  <c r="I60" i="6" s="1"/>
  <c r="I62" i="6" s="1"/>
  <c r="I61" i="6"/>
  <c r="I64" i="6" l="1"/>
  <c r="I65" i="6" s="1"/>
  <c r="I9" i="9"/>
  <c r="I6" i="13" s="1"/>
  <c r="I70" i="6"/>
  <c r="I6" i="7"/>
  <c r="I63" i="6"/>
  <c r="I71" i="6" l="1"/>
  <c r="I75" i="6"/>
  <c r="I7" i="7" l="1"/>
  <c r="I78" i="6"/>
  <c r="I99" i="6"/>
  <c r="I90" i="6" s="1"/>
  <c r="I11" i="9"/>
  <c r="I7" i="13" s="1"/>
  <c r="I25" i="9" l="1"/>
  <c r="I21" i="13" s="1"/>
  <c r="I21" i="7"/>
  <c r="I14" i="9"/>
  <c r="I10" i="13" s="1"/>
  <c r="I10" i="7"/>
  <c r="I95" i="6"/>
  <c r="I101" i="6" s="1"/>
  <c r="I104" i="6" s="1"/>
  <c r="I106" i="6" s="1"/>
  <c r="I107" i="6" s="1"/>
  <c r="I91" i="6" s="1"/>
  <c r="I26" i="9" s="1"/>
  <c r="I89" i="6" l="1"/>
  <c r="I28" i="9" s="1"/>
  <c r="I24" i="9"/>
  <c r="I93" i="6" l="1"/>
  <c r="I30" i="9" s="1"/>
  <c r="I32" i="9" s="1"/>
  <c r="I96" i="6" l="1"/>
  <c r="J111" i="6" s="1"/>
  <c r="J74" i="6" l="1"/>
  <c r="J10" i="9" s="1"/>
  <c r="J138" i="33"/>
  <c r="J136" i="33"/>
  <c r="J137" i="33"/>
  <c r="J177" i="33"/>
  <c r="J140" i="33"/>
  <c r="J142" i="33"/>
  <c r="J176" i="33"/>
  <c r="J180" i="33"/>
  <c r="J179" i="33"/>
  <c r="J181" i="33"/>
  <c r="J141" i="33"/>
  <c r="J139" i="33"/>
  <c r="J178" i="33"/>
  <c r="J175" i="33"/>
  <c r="J66" i="8"/>
  <c r="J77" i="6"/>
  <c r="J9" i="7" s="1"/>
  <c r="J59" i="68"/>
  <c r="J75" i="68"/>
  <c r="J58" i="68"/>
  <c r="J30" i="68"/>
  <c r="J29" i="68"/>
  <c r="J48" i="8"/>
  <c r="J55" i="8" s="1"/>
  <c r="J17" i="8"/>
  <c r="J80" i="68"/>
  <c r="J71" i="33"/>
  <c r="J60" i="68"/>
  <c r="J67" i="8"/>
  <c r="J19" i="68"/>
  <c r="J77" i="68"/>
  <c r="J115" i="6"/>
  <c r="I16" i="67" s="1"/>
  <c r="J19" i="8"/>
  <c r="J49" i="8"/>
  <c r="J63" i="68"/>
  <c r="J40" i="68"/>
  <c r="J67" i="68"/>
  <c r="J41" i="68"/>
  <c r="J60" i="8"/>
  <c r="J39" i="68"/>
  <c r="J37" i="68"/>
  <c r="J66" i="68"/>
  <c r="J36" i="68"/>
  <c r="J38" i="68"/>
  <c r="J63" i="8"/>
  <c r="J57" i="68"/>
  <c r="J36" i="8"/>
  <c r="J40" i="8" s="1"/>
  <c r="K41" i="8" s="1"/>
  <c r="J68" i="68"/>
  <c r="J50" i="8"/>
  <c r="J65" i="68"/>
  <c r="J27" i="8"/>
  <c r="I6" i="67"/>
  <c r="I9" i="67" s="1"/>
  <c r="J31" i="68"/>
  <c r="J79" i="68"/>
  <c r="J39" i="8"/>
  <c r="J141" i="6"/>
  <c r="I8" i="67" s="1"/>
  <c r="J135" i="6"/>
  <c r="J136" i="6" s="1"/>
  <c r="J55" i="68"/>
  <c r="J35" i="8"/>
  <c r="J70" i="33"/>
  <c r="J73" i="68"/>
  <c r="J18" i="8"/>
  <c r="J76" i="68"/>
  <c r="J18" i="68"/>
  <c r="J42" i="68"/>
  <c r="J62" i="8"/>
  <c r="J17" i="68"/>
  <c r="J64" i="8"/>
  <c r="J147" i="6"/>
  <c r="J148" i="6" s="1"/>
  <c r="J32" i="68"/>
  <c r="J38" i="8"/>
  <c r="J26" i="68"/>
  <c r="J15" i="68"/>
  <c r="J23" i="68"/>
  <c r="J28" i="68"/>
  <c r="J68" i="33"/>
  <c r="J35" i="68"/>
  <c r="J24" i="68"/>
  <c r="J73" i="33"/>
  <c r="J116" i="6"/>
  <c r="J77" i="8" s="1"/>
  <c r="J69" i="33"/>
  <c r="J70" i="68"/>
  <c r="J53" i="68"/>
  <c r="J25" i="8"/>
  <c r="J29" i="8" s="1"/>
  <c r="K30" i="8" s="1"/>
  <c r="J52" i="8"/>
  <c r="J21" i="68"/>
  <c r="J51" i="8"/>
  <c r="J112" i="6"/>
  <c r="I17" i="67" s="1"/>
  <c r="J71" i="68"/>
  <c r="J76" i="6"/>
  <c r="J8" i="7" s="1"/>
  <c r="J62" i="68"/>
  <c r="J26" i="8"/>
  <c r="J56" i="68"/>
  <c r="J88" i="6"/>
  <c r="J61" i="8"/>
  <c r="J69" i="68"/>
  <c r="J16" i="8"/>
  <c r="J64" i="68"/>
  <c r="J22" i="68"/>
  <c r="J14" i="68"/>
  <c r="J61" i="68"/>
  <c r="J52" i="68"/>
  <c r="J20" i="68"/>
  <c r="J78" i="68"/>
  <c r="J33" i="68"/>
  <c r="J46" i="8"/>
  <c r="J28" i="8"/>
  <c r="J72" i="33"/>
  <c r="J54" i="8"/>
  <c r="J54" i="68"/>
  <c r="J34" i="68"/>
  <c r="J25" i="68"/>
  <c r="J37" i="8"/>
  <c r="J24" i="8"/>
  <c r="J43" i="68"/>
  <c r="J84" i="6"/>
  <c r="J20" i="9" s="1"/>
  <c r="J16" i="13" s="1"/>
  <c r="J47" i="8"/>
  <c r="J81" i="68"/>
  <c r="J16" i="68"/>
  <c r="J72" i="68"/>
  <c r="J27" i="68"/>
  <c r="J74" i="68"/>
  <c r="J13" i="9" l="1"/>
  <c r="J9" i="13" s="1"/>
  <c r="J19" i="33"/>
  <c r="J23" i="8"/>
  <c r="J22" i="8" s="1"/>
  <c r="J80" i="8"/>
  <c r="J92" i="6" s="1"/>
  <c r="J23" i="7" s="1"/>
  <c r="J14" i="38"/>
  <c r="I10" i="67"/>
  <c r="I7" i="67"/>
  <c r="J12" i="9"/>
  <c r="J8" i="13" s="1"/>
  <c r="J15" i="8"/>
  <c r="J14" i="8" s="1"/>
  <c r="J45" i="8"/>
  <c r="J44" i="8" s="1"/>
  <c r="J27" i="33"/>
  <c r="J10" i="38"/>
  <c r="J82" i="68"/>
  <c r="J83" i="68" s="1"/>
  <c r="J132" i="6" s="1"/>
  <c r="J12" i="38"/>
  <c r="J142" i="6"/>
  <c r="J13" i="38" s="1"/>
  <c r="J23" i="33"/>
  <c r="J44" i="68"/>
  <c r="J128" i="6" s="1"/>
  <c r="J34" i="8"/>
  <c r="J33" i="8" s="1"/>
  <c r="J16" i="7"/>
  <c r="J15" i="38"/>
  <c r="J28" i="33"/>
  <c r="J20" i="33"/>
  <c r="J11" i="38"/>
  <c r="C14" i="7"/>
  <c r="D14" i="7" s="1"/>
  <c r="E14" i="7" s="1"/>
  <c r="F14" i="7" s="1"/>
  <c r="G14" i="7" s="1"/>
  <c r="H14" i="7" s="1"/>
  <c r="I14" i="7" s="1"/>
  <c r="C18" i="9"/>
  <c r="J27" i="9" l="1"/>
  <c r="J23" i="13" s="1"/>
  <c r="J24" i="33"/>
  <c r="J16" i="38"/>
  <c r="J20" i="38" s="1"/>
  <c r="J131" i="6"/>
  <c r="J45" i="68"/>
  <c r="J129" i="6" s="1"/>
  <c r="J31" i="6" s="1"/>
  <c r="J32" i="6" s="1"/>
  <c r="J72" i="8" s="1"/>
  <c r="J73" i="8" s="1"/>
  <c r="J74" i="8" s="1"/>
  <c r="C14" i="13"/>
  <c r="D14" i="13" s="1"/>
  <c r="E14" i="13" s="1"/>
  <c r="F14" i="13" s="1"/>
  <c r="G14" i="13" s="1"/>
  <c r="H14" i="13" s="1"/>
  <c r="I14" i="13" s="1"/>
  <c r="C100" i="6"/>
  <c r="C95" i="6"/>
  <c r="C101" i="6" s="1"/>
  <c r="J65" i="8" l="1"/>
  <c r="I13" i="67" s="1"/>
  <c r="J17" i="38"/>
  <c r="J21" i="38" s="1"/>
  <c r="J43" i="38" s="1"/>
  <c r="J85" i="68"/>
  <c r="J42" i="38"/>
  <c r="J90" i="38"/>
  <c r="J66" i="38"/>
  <c r="C106" i="6"/>
  <c r="C107" i="6" s="1"/>
  <c r="C91" i="6" s="1"/>
  <c r="C103" i="6"/>
  <c r="D103" i="6" s="1"/>
  <c r="E103" i="6" s="1"/>
  <c r="F103" i="6" s="1"/>
  <c r="G103" i="6" s="1"/>
  <c r="H103" i="6" s="1"/>
  <c r="I103" i="6" s="1"/>
  <c r="C102" i="6"/>
  <c r="C104" i="6"/>
  <c r="J91" i="38" l="1"/>
  <c r="J67" i="38"/>
  <c r="J22" i="38"/>
  <c r="J23" i="38" s="1"/>
  <c r="C89" i="6"/>
  <c r="C22" i="7"/>
  <c r="D22" i="7" s="1"/>
  <c r="E22" i="7" s="1"/>
  <c r="F22" i="7" s="1"/>
  <c r="G22" i="7" s="1"/>
  <c r="H22" i="7" s="1"/>
  <c r="I22" i="7" s="1"/>
  <c r="C26" i="9"/>
  <c r="D102" i="6"/>
  <c r="C105" i="6"/>
  <c r="J68" i="38" l="1"/>
  <c r="J92" i="38"/>
  <c r="J44" i="38"/>
  <c r="J93" i="38"/>
  <c r="J45" i="38"/>
  <c r="J24" i="38"/>
  <c r="J69" i="38"/>
  <c r="C22" i="13"/>
  <c r="C24" i="9"/>
  <c r="D105" i="6"/>
  <c r="E102" i="6"/>
  <c r="C20" i="7"/>
  <c r="D20" i="7" s="1"/>
  <c r="E20" i="7" s="1"/>
  <c r="F20" i="7" s="1"/>
  <c r="G20" i="7" s="1"/>
  <c r="H20" i="7" s="1"/>
  <c r="I20" i="7" s="1"/>
  <c r="C28" i="9"/>
  <c r="C93" i="6"/>
  <c r="J25" i="38" l="1"/>
  <c r="J94" i="38"/>
  <c r="J70" i="38"/>
  <c r="J46" i="38"/>
  <c r="C25" i="7"/>
  <c r="D25" i="7" s="1"/>
  <c r="E25" i="7" s="1"/>
  <c r="F25" i="7" s="1"/>
  <c r="G25" i="7" s="1"/>
  <c r="H25" i="7" s="1"/>
  <c r="I25" i="7" s="1"/>
  <c r="C96" i="6"/>
  <c r="C30" i="9"/>
  <c r="E105" i="6"/>
  <c r="F102" i="6"/>
  <c r="D22" i="13"/>
  <c r="C20" i="13"/>
  <c r="C24" i="13"/>
  <c r="D24" i="13" s="1"/>
  <c r="E24" i="13" s="1"/>
  <c r="F24" i="13" s="1"/>
  <c r="G24" i="13" s="1"/>
  <c r="H24" i="13" s="1"/>
  <c r="I24" i="13" s="1"/>
  <c r="J47" i="38" l="1"/>
  <c r="J95" i="38"/>
  <c r="J71" i="38"/>
  <c r="J26" i="38"/>
  <c r="C26" i="13"/>
  <c r="D26" i="13" s="1"/>
  <c r="E26" i="13" s="1"/>
  <c r="F26" i="13" s="1"/>
  <c r="G26" i="13" s="1"/>
  <c r="H26" i="13" s="1"/>
  <c r="I26" i="13" s="1"/>
  <c r="C32" i="9"/>
  <c r="D20" i="13"/>
  <c r="E22" i="13"/>
  <c r="C27" i="7"/>
  <c r="G102" i="6"/>
  <c r="F105" i="6"/>
  <c r="J72" i="38" l="1"/>
  <c r="J27" i="38"/>
  <c r="J96" i="38"/>
  <c r="J48" i="38"/>
  <c r="G105" i="6"/>
  <c r="H102" i="6"/>
  <c r="D27" i="7"/>
  <c r="C28" i="13"/>
  <c r="F22" i="13"/>
  <c r="E20" i="13"/>
  <c r="J49" i="38" l="1"/>
  <c r="J73" i="38"/>
  <c r="J28" i="38"/>
  <c r="J97" i="38"/>
  <c r="F20" i="13"/>
  <c r="G22" i="13"/>
  <c r="E27" i="7"/>
  <c r="D28" i="13"/>
  <c r="C31" i="13" s="1"/>
  <c r="H105" i="6"/>
  <c r="I102" i="6"/>
  <c r="C30" i="7"/>
  <c r="J50" i="38" l="1"/>
  <c r="J74" i="38"/>
  <c r="J98" i="38"/>
  <c r="J29" i="38"/>
  <c r="F27" i="7"/>
  <c r="E30" i="7" s="1"/>
  <c r="I105" i="6"/>
  <c r="D30" i="7"/>
  <c r="E28" i="13"/>
  <c r="H22" i="13"/>
  <c r="G20" i="13"/>
  <c r="J30" i="38" l="1"/>
  <c r="J99" i="38"/>
  <c r="J51" i="38"/>
  <c r="J75" i="38"/>
  <c r="H20" i="13"/>
  <c r="I22" i="13"/>
  <c r="F28" i="13"/>
  <c r="E31" i="13" s="1"/>
  <c r="D31" i="13"/>
  <c r="G27" i="7"/>
  <c r="J76" i="38" l="1"/>
  <c r="J31" i="38"/>
  <c r="J52" i="38"/>
  <c r="J100" i="38"/>
  <c r="H27" i="7"/>
  <c r="G30" i="7" s="1"/>
  <c r="I20" i="13"/>
  <c r="F30" i="7"/>
  <c r="G28" i="13"/>
  <c r="F31" i="13" s="1"/>
  <c r="J53" i="38" l="1"/>
  <c r="J32" i="38"/>
  <c r="J77" i="38"/>
  <c r="J101" i="38"/>
  <c r="H28" i="13"/>
  <c r="I27" i="7"/>
  <c r="J102" i="38" l="1"/>
  <c r="J78" i="38"/>
  <c r="J33" i="38"/>
  <c r="J54" i="38"/>
  <c r="G31" i="13"/>
  <c r="H30" i="7"/>
  <c r="I28" i="13"/>
  <c r="J34" i="38" l="1"/>
  <c r="J103" i="38"/>
  <c r="J79" i="38"/>
  <c r="J55" i="38"/>
  <c r="H31" i="13"/>
  <c r="J104" i="38" l="1"/>
  <c r="J35" i="38"/>
  <c r="J56" i="38"/>
  <c r="J80" i="38"/>
  <c r="J81" i="38" l="1"/>
  <c r="J36" i="38"/>
  <c r="J105" i="38"/>
  <c r="J57" i="38"/>
  <c r="J106" i="38" l="1"/>
  <c r="J58" i="38"/>
  <c r="J82" i="38"/>
  <c r="J37" i="38"/>
  <c r="J107" i="38" l="1"/>
  <c r="J83" i="38"/>
  <c r="J38" i="38"/>
  <c r="J59" i="38"/>
  <c r="J60" i="38" l="1"/>
  <c r="J39" i="38"/>
  <c r="J84" i="38"/>
  <c r="J108" i="38"/>
  <c r="J109" i="38" l="1"/>
  <c r="J61" i="38"/>
  <c r="J85" i="38"/>
  <c r="J63" i="38" l="1"/>
  <c r="J137" i="6" s="1"/>
  <c r="J62" i="38"/>
  <c r="J86" i="38"/>
  <c r="J87" i="38"/>
  <c r="J143" i="6" s="1"/>
  <c r="J111" i="38"/>
  <c r="J149" i="6" s="1"/>
  <c r="J110" i="38"/>
  <c r="J25" i="33" l="1"/>
  <c r="J145" i="6"/>
  <c r="J146" i="6" s="1"/>
  <c r="J144" i="6"/>
  <c r="J26" i="33" s="1"/>
  <c r="J29" i="33"/>
  <c r="J153" i="6"/>
  <c r="J151" i="6"/>
  <c r="J152" i="6" s="1"/>
  <c r="J150" i="6"/>
  <c r="J30" i="33" s="1"/>
  <c r="J21" i="33"/>
  <c r="J138" i="6"/>
  <c r="J22" i="33" s="1"/>
  <c r="J139" i="6"/>
  <c r="J140" i="6" l="1"/>
  <c r="J154" i="6"/>
  <c r="J10" i="68"/>
  <c r="J13" i="68" s="1"/>
  <c r="J31" i="33"/>
  <c r="J155" i="6" l="1"/>
  <c r="J15" i="39"/>
  <c r="J32" i="33"/>
  <c r="J74" i="33" s="1"/>
  <c r="J11" i="68"/>
  <c r="J12" i="68" s="1"/>
  <c r="J127" i="6" s="1"/>
  <c r="J143" i="33"/>
  <c r="J167" i="33" s="1"/>
  <c r="J108" i="33" l="1"/>
  <c r="J75" i="33"/>
  <c r="J109" i="33" s="1"/>
  <c r="J156" i="6"/>
  <c r="J33" i="33"/>
  <c r="J157" i="6"/>
  <c r="J49" i="68"/>
  <c r="J48" i="68" l="1"/>
  <c r="J35" i="33"/>
  <c r="J182" i="33" s="1"/>
  <c r="J206" i="33" s="1"/>
  <c r="J218" i="33"/>
  <c r="J215" i="33"/>
  <c r="J214" i="33"/>
  <c r="J216" i="33"/>
  <c r="J219" i="33"/>
  <c r="J217" i="33"/>
  <c r="J220" i="33"/>
  <c r="J254" i="33" s="1"/>
  <c r="J99" i="33"/>
  <c r="J50" i="68"/>
  <c r="J130" i="6" s="1"/>
  <c r="J87" i="6" s="1"/>
  <c r="J67" i="6"/>
  <c r="J66" i="6" s="1"/>
  <c r="J68" i="6" s="1"/>
  <c r="J69" i="6" s="1"/>
  <c r="J34" i="33"/>
  <c r="J70" i="8"/>
  <c r="J158" i="6"/>
  <c r="J71" i="8" l="1"/>
  <c r="J68" i="8"/>
  <c r="J29" i="9"/>
  <c r="J25" i="13" s="1"/>
  <c r="J24" i="7"/>
  <c r="J23" i="9"/>
  <c r="J19" i="13" s="1"/>
  <c r="J19" i="7"/>
  <c r="J159" i="6"/>
  <c r="J37" i="33" s="1"/>
  <c r="J36" i="33"/>
  <c r="J160" i="6"/>
  <c r="J161" i="6" s="1"/>
  <c r="J121" i="6" s="1"/>
  <c r="J123" i="6" s="1"/>
  <c r="J171" i="33"/>
  <c r="J221" i="33"/>
  <c r="J255" i="33" s="1"/>
  <c r="I11" i="67"/>
  <c r="J51" i="68"/>
  <c r="J245" i="33" l="1"/>
  <c r="J59" i="33" s="1"/>
  <c r="J124" i="6"/>
  <c r="J122" i="6"/>
  <c r="J39" i="62" l="1"/>
  <c r="I12" i="67"/>
  <c r="J39" i="46"/>
  <c r="J69" i="8"/>
  <c r="J59" i="8" s="1"/>
  <c r="J58" i="8" s="1"/>
  <c r="J81" i="8" s="1"/>
  <c r="J81" i="6" s="1"/>
  <c r="J40" i="46"/>
  <c r="J40" i="62"/>
  <c r="J58" i="33"/>
  <c r="I14" i="67" s="1"/>
  <c r="J33" i="6"/>
  <c r="J13" i="39" l="1"/>
  <c r="J33" i="39" s="1"/>
  <c r="J34" i="6"/>
  <c r="J35" i="6"/>
  <c r="J37" i="6" s="1"/>
  <c r="S172" i="6"/>
  <c r="J13" i="7"/>
  <c r="J85" i="6" s="1"/>
  <c r="AI172" i="6"/>
  <c r="K172" i="6"/>
  <c r="J172" i="6"/>
  <c r="J17" i="9"/>
  <c r="J13" i="13" s="1"/>
  <c r="Q172" i="6"/>
  <c r="R172" i="6"/>
  <c r="N172" i="6"/>
  <c r="L172" i="6"/>
  <c r="P172" i="6"/>
  <c r="O172" i="6"/>
  <c r="M172" i="6"/>
  <c r="J83" i="6" l="1"/>
  <c r="J21" i="9"/>
  <c r="J17" i="13" s="1"/>
  <c r="J17" i="7"/>
  <c r="J196" i="6"/>
  <c r="AH172" i="6"/>
  <c r="AJ172" i="6" s="1"/>
  <c r="J86" i="6"/>
  <c r="J38" i="6"/>
  <c r="J8" i="9"/>
  <c r="J5" i="13" s="1"/>
  <c r="J5" i="7"/>
  <c r="J36" i="6"/>
  <c r="J57" i="6" l="1"/>
  <c r="J42" i="39" s="1"/>
  <c r="J55" i="6"/>
  <c r="J58" i="6"/>
  <c r="J22" i="9"/>
  <c r="J18" i="13" s="1"/>
  <c r="J18" i="7"/>
  <c r="J82" i="6"/>
  <c r="J19" i="9"/>
  <c r="J15" i="13" s="1"/>
  <c r="J15" i="7"/>
  <c r="J117" i="40" l="1"/>
  <c r="J43" i="39"/>
  <c r="J152" i="40"/>
  <c r="J171" i="40"/>
  <c r="J140" i="40"/>
  <c r="J141" i="40" s="1"/>
  <c r="J142" i="40" s="1"/>
  <c r="J59" i="6"/>
  <c r="J18" i="9"/>
  <c r="J14" i="13" s="1"/>
  <c r="J100" i="6"/>
  <c r="J14" i="7"/>
  <c r="J41" i="39"/>
  <c r="J56" i="6"/>
  <c r="J172" i="40" l="1"/>
  <c r="J187" i="40" s="1"/>
  <c r="J173" i="40"/>
  <c r="J188" i="40" s="1"/>
  <c r="J177" i="40"/>
  <c r="J143" i="40"/>
  <c r="J144" i="40"/>
  <c r="J164" i="40"/>
  <c r="J119" i="40"/>
  <c r="J127" i="40" s="1"/>
  <c r="J118" i="40"/>
  <c r="J126" i="40" s="1"/>
  <c r="J163" i="40"/>
  <c r="J145" i="40" l="1"/>
  <c r="J147" i="40" s="1"/>
  <c r="J128" i="40"/>
  <c r="J46" i="39" s="1"/>
  <c r="J120" i="40"/>
  <c r="J123" i="40"/>
  <c r="J174" i="40"/>
  <c r="J189" i="40"/>
  <c r="J35" i="39" s="1"/>
  <c r="J175" i="40"/>
  <c r="J124" i="40"/>
  <c r="J121" i="40"/>
  <c r="J178" i="40"/>
  <c r="J180" i="40" s="1"/>
  <c r="J179" i="40"/>
  <c r="J184" i="40" s="1"/>
  <c r="J122" i="40" l="1"/>
  <c r="J39" i="6" s="1"/>
  <c r="J176" i="40"/>
  <c r="J146" i="40"/>
  <c r="J125" i="40"/>
  <c r="J44" i="39" s="1"/>
  <c r="J50" i="39" s="1"/>
  <c r="J51" i="39" s="1"/>
  <c r="J181" i="40"/>
  <c r="J182" i="40" s="1"/>
  <c r="J183" i="40"/>
  <c r="J185" i="40" s="1"/>
  <c r="J190" i="40"/>
  <c r="J191" i="40"/>
  <c r="J154" i="40"/>
  <c r="J45" i="39" l="1"/>
  <c r="J53" i="39" s="1"/>
  <c r="J40" i="33"/>
  <c r="J43" i="33" s="1"/>
  <c r="J41" i="33"/>
  <c r="J42" i="33" s="1"/>
  <c r="J186" i="40"/>
  <c r="J193" i="40" s="1"/>
  <c r="J40" i="6"/>
  <c r="J41" i="6"/>
  <c r="J42" i="6" s="1"/>
  <c r="J43" i="6" s="1"/>
  <c r="J192" i="40"/>
  <c r="J36" i="39" s="1"/>
  <c r="J156" i="40"/>
  <c r="J159" i="40"/>
  <c r="J153" i="40"/>
  <c r="J47" i="33" l="1"/>
  <c r="J48" i="33" s="1"/>
  <c r="J49" i="33" s="1"/>
  <c r="J51" i="33" s="1"/>
  <c r="J52" i="33" s="1"/>
  <c r="J53" i="33" s="1"/>
  <c r="J54" i="33" s="1"/>
  <c r="J34" i="39"/>
  <c r="J37" i="39" s="1"/>
  <c r="J44" i="6"/>
  <c r="J48" i="6" s="1"/>
  <c r="J14" i="39"/>
  <c r="J158" i="40"/>
  <c r="J155" i="40"/>
  <c r="J47" i="39" l="1"/>
  <c r="J52" i="39"/>
  <c r="J16" i="39"/>
  <c r="J49" i="6"/>
  <c r="J51" i="6" s="1"/>
  <c r="J52" i="6" s="1"/>
  <c r="J50" i="6"/>
  <c r="J157" i="40"/>
  <c r="J160" i="40"/>
  <c r="J161" i="40" l="1"/>
  <c r="J162" i="40" s="1"/>
  <c r="J18" i="39" s="1"/>
  <c r="J56" i="39"/>
  <c r="J17" i="39"/>
  <c r="J54" i="39"/>
  <c r="J55" i="39" s="1"/>
  <c r="J19" i="39" l="1"/>
  <c r="J20" i="39" s="1"/>
  <c r="J21" i="39" s="1"/>
  <c r="J60" i="6" s="1"/>
  <c r="J62" i="6" s="1"/>
  <c r="J57" i="39"/>
  <c r="J38" i="39"/>
  <c r="J61" i="6" l="1"/>
  <c r="J63" i="6"/>
  <c r="J9" i="9"/>
  <c r="J6" i="13" s="1"/>
  <c r="J6" i="7"/>
  <c r="J64" i="6"/>
  <c r="J65" i="6" s="1"/>
  <c r="J70" i="6"/>
  <c r="J71" i="6" l="1"/>
  <c r="J75" i="6"/>
  <c r="J99" i="6" l="1"/>
  <c r="J90" i="6" s="1"/>
  <c r="J78" i="6"/>
  <c r="J11" i="9"/>
  <c r="J7" i="13" s="1"/>
  <c r="J7" i="7"/>
  <c r="J14" i="9" l="1"/>
  <c r="J10" i="7"/>
  <c r="J95" i="6"/>
  <c r="J21" i="7"/>
  <c r="J25" i="9"/>
  <c r="J101" i="6" l="1"/>
  <c r="J103" i="6"/>
  <c r="J21" i="13"/>
  <c r="J10" i="13"/>
  <c r="J102" i="6" l="1"/>
  <c r="J105" i="6" s="1"/>
  <c r="J104" i="6"/>
  <c r="J106" i="6" s="1"/>
  <c r="J107" i="6" s="1"/>
  <c r="J91" i="6" s="1"/>
  <c r="J26" i="9" l="1"/>
  <c r="J22" i="7"/>
  <c r="J89" i="6"/>
  <c r="J28" i="9" l="1"/>
  <c r="J24" i="13" s="1"/>
  <c r="J20" i="7"/>
  <c r="J93" i="6"/>
  <c r="J22" i="13"/>
  <c r="J20" i="13" s="1"/>
  <c r="J24" i="9"/>
  <c r="J30" i="9" l="1"/>
  <c r="J25" i="7"/>
  <c r="J96" i="6"/>
  <c r="J27" i="7" l="1"/>
  <c r="I30" i="7" s="1"/>
  <c r="K111" i="6"/>
  <c r="J26" i="13"/>
  <c r="J32" i="9"/>
  <c r="J28" i="13" s="1"/>
  <c r="I31" i="13" s="1"/>
  <c r="K181" i="33" l="1"/>
  <c r="K175" i="33"/>
  <c r="K141" i="33"/>
  <c r="K138" i="33"/>
  <c r="K88" i="6"/>
  <c r="K67" i="8"/>
  <c r="K60" i="8"/>
  <c r="K47" i="8"/>
  <c r="K36" i="8"/>
  <c r="K40" i="8" s="1"/>
  <c r="L41" i="8" s="1"/>
  <c r="K37" i="8"/>
  <c r="K24" i="8"/>
  <c r="K16" i="8"/>
  <c r="K135" i="6"/>
  <c r="K64" i="68"/>
  <c r="K57" i="68"/>
  <c r="K42" i="68"/>
  <c r="K16" i="68"/>
  <c r="K80" i="68"/>
  <c r="K66" i="68"/>
  <c r="K38" i="68"/>
  <c r="K112" i="6"/>
  <c r="J17" i="67" s="1"/>
  <c r="K53" i="68"/>
  <c r="K19" i="68"/>
  <c r="K65" i="68"/>
  <c r="K30" i="68"/>
  <c r="K68" i="33"/>
  <c r="K77" i="6"/>
  <c r="K62" i="68"/>
  <c r="K25" i="68"/>
  <c r="K60" i="68"/>
  <c r="K37" i="68"/>
  <c r="K29" i="68"/>
  <c r="K75" i="68"/>
  <c r="K31" i="68"/>
  <c r="K69" i="33"/>
  <c r="K182" i="33"/>
  <c r="K63" i="8"/>
  <c r="K39" i="8"/>
  <c r="K81" i="68"/>
  <c r="K18" i="68"/>
  <c r="K17" i="68"/>
  <c r="K39" i="68"/>
  <c r="K69" i="68"/>
  <c r="K180" i="33"/>
  <c r="K176" i="33"/>
  <c r="K140" i="33"/>
  <c r="K137" i="33"/>
  <c r="K54" i="8"/>
  <c r="K62" i="8"/>
  <c r="K48" i="8"/>
  <c r="K55" i="8" s="1"/>
  <c r="K49" i="8"/>
  <c r="K38" i="8"/>
  <c r="K25" i="8"/>
  <c r="K29" i="8" s="1"/>
  <c r="L30" i="8" s="1"/>
  <c r="K28" i="8"/>
  <c r="K18" i="8"/>
  <c r="K71" i="33"/>
  <c r="K70" i="68"/>
  <c r="K40" i="68"/>
  <c r="K26" i="68"/>
  <c r="K116" i="6"/>
  <c r="K77" i="8" s="1"/>
  <c r="K77" i="68"/>
  <c r="K54" i="68"/>
  <c r="K22" i="68"/>
  <c r="K79" i="68"/>
  <c r="K32" i="68"/>
  <c r="K115" i="6"/>
  <c r="J16" i="67" s="1"/>
  <c r="K58" i="68"/>
  <c r="K21" i="68"/>
  <c r="K61" i="68"/>
  <c r="K73" i="33"/>
  <c r="K52" i="68"/>
  <c r="K14" i="68"/>
  <c r="K55" i="68"/>
  <c r="K15" i="68"/>
  <c r="K71" i="68"/>
  <c r="K24" i="68"/>
  <c r="K72" i="33"/>
  <c r="K36" i="68"/>
  <c r="K27" i="68"/>
  <c r="K56" i="68"/>
  <c r="K76" i="68"/>
  <c r="K28" i="68"/>
  <c r="K84" i="6"/>
  <c r="K139" i="33"/>
  <c r="K52" i="8"/>
  <c r="K19" i="8"/>
  <c r="K35" i="68"/>
  <c r="K67" i="68"/>
  <c r="K63" i="68"/>
  <c r="K68" i="68"/>
  <c r="J6" i="67"/>
  <c r="J9" i="67" s="1"/>
  <c r="K72" i="68"/>
  <c r="K177" i="33"/>
  <c r="K178" i="33"/>
  <c r="K143" i="33"/>
  <c r="K142" i="33"/>
  <c r="K61" i="8"/>
  <c r="K64" i="8"/>
  <c r="K50" i="8"/>
  <c r="K51" i="8"/>
  <c r="K35" i="8"/>
  <c r="K27" i="8"/>
  <c r="K17" i="8"/>
  <c r="K141" i="6"/>
  <c r="K78" i="68"/>
  <c r="K33" i="68"/>
  <c r="K74" i="68"/>
  <c r="K73" i="68"/>
  <c r="K76" i="6"/>
  <c r="K43" i="68"/>
  <c r="K179" i="33"/>
  <c r="K66" i="8"/>
  <c r="K26" i="8"/>
  <c r="K59" i="68"/>
  <c r="K70" i="33"/>
  <c r="K41" i="68"/>
  <c r="K74" i="6"/>
  <c r="K10" i="9" s="1"/>
  <c r="K23" i="68"/>
  <c r="K136" i="33"/>
  <c r="K46" i="8"/>
  <c r="K147" i="6"/>
  <c r="K20" i="68"/>
  <c r="K34" i="68"/>
  <c r="K45" i="8" l="1"/>
  <c r="K44" i="8" s="1"/>
  <c r="K34" i="8"/>
  <c r="K33" i="8" s="1"/>
  <c r="K44" i="68"/>
  <c r="K15" i="8"/>
  <c r="K14" i="8" s="1"/>
  <c r="K142" i="6"/>
  <c r="K12" i="38"/>
  <c r="K23" i="33"/>
  <c r="J8" i="67"/>
  <c r="K20" i="9"/>
  <c r="K16" i="13" s="1"/>
  <c r="K16" i="7"/>
  <c r="K82" i="68"/>
  <c r="K13" i="9"/>
  <c r="K9" i="13" s="1"/>
  <c r="K9" i="7"/>
  <c r="K23" i="8"/>
  <c r="K22" i="8" s="1"/>
  <c r="K80" i="8"/>
  <c r="K92" i="6" s="1"/>
  <c r="J10" i="67"/>
  <c r="K27" i="33"/>
  <c r="K14" i="38"/>
  <c r="K148" i="6"/>
  <c r="K8" i="7"/>
  <c r="K12" i="9"/>
  <c r="K8" i="13" s="1"/>
  <c r="J7" i="67"/>
  <c r="K10" i="38"/>
  <c r="K136" i="6"/>
  <c r="K19" i="33"/>
  <c r="K24" i="33" l="1"/>
  <c r="K13" i="38"/>
  <c r="K20" i="33"/>
  <c r="K11" i="38"/>
  <c r="K16" i="38"/>
  <c r="K28" i="33"/>
  <c r="K15" i="38"/>
  <c r="K27" i="9"/>
  <c r="K23" i="13" s="1"/>
  <c r="K23" i="7"/>
  <c r="K131" i="6"/>
  <c r="K83" i="68"/>
  <c r="K132" i="6" s="1"/>
  <c r="K128" i="6"/>
  <c r="K45" i="68"/>
  <c r="K129" i="6" l="1"/>
  <c r="K31" i="6" s="1"/>
  <c r="K32" i="6" s="1"/>
  <c r="K72" i="8" s="1"/>
  <c r="K73" i="8" s="1"/>
  <c r="K74" i="8" s="1"/>
  <c r="K85" i="68"/>
  <c r="K20" i="38"/>
  <c r="K17" i="38"/>
  <c r="K65" i="8" l="1"/>
  <c r="J13" i="67" s="1"/>
  <c r="K21" i="38"/>
  <c r="K43" i="38" s="1"/>
  <c r="K90" i="38"/>
  <c r="K42" i="38"/>
  <c r="K66" i="38"/>
  <c r="K22" i="38" l="1"/>
  <c r="K68" i="38" s="1"/>
  <c r="K91" i="38"/>
  <c r="K67" i="38"/>
  <c r="K23" i="38" l="1"/>
  <c r="K24" i="38" s="1"/>
  <c r="K44" i="38"/>
  <c r="K92" i="38"/>
  <c r="K69" i="38" l="1"/>
  <c r="K45" i="38"/>
  <c r="K93" i="38"/>
  <c r="K25" i="38"/>
  <c r="K94" i="38"/>
  <c r="K46" i="38"/>
  <c r="K70" i="38"/>
  <c r="K95" i="38" l="1"/>
  <c r="K47" i="38"/>
  <c r="K26" i="38"/>
  <c r="K71" i="38"/>
  <c r="K96" i="38" l="1"/>
  <c r="K72" i="38"/>
  <c r="K27" i="38"/>
  <c r="K48" i="38"/>
  <c r="K73" i="38" l="1"/>
  <c r="K28" i="38"/>
  <c r="K97" i="38"/>
  <c r="K49" i="38"/>
  <c r="K74" i="38" l="1"/>
  <c r="K98" i="38"/>
  <c r="K50" i="38"/>
  <c r="K29" i="38"/>
  <c r="K75" i="38" l="1"/>
  <c r="K30" i="38"/>
  <c r="K99" i="38"/>
  <c r="K51" i="38"/>
  <c r="K52" i="38" l="1"/>
  <c r="K31" i="38"/>
  <c r="K100" i="38"/>
  <c r="K76" i="38"/>
  <c r="K53" i="38" l="1"/>
  <c r="K32" i="38"/>
  <c r="K77" i="38"/>
  <c r="K101" i="38"/>
  <c r="K54" i="38" l="1"/>
  <c r="K33" i="38"/>
  <c r="K102" i="38"/>
  <c r="K78" i="38"/>
  <c r="K34" i="38" l="1"/>
  <c r="K55" i="38"/>
  <c r="K79" i="38"/>
  <c r="K103" i="38"/>
  <c r="K56" i="38" l="1"/>
  <c r="K35" i="38"/>
  <c r="K80" i="38"/>
  <c r="K104" i="38"/>
  <c r="K81" i="38" l="1"/>
  <c r="K57" i="38"/>
  <c r="K36" i="38"/>
  <c r="K105" i="38"/>
  <c r="K58" i="38" l="1"/>
  <c r="K82" i="38"/>
  <c r="K37" i="38"/>
  <c r="K106" i="38"/>
  <c r="K38" i="38" l="1"/>
  <c r="K107" i="38"/>
  <c r="K59" i="38"/>
  <c r="K83" i="38"/>
  <c r="K84" i="38" l="1"/>
  <c r="K60" i="38"/>
  <c r="K39" i="38"/>
  <c r="K108" i="38"/>
  <c r="K61" i="38" l="1"/>
  <c r="K85" i="38"/>
  <c r="K109" i="38"/>
  <c r="K110" i="38" l="1"/>
  <c r="K111" i="38"/>
  <c r="K149" i="6" s="1"/>
  <c r="K86" i="38"/>
  <c r="K87" i="38"/>
  <c r="K143" i="6" s="1"/>
  <c r="K62" i="38"/>
  <c r="K63" i="38"/>
  <c r="K137" i="6" s="1"/>
  <c r="K25" i="33" l="1"/>
  <c r="K145" i="6"/>
  <c r="K146" i="6" s="1"/>
  <c r="K144" i="6"/>
  <c r="K26" i="33" s="1"/>
  <c r="K139" i="6"/>
  <c r="K21" i="33"/>
  <c r="K138" i="6"/>
  <c r="K22" i="33" s="1"/>
  <c r="K151" i="6"/>
  <c r="K152" i="6" s="1"/>
  <c r="K150" i="6"/>
  <c r="K30" i="33" s="1"/>
  <c r="K29" i="33"/>
  <c r="K153" i="6"/>
  <c r="K10" i="68" l="1"/>
  <c r="K13" i="68" s="1"/>
  <c r="K31" i="33"/>
  <c r="K144" i="33" s="1"/>
  <c r="K167" i="33" s="1"/>
  <c r="K154" i="6"/>
  <c r="K140" i="6"/>
  <c r="K15" i="39" l="1"/>
  <c r="K155" i="6"/>
  <c r="K11" i="68"/>
  <c r="K12" i="68" s="1"/>
  <c r="K127" i="6" s="1"/>
  <c r="K32" i="33"/>
  <c r="K49" i="68" l="1"/>
  <c r="K156" i="6"/>
  <c r="K33" i="33"/>
  <c r="K157" i="6"/>
  <c r="K76" i="33"/>
  <c r="K110" i="33" s="1"/>
  <c r="K75" i="33"/>
  <c r="K109" i="33" s="1"/>
  <c r="K74" i="33"/>
  <c r="K108" i="33" l="1"/>
  <c r="K99" i="33"/>
  <c r="K70" i="8"/>
  <c r="K34" i="33"/>
  <c r="K158" i="6"/>
  <c r="K35" i="33"/>
  <c r="K222" i="33" s="1"/>
  <c r="K48" i="68"/>
  <c r="K215" i="33"/>
  <c r="K221" i="33"/>
  <c r="K255" i="33" s="1"/>
  <c r="K218" i="33"/>
  <c r="K217" i="33"/>
  <c r="K219" i="33"/>
  <c r="K216" i="33"/>
  <c r="K220" i="33"/>
  <c r="K254" i="33" s="1"/>
  <c r="K214" i="33"/>
  <c r="K67" i="6"/>
  <c r="K66" i="6" s="1"/>
  <c r="K68" i="6" s="1"/>
  <c r="K69" i="6" s="1"/>
  <c r="K50" i="68"/>
  <c r="K130" i="6" s="1"/>
  <c r="K87" i="6" s="1"/>
  <c r="K245" i="33" l="1"/>
  <c r="J11" i="67"/>
  <c r="K51" i="68"/>
  <c r="K68" i="8"/>
  <c r="K71" i="8"/>
  <c r="K29" i="9"/>
  <c r="K25" i="13" s="1"/>
  <c r="K23" i="9"/>
  <c r="K19" i="13" s="1"/>
  <c r="K24" i="7"/>
  <c r="K19" i="7"/>
  <c r="K183" i="33"/>
  <c r="K206" i="33" s="1"/>
  <c r="K256" i="33"/>
  <c r="K171" i="33"/>
  <c r="K36" i="33"/>
  <c r="K159" i="6"/>
  <c r="K37" i="33" s="1"/>
  <c r="K160" i="6"/>
  <c r="K161" i="6" s="1"/>
  <c r="K121" i="6" s="1"/>
  <c r="K123" i="6" s="1"/>
  <c r="K59" i="33" l="1"/>
  <c r="K58" i="33" s="1"/>
  <c r="J14" i="67" s="1"/>
  <c r="K124" i="6"/>
  <c r="K122" i="6"/>
  <c r="K33" i="6" l="1"/>
  <c r="K34" i="6" s="1"/>
  <c r="J12" i="67"/>
  <c r="K39" i="46"/>
  <c r="K39" i="62"/>
  <c r="K40" i="62"/>
  <c r="K69" i="8"/>
  <c r="K59" i="8" s="1"/>
  <c r="K58" i="8" s="1"/>
  <c r="K81" i="8" s="1"/>
  <c r="K81" i="6" s="1"/>
  <c r="K40" i="46"/>
  <c r="K13" i="39" l="1"/>
  <c r="K33" i="39" s="1"/>
  <c r="K35" i="6"/>
  <c r="K37" i="6" s="1"/>
  <c r="K38" i="6" s="1"/>
  <c r="AI173" i="6"/>
  <c r="R173" i="6"/>
  <c r="O173" i="6"/>
  <c r="L173" i="6"/>
  <c r="N173" i="6"/>
  <c r="K13" i="7"/>
  <c r="K85" i="6" s="1"/>
  <c r="P173" i="6"/>
  <c r="Q173" i="6"/>
  <c r="K173" i="6"/>
  <c r="M173" i="6"/>
  <c r="S173" i="6"/>
  <c r="K17" i="9"/>
  <c r="K13" i="13" s="1"/>
  <c r="T173" i="6"/>
  <c r="K5" i="7"/>
  <c r="K8" i="9"/>
  <c r="K5" i="13" s="1"/>
  <c r="K36" i="6"/>
  <c r="K86" i="6" l="1"/>
  <c r="K18" i="7" s="1"/>
  <c r="K55" i="6"/>
  <c r="K83" i="6"/>
  <c r="K21" i="9"/>
  <c r="K17" i="13" s="1"/>
  <c r="K17" i="7"/>
  <c r="K196" i="6"/>
  <c r="AH173" i="6"/>
  <c r="AJ173" i="6" s="1"/>
  <c r="K22" i="9" l="1"/>
  <c r="K18" i="13" s="1"/>
  <c r="K56" i="6"/>
  <c r="K57" i="6" s="1"/>
  <c r="K41" i="39"/>
  <c r="K15" i="7"/>
  <c r="K19" i="9"/>
  <c r="K15" i="13" s="1"/>
  <c r="K82" i="6"/>
  <c r="K42" i="39" l="1"/>
  <c r="K58" i="6"/>
  <c r="K14" i="7"/>
  <c r="K18" i="9"/>
  <c r="K14" i="13" s="1"/>
  <c r="K100" i="6"/>
  <c r="K171" i="40" l="1"/>
  <c r="K140" i="40"/>
  <c r="K141" i="40" s="1"/>
  <c r="K142" i="40" s="1"/>
  <c r="K43" i="39"/>
  <c r="K117" i="40"/>
  <c r="K152" i="40"/>
  <c r="K59" i="6"/>
  <c r="K163" i="40" l="1"/>
  <c r="K118" i="40"/>
  <c r="K126" i="40" s="1"/>
  <c r="K119" i="40"/>
  <c r="K164" i="40"/>
  <c r="K143" i="40"/>
  <c r="K144" i="40"/>
  <c r="K173" i="40"/>
  <c r="K172" i="40"/>
  <c r="K145" i="40" l="1"/>
  <c r="K146" i="40" s="1"/>
  <c r="K123" i="40"/>
  <c r="K187" i="40"/>
  <c r="K174" i="40"/>
  <c r="K121" i="40"/>
  <c r="K124" i="40"/>
  <c r="K175" i="40"/>
  <c r="K188" i="40"/>
  <c r="K127" i="40"/>
  <c r="K128" i="40" s="1"/>
  <c r="K46" i="39" s="1"/>
  <c r="K120" i="40"/>
  <c r="K125" i="40" l="1"/>
  <c r="K41" i="33" s="1"/>
  <c r="K42" i="33" s="1"/>
  <c r="K189" i="40"/>
  <c r="K35" i="39" s="1"/>
  <c r="K176" i="40"/>
  <c r="K186" i="40" s="1"/>
  <c r="K193" i="40" s="1"/>
  <c r="K122" i="40"/>
  <c r="K40" i="33" s="1"/>
  <c r="K147" i="40"/>
  <c r="K154" i="40"/>
  <c r="K153" i="40"/>
  <c r="K44" i="39" l="1"/>
  <c r="K50" i="39" s="1"/>
  <c r="K51" i="39" s="1"/>
  <c r="K39" i="6"/>
  <c r="K41" i="6" s="1"/>
  <c r="K42" i="6" s="1"/>
  <c r="K43" i="6" s="1"/>
  <c r="K45" i="39"/>
  <c r="K34" i="39"/>
  <c r="K37" i="39" s="1"/>
  <c r="K43" i="33"/>
  <c r="K47" i="33"/>
  <c r="K48" i="33" s="1"/>
  <c r="K49" i="33" s="1"/>
  <c r="K51" i="33" s="1"/>
  <c r="K52" i="33" s="1"/>
  <c r="K53" i="33" s="1"/>
  <c r="K54" i="33" s="1"/>
  <c r="K159" i="40"/>
  <c r="K156" i="40"/>
  <c r="K155" i="40"/>
  <c r="K158" i="40"/>
  <c r="K53" i="39" l="1"/>
  <c r="K40" i="6"/>
  <c r="K44" i="6" s="1"/>
  <c r="K48" i="6" s="1"/>
  <c r="K47" i="39"/>
  <c r="K157" i="40"/>
  <c r="K160" i="40"/>
  <c r="K161" i="40" l="1"/>
  <c r="K162" i="40" s="1"/>
  <c r="K14" i="39"/>
  <c r="K16" i="39" s="1"/>
  <c r="K49" i="6"/>
  <c r="K51" i="6" s="1"/>
  <c r="K52" i="6" s="1"/>
  <c r="K50" i="6"/>
  <c r="K52" i="39" l="1"/>
  <c r="K54" i="39" s="1"/>
  <c r="K56" i="39"/>
  <c r="K64" i="39"/>
  <c r="K17" i="39"/>
  <c r="K18" i="39"/>
  <c r="K19" i="39" l="1"/>
  <c r="K20" i="39" s="1"/>
  <c r="K21" i="39" s="1"/>
  <c r="K60" i="6" s="1"/>
  <c r="K62" i="6" s="1"/>
  <c r="K55" i="39"/>
  <c r="K61" i="39" s="1"/>
  <c r="K63" i="39"/>
  <c r="K61" i="6" l="1"/>
  <c r="K62" i="39"/>
  <c r="K57" i="39"/>
  <c r="K38" i="39"/>
  <c r="K9" i="9"/>
  <c r="K6" i="13" s="1"/>
  <c r="K6" i="7"/>
  <c r="K63" i="6"/>
  <c r="K64" i="6"/>
  <c r="K65" i="6" s="1"/>
  <c r="K70" i="6"/>
  <c r="K75" i="6" l="1"/>
  <c r="K71" i="6"/>
  <c r="K11" i="9" l="1"/>
  <c r="K7" i="13" s="1"/>
  <c r="K78" i="6"/>
  <c r="K7" i="7"/>
  <c r="K99" i="6"/>
  <c r="K90" i="6" s="1"/>
  <c r="K21" i="7" l="1"/>
  <c r="K25" i="9"/>
  <c r="K21" i="13" s="1"/>
  <c r="K10" i="7"/>
  <c r="K14" i="9"/>
  <c r="K10" i="13" s="1"/>
  <c r="K95" i="6"/>
  <c r="K103" i="6" l="1"/>
  <c r="K101" i="6"/>
  <c r="K102" i="6" l="1"/>
  <c r="K105" i="6" s="1"/>
  <c r="K104" i="6"/>
  <c r="K106" i="6" s="1"/>
  <c r="K107" i="6" s="1"/>
  <c r="K91" i="6" s="1"/>
  <c r="K89" i="6" l="1"/>
  <c r="K26" i="9"/>
  <c r="K22" i="7"/>
  <c r="K22" i="13" l="1"/>
  <c r="K20" i="13" s="1"/>
  <c r="K24" i="9"/>
  <c r="K93" i="6"/>
  <c r="K20" i="7"/>
  <c r="K28" i="9"/>
  <c r="K24" i="13" s="1"/>
  <c r="K25" i="7" l="1"/>
  <c r="K96" i="6"/>
  <c r="K30" i="9"/>
  <c r="K27" i="7" l="1"/>
  <c r="L111" i="6"/>
  <c r="K32" i="9"/>
  <c r="K28" i="13" s="1"/>
  <c r="J31" i="13" s="1"/>
  <c r="K26" i="13"/>
  <c r="L182" i="33" l="1"/>
  <c r="L54" i="8"/>
  <c r="L61" i="68"/>
  <c r="L60" i="68"/>
  <c r="L70" i="33"/>
  <c r="L26" i="68"/>
  <c r="K6" i="67"/>
  <c r="K9" i="67" s="1"/>
  <c r="L77" i="6"/>
  <c r="L32" i="68"/>
  <c r="L19" i="8"/>
  <c r="L183" i="33"/>
  <c r="L27" i="8"/>
  <c r="L66" i="8"/>
  <c r="L35" i="8"/>
  <c r="L67" i="8"/>
  <c r="L50" i="8"/>
  <c r="L181" i="33"/>
  <c r="L141" i="33"/>
  <c r="L55" i="68"/>
  <c r="L72" i="68"/>
  <c r="L36" i="8"/>
  <c r="L40" i="8" s="1"/>
  <c r="M41" i="8" s="1"/>
  <c r="L14" i="68"/>
  <c r="L38" i="68"/>
  <c r="L47" i="8"/>
  <c r="L53" i="68"/>
  <c r="L180" i="33"/>
  <c r="L52" i="8"/>
  <c r="L39" i="68"/>
  <c r="L139" i="33"/>
  <c r="L61" i="8"/>
  <c r="L141" i="6"/>
  <c r="L19" i="68"/>
  <c r="L37" i="68"/>
  <c r="L36" i="68"/>
  <c r="L178" i="33"/>
  <c r="L67" i="68"/>
  <c r="L142" i="33"/>
  <c r="L24" i="8"/>
  <c r="L24" i="68"/>
  <c r="L59" i="68"/>
  <c r="L30" i="68"/>
  <c r="L78" i="68"/>
  <c r="L64" i="8"/>
  <c r="L136" i="33"/>
  <c r="L71" i="68"/>
  <c r="L177" i="33"/>
  <c r="L176" i="33"/>
  <c r="L17" i="8"/>
  <c r="L140" i="33"/>
  <c r="L52" i="68"/>
  <c r="L77" i="68"/>
  <c r="L23" i="68"/>
  <c r="L179" i="33"/>
  <c r="L18" i="8"/>
  <c r="L15" i="68"/>
  <c r="L84" i="6"/>
  <c r="L41" i="68"/>
  <c r="L22" i="68"/>
  <c r="L20" i="68"/>
  <c r="L74" i="6"/>
  <c r="L10" i="9" s="1"/>
  <c r="L68" i="68"/>
  <c r="L60" i="8"/>
  <c r="L79" i="68"/>
  <c r="L74" i="68"/>
  <c r="L64" i="68"/>
  <c r="L18" i="68"/>
  <c r="L138" i="33"/>
  <c r="L25" i="8"/>
  <c r="L29" i="8" s="1"/>
  <c r="M30" i="8" s="1"/>
  <c r="L17" i="68"/>
  <c r="L72" i="33"/>
  <c r="L25" i="68"/>
  <c r="L33" i="68"/>
  <c r="L46" i="8"/>
  <c r="L115" i="6"/>
  <c r="K16" i="67" s="1"/>
  <c r="L38" i="8"/>
  <c r="L68" i="33"/>
  <c r="L143" i="33"/>
  <c r="L80" i="68"/>
  <c r="L51" i="8"/>
  <c r="L147" i="6"/>
  <c r="L73" i="68"/>
  <c r="L175" i="33"/>
  <c r="L63" i="8"/>
  <c r="L69" i="68"/>
  <c r="L21" i="68"/>
  <c r="L26" i="8"/>
  <c r="L69" i="33"/>
  <c r="L31" i="68"/>
  <c r="L62" i="8"/>
  <c r="L144" i="33"/>
  <c r="L35" i="68"/>
  <c r="L76" i="68"/>
  <c r="L71" i="33"/>
  <c r="L28" i="68"/>
  <c r="L112" i="6"/>
  <c r="K17" i="67" s="1"/>
  <c r="L57" i="68"/>
  <c r="L58" i="68"/>
  <c r="L54" i="68"/>
  <c r="L66" i="68"/>
  <c r="L42" i="68"/>
  <c r="L62" i="68"/>
  <c r="L34" i="68"/>
  <c r="L27" i="68"/>
  <c r="L73" i="33"/>
  <c r="L76" i="6"/>
  <c r="L29" i="68"/>
  <c r="L63" i="68"/>
  <c r="L81" i="68"/>
  <c r="L75" i="68"/>
  <c r="L65" i="68"/>
  <c r="L43" i="68"/>
  <c r="L135" i="6"/>
  <c r="L37" i="8"/>
  <c r="L40" i="68"/>
  <c r="L28" i="8"/>
  <c r="L137" i="33"/>
  <c r="L70" i="68"/>
  <c r="L56" i="68"/>
  <c r="L16" i="68"/>
  <c r="L16" i="8"/>
  <c r="L39" i="8"/>
  <c r="L49" i="8"/>
  <c r="L48" i="8"/>
  <c r="L55" i="8" s="1"/>
  <c r="L15" i="8" l="1"/>
  <c r="L14" i="8" s="1"/>
  <c r="L20" i="9"/>
  <c r="L16" i="13" s="1"/>
  <c r="L16" i="7"/>
  <c r="L80" i="8"/>
  <c r="L92" i="6" s="1"/>
  <c r="L82" i="68"/>
  <c r="L23" i="8"/>
  <c r="L22" i="8" s="1"/>
  <c r="L44" i="68"/>
  <c r="L34" i="8"/>
  <c r="L33" i="8" s="1"/>
  <c r="K7" i="67"/>
  <c r="L19" i="33"/>
  <c r="L136" i="6"/>
  <c r="L10" i="38"/>
  <c r="L27" i="33"/>
  <c r="L14" i="38"/>
  <c r="K10" i="67"/>
  <c r="L148" i="6"/>
  <c r="L13" i="9"/>
  <c r="L9" i="13" s="1"/>
  <c r="L9" i="7"/>
  <c r="L23" i="33"/>
  <c r="K8" i="67"/>
  <c r="L12" i="38"/>
  <c r="L142" i="6"/>
  <c r="L8" i="7"/>
  <c r="L12" i="9"/>
  <c r="L8" i="13" s="1"/>
  <c r="L45" i="8"/>
  <c r="L44" i="8" s="1"/>
  <c r="L131" i="6" l="1"/>
  <c r="L83" i="68"/>
  <c r="L132" i="6" s="1"/>
  <c r="L28" i="33"/>
  <c r="L15" i="38"/>
  <c r="L16" i="38"/>
  <c r="L27" i="9"/>
  <c r="L23" i="13" s="1"/>
  <c r="L23" i="7"/>
  <c r="L20" i="33"/>
  <c r="L11" i="38"/>
  <c r="L45" i="68"/>
  <c r="L128" i="6"/>
  <c r="L24" i="33"/>
  <c r="L13" i="38"/>
  <c r="L129" i="6" l="1"/>
  <c r="L31" i="6" s="1"/>
  <c r="L32" i="6" s="1"/>
  <c r="L72" i="8" s="1"/>
  <c r="L73" i="8" s="1"/>
  <c r="L74" i="8" s="1"/>
  <c r="L65" i="8" s="1"/>
  <c r="K13" i="67" s="1"/>
  <c r="L85" i="68"/>
  <c r="L20" i="38"/>
  <c r="L17" i="38"/>
  <c r="L90" i="38" l="1"/>
  <c r="L21" i="38"/>
  <c r="L42" i="38"/>
  <c r="L66" i="38"/>
  <c r="L67" i="38" l="1"/>
  <c r="L91" i="38"/>
  <c r="L22" i="38"/>
  <c r="L43" i="38"/>
  <c r="L92" i="38" l="1"/>
  <c r="L23" i="38"/>
  <c r="L68" i="38"/>
  <c r="L44" i="38"/>
  <c r="L93" i="38" l="1"/>
  <c r="L69" i="38"/>
  <c r="L24" i="38"/>
  <c r="L45" i="38"/>
  <c r="L46" i="38" l="1"/>
  <c r="L25" i="38"/>
  <c r="L94" i="38"/>
  <c r="L70" i="38"/>
  <c r="L95" i="38" l="1"/>
  <c r="L47" i="38"/>
  <c r="L71" i="38"/>
  <c r="L26" i="38"/>
  <c r="L27" i="38" l="1"/>
  <c r="L48" i="38"/>
  <c r="L96" i="38"/>
  <c r="L72" i="38"/>
  <c r="L28" i="38" l="1"/>
  <c r="L73" i="38"/>
  <c r="L49" i="38"/>
  <c r="L97" i="38"/>
  <c r="L98" i="38" l="1"/>
  <c r="L74" i="38"/>
  <c r="L29" i="38"/>
  <c r="L50" i="38"/>
  <c r="L75" i="38" l="1"/>
  <c r="L99" i="38"/>
  <c r="L51" i="38"/>
  <c r="L30" i="38"/>
  <c r="L100" i="38" l="1"/>
  <c r="L31" i="38"/>
  <c r="L76" i="38"/>
  <c r="L52" i="38"/>
  <c r="L77" i="38" l="1"/>
  <c r="L101" i="38"/>
  <c r="L32" i="38"/>
  <c r="L53" i="38"/>
  <c r="L78" i="38" l="1"/>
  <c r="L33" i="38"/>
  <c r="L102" i="38"/>
  <c r="L54" i="38"/>
  <c r="L103" i="38" l="1"/>
  <c r="L34" i="38"/>
  <c r="L55" i="38"/>
  <c r="L79" i="38"/>
  <c r="L56" i="38" l="1"/>
  <c r="L35" i="38"/>
  <c r="L104" i="38"/>
  <c r="L80" i="38"/>
  <c r="L105" i="38" l="1"/>
  <c r="L36" i="38"/>
  <c r="L81" i="38"/>
  <c r="L57" i="38"/>
  <c r="L82" i="38" l="1"/>
  <c r="L106" i="38"/>
  <c r="L58" i="38"/>
  <c r="L37" i="38"/>
  <c r="L38" i="38" l="1"/>
  <c r="L83" i="38"/>
  <c r="L107" i="38"/>
  <c r="L59" i="38"/>
  <c r="L39" i="38" l="1"/>
  <c r="L60" i="38"/>
  <c r="L84" i="38"/>
  <c r="L108" i="38"/>
  <c r="L61" i="38" l="1"/>
  <c r="L63" i="38" s="1"/>
  <c r="L137" i="6" s="1"/>
  <c r="L21" i="33" s="1"/>
  <c r="L109" i="38"/>
  <c r="L110" i="38" s="1"/>
  <c r="L85" i="38"/>
  <c r="L138" i="6" l="1"/>
  <c r="L22" i="33" s="1"/>
  <c r="L111" i="38"/>
  <c r="L149" i="6" s="1"/>
  <c r="L150" i="6" s="1"/>
  <c r="L30" i="33" s="1"/>
  <c r="L139" i="6"/>
  <c r="L140" i="6" s="1"/>
  <c r="L87" i="38"/>
  <c r="L143" i="6" s="1"/>
  <c r="L86" i="38"/>
  <c r="L62" i="38"/>
  <c r="L153" i="6" l="1"/>
  <c r="L29" i="33"/>
  <c r="L151" i="6"/>
  <c r="L152" i="6" s="1"/>
  <c r="L25" i="33"/>
  <c r="L145" i="6"/>
  <c r="L146" i="6" s="1"/>
  <c r="L144" i="6"/>
  <c r="L26" i="33" s="1"/>
  <c r="L10" i="68" l="1"/>
  <c r="L13" i="68" s="1"/>
  <c r="L154" i="6"/>
  <c r="L31" i="33"/>
  <c r="L145" i="33" s="1"/>
  <c r="L167" i="33" s="1"/>
  <c r="L155" i="6" l="1"/>
  <c r="L15" i="39"/>
  <c r="L11" i="68"/>
  <c r="L12" i="68" s="1"/>
  <c r="L127" i="6" s="1"/>
  <c r="L32" i="33"/>
  <c r="L74" i="33" s="1"/>
  <c r="L108" i="33" s="1"/>
  <c r="L75" i="33" l="1"/>
  <c r="L76" i="33"/>
  <c r="L110" i="33" s="1"/>
  <c r="L77" i="33"/>
  <c r="L111" i="33" s="1"/>
  <c r="L49" i="68"/>
  <c r="L33" i="33"/>
  <c r="L157" i="6"/>
  <c r="L156" i="6"/>
  <c r="L67" i="6" l="1"/>
  <c r="L66" i="6" s="1"/>
  <c r="L68" i="6" s="1"/>
  <c r="L69" i="6" s="1"/>
  <c r="L50" i="68"/>
  <c r="L130" i="6" s="1"/>
  <c r="L87" i="6" s="1"/>
  <c r="L35" i="33"/>
  <c r="L48" i="68"/>
  <c r="L70" i="8"/>
  <c r="L34" i="33"/>
  <c r="L158" i="6"/>
  <c r="L220" i="33"/>
  <c r="L254" i="33" s="1"/>
  <c r="L218" i="33"/>
  <c r="L221" i="33"/>
  <c r="L255" i="33" s="1"/>
  <c r="L222" i="33"/>
  <c r="L256" i="33" s="1"/>
  <c r="L219" i="33"/>
  <c r="L216" i="33"/>
  <c r="L215" i="33"/>
  <c r="L217" i="33"/>
  <c r="L214" i="33"/>
  <c r="L109" i="33"/>
  <c r="L99" i="33"/>
  <c r="L171" i="33" s="1"/>
  <c r="L184" i="33" l="1"/>
  <c r="L206" i="33" s="1"/>
  <c r="L223" i="33"/>
  <c r="L257" i="33" s="1"/>
  <c r="L29" i="9"/>
  <c r="L25" i="13" s="1"/>
  <c r="L19" i="7"/>
  <c r="L24" i="7"/>
  <c r="L23" i="9"/>
  <c r="L19" i="13" s="1"/>
  <c r="K11" i="67"/>
  <c r="L51" i="68"/>
  <c r="L159" i="6"/>
  <c r="L37" i="33" s="1"/>
  <c r="L160" i="6"/>
  <c r="L161" i="6" s="1"/>
  <c r="L121" i="6" s="1"/>
  <c r="L123" i="6" s="1"/>
  <c r="L36" i="33"/>
  <c r="L68" i="8"/>
  <c r="L71" i="8"/>
  <c r="L124" i="6" l="1"/>
  <c r="L122" i="6"/>
  <c r="L245" i="33"/>
  <c r="L59" i="33" s="1"/>
  <c r="L33" i="6" l="1"/>
  <c r="L39" i="46"/>
  <c r="L39" i="62"/>
  <c r="K12" i="67"/>
  <c r="L40" i="46"/>
  <c r="L40" i="62"/>
  <c r="L69" i="8"/>
  <c r="L59" i="8" s="1"/>
  <c r="L58" i="8" s="1"/>
  <c r="L58" i="33"/>
  <c r="K14" i="67" l="1"/>
  <c r="L34" i="6"/>
  <c r="L13" i="39"/>
  <c r="L33" i="39" s="1"/>
  <c r="L35" i="6"/>
  <c r="L37" i="6" s="1"/>
  <c r="L86" i="6" l="1"/>
  <c r="L38" i="6"/>
  <c r="L55" i="6" s="1"/>
  <c r="L41" i="39" s="1"/>
  <c r="L5" i="7"/>
  <c r="L8" i="9"/>
  <c r="L5" i="13" s="1"/>
  <c r="L36" i="6"/>
  <c r="L56" i="6" l="1"/>
  <c r="L57" i="6" s="1"/>
  <c r="L42" i="39" s="1"/>
  <c r="L22" i="9"/>
  <c r="L18" i="13" s="1"/>
  <c r="L18" i="7"/>
  <c r="L58" i="6" l="1"/>
  <c r="L152" i="40" s="1"/>
  <c r="L117" i="40" l="1"/>
  <c r="L118" i="40" s="1"/>
  <c r="L123" i="40" s="1"/>
  <c r="L171" i="40"/>
  <c r="L173" i="40" s="1"/>
  <c r="L43" i="39"/>
  <c r="L140" i="40"/>
  <c r="L141" i="40" s="1"/>
  <c r="L142" i="40" s="1"/>
  <c r="L143" i="40" s="1"/>
  <c r="L59" i="6"/>
  <c r="L172" i="40" l="1"/>
  <c r="L174" i="40" s="1"/>
  <c r="L177" i="40"/>
  <c r="L179" i="40" s="1"/>
  <c r="L184" i="40" s="1"/>
  <c r="L164" i="40"/>
  <c r="L119" i="40"/>
  <c r="L124" i="40" s="1"/>
  <c r="L125" i="40" s="1"/>
  <c r="L163" i="40"/>
  <c r="L144" i="40"/>
  <c r="L145" i="40" s="1"/>
  <c r="L147" i="40" s="1"/>
  <c r="L175" i="40"/>
  <c r="L188" i="40"/>
  <c r="L120" i="40"/>
  <c r="L126" i="40"/>
  <c r="L187" i="40" l="1"/>
  <c r="L189" i="40" s="1"/>
  <c r="L35" i="39" s="1"/>
  <c r="L178" i="40"/>
  <c r="L183" i="40" s="1"/>
  <c r="L185" i="40" s="1"/>
  <c r="L127" i="40"/>
  <c r="L128" i="40" s="1"/>
  <c r="L46" i="39" s="1"/>
  <c r="L121" i="40"/>
  <c r="L122" i="40" s="1"/>
  <c r="L45" i="39" s="1"/>
  <c r="L146" i="40"/>
  <c r="L176" i="40"/>
  <c r="L44" i="39"/>
  <c r="L50" i="39" s="1"/>
  <c r="L51" i="39" s="1"/>
  <c r="L41" i="33"/>
  <c r="L42" i="33" s="1"/>
  <c r="L191" i="40"/>
  <c r="L181" i="40"/>
  <c r="L153" i="40"/>
  <c r="L154" i="40"/>
  <c r="L180" i="40" l="1"/>
  <c r="L182" i="40" s="1"/>
  <c r="L186" i="40" s="1"/>
  <c r="L190" i="40"/>
  <c r="L192" i="40" s="1"/>
  <c r="L36" i="39" s="1"/>
  <c r="L39" i="6"/>
  <c r="L40" i="6" s="1"/>
  <c r="L40" i="33"/>
  <c r="L43" i="33" s="1"/>
  <c r="L53" i="39"/>
  <c r="L156" i="40"/>
  <c r="L159" i="40"/>
  <c r="L158" i="40"/>
  <c r="L155" i="40"/>
  <c r="L41" i="6" l="1"/>
  <c r="L42" i="6" s="1"/>
  <c r="L43" i="6" s="1"/>
  <c r="L47" i="33"/>
  <c r="L48" i="33" s="1"/>
  <c r="L49" i="33" s="1"/>
  <c r="L51" i="33" s="1"/>
  <c r="L52" i="33" s="1"/>
  <c r="L53" i="33" s="1"/>
  <c r="L54" i="33" s="1"/>
  <c r="L193" i="40"/>
  <c r="L34" i="39"/>
  <c r="L14" i="39"/>
  <c r="L44" i="6"/>
  <c r="L48" i="6" s="1"/>
  <c r="L157" i="40"/>
  <c r="L160" i="40"/>
  <c r="L161" i="40" l="1"/>
  <c r="L162" i="40" s="1"/>
  <c r="L50" i="6"/>
  <c r="L49" i="6"/>
  <c r="L51" i="6" s="1"/>
  <c r="L52" i="6" s="1"/>
  <c r="L16" i="39"/>
  <c r="L52" i="39"/>
  <c r="P69" i="39" s="1"/>
  <c r="L37" i="39"/>
  <c r="L47" i="39"/>
  <c r="L56" i="39" l="1"/>
  <c r="L54" i="39"/>
  <c r="L17" i="39"/>
  <c r="L18" i="39"/>
  <c r="P66" i="39"/>
  <c r="P73" i="39"/>
  <c r="L19" i="39" l="1"/>
  <c r="L20" i="39" s="1"/>
  <c r="P72" i="39"/>
  <c r="L55" i="39"/>
  <c r="L57" i="39" s="1"/>
  <c r="P70" i="39" l="1"/>
  <c r="L38" i="39"/>
  <c r="P71" i="39"/>
  <c r="L61" i="6"/>
  <c r="L21" i="39"/>
  <c r="L60" i="6" s="1"/>
  <c r="L62" i="6" s="1"/>
  <c r="P76" i="39" l="1"/>
  <c r="L6" i="7"/>
  <c r="L70" i="6"/>
  <c r="L64" i="6"/>
  <c r="L65" i="6" s="1"/>
  <c r="L63" i="6"/>
  <c r="L9" i="9"/>
  <c r="L6" i="13" s="1"/>
  <c r="L75" i="6" l="1"/>
  <c r="L71" i="6"/>
  <c r="L78" i="6" l="1"/>
  <c r="L11" i="9"/>
  <c r="L7" i="13" s="1"/>
  <c r="L7" i="7"/>
  <c r="L99" i="6"/>
  <c r="L90" i="6" s="1"/>
  <c r="L25" i="9" l="1"/>
  <c r="L21" i="13" s="1"/>
  <c r="L21" i="7"/>
  <c r="L14" i="9"/>
  <c r="L10" i="13" s="1"/>
  <c r="L10" i="7"/>
  <c r="J30" i="7" l="1"/>
  <c r="L116" i="6" l="1"/>
  <c r="L77" i="8" l="1"/>
  <c r="L81" i="8" s="1"/>
  <c r="L81" i="6" s="1"/>
  <c r="L88" i="6"/>
  <c r="U174" i="6" l="1"/>
  <c r="T174" i="6"/>
  <c r="O174" i="6"/>
  <c r="AI174" i="6"/>
  <c r="S174" i="6"/>
  <c r="P174" i="6"/>
  <c r="L13" i="7"/>
  <c r="L17" i="9"/>
  <c r="L13" i="13" s="1"/>
  <c r="L174" i="6"/>
  <c r="N174" i="6"/>
  <c r="R174" i="6"/>
  <c r="Q174" i="6"/>
  <c r="M174" i="6"/>
  <c r="L85" i="6" l="1"/>
  <c r="L196" i="6"/>
  <c r="AH174" i="6"/>
  <c r="AJ174" i="6" s="1"/>
  <c r="L83" i="6" l="1"/>
  <c r="L17" i="7"/>
  <c r="L21" i="9"/>
  <c r="L17" i="13" s="1"/>
  <c r="L19" i="9" l="1"/>
  <c r="L15" i="13" s="1"/>
  <c r="L15" i="7"/>
  <c r="L82" i="6"/>
  <c r="L100" i="6" l="1"/>
  <c r="L14" i="7"/>
  <c r="L18" i="9"/>
  <c r="L14" i="13" s="1"/>
  <c r="L95" i="6"/>
  <c r="L101" i="6" l="1"/>
  <c r="L102" i="6" s="1"/>
  <c r="L103" i="6"/>
  <c r="L104" i="6" l="1"/>
  <c r="L106" i="6" s="1"/>
  <c r="L107" i="6" s="1"/>
  <c r="L91" i="6" s="1"/>
  <c r="L26" i="9" s="1"/>
  <c r="L105" i="6"/>
  <c r="L22" i="7" l="1"/>
  <c r="L89" i="6"/>
  <c r="L93" i="6" s="1"/>
  <c r="L22" i="13"/>
  <c r="L24" i="9"/>
  <c r="L20" i="7" l="1"/>
  <c r="L28" i="9"/>
  <c r="L24" i="13" s="1"/>
  <c r="L30" i="9"/>
  <c r="L25" i="7"/>
  <c r="L96" i="6"/>
  <c r="L20" i="13"/>
  <c r="L27" i="7" l="1"/>
  <c r="M111" i="6"/>
  <c r="L26" i="13"/>
  <c r="L32" i="9"/>
  <c r="L28" i="13" s="1"/>
  <c r="M112" i="6" l="1"/>
  <c r="L17" i="67" s="1"/>
  <c r="M48" i="8"/>
  <c r="M55" i="8" s="1"/>
  <c r="M34" i="68"/>
  <c r="M18" i="8"/>
  <c r="M36" i="68"/>
  <c r="M42" i="68"/>
  <c r="M60" i="8"/>
  <c r="M17" i="68"/>
  <c r="M38" i="8"/>
  <c r="M19" i="8"/>
  <c r="M69" i="33"/>
  <c r="M74" i="68"/>
  <c r="M26" i="8"/>
  <c r="M62" i="68"/>
  <c r="M19" i="68"/>
  <c r="M147" i="6"/>
  <c r="M76" i="68"/>
  <c r="M23" i="68"/>
  <c r="M181" i="33"/>
  <c r="M68" i="33"/>
  <c r="M27" i="68"/>
  <c r="M17" i="8"/>
  <c r="M73" i="68"/>
  <c r="M143" i="33"/>
  <c r="M57" i="68"/>
  <c r="M27" i="8"/>
  <c r="M29" i="68"/>
  <c r="M176" i="33"/>
  <c r="M64" i="68"/>
  <c r="M58" i="68"/>
  <c r="M31" i="68"/>
  <c r="M76" i="6"/>
  <c r="M54" i="8"/>
  <c r="M65" i="68"/>
  <c r="M61" i="68"/>
  <c r="M136" i="33"/>
  <c r="M52" i="8"/>
  <c r="M77" i="68"/>
  <c r="M15" i="68"/>
  <c r="M70" i="33"/>
  <c r="M28" i="8"/>
  <c r="M52" i="68"/>
  <c r="M77" i="6"/>
  <c r="M138" i="33"/>
  <c r="M25" i="8"/>
  <c r="M29" i="8" s="1"/>
  <c r="N30" i="8" s="1"/>
  <c r="M30" i="68"/>
  <c r="M79" i="68"/>
  <c r="M62" i="8"/>
  <c r="M73" i="33"/>
  <c r="M24" i="68"/>
  <c r="M40" i="68"/>
  <c r="M115" i="6"/>
  <c r="M142" i="33"/>
  <c r="M71" i="33"/>
  <c r="M182" i="33"/>
  <c r="M67" i="8"/>
  <c r="M74" i="6"/>
  <c r="M10" i="9" s="1"/>
  <c r="M37" i="68"/>
  <c r="M14" i="68"/>
  <c r="M50" i="8"/>
  <c r="M39" i="68"/>
  <c r="M67" i="68"/>
  <c r="M75" i="68"/>
  <c r="M54" i="68"/>
  <c r="M32" i="68"/>
  <c r="M41" i="68"/>
  <c r="M47" i="8"/>
  <c r="M175" i="33"/>
  <c r="M46" i="8"/>
  <c r="M72" i="33"/>
  <c r="M33" i="68"/>
  <c r="M63" i="68"/>
  <c r="M16" i="68"/>
  <c r="M84" i="6"/>
  <c r="M72" i="68"/>
  <c r="M183" i="33"/>
  <c r="M180" i="33"/>
  <c r="M135" i="6"/>
  <c r="M81" i="68"/>
  <c r="M141" i="6"/>
  <c r="M56" i="68"/>
  <c r="M26" i="68"/>
  <c r="M145" i="33"/>
  <c r="M71" i="68"/>
  <c r="M24" i="8"/>
  <c r="M63" i="8"/>
  <c r="M25" i="68"/>
  <c r="M177" i="33"/>
  <c r="M137" i="33"/>
  <c r="M49" i="8"/>
  <c r="L6" i="67"/>
  <c r="L9" i="67" s="1"/>
  <c r="M51" i="8"/>
  <c r="M35" i="8"/>
  <c r="M178" i="33"/>
  <c r="M140" i="33"/>
  <c r="M18" i="68"/>
  <c r="M53" i="68"/>
  <c r="M36" i="8"/>
  <c r="M40" i="8" s="1"/>
  <c r="N41" i="8" s="1"/>
  <c r="M139" i="33"/>
  <c r="M59" i="68"/>
  <c r="M69" i="68"/>
  <c r="M179" i="33"/>
  <c r="M66" i="8"/>
  <c r="M21" i="68"/>
  <c r="M38" i="68"/>
  <c r="M66" i="68"/>
  <c r="M60" i="68"/>
  <c r="M22" i="68"/>
  <c r="M141" i="33"/>
  <c r="M20" i="68"/>
  <c r="M39" i="8"/>
  <c r="M80" i="68"/>
  <c r="M61" i="8"/>
  <c r="M144" i="33"/>
  <c r="M184" i="33"/>
  <c r="M43" i="68"/>
  <c r="M64" i="8"/>
  <c r="M55" i="68"/>
  <c r="M37" i="8"/>
  <c r="M35" i="68"/>
  <c r="M16" i="8"/>
  <c r="M78" i="68"/>
  <c r="M70" i="68"/>
  <c r="M68" i="68"/>
  <c r="M28" i="68"/>
  <c r="M116" i="6"/>
  <c r="M77" i="8" s="1"/>
  <c r="M88" i="6"/>
  <c r="K31" i="13"/>
  <c r="M23" i="8" l="1"/>
  <c r="M22" i="8" s="1"/>
  <c r="M23" i="33"/>
  <c r="M142" i="6"/>
  <c r="M12" i="38"/>
  <c r="L8" i="67"/>
  <c r="L16" i="67"/>
  <c r="M27" i="33"/>
  <c r="M14" i="38"/>
  <c r="L10" i="67"/>
  <c r="M148" i="6"/>
  <c r="M44" i="68"/>
  <c r="M9" i="7"/>
  <c r="M13" i="9"/>
  <c r="M19" i="33"/>
  <c r="L7" i="67"/>
  <c r="M10" i="38"/>
  <c r="M136" i="6"/>
  <c r="M16" i="7"/>
  <c r="M20" i="9"/>
  <c r="M82" i="68"/>
  <c r="M8" i="7"/>
  <c r="M12" i="9"/>
  <c r="M15" i="8"/>
  <c r="M14" i="8" s="1"/>
  <c r="M80" i="8"/>
  <c r="M92" i="6" s="1"/>
  <c r="M34" i="8"/>
  <c r="M33" i="8" s="1"/>
  <c r="M45" i="8"/>
  <c r="M44" i="8" s="1"/>
  <c r="M23" i="7" l="1"/>
  <c r="M27" i="9"/>
  <c r="M8" i="13"/>
  <c r="M128" i="6"/>
  <c r="M45" i="68"/>
  <c r="M28" i="33"/>
  <c r="M15" i="38"/>
  <c r="M16" i="13"/>
  <c r="M20" i="33"/>
  <c r="M11" i="38"/>
  <c r="M24" i="33"/>
  <c r="M13" i="38"/>
  <c r="M16" i="38"/>
  <c r="M9" i="13"/>
  <c r="M83" i="68"/>
  <c r="M132" i="6" s="1"/>
  <c r="M131" i="6"/>
  <c r="M85" i="68" l="1"/>
  <c r="M129" i="6"/>
  <c r="M31" i="6" s="1"/>
  <c r="M23" i="13"/>
  <c r="M17" i="38"/>
  <c r="M20" i="38"/>
  <c r="M90" i="38" l="1"/>
  <c r="M66" i="38"/>
  <c r="M42" i="38"/>
  <c r="M21" i="38"/>
  <c r="M32" i="6"/>
  <c r="M72" i="8" s="1"/>
  <c r="M73" i="8" s="1"/>
  <c r="M74" i="8" s="1"/>
  <c r="M65" i="8" s="1"/>
  <c r="L13" i="67" s="1"/>
  <c r="M43" i="38" l="1"/>
  <c r="M67" i="38"/>
  <c r="M91" i="38"/>
  <c r="M22" i="38"/>
  <c r="M68" i="38" l="1"/>
  <c r="M92" i="38"/>
  <c r="M23" i="38"/>
  <c r="M44" i="38"/>
  <c r="M69" i="38" l="1"/>
  <c r="M24" i="38"/>
  <c r="M93" i="38"/>
  <c r="M45" i="38"/>
  <c r="M70" i="38" l="1"/>
  <c r="M25" i="38"/>
  <c r="M94" i="38"/>
  <c r="M46" i="38"/>
  <c r="M47" i="38" l="1"/>
  <c r="M71" i="38"/>
  <c r="M26" i="38"/>
  <c r="M95" i="38"/>
  <c r="M27" i="38" l="1"/>
  <c r="M96" i="38"/>
  <c r="M72" i="38"/>
  <c r="M48" i="38"/>
  <c r="M73" i="38" l="1"/>
  <c r="M49" i="38"/>
  <c r="M97" i="38"/>
  <c r="M28" i="38"/>
  <c r="M98" i="38" l="1"/>
  <c r="M29" i="38"/>
  <c r="M74" i="38"/>
  <c r="M50" i="38"/>
  <c r="M51" i="38" l="1"/>
  <c r="M75" i="38"/>
  <c r="M99" i="38"/>
  <c r="M30" i="38"/>
  <c r="M76" i="38" l="1"/>
  <c r="M100" i="38"/>
  <c r="M52" i="38"/>
  <c r="M31" i="38"/>
  <c r="M53" i="38" l="1"/>
  <c r="M101" i="38"/>
  <c r="M32" i="38"/>
  <c r="M77" i="38"/>
  <c r="M78" i="38" l="1"/>
  <c r="M54" i="38"/>
  <c r="M102" i="38"/>
  <c r="M33" i="38"/>
  <c r="M79" i="38" l="1"/>
  <c r="M55" i="38"/>
  <c r="M103" i="38"/>
  <c r="M34" i="38"/>
  <c r="M104" i="38" l="1"/>
  <c r="M56" i="38"/>
  <c r="M80" i="38"/>
  <c r="M35" i="38"/>
  <c r="M81" i="38" l="1"/>
  <c r="M57" i="38"/>
  <c r="M105" i="38"/>
  <c r="M36" i="38"/>
  <c r="M58" i="38" l="1"/>
  <c r="M106" i="38"/>
  <c r="M82" i="38"/>
  <c r="M37" i="38"/>
  <c r="M38" i="38" l="1"/>
  <c r="M107" i="38"/>
  <c r="M83" i="38"/>
  <c r="M59" i="38"/>
  <c r="M108" i="38" l="1"/>
  <c r="M60" i="38"/>
  <c r="M84" i="38"/>
  <c r="M39" i="38"/>
  <c r="M61" i="38" l="1"/>
  <c r="M109" i="38"/>
  <c r="M85" i="38"/>
  <c r="M87" i="38" l="1"/>
  <c r="M86" i="38"/>
  <c r="M111" i="38"/>
  <c r="M110" i="38"/>
  <c r="M63" i="38"/>
  <c r="M62" i="38"/>
  <c r="M149" i="6" l="1"/>
  <c r="M137" i="6"/>
  <c r="M143" i="6"/>
  <c r="M21" i="33" l="1"/>
  <c r="M138" i="6"/>
  <c r="M22" i="33" s="1"/>
  <c r="M139" i="6"/>
  <c r="M144" i="6"/>
  <c r="M26" i="33" s="1"/>
  <c r="M25" i="33"/>
  <c r="M145" i="6"/>
  <c r="M146" i="6" s="1"/>
  <c r="M29" i="33"/>
  <c r="M150" i="6"/>
  <c r="M30" i="33" s="1"/>
  <c r="M153" i="6"/>
  <c r="M151" i="6"/>
  <c r="M152" i="6" s="1"/>
  <c r="M140" i="6" l="1"/>
  <c r="M154" i="6"/>
  <c r="M10" i="68"/>
  <c r="M13" i="68" s="1"/>
  <c r="M31" i="33"/>
  <c r="M146" i="33" l="1"/>
  <c r="M167" i="33" s="1"/>
  <c r="M32" i="33"/>
  <c r="M15" i="39"/>
  <c r="M155" i="6"/>
  <c r="M11" i="68"/>
  <c r="M12" i="68" s="1"/>
  <c r="M127" i="6" s="1"/>
  <c r="M78" i="33" l="1"/>
  <c r="M112" i="33" s="1"/>
  <c r="M76" i="33"/>
  <c r="M110" i="33" s="1"/>
  <c r="M77" i="33"/>
  <c r="M111" i="33" s="1"/>
  <c r="M75" i="33"/>
  <c r="M109" i="33" s="1"/>
  <c r="M74" i="33"/>
  <c r="M33" i="33"/>
  <c r="M157" i="6"/>
  <c r="M156" i="6"/>
  <c r="M49" i="68"/>
  <c r="M108" i="33" l="1"/>
  <c r="M99" i="33"/>
  <c r="M171" i="33" s="1"/>
  <c r="M70" i="8"/>
  <c r="M34" i="33"/>
  <c r="M158" i="6"/>
  <c r="M35" i="33"/>
  <c r="M185" i="33" s="1"/>
  <c r="M206" i="33" s="1"/>
  <c r="M48" i="68"/>
  <c r="M67" i="6"/>
  <c r="M50" i="68"/>
  <c r="M130" i="6" s="1"/>
  <c r="M87" i="6" s="1"/>
  <c r="M222" i="33"/>
  <c r="M256" i="33" s="1"/>
  <c r="M223" i="33"/>
  <c r="M257" i="33" s="1"/>
  <c r="M219" i="33"/>
  <c r="M216" i="33"/>
  <c r="M220" i="33"/>
  <c r="M254" i="33" s="1"/>
  <c r="M217" i="33"/>
  <c r="M215" i="33"/>
  <c r="M218" i="33"/>
  <c r="M214" i="33"/>
  <c r="M221" i="33"/>
  <c r="M255" i="33" s="1"/>
  <c r="L11" i="67" l="1"/>
  <c r="M51" i="68"/>
  <c r="M71" i="8"/>
  <c r="M68" i="8"/>
  <c r="M36" i="33"/>
  <c r="M159" i="6"/>
  <c r="M160" i="6"/>
  <c r="M161" i="6" s="1"/>
  <c r="M121" i="6" s="1"/>
  <c r="M123" i="6" s="1"/>
  <c r="M29" i="9"/>
  <c r="M19" i="7"/>
  <c r="M24" i="7"/>
  <c r="M23" i="9"/>
  <c r="M224" i="33"/>
  <c r="M258" i="33" s="1"/>
  <c r="M66" i="6"/>
  <c r="M245" i="33" l="1"/>
  <c r="M59" i="33" s="1"/>
  <c r="M33" i="6" s="1"/>
  <c r="M68" i="6"/>
  <c r="M37" i="33"/>
  <c r="M19" i="13"/>
  <c r="M124" i="6"/>
  <c r="M122" i="6"/>
  <c r="M25" i="13"/>
  <c r="M39" i="46" l="1"/>
  <c r="M39" i="62"/>
  <c r="L12" i="67"/>
  <c r="M69" i="6"/>
  <c r="M34" i="6"/>
  <c r="M13" i="39"/>
  <c r="M33" i="39" s="1"/>
  <c r="M35" i="6"/>
  <c r="M40" i="46"/>
  <c r="M40" i="62"/>
  <c r="M69" i="8"/>
  <c r="M59" i="8" s="1"/>
  <c r="M58" i="8" s="1"/>
  <c r="M81" i="8" s="1"/>
  <c r="M81" i="6" s="1"/>
  <c r="M58" i="33"/>
  <c r="L14" i="67" l="1"/>
  <c r="M37" i="6"/>
  <c r="AI175" i="6"/>
  <c r="R175" i="6"/>
  <c r="N175" i="6"/>
  <c r="M175" i="6"/>
  <c r="M17" i="9"/>
  <c r="S175" i="6"/>
  <c r="U175" i="6"/>
  <c r="P175" i="6"/>
  <c r="O175" i="6"/>
  <c r="V175" i="6"/>
  <c r="T175" i="6"/>
  <c r="Q175" i="6"/>
  <c r="M13" i="7"/>
  <c r="M8" i="9"/>
  <c r="M5" i="7"/>
  <c r="M36" i="6"/>
  <c r="M13" i="13" l="1"/>
  <c r="AH175" i="6"/>
  <c r="AJ175" i="6" s="1"/>
  <c r="M196" i="6"/>
  <c r="M85" i="6"/>
  <c r="M5" i="13"/>
  <c r="M86" i="6"/>
  <c r="M38" i="6"/>
  <c r="M21" i="9" l="1"/>
  <c r="M17" i="7"/>
  <c r="M83" i="6"/>
  <c r="M55" i="6"/>
  <c r="M22" i="9"/>
  <c r="M18" i="7"/>
  <c r="M18" i="13" l="1"/>
  <c r="M19" i="9"/>
  <c r="M15" i="7"/>
  <c r="M82" i="6"/>
  <c r="M41" i="39"/>
  <c r="M56" i="6"/>
  <c r="M57" i="6" s="1"/>
  <c r="M17" i="13"/>
  <c r="M42" i="39" l="1"/>
  <c r="M58" i="6"/>
  <c r="M15" i="13"/>
  <c r="M100" i="6"/>
  <c r="M18" i="9"/>
  <c r="M14" i="7"/>
  <c r="M43" i="39" l="1"/>
  <c r="M171" i="40"/>
  <c r="M152" i="40"/>
  <c r="M59" i="6"/>
  <c r="M117" i="40"/>
  <c r="M140" i="40"/>
  <c r="M141" i="40" s="1"/>
  <c r="M142" i="40" s="1"/>
  <c r="M14" i="13"/>
  <c r="M143" i="40" l="1"/>
  <c r="M144" i="40"/>
  <c r="M145" i="40" s="1"/>
  <c r="M177" i="40"/>
  <c r="M173" i="40"/>
  <c r="M172" i="40"/>
  <c r="M174" i="40" s="1"/>
  <c r="M119" i="40"/>
  <c r="M163" i="40"/>
  <c r="M118" i="40"/>
  <c r="M164" i="40"/>
  <c r="M187" i="40" l="1"/>
  <c r="M124" i="40"/>
  <c r="M121" i="40"/>
  <c r="M127" i="40"/>
  <c r="M175" i="40"/>
  <c r="M176" i="40" s="1"/>
  <c r="M188" i="40"/>
  <c r="M178" i="40"/>
  <c r="M179" i="40"/>
  <c r="M123" i="40"/>
  <c r="M120" i="40"/>
  <c r="M126" i="40"/>
  <c r="M147" i="40"/>
  <c r="M146" i="40"/>
  <c r="M154" i="40"/>
  <c r="M153" i="40"/>
  <c r="M189" i="40" l="1"/>
  <c r="M35" i="39" s="1"/>
  <c r="M125" i="40"/>
  <c r="M41" i="33" s="1"/>
  <c r="M42" i="33" s="1"/>
  <c r="M122" i="40"/>
  <c r="M45" i="39" s="1"/>
  <c r="M128" i="40"/>
  <c r="M46" i="39" s="1"/>
  <c r="M180" i="40"/>
  <c r="M190" i="40"/>
  <c r="M191" i="40"/>
  <c r="M181" i="40"/>
  <c r="M184" i="40"/>
  <c r="M183" i="40"/>
  <c r="M156" i="40"/>
  <c r="M159" i="40"/>
  <c r="M155" i="40"/>
  <c r="M158" i="40"/>
  <c r="M44" i="39" l="1"/>
  <c r="M50" i="39" s="1"/>
  <c r="M51" i="39" s="1"/>
  <c r="M53" i="39" s="1"/>
  <c r="M185" i="40"/>
  <c r="M39" i="6"/>
  <c r="M40" i="33"/>
  <c r="M182" i="40"/>
  <c r="M192" i="40"/>
  <c r="M36" i="39" s="1"/>
  <c r="M157" i="40"/>
  <c r="M160" i="40"/>
  <c r="M161" i="40" l="1"/>
  <c r="M162" i="40" s="1"/>
  <c r="M186" i="40"/>
  <c r="M34" i="39" s="1"/>
  <c r="M43" i="33"/>
  <c r="M47" i="33"/>
  <c r="M48" i="33" s="1"/>
  <c r="M49" i="33" s="1"/>
  <c r="M51" i="33" s="1"/>
  <c r="M52" i="33" s="1"/>
  <c r="M53" i="33" s="1"/>
  <c r="M54" i="33" s="1"/>
  <c r="M41" i="6"/>
  <c r="M42" i="6" s="1"/>
  <c r="M43" i="6" s="1"/>
  <c r="M40" i="6"/>
  <c r="M193" i="40" l="1"/>
  <c r="M44" i="6"/>
  <c r="M48" i="6" s="1"/>
  <c r="M49" i="6" s="1"/>
  <c r="M14" i="39"/>
  <c r="M37" i="39"/>
  <c r="M47" i="39"/>
  <c r="M50" i="6" l="1"/>
  <c r="M16" i="39"/>
  <c r="M52" i="39"/>
  <c r="M51" i="6"/>
  <c r="M56" i="39" l="1"/>
  <c r="M17" i="39"/>
  <c r="M54" i="39"/>
  <c r="M18" i="39"/>
  <c r="M52" i="6"/>
  <c r="M19" i="39" l="1"/>
  <c r="M20" i="39" s="1"/>
  <c r="M55" i="39"/>
  <c r="M38" i="39" s="1"/>
  <c r="M57" i="39" l="1"/>
  <c r="M61" i="6"/>
  <c r="M21" i="39"/>
  <c r="M60" i="6" s="1"/>
  <c r="M62" i="6" s="1"/>
  <c r="M9" i="9" s="1"/>
  <c r="M64" i="6" l="1"/>
  <c r="M65" i="6" s="1"/>
  <c r="M70" i="6"/>
  <c r="M75" i="6" s="1"/>
  <c r="M6" i="7"/>
  <c r="M63" i="6"/>
  <c r="M6" i="13"/>
  <c r="M71" i="6" l="1"/>
  <c r="M7" i="7"/>
  <c r="M11" i="9"/>
  <c r="M99" i="6"/>
  <c r="M78" i="6"/>
  <c r="M10" i="7" l="1"/>
  <c r="M14" i="9"/>
  <c r="M95" i="6"/>
  <c r="M90" i="6"/>
  <c r="M7" i="13"/>
  <c r="M101" i="6" l="1"/>
  <c r="M103" i="6"/>
  <c r="M25" i="9"/>
  <c r="M21" i="7"/>
  <c r="M10" i="13"/>
  <c r="M21" i="13" l="1"/>
  <c r="M102" i="6"/>
  <c r="M105" i="6" s="1"/>
  <c r="M104" i="6"/>
  <c r="M106" i="6" l="1"/>
  <c r="M107" i="6" l="1"/>
  <c r="M91" i="6" l="1"/>
  <c r="M26" i="9" l="1"/>
  <c r="M22" i="7"/>
  <c r="M89" i="6"/>
  <c r="M28" i="9" l="1"/>
  <c r="M20" i="7"/>
  <c r="M93" i="6"/>
  <c r="M22" i="13"/>
  <c r="M20" i="13" s="1"/>
  <c r="M24" i="9"/>
  <c r="M30" i="9" l="1"/>
  <c r="M25" i="7"/>
  <c r="M96" i="6"/>
  <c r="M24" i="13"/>
  <c r="M27" i="7" l="1"/>
  <c r="N111" i="6"/>
  <c r="M26" i="13"/>
  <c r="M32" i="9"/>
  <c r="M28" i="13" l="1"/>
  <c r="N52" i="8"/>
  <c r="N38" i="8"/>
  <c r="N144" i="33"/>
  <c r="N41" i="68"/>
  <c r="N29" i="68"/>
  <c r="N24" i="68"/>
  <c r="N17" i="8"/>
  <c r="N64" i="68"/>
  <c r="N26" i="8"/>
  <c r="N42" i="68"/>
  <c r="N19" i="8"/>
  <c r="M6" i="67"/>
  <c r="M9" i="67" s="1"/>
  <c r="N74" i="68"/>
  <c r="N142" i="33"/>
  <c r="N22" i="68"/>
  <c r="N183" i="33"/>
  <c r="N27" i="8"/>
  <c r="N179" i="33"/>
  <c r="N39" i="8"/>
  <c r="N15" i="68"/>
  <c r="N184" i="33"/>
  <c r="N61" i="8"/>
  <c r="N62" i="68"/>
  <c r="N54" i="8"/>
  <c r="N178" i="33"/>
  <c r="N146" i="33"/>
  <c r="N24" i="8"/>
  <c r="N18" i="8"/>
  <c r="N81" i="68"/>
  <c r="N140" i="33"/>
  <c r="N181" i="33"/>
  <c r="N53" i="68"/>
  <c r="N50" i="8"/>
  <c r="N115" i="6"/>
  <c r="N71" i="33"/>
  <c r="N63" i="68"/>
  <c r="N139" i="33"/>
  <c r="N67" i="8"/>
  <c r="N37" i="8"/>
  <c r="N72" i="33"/>
  <c r="N70" i="33"/>
  <c r="N33" i="68"/>
  <c r="N143" i="33"/>
  <c r="N67" i="68"/>
  <c r="N69" i="68"/>
  <c r="N58" i="68"/>
  <c r="N68" i="33"/>
  <c r="N176" i="33"/>
  <c r="N147" i="6"/>
  <c r="N76" i="6"/>
  <c r="N63" i="8"/>
  <c r="N40" i="68"/>
  <c r="N138" i="33"/>
  <c r="N68" i="68"/>
  <c r="N36" i="8"/>
  <c r="N75" i="68"/>
  <c r="N18" i="68"/>
  <c r="N61" i="68"/>
  <c r="N46" i="8"/>
  <c r="N47" i="8"/>
  <c r="N16" i="68"/>
  <c r="N43" i="68"/>
  <c r="N26" i="68"/>
  <c r="N54" i="68"/>
  <c r="N80" i="68"/>
  <c r="N185" i="33"/>
  <c r="N59" i="68"/>
  <c r="N64" i="8"/>
  <c r="N49" i="8"/>
  <c r="N19" i="68"/>
  <c r="N32" i="68"/>
  <c r="N70" i="68"/>
  <c r="N30" i="68"/>
  <c r="N76" i="68"/>
  <c r="N48" i="8"/>
  <c r="N55" i="8" s="1"/>
  <c r="N60" i="68"/>
  <c r="N141" i="6"/>
  <c r="N72" i="68"/>
  <c r="N25" i="8"/>
  <c r="N28" i="8"/>
  <c r="N20" i="68"/>
  <c r="N17" i="68"/>
  <c r="N38" i="68"/>
  <c r="N135" i="6"/>
  <c r="N39" i="68"/>
  <c r="N60" i="8"/>
  <c r="N77" i="68"/>
  <c r="N21" i="68"/>
  <c r="N180" i="33"/>
  <c r="N66" i="8"/>
  <c r="N36" i="68"/>
  <c r="N73" i="33"/>
  <c r="N37" i="68"/>
  <c r="N35" i="8"/>
  <c r="N23" i="68"/>
  <c r="N145" i="33"/>
  <c r="N66" i="68"/>
  <c r="N27" i="68"/>
  <c r="N52" i="68"/>
  <c r="N65" i="68"/>
  <c r="N78" i="68"/>
  <c r="N182" i="33"/>
  <c r="N25" i="68"/>
  <c r="N14" i="68"/>
  <c r="N31" i="68"/>
  <c r="N34" i="68"/>
  <c r="N177" i="33"/>
  <c r="N51" i="8"/>
  <c r="N55" i="68"/>
  <c r="N16" i="8"/>
  <c r="N71" i="68"/>
  <c r="N35" i="68"/>
  <c r="N137" i="33"/>
  <c r="N28" i="68"/>
  <c r="N136" i="33"/>
  <c r="N84" i="6"/>
  <c r="N141" i="33"/>
  <c r="N57" i="68"/>
  <c r="N56" i="68"/>
  <c r="N69" i="33"/>
  <c r="N79" i="68"/>
  <c r="N175" i="33"/>
  <c r="N77" i="6"/>
  <c r="N73" i="68"/>
  <c r="N74" i="6"/>
  <c r="N10" i="9" s="1"/>
  <c r="N62" i="8"/>
  <c r="N116" i="6"/>
  <c r="N77" i="8" s="1"/>
  <c r="N88" i="6"/>
  <c r="N112" i="6"/>
  <c r="M17" i="67" s="1"/>
  <c r="M7" i="67" l="1"/>
  <c r="N136" i="6"/>
  <c r="N10" i="38"/>
  <c r="N19" i="33"/>
  <c r="N80" i="8"/>
  <c r="N92" i="6" s="1"/>
  <c r="M10" i="67"/>
  <c r="N14" i="38"/>
  <c r="N27" i="33"/>
  <c r="N148" i="6"/>
  <c r="N44" i="68"/>
  <c r="N9" i="7"/>
  <c r="N13" i="9"/>
  <c r="N82" i="68"/>
  <c r="N45" i="8"/>
  <c r="N44" i="8" s="1"/>
  <c r="N23" i="8"/>
  <c r="N22" i="8" s="1"/>
  <c r="N12" i="38"/>
  <c r="N23" i="33"/>
  <c r="N142" i="6"/>
  <c r="M8" i="67"/>
  <c r="N16" i="7"/>
  <c r="N20" i="9"/>
  <c r="N15" i="8"/>
  <c r="N14" i="8" s="1"/>
  <c r="N34" i="8"/>
  <c r="N33" i="8" s="1"/>
  <c r="N8" i="7"/>
  <c r="N12" i="9"/>
  <c r="M16" i="67"/>
  <c r="N16" i="13" l="1"/>
  <c r="N16" i="38"/>
  <c r="N27" i="9"/>
  <c r="N23" i="7"/>
  <c r="N11" i="38"/>
  <c r="N20" i="33"/>
  <c r="N8" i="13"/>
  <c r="N24" i="33"/>
  <c r="N13" i="38"/>
  <c r="N9" i="13"/>
  <c r="N15" i="38"/>
  <c r="N28" i="33"/>
  <c r="N131" i="6"/>
  <c r="N83" i="68"/>
  <c r="N132" i="6" s="1"/>
  <c r="N45" i="68"/>
  <c r="N128" i="6"/>
  <c r="N23" i="13" l="1"/>
  <c r="N85" i="68"/>
  <c r="N129" i="6"/>
  <c r="N31" i="6" s="1"/>
  <c r="N20" i="38"/>
  <c r="N17" i="38"/>
  <c r="N32" i="6" l="1"/>
  <c r="N72" i="8" s="1"/>
  <c r="N73" i="8" s="1"/>
  <c r="N74" i="8" s="1"/>
  <c r="N65" i="8" s="1"/>
  <c r="M13" i="67" s="1"/>
  <c r="N90" i="38"/>
  <c r="N42" i="38"/>
  <c r="N21" i="38"/>
  <c r="N66" i="38"/>
  <c r="N91" i="38" l="1"/>
  <c r="N22" i="38"/>
  <c r="N67" i="38"/>
  <c r="N43" i="38"/>
  <c r="N44" i="38" l="1"/>
  <c r="N23" i="38"/>
  <c r="N68" i="38"/>
  <c r="N92" i="38"/>
  <c r="N93" i="38" l="1"/>
  <c r="N69" i="38"/>
  <c r="N45" i="38"/>
  <c r="N24" i="38"/>
  <c r="N46" i="38" l="1"/>
  <c r="N94" i="38"/>
  <c r="N70" i="38"/>
  <c r="N25" i="38"/>
  <c r="N26" i="38" l="1"/>
  <c r="N71" i="38"/>
  <c r="N47" i="38"/>
  <c r="N95" i="38"/>
  <c r="N72" i="38" l="1"/>
  <c r="N48" i="38"/>
  <c r="N27" i="38"/>
  <c r="N96" i="38"/>
  <c r="N28" i="38" l="1"/>
  <c r="N49" i="38"/>
  <c r="N73" i="38"/>
  <c r="N97" i="38"/>
  <c r="N50" i="38" l="1"/>
  <c r="N74" i="38"/>
  <c r="N98" i="38"/>
  <c r="N29" i="38"/>
  <c r="N30" i="38" l="1"/>
  <c r="N75" i="38"/>
  <c r="N51" i="38"/>
  <c r="N99" i="38"/>
  <c r="N52" i="38" l="1"/>
  <c r="N100" i="38"/>
  <c r="N31" i="38"/>
  <c r="N76" i="38"/>
  <c r="N32" i="38" l="1"/>
  <c r="N53" i="38"/>
  <c r="N101" i="38"/>
  <c r="N77" i="38"/>
  <c r="N102" i="38" l="1"/>
  <c r="N54" i="38"/>
  <c r="N78" i="38"/>
  <c r="N33" i="38"/>
  <c r="N79" i="38" l="1"/>
  <c r="N34" i="38"/>
  <c r="N55" i="38"/>
  <c r="N103" i="38"/>
  <c r="N80" i="38" l="1"/>
  <c r="N56" i="38"/>
  <c r="N104" i="38"/>
  <c r="N35" i="38"/>
  <c r="N36" i="38" l="1"/>
  <c r="N57" i="38"/>
  <c r="N105" i="38"/>
  <c r="N81" i="38"/>
  <c r="N82" i="38" l="1"/>
  <c r="N58" i="38"/>
  <c r="N37" i="38"/>
  <c r="N106" i="38"/>
  <c r="N107" i="38" l="1"/>
  <c r="N38" i="38"/>
  <c r="N83" i="38"/>
  <c r="N59" i="38"/>
  <c r="N39" i="38" l="1"/>
  <c r="N108" i="38"/>
  <c r="N84" i="38"/>
  <c r="N60" i="38"/>
  <c r="N85" i="38" l="1"/>
  <c r="N61" i="38"/>
  <c r="N109" i="38"/>
  <c r="N110" i="38" l="1"/>
  <c r="N111" i="38"/>
  <c r="N63" i="38"/>
  <c r="N62" i="38"/>
  <c r="N86" i="38"/>
  <c r="N87" i="38"/>
  <c r="N149" i="6" l="1"/>
  <c r="N137" i="6"/>
  <c r="N143" i="6"/>
  <c r="N138" i="6" l="1"/>
  <c r="N22" i="33" s="1"/>
  <c r="N21" i="33"/>
  <c r="N139" i="6"/>
  <c r="N25" i="33"/>
  <c r="N144" i="6"/>
  <c r="N26" i="33" s="1"/>
  <c r="N145" i="6"/>
  <c r="N146" i="6" s="1"/>
  <c r="N150" i="6"/>
  <c r="N30" i="33" s="1"/>
  <c r="N153" i="6"/>
  <c r="N29" i="33"/>
  <c r="N151" i="6"/>
  <c r="N152" i="6" s="1"/>
  <c r="N140" i="6" l="1"/>
  <c r="N10" i="68"/>
  <c r="N13" i="68" s="1"/>
  <c r="N31" i="33"/>
  <c r="N154" i="6"/>
  <c r="N147" i="33" l="1"/>
  <c r="N167" i="33" s="1"/>
  <c r="N15" i="39"/>
  <c r="N11" i="68"/>
  <c r="N12" i="68" s="1"/>
  <c r="N127" i="6" s="1"/>
  <c r="N155" i="6"/>
  <c r="N32" i="33"/>
  <c r="N76" i="33" s="1"/>
  <c r="N110" i="33" s="1"/>
  <c r="N77" i="33" l="1"/>
  <c r="N111" i="33" s="1"/>
  <c r="N75" i="33"/>
  <c r="N109" i="33" s="1"/>
  <c r="N74" i="33"/>
  <c r="N78" i="33"/>
  <c r="N112" i="33" s="1"/>
  <c r="N79" i="33"/>
  <c r="N113" i="33" s="1"/>
  <c r="N33" i="33"/>
  <c r="N156" i="6"/>
  <c r="N49" i="68"/>
  <c r="N157" i="6"/>
  <c r="N35" i="33" l="1"/>
  <c r="N186" i="33" s="1"/>
  <c r="N206" i="33" s="1"/>
  <c r="N48" i="68"/>
  <c r="N34" i="33"/>
  <c r="N70" i="8"/>
  <c r="N158" i="6"/>
  <c r="N108" i="33"/>
  <c r="N99" i="33"/>
  <c r="N171" i="33" s="1"/>
  <c r="N224" i="33"/>
  <c r="N258" i="33" s="1"/>
  <c r="N217" i="33"/>
  <c r="N218" i="33"/>
  <c r="N223" i="33"/>
  <c r="N257" i="33" s="1"/>
  <c r="N214" i="33"/>
  <c r="N220" i="33"/>
  <c r="N254" i="33" s="1"/>
  <c r="N216" i="33"/>
  <c r="N215" i="33"/>
  <c r="N222" i="33"/>
  <c r="N256" i="33" s="1"/>
  <c r="N221" i="33"/>
  <c r="N255" i="33" s="1"/>
  <c r="N219" i="33"/>
  <c r="N50" i="68"/>
  <c r="N130" i="6" s="1"/>
  <c r="N87" i="6" s="1"/>
  <c r="N67" i="6"/>
  <c r="N225" i="33" l="1"/>
  <c r="N259" i="33" s="1"/>
  <c r="N71" i="8"/>
  <c r="N68" i="8"/>
  <c r="N66" i="6"/>
  <c r="N36" i="33"/>
  <c r="N159" i="6"/>
  <c r="N160" i="6"/>
  <c r="N161" i="6" s="1"/>
  <c r="N121" i="6" s="1"/>
  <c r="N123" i="6" s="1"/>
  <c r="M11" i="67"/>
  <c r="N51" i="68"/>
  <c r="N23" i="9"/>
  <c r="N29" i="9"/>
  <c r="N19" i="7"/>
  <c r="N24" i="7"/>
  <c r="N245" i="33" l="1"/>
  <c r="N59" i="33" s="1"/>
  <c r="N25" i="13"/>
  <c r="N124" i="6"/>
  <c r="N122" i="6"/>
  <c r="N68" i="6"/>
  <c r="N19" i="13"/>
  <c r="N37" i="33"/>
  <c r="N58" i="33"/>
  <c r="M14" i="67" l="1"/>
  <c r="N33" i="6"/>
  <c r="N35" i="6" s="1"/>
  <c r="N39" i="62"/>
  <c r="N39" i="46"/>
  <c r="M12" i="67"/>
  <c r="N40" i="46"/>
  <c r="N69" i="8"/>
  <c r="N59" i="8" s="1"/>
  <c r="N58" i="8" s="1"/>
  <c r="N81" i="8" s="1"/>
  <c r="N81" i="6" s="1"/>
  <c r="N40" i="62"/>
  <c r="N69" i="6"/>
  <c r="N13" i="39" l="1"/>
  <c r="N33" i="39" s="1"/>
  <c r="N34" i="6"/>
  <c r="N36" i="6" s="1"/>
  <c r="N37" i="6"/>
  <c r="O176" i="6"/>
  <c r="U176" i="6"/>
  <c r="R176" i="6"/>
  <c r="AI176" i="6"/>
  <c r="V176" i="6"/>
  <c r="Q176" i="6"/>
  <c r="N17" i="9"/>
  <c r="N176" i="6"/>
  <c r="W176" i="6"/>
  <c r="S176" i="6"/>
  <c r="T176" i="6"/>
  <c r="P176" i="6"/>
  <c r="N13" i="7"/>
  <c r="N8" i="9" l="1"/>
  <c r="N5" i="7"/>
  <c r="AH176" i="6"/>
  <c r="AJ176" i="6" s="1"/>
  <c r="N196" i="6"/>
  <c r="N85" i="6"/>
  <c r="N13" i="13"/>
  <c r="N38" i="6"/>
  <c r="N86" i="6"/>
  <c r="N5" i="13"/>
  <c r="N18" i="7" l="1"/>
  <c r="N22" i="9"/>
  <c r="N21" i="9"/>
  <c r="N17" i="7"/>
  <c r="N83" i="6"/>
  <c r="N55" i="6"/>
  <c r="N19" i="9" l="1"/>
  <c r="N15" i="7"/>
  <c r="N82" i="6"/>
  <c r="N18" i="13"/>
  <c r="N56" i="6"/>
  <c r="N57" i="6" s="1"/>
  <c r="N41" i="39"/>
  <c r="N17" i="13"/>
  <c r="N42" i="39" l="1"/>
  <c r="N58" i="6"/>
  <c r="N18" i="9"/>
  <c r="N100" i="6"/>
  <c r="N14" i="7"/>
  <c r="N15" i="13"/>
  <c r="N140" i="40" l="1"/>
  <c r="N141" i="40" s="1"/>
  <c r="N142" i="40" s="1"/>
  <c r="N152" i="40"/>
  <c r="N117" i="40"/>
  <c r="N59" i="6"/>
  <c r="N171" i="40"/>
  <c r="N43" i="39"/>
  <c r="N14" i="13"/>
  <c r="N164" i="40" l="1"/>
  <c r="N119" i="40"/>
  <c r="N124" i="40" s="1"/>
  <c r="N118" i="40"/>
  <c r="N163" i="40"/>
  <c r="N177" i="40"/>
  <c r="N173" i="40"/>
  <c r="N175" i="40" s="1"/>
  <c r="N172" i="40"/>
  <c r="N143" i="40"/>
  <c r="N144" i="40"/>
  <c r="N145" i="40" l="1"/>
  <c r="N147" i="40" s="1"/>
  <c r="N127" i="40"/>
  <c r="N178" i="40"/>
  <c r="N190" i="40" s="1"/>
  <c r="N179" i="40"/>
  <c r="N184" i="40" s="1"/>
  <c r="N187" i="40"/>
  <c r="N174" i="40"/>
  <c r="N176" i="40" s="1"/>
  <c r="N121" i="40"/>
  <c r="N188" i="40"/>
  <c r="N126" i="40"/>
  <c r="N123" i="40"/>
  <c r="N125" i="40" s="1"/>
  <c r="N120" i="40"/>
  <c r="N122" i="40" l="1"/>
  <c r="N39" i="6" s="1"/>
  <c r="N183" i="40"/>
  <c r="N185" i="40" s="1"/>
  <c r="N146" i="40"/>
  <c r="N128" i="40"/>
  <c r="N46" i="39" s="1"/>
  <c r="N180" i="40"/>
  <c r="N191" i="40"/>
  <c r="N192" i="40" s="1"/>
  <c r="N36" i="39" s="1"/>
  <c r="N44" i="39"/>
  <c r="N50" i="39" s="1"/>
  <c r="N51" i="39" s="1"/>
  <c r="N41" i="33"/>
  <c r="N42" i="33" s="1"/>
  <c r="N181" i="40"/>
  <c r="N189" i="40"/>
  <c r="N35" i="39" s="1"/>
  <c r="N154" i="40"/>
  <c r="N153" i="40"/>
  <c r="N45" i="39" l="1"/>
  <c r="N53" i="39" s="1"/>
  <c r="N182" i="40"/>
  <c r="N186" i="40" s="1"/>
  <c r="N34" i="39" s="1"/>
  <c r="N40" i="33"/>
  <c r="N43" i="33" s="1"/>
  <c r="N40" i="6"/>
  <c r="N41" i="6"/>
  <c r="N42" i="6" s="1"/>
  <c r="N43" i="6" s="1"/>
  <c r="N159" i="40"/>
  <c r="N155" i="40"/>
  <c r="N158" i="40"/>
  <c r="N156" i="40"/>
  <c r="N47" i="33" l="1"/>
  <c r="N48" i="33" s="1"/>
  <c r="N49" i="33" s="1"/>
  <c r="N51" i="33" s="1"/>
  <c r="N52" i="33" s="1"/>
  <c r="N53" i="33" s="1"/>
  <c r="N54" i="33" s="1"/>
  <c r="N193" i="40"/>
  <c r="N44" i="6"/>
  <c r="N48" i="6" s="1"/>
  <c r="N14" i="39"/>
  <c r="N37" i="39"/>
  <c r="N47" i="39"/>
  <c r="N157" i="40"/>
  <c r="N160" i="40"/>
  <c r="N161" i="40" l="1"/>
  <c r="N162" i="40" s="1"/>
  <c r="N52" i="39"/>
  <c r="N16" i="39"/>
  <c r="N49" i="6"/>
  <c r="N51" i="6" s="1"/>
  <c r="N52" i="6" s="1"/>
  <c r="N50" i="6"/>
  <c r="N18" i="39" l="1"/>
  <c r="N56" i="39"/>
  <c r="N54" i="39"/>
  <c r="N55" i="39" s="1"/>
  <c r="N17" i="39"/>
  <c r="N19" i="39" l="1"/>
  <c r="N20" i="39" s="1"/>
  <c r="N61" i="6" s="1"/>
  <c r="N57" i="39"/>
  <c r="N38" i="39"/>
  <c r="N21" i="39" l="1"/>
  <c r="N60" i="6" s="1"/>
  <c r="N62" i="6" s="1"/>
  <c r="N9" i="9" s="1"/>
  <c r="N6" i="13" s="1"/>
  <c r="N64" i="6" l="1"/>
  <c r="N65" i="6" s="1"/>
  <c r="N63" i="6"/>
  <c r="N70" i="6"/>
  <c r="N71" i="6" s="1"/>
  <c r="N6" i="7"/>
  <c r="N75" i="6" l="1"/>
  <c r="N99" i="6" s="1"/>
  <c r="N90" i="6" s="1"/>
  <c r="N7" i="7" l="1"/>
  <c r="N78" i="6"/>
  <c r="N14" i="9" s="1"/>
  <c r="N10" i="13" s="1"/>
  <c r="N11" i="9"/>
  <c r="N7" i="13" s="1"/>
  <c r="N21" i="7"/>
  <c r="N25" i="9"/>
  <c r="N95" i="6" l="1"/>
  <c r="N101" i="6" s="1"/>
  <c r="N102" i="6" s="1"/>
  <c r="N105" i="6" s="1"/>
  <c r="N10" i="7"/>
  <c r="N103" i="6"/>
  <c r="N104" i="6"/>
  <c r="N21" i="13"/>
  <c r="N106" i="6" l="1"/>
  <c r="N107" i="6" l="1"/>
  <c r="N91" i="6" l="1"/>
  <c r="N26" i="9" l="1"/>
  <c r="N22" i="7"/>
  <c r="N89" i="6"/>
  <c r="N28" i="9" l="1"/>
  <c r="N20" i="7"/>
  <c r="N93" i="6"/>
  <c r="N22" i="13"/>
  <c r="N20" i="13" s="1"/>
  <c r="N24" i="9"/>
  <c r="N30" i="9" l="1"/>
  <c r="N25" i="7"/>
  <c r="N96" i="6"/>
  <c r="N24" i="13"/>
  <c r="N27" i="7" l="1"/>
  <c r="O111" i="6"/>
  <c r="N26" i="13"/>
  <c r="N32" i="9"/>
  <c r="O141" i="6" l="1"/>
  <c r="O184" i="33"/>
  <c r="O16" i="8"/>
  <c r="O62" i="8"/>
  <c r="O18" i="8"/>
  <c r="O43" i="68"/>
  <c r="N6" i="67"/>
  <c r="N9" i="67" s="1"/>
  <c r="O39" i="68"/>
  <c r="O175" i="33"/>
  <c r="O72" i="33"/>
  <c r="O183" i="33"/>
  <c r="O41" i="68"/>
  <c r="O179" i="33"/>
  <c r="O68" i="33"/>
  <c r="O186" i="33"/>
  <c r="O181" i="33"/>
  <c r="O40" i="68"/>
  <c r="O23" i="68"/>
  <c r="O28" i="8"/>
  <c r="O72" i="68"/>
  <c r="O19" i="8"/>
  <c r="O84" i="6"/>
  <c r="O39" i="8"/>
  <c r="O138" i="33"/>
  <c r="O54" i="8"/>
  <c r="O68" i="68"/>
  <c r="O136" i="33"/>
  <c r="O76" i="6"/>
  <c r="O70" i="33"/>
  <c r="O34" i="68"/>
  <c r="O16" i="68"/>
  <c r="O33" i="68"/>
  <c r="O77" i="6"/>
  <c r="O60" i="68"/>
  <c r="O63" i="68"/>
  <c r="O56" i="68"/>
  <c r="O77" i="68"/>
  <c r="O147" i="33"/>
  <c r="O47" i="8"/>
  <c r="O59" i="68"/>
  <c r="O35" i="68"/>
  <c r="O17" i="68"/>
  <c r="O69" i="33"/>
  <c r="O58" i="68"/>
  <c r="O80" i="68"/>
  <c r="O52" i="68"/>
  <c r="O27" i="68"/>
  <c r="O141" i="33"/>
  <c r="O78" i="68"/>
  <c r="O74" i="68"/>
  <c r="O63" i="8"/>
  <c r="O54" i="68"/>
  <c r="O25" i="68"/>
  <c r="O25" i="8"/>
  <c r="O140" i="33"/>
  <c r="O52" i="8"/>
  <c r="O55" i="68"/>
  <c r="O64" i="68"/>
  <c r="O81" i="68"/>
  <c r="O24" i="8"/>
  <c r="O79" i="68"/>
  <c r="O38" i="68"/>
  <c r="O24" i="68"/>
  <c r="O53" i="68"/>
  <c r="O135" i="6"/>
  <c r="O67" i="8"/>
  <c r="O69" i="68"/>
  <c r="O26" i="8"/>
  <c r="O18" i="68"/>
  <c r="O60" i="8"/>
  <c r="O71" i="68"/>
  <c r="O65" i="68"/>
  <c r="O36" i="8"/>
  <c r="O64" i="8"/>
  <c r="O180" i="33"/>
  <c r="O115" i="6"/>
  <c r="O20" i="68"/>
  <c r="O137" i="33"/>
  <c r="O38" i="8"/>
  <c r="O28" i="68"/>
  <c r="O147" i="6"/>
  <c r="O29" i="68"/>
  <c r="O176" i="33"/>
  <c r="O51" i="8"/>
  <c r="O185" i="33"/>
  <c r="O76" i="68"/>
  <c r="O66" i="8"/>
  <c r="O48" i="8"/>
  <c r="O55" i="8" s="1"/>
  <c r="O139" i="33"/>
  <c r="O22" i="68"/>
  <c r="O27" i="8"/>
  <c r="O67" i="68"/>
  <c r="O50" i="8"/>
  <c r="O32" i="68"/>
  <c r="O144" i="33"/>
  <c r="O142" i="33"/>
  <c r="O14" i="68"/>
  <c r="O17" i="8"/>
  <c r="O61" i="8"/>
  <c r="O30" i="68"/>
  <c r="O178" i="33"/>
  <c r="O71" i="33"/>
  <c r="O61" i="68"/>
  <c r="O62" i="68"/>
  <c r="O177" i="33"/>
  <c r="O145" i="33"/>
  <c r="O31" i="68"/>
  <c r="O74" i="6"/>
  <c r="O10" i="9" s="1"/>
  <c r="O182" i="33"/>
  <c r="O19" i="68"/>
  <c r="O26" i="68"/>
  <c r="O70" i="68"/>
  <c r="O42" i="68"/>
  <c r="O146" i="33"/>
  <c r="O73" i="68"/>
  <c r="O37" i="8"/>
  <c r="O37" i="68"/>
  <c r="O35" i="8"/>
  <c r="O143" i="33"/>
  <c r="O66" i="68"/>
  <c r="O46" i="8"/>
  <c r="O75" i="68"/>
  <c r="O57" i="68"/>
  <c r="O15" i="68"/>
  <c r="O21" i="68"/>
  <c r="O73" i="33"/>
  <c r="O36" i="68"/>
  <c r="O49" i="8"/>
  <c r="O112" i="6"/>
  <c r="N17" i="67" s="1"/>
  <c r="N28" i="13"/>
  <c r="N16" i="67" l="1"/>
  <c r="O12" i="9"/>
  <c r="O8" i="7"/>
  <c r="O15" i="8"/>
  <c r="O14" i="8" s="1"/>
  <c r="O23" i="8"/>
  <c r="O22" i="8" s="1"/>
  <c r="O34" i="8"/>
  <c r="O33" i="8" s="1"/>
  <c r="O80" i="8"/>
  <c r="O92" i="6" s="1"/>
  <c r="O82" i="68"/>
  <c r="O20" i="9"/>
  <c r="O16" i="7"/>
  <c r="O45" i="8"/>
  <c r="O44" i="8" s="1"/>
  <c r="O44" i="68"/>
  <c r="O27" i="33"/>
  <c r="N10" i="67"/>
  <c r="O14" i="38"/>
  <c r="O148" i="6"/>
  <c r="O19" i="33"/>
  <c r="N7" i="67"/>
  <c r="O10" i="38"/>
  <c r="O136" i="6"/>
  <c r="O13" i="9"/>
  <c r="O9" i="7"/>
  <c r="N8" i="67"/>
  <c r="O23" i="33"/>
  <c r="O12" i="38"/>
  <c r="O142" i="6"/>
  <c r="O16" i="38" l="1"/>
  <c r="O20" i="38" s="1"/>
  <c r="O13" i="38"/>
  <c r="O24" i="33"/>
  <c r="O20" i="33"/>
  <c r="O11" i="38"/>
  <c r="O8" i="13"/>
  <c r="O16" i="13"/>
  <c r="O28" i="33"/>
  <c r="O15" i="38"/>
  <c r="O23" i="7"/>
  <c r="O27" i="9"/>
  <c r="O128" i="6"/>
  <c r="O45" i="68"/>
  <c r="O9" i="13"/>
  <c r="O83" i="68"/>
  <c r="O132" i="6" s="1"/>
  <c r="O131" i="6"/>
  <c r="O17" i="38" l="1"/>
  <c r="O129" i="6"/>
  <c r="O31" i="6" s="1"/>
  <c r="O85" i="68"/>
  <c r="O23" i="13"/>
  <c r="O21" i="38"/>
  <c r="O42" i="38"/>
  <c r="O66" i="38"/>
  <c r="O90" i="38"/>
  <c r="O22" i="38" l="1"/>
  <c r="O67" i="38"/>
  <c r="O43" i="38"/>
  <c r="O91" i="38"/>
  <c r="O32" i="6"/>
  <c r="O72" i="8" s="1"/>
  <c r="O73" i="8" s="1"/>
  <c r="O74" i="8" s="1"/>
  <c r="O65" i="8" s="1"/>
  <c r="N13" i="67" s="1"/>
  <c r="O92" i="38" l="1"/>
  <c r="O68" i="38"/>
  <c r="O23" i="38"/>
  <c r="O44" i="38"/>
  <c r="O24" i="38" l="1"/>
  <c r="O69" i="38"/>
  <c r="O45" i="38"/>
  <c r="O93" i="38"/>
  <c r="O70" i="38" l="1"/>
  <c r="O46" i="38"/>
  <c r="O94" i="38"/>
  <c r="O25" i="38"/>
  <c r="O95" i="38" l="1"/>
  <c r="O47" i="38"/>
  <c r="O71" i="38"/>
  <c r="O26" i="38"/>
  <c r="O96" i="38" l="1"/>
  <c r="O48" i="38"/>
  <c r="O72" i="38"/>
  <c r="O27" i="38"/>
  <c r="O97" i="38" l="1"/>
  <c r="O28" i="38"/>
  <c r="O73" i="38"/>
  <c r="O49" i="38"/>
  <c r="O29" i="38" l="1"/>
  <c r="O74" i="38"/>
  <c r="O50" i="38"/>
  <c r="O98" i="38"/>
  <c r="O99" i="38" l="1"/>
  <c r="O30" i="38"/>
  <c r="O75" i="38"/>
  <c r="O51" i="38"/>
  <c r="O52" i="38" l="1"/>
  <c r="O100" i="38"/>
  <c r="O31" i="38"/>
  <c r="O76" i="38"/>
  <c r="O101" i="38" l="1"/>
  <c r="O77" i="38"/>
  <c r="O53" i="38"/>
  <c r="O32" i="38"/>
  <c r="O102" i="38" l="1"/>
  <c r="O33" i="38"/>
  <c r="O78" i="38"/>
  <c r="O54" i="38"/>
  <c r="O34" i="38" l="1"/>
  <c r="O55" i="38"/>
  <c r="O79" i="38"/>
  <c r="O103" i="38"/>
  <c r="O35" i="38" l="1"/>
  <c r="O56" i="38"/>
  <c r="O80" i="38"/>
  <c r="O104" i="38"/>
  <c r="O36" i="38" l="1"/>
  <c r="O81" i="38"/>
  <c r="O57" i="38"/>
  <c r="O105" i="38"/>
  <c r="O106" i="38" l="1"/>
  <c r="O37" i="38"/>
  <c r="O82" i="38"/>
  <c r="O58" i="38"/>
  <c r="O38" i="38" l="1"/>
  <c r="O83" i="38"/>
  <c r="O59" i="38"/>
  <c r="O107" i="38"/>
  <c r="O39" i="38" l="1"/>
  <c r="O60" i="38"/>
  <c r="O84" i="38"/>
  <c r="O108" i="38"/>
  <c r="O85" i="38" l="1"/>
  <c r="O109" i="38"/>
  <c r="O61" i="38"/>
  <c r="O63" i="38" l="1"/>
  <c r="O62" i="38"/>
  <c r="O111" i="38"/>
  <c r="O110" i="38"/>
  <c r="O87" i="38"/>
  <c r="O86" i="38"/>
  <c r="O149" i="6" l="1"/>
  <c r="O143" i="6"/>
  <c r="O137" i="6"/>
  <c r="O144" i="6" l="1"/>
  <c r="O26" i="33" s="1"/>
  <c r="O25" i="33"/>
  <c r="O145" i="6"/>
  <c r="O146" i="6" s="1"/>
  <c r="O138" i="6"/>
  <c r="O22" i="33" s="1"/>
  <c r="O21" i="33"/>
  <c r="O139" i="6"/>
  <c r="O153" i="6"/>
  <c r="O29" i="33"/>
  <c r="O150" i="6"/>
  <c r="O30" i="33" s="1"/>
  <c r="O151" i="6"/>
  <c r="O152" i="6" s="1"/>
  <c r="O31" i="33" l="1"/>
  <c r="O10" i="68"/>
  <c r="O13" i="68" s="1"/>
  <c r="O154" i="6"/>
  <c r="O140" i="6"/>
  <c r="O15" i="39" l="1"/>
  <c r="O11" i="68"/>
  <c r="O12" i="68" s="1"/>
  <c r="O127" i="6" s="1"/>
  <c r="O32" i="33"/>
  <c r="O76" i="33" s="1"/>
  <c r="O110" i="33" s="1"/>
  <c r="O155" i="6"/>
  <c r="V114" i="33"/>
  <c r="Z114" i="33"/>
  <c r="T114" i="33"/>
  <c r="Q114" i="33"/>
  <c r="AB114" i="33"/>
  <c r="AA114" i="33"/>
  <c r="AG114" i="33"/>
  <c r="AF114" i="33"/>
  <c r="R114" i="33"/>
  <c r="S114" i="33"/>
  <c r="AE114" i="33"/>
  <c r="W114" i="33"/>
  <c r="AC114" i="33"/>
  <c r="X114" i="33"/>
  <c r="U114" i="33"/>
  <c r="AD114" i="33"/>
  <c r="P114" i="33"/>
  <c r="O114" i="33"/>
  <c r="Y114" i="33"/>
  <c r="O80" i="33"/>
  <c r="O148" i="33"/>
  <c r="O167" i="33" s="1"/>
  <c r="O157" i="6" l="1"/>
  <c r="O33" i="33"/>
  <c r="O156" i="6"/>
  <c r="O49" i="68"/>
  <c r="O77" i="33"/>
  <c r="O111" i="33" s="1"/>
  <c r="O79" i="33"/>
  <c r="O113" i="33" s="1"/>
  <c r="O78" i="33"/>
  <c r="O112" i="33" s="1"/>
  <c r="O74" i="33"/>
  <c r="O75" i="33"/>
  <c r="O109" i="33" s="1"/>
  <c r="O108" i="33" l="1"/>
  <c r="O99" i="33"/>
  <c r="O50" i="68"/>
  <c r="O130" i="6" s="1"/>
  <c r="O87" i="6" s="1"/>
  <c r="O67" i="6"/>
  <c r="O223" i="33"/>
  <c r="O257" i="33" s="1"/>
  <c r="O219" i="33"/>
  <c r="O224" i="33"/>
  <c r="O258" i="33" s="1"/>
  <c r="O220" i="33"/>
  <c r="O254" i="33" s="1"/>
  <c r="O217" i="33"/>
  <c r="O216" i="33"/>
  <c r="O225" i="33"/>
  <c r="O259" i="33" s="1"/>
  <c r="O214" i="33"/>
  <c r="O218" i="33"/>
  <c r="O222" i="33"/>
  <c r="O256" i="33" s="1"/>
  <c r="O215" i="33"/>
  <c r="O221" i="33"/>
  <c r="O255" i="33" s="1"/>
  <c r="O70" i="8"/>
  <c r="O34" i="33"/>
  <c r="O158" i="6"/>
  <c r="O35" i="33"/>
  <c r="O226" i="33" s="1"/>
  <c r="O48" i="68"/>
  <c r="O19" i="7" l="1"/>
  <c r="O29" i="9"/>
  <c r="O24" i="7"/>
  <c r="O23" i="9"/>
  <c r="O71" i="8"/>
  <c r="O68" i="8"/>
  <c r="O171" i="33"/>
  <c r="O66" i="6"/>
  <c r="O51" i="68"/>
  <c r="N11" i="67"/>
  <c r="O245" i="33"/>
  <c r="AE260" i="33"/>
  <c r="AC260" i="33"/>
  <c r="S260" i="33"/>
  <c r="Q260" i="33"/>
  <c r="AA260" i="33"/>
  <c r="Z260" i="33"/>
  <c r="W260" i="33"/>
  <c r="AG260" i="33"/>
  <c r="X260" i="33"/>
  <c r="AD260" i="33"/>
  <c r="V260" i="33"/>
  <c r="Y260" i="33"/>
  <c r="U260" i="33"/>
  <c r="P260" i="33"/>
  <c r="AF260" i="33"/>
  <c r="O260" i="33"/>
  <c r="R260" i="33"/>
  <c r="AB260" i="33"/>
  <c r="T260" i="33"/>
  <c r="O187" i="33"/>
  <c r="O206" i="33" s="1"/>
  <c r="O36" i="33"/>
  <c r="O159" i="6"/>
  <c r="O160" i="6"/>
  <c r="O161" i="6" s="1"/>
  <c r="O121" i="6" s="1"/>
  <c r="O123" i="6" s="1"/>
  <c r="O59" i="33" l="1"/>
  <c r="O33" i="6" s="1"/>
  <c r="O37" i="33"/>
  <c r="O19" i="13"/>
  <c r="O68" i="6"/>
  <c r="O25" i="13"/>
  <c r="O124" i="6"/>
  <c r="O122" i="6"/>
  <c r="O40" i="62" l="1"/>
  <c r="O69" i="8"/>
  <c r="O59" i="8" s="1"/>
  <c r="O58" i="8" s="1"/>
  <c r="O40" i="46"/>
  <c r="O69" i="6"/>
  <c r="O35" i="6"/>
  <c r="O13" i="39"/>
  <c r="O33" i="39" s="1"/>
  <c r="O34" i="6"/>
  <c r="O39" i="46"/>
  <c r="N12" i="67"/>
  <c r="O39" i="62"/>
  <c r="O58" i="33"/>
  <c r="N14" i="67" l="1"/>
  <c r="O8" i="9"/>
  <c r="O5" i="7"/>
  <c r="O36" i="6"/>
  <c r="O37" i="6"/>
  <c r="O5" i="13" l="1"/>
  <c r="O38" i="6"/>
  <c r="O86" i="6"/>
  <c r="O55" i="6" l="1"/>
  <c r="O18" i="7"/>
  <c r="O22" i="9"/>
  <c r="O18" i="13" l="1"/>
  <c r="O41" i="39"/>
  <c r="O56" i="6"/>
  <c r="O57" i="6" s="1"/>
  <c r="O42" i="39" l="1"/>
  <c r="O58" i="6"/>
  <c r="O152" i="40" l="1"/>
  <c r="O43" i="39"/>
  <c r="O171" i="40"/>
  <c r="O59" i="6"/>
  <c r="O117" i="40"/>
  <c r="O140" i="40"/>
  <c r="O141" i="40" s="1"/>
  <c r="O142" i="40" s="1"/>
  <c r="O173" i="40" l="1"/>
  <c r="O175" i="40" s="1"/>
  <c r="O177" i="40"/>
  <c r="O172" i="40"/>
  <c r="O187" i="40" s="1"/>
  <c r="O144" i="40"/>
  <c r="O143" i="40"/>
  <c r="O164" i="40"/>
  <c r="O118" i="40"/>
  <c r="O163" i="40"/>
  <c r="O119" i="40"/>
  <c r="O188" i="40" l="1"/>
  <c r="O189" i="40" s="1"/>
  <c r="O35" i="39" s="1"/>
  <c r="O145" i="40"/>
  <c r="O146" i="40" s="1"/>
  <c r="O174" i="40"/>
  <c r="O176" i="40" s="1"/>
  <c r="O127" i="40"/>
  <c r="O121" i="40"/>
  <c r="O124" i="40"/>
  <c r="O179" i="40"/>
  <c r="O184" i="40" s="1"/>
  <c r="O178" i="40"/>
  <c r="O123" i="40"/>
  <c r="O126" i="40"/>
  <c r="O120" i="40"/>
  <c r="O147" i="40" l="1"/>
  <c r="O128" i="40"/>
  <c r="O46" i="39" s="1"/>
  <c r="O190" i="40"/>
  <c r="O180" i="40"/>
  <c r="O183" i="40"/>
  <c r="O185" i="40" s="1"/>
  <c r="O181" i="40"/>
  <c r="O125" i="40"/>
  <c r="O191" i="40"/>
  <c r="O122" i="40"/>
  <c r="O154" i="40"/>
  <c r="O153" i="40"/>
  <c r="O192" i="40" l="1"/>
  <c r="O36" i="39" s="1"/>
  <c r="O182" i="40"/>
  <c r="O186" i="40" s="1"/>
  <c r="O44" i="39"/>
  <c r="O50" i="39" s="1"/>
  <c r="O51" i="39" s="1"/>
  <c r="O41" i="33"/>
  <c r="O42" i="33" s="1"/>
  <c r="O45" i="39"/>
  <c r="O39" i="6"/>
  <c r="O40" i="33"/>
  <c r="O156" i="40"/>
  <c r="O158" i="40"/>
  <c r="O155" i="40"/>
  <c r="O159" i="40"/>
  <c r="O53" i="39" l="1"/>
  <c r="O34" i="39"/>
  <c r="O193" i="40"/>
  <c r="O41" i="6"/>
  <c r="O42" i="6" s="1"/>
  <c r="O43" i="6" s="1"/>
  <c r="O40" i="6"/>
  <c r="O47" i="33"/>
  <c r="O48" i="33" s="1"/>
  <c r="O49" i="33" s="1"/>
  <c r="O51" i="33" s="1"/>
  <c r="O52" i="33" s="1"/>
  <c r="O53" i="33" s="1"/>
  <c r="O54" i="33" s="1"/>
  <c r="O43" i="33"/>
  <c r="O160" i="40"/>
  <c r="O157" i="40"/>
  <c r="O161" i="40" l="1"/>
  <c r="O162" i="40" s="1"/>
  <c r="O44" i="6"/>
  <c r="O48" i="6" s="1"/>
  <c r="O14" i="39"/>
  <c r="O47" i="39"/>
  <c r="O37" i="39"/>
  <c r="O52" i="39" l="1"/>
  <c r="O16" i="39"/>
  <c r="O49" i="6"/>
  <c r="O51" i="6" s="1"/>
  <c r="O52" i="6" s="1"/>
  <c r="O50" i="6"/>
  <c r="O56" i="39" l="1"/>
  <c r="O54" i="39"/>
  <c r="O55" i="39" s="1"/>
  <c r="O18" i="39"/>
  <c r="O17" i="39"/>
  <c r="O19" i="39" l="1"/>
  <c r="O20" i="39" s="1"/>
  <c r="O21" i="39" s="1"/>
  <c r="O60" i="6" s="1"/>
  <c r="O62" i="6" s="1"/>
  <c r="O38" i="39"/>
  <c r="O57" i="39"/>
  <c r="O61" i="6" l="1"/>
  <c r="O6" i="7"/>
  <c r="O70" i="6"/>
  <c r="O64" i="6"/>
  <c r="O65" i="6" s="1"/>
  <c r="O9" i="9"/>
  <c r="O6" i="13" s="1"/>
  <c r="O63" i="6"/>
  <c r="O75" i="6" l="1"/>
  <c r="O71" i="6"/>
  <c r="O78" i="6" l="1"/>
  <c r="O11" i="9"/>
  <c r="O7" i="13" s="1"/>
  <c r="O7" i="7"/>
  <c r="O99" i="6"/>
  <c r="O90" i="6" s="1"/>
  <c r="O25" i="9" s="1"/>
  <c r="O21" i="7" l="1"/>
  <c r="O10" i="7"/>
  <c r="O14" i="9"/>
  <c r="O10" i="13" s="1"/>
  <c r="O21" i="13"/>
  <c r="O116" i="6" l="1"/>
  <c r="O77" i="8" l="1"/>
  <c r="O81" i="8" s="1"/>
  <c r="O81" i="6" s="1"/>
  <c r="O88" i="6"/>
  <c r="T177" i="6" l="1"/>
  <c r="O17" i="9"/>
  <c r="O13" i="13" s="1"/>
  <c r="O13" i="7"/>
  <c r="O85" i="6" s="1"/>
  <c r="U177" i="6"/>
  <c r="AI177" i="6"/>
  <c r="V177" i="6"/>
  <c r="P177" i="6"/>
  <c r="S177" i="6"/>
  <c r="X177" i="6"/>
  <c r="R177" i="6"/>
  <c r="Q177" i="6"/>
  <c r="O177" i="6"/>
  <c r="W177" i="6"/>
  <c r="O83" i="6" l="1"/>
  <c r="O21" i="9"/>
  <c r="O17" i="13" s="1"/>
  <c r="O17" i="7"/>
  <c r="AH177" i="6"/>
  <c r="AJ177" i="6" s="1"/>
  <c r="O196" i="6"/>
  <c r="O15" i="7" l="1"/>
  <c r="O19" i="9"/>
  <c r="O15" i="13" s="1"/>
  <c r="O82" i="6"/>
  <c r="O100" i="6" l="1"/>
  <c r="O14" i="7"/>
  <c r="O18" i="9"/>
  <c r="O14" i="13" s="1"/>
  <c r="O95" i="6"/>
  <c r="O101" i="6" l="1"/>
  <c r="O102" i="6" s="1"/>
  <c r="O105" i="6" s="1"/>
  <c r="O103" i="6"/>
  <c r="O104" i="6" l="1"/>
  <c r="O106" i="6" s="1"/>
  <c r="O107" i="6" s="1"/>
  <c r="O91" i="6" s="1"/>
  <c r="O22" i="7" s="1"/>
  <c r="O89" i="6" l="1"/>
  <c r="O20" i="7" s="1"/>
  <c r="O26" i="9"/>
  <c r="O22" i="13" s="1"/>
  <c r="O20" i="13" s="1"/>
  <c r="O28" i="9" l="1"/>
  <c r="O24" i="13" s="1"/>
  <c r="O24" i="9"/>
  <c r="O93" i="6"/>
  <c r="O30" i="9" s="1"/>
  <c r="O25" i="7" l="1"/>
  <c r="O96" i="6"/>
  <c r="O27" i="7" s="1"/>
  <c r="P111" i="6"/>
  <c r="O32" i="9"/>
  <c r="O28" i="13" s="1"/>
  <c r="O26" i="13"/>
  <c r="P69" i="33" l="1"/>
  <c r="P176" i="33"/>
  <c r="P46" i="8"/>
  <c r="P49" i="8"/>
  <c r="P80" i="33"/>
  <c r="P62" i="8"/>
  <c r="P140" i="33"/>
  <c r="P39" i="8"/>
  <c r="P181" i="33"/>
  <c r="P27" i="68"/>
  <c r="P18" i="8"/>
  <c r="P47" i="8"/>
  <c r="P62" i="68"/>
  <c r="P81" i="68"/>
  <c r="P183" i="33"/>
  <c r="P70" i="68"/>
  <c r="P18" i="68"/>
  <c r="P30" i="68"/>
  <c r="P75" i="68"/>
  <c r="P32" i="68"/>
  <c r="P27" i="8"/>
  <c r="P58" i="68"/>
  <c r="P59" i="68"/>
  <c r="P22" i="68"/>
  <c r="P80" i="68"/>
  <c r="P25" i="8"/>
  <c r="P20" i="68"/>
  <c r="P79" i="68"/>
  <c r="P51" i="8"/>
  <c r="P64" i="8"/>
  <c r="O6" i="67"/>
  <c r="O9" i="67" s="1"/>
  <c r="P73" i="33"/>
  <c r="P43" i="68"/>
  <c r="P138" i="33"/>
  <c r="P141" i="6"/>
  <c r="P177" i="33"/>
  <c r="P28" i="8"/>
  <c r="P54" i="68"/>
  <c r="P26" i="8"/>
  <c r="P84" i="6"/>
  <c r="P77" i="6"/>
  <c r="P61" i="8"/>
  <c r="P64" i="68"/>
  <c r="P63" i="68"/>
  <c r="P175" i="33"/>
  <c r="P17" i="68"/>
  <c r="P68" i="33"/>
  <c r="P74" i="6"/>
  <c r="P10" i="9" s="1"/>
  <c r="P31" i="68"/>
  <c r="P184" i="33"/>
  <c r="P54" i="8"/>
  <c r="P52" i="68"/>
  <c r="P14" i="68"/>
  <c r="P67" i="8"/>
  <c r="P28" i="68"/>
  <c r="P144" i="33"/>
  <c r="P37" i="8"/>
  <c r="P137" i="33"/>
  <c r="P48" i="8"/>
  <c r="P55" i="8" s="1"/>
  <c r="P78" i="68"/>
  <c r="P74" i="68"/>
  <c r="P39" i="68"/>
  <c r="P50" i="8"/>
  <c r="P187" i="33"/>
  <c r="P68" i="68"/>
  <c r="P180" i="33"/>
  <c r="P67" i="68"/>
  <c r="P36" i="68"/>
  <c r="P56" i="68"/>
  <c r="P17" i="8"/>
  <c r="P60" i="8"/>
  <c r="P72" i="68"/>
  <c r="P147" i="6"/>
  <c r="P55" i="68"/>
  <c r="P60" i="68"/>
  <c r="P71" i="33"/>
  <c r="P41" i="68"/>
  <c r="P112" i="6"/>
  <c r="O17" i="67" s="1"/>
  <c r="P21" i="68"/>
  <c r="P185" i="33"/>
  <c r="P19" i="8"/>
  <c r="P71" i="68"/>
  <c r="P182" i="33"/>
  <c r="P73" i="68"/>
  <c r="P69" i="68"/>
  <c r="P135" i="6"/>
  <c r="P23" i="68"/>
  <c r="P26" i="68"/>
  <c r="P33" i="68"/>
  <c r="P52" i="8"/>
  <c r="P16" i="68"/>
  <c r="P29" i="68"/>
  <c r="P141" i="33"/>
  <c r="P36" i="8"/>
  <c r="P24" i="68"/>
  <c r="P115" i="6"/>
  <c r="P57" i="68"/>
  <c r="P38" i="68"/>
  <c r="P40" i="68"/>
  <c r="P178" i="33"/>
  <c r="P72" i="33"/>
  <c r="P66" i="8"/>
  <c r="P136" i="33"/>
  <c r="P35" i="8"/>
  <c r="P77" i="68"/>
  <c r="P146" i="33"/>
  <c r="P42" i="68"/>
  <c r="P63" i="8"/>
  <c r="P35" i="68"/>
  <c r="P148" i="33"/>
  <c r="P65" i="68"/>
  <c r="P143" i="33"/>
  <c r="P25" i="68"/>
  <c r="P145" i="33"/>
  <c r="P38" i="8"/>
  <c r="P179" i="33"/>
  <c r="P66" i="68"/>
  <c r="P34" i="68"/>
  <c r="P70" i="33"/>
  <c r="P142" i="33"/>
  <c r="P24" i="8"/>
  <c r="P76" i="6"/>
  <c r="P19" i="68"/>
  <c r="P76" i="68"/>
  <c r="P147" i="33"/>
  <c r="P186" i="33"/>
  <c r="P37" i="68"/>
  <c r="P53" i="68"/>
  <c r="P61" i="68"/>
  <c r="P15" i="68"/>
  <c r="P16" i="8"/>
  <c r="P139" i="33"/>
  <c r="P34" i="8" l="1"/>
  <c r="P33" i="8" s="1"/>
  <c r="P15" i="8"/>
  <c r="P14" i="8" s="1"/>
  <c r="P16" i="7"/>
  <c r="P20" i="9"/>
  <c r="P45" i="8"/>
  <c r="P44" i="8" s="1"/>
  <c r="P12" i="9"/>
  <c r="P8" i="7"/>
  <c r="O7" i="67"/>
  <c r="P19" i="33"/>
  <c r="P136" i="6"/>
  <c r="P10" i="38"/>
  <c r="P80" i="8"/>
  <c r="P92" i="6" s="1"/>
  <c r="O16" i="67"/>
  <c r="P82" i="68"/>
  <c r="P23" i="33"/>
  <c r="P12" i="38"/>
  <c r="P142" i="6"/>
  <c r="O8" i="67"/>
  <c r="P23" i="8"/>
  <c r="P22" i="8" s="1"/>
  <c r="P148" i="6"/>
  <c r="P14" i="38"/>
  <c r="O10" i="67"/>
  <c r="P27" i="33"/>
  <c r="P44" i="68"/>
  <c r="P9" i="7"/>
  <c r="P13" i="9"/>
  <c r="P16" i="38" l="1"/>
  <c r="P17" i="38" s="1"/>
  <c r="P15" i="38"/>
  <c r="P28" i="33"/>
  <c r="P9" i="13"/>
  <c r="P20" i="38"/>
  <c r="P11" i="38"/>
  <c r="P20" i="33"/>
  <c r="P13" i="38"/>
  <c r="P24" i="33"/>
  <c r="P131" i="6"/>
  <c r="P83" i="68"/>
  <c r="P132" i="6" s="1"/>
  <c r="P23" i="7"/>
  <c r="P27" i="9"/>
  <c r="P8" i="13"/>
  <c r="P16" i="13"/>
  <c r="P45" i="68"/>
  <c r="P128" i="6"/>
  <c r="P23" i="13" l="1"/>
  <c r="P21" i="38"/>
  <c r="P90" i="38"/>
  <c r="P66" i="38"/>
  <c r="P42" i="38"/>
  <c r="P129" i="6"/>
  <c r="P31" i="6" s="1"/>
  <c r="P85" i="68"/>
  <c r="P32" i="6" l="1"/>
  <c r="P72" i="8" s="1"/>
  <c r="P73" i="8" s="1"/>
  <c r="P74" i="8" s="1"/>
  <c r="P65" i="8" s="1"/>
  <c r="O13" i="67" s="1"/>
  <c r="P67" i="38"/>
  <c r="P91" i="38"/>
  <c r="P43" i="38"/>
  <c r="P22" i="38"/>
  <c r="P23" i="38" l="1"/>
  <c r="P68" i="38"/>
  <c r="P92" i="38"/>
  <c r="P44" i="38"/>
  <c r="P93" i="38" l="1"/>
  <c r="P69" i="38"/>
  <c r="P45" i="38"/>
  <c r="P24" i="38"/>
  <c r="P70" i="38" l="1"/>
  <c r="P46" i="38"/>
  <c r="P94" i="38"/>
  <c r="P25" i="38"/>
  <c r="P26" i="38" l="1"/>
  <c r="P71" i="38"/>
  <c r="P47" i="38"/>
  <c r="P95" i="38"/>
  <c r="P27" i="38" l="1"/>
  <c r="P48" i="38"/>
  <c r="P72" i="38"/>
  <c r="P96" i="38"/>
  <c r="P49" i="38" l="1"/>
  <c r="P97" i="38"/>
  <c r="P28" i="38"/>
  <c r="P73" i="38"/>
  <c r="P98" i="38" l="1"/>
  <c r="P29" i="38"/>
  <c r="P50" i="38"/>
  <c r="P74" i="38"/>
  <c r="P75" i="38" l="1"/>
  <c r="P51" i="38"/>
  <c r="P30" i="38"/>
  <c r="P99" i="38"/>
  <c r="P52" i="38" l="1"/>
  <c r="P100" i="38"/>
  <c r="P31" i="38"/>
  <c r="P76" i="38"/>
  <c r="P77" i="38" l="1"/>
  <c r="P53" i="38"/>
  <c r="P101" i="38"/>
  <c r="P32" i="38"/>
  <c r="P54" i="38" l="1"/>
  <c r="P78" i="38"/>
  <c r="P33" i="38"/>
  <c r="P102" i="38"/>
  <c r="P79" i="38" l="1"/>
  <c r="P103" i="38"/>
  <c r="P34" i="38"/>
  <c r="P55" i="38"/>
  <c r="P104" i="38" l="1"/>
  <c r="P35" i="38"/>
  <c r="P80" i="38"/>
  <c r="P56" i="38"/>
  <c r="P57" i="38" l="1"/>
  <c r="P81" i="38"/>
  <c r="P36" i="38"/>
  <c r="P105" i="38"/>
  <c r="P106" i="38" l="1"/>
  <c r="P58" i="38"/>
  <c r="P82" i="38"/>
  <c r="P37" i="38"/>
  <c r="P59" i="38" l="1"/>
  <c r="P107" i="38"/>
  <c r="P38" i="38"/>
  <c r="P83" i="38"/>
  <c r="P84" i="38" l="1"/>
  <c r="P39" i="38"/>
  <c r="P108" i="38"/>
  <c r="P60" i="38"/>
  <c r="P85" i="38" l="1"/>
  <c r="P61" i="38"/>
  <c r="P109" i="38"/>
  <c r="P111" i="38" l="1"/>
  <c r="P110" i="38"/>
  <c r="P62" i="38"/>
  <c r="P63" i="38"/>
  <c r="P86" i="38"/>
  <c r="P87" i="38"/>
  <c r="P137" i="6" l="1"/>
  <c r="P143" i="6"/>
  <c r="P149" i="6"/>
  <c r="P25" i="33" l="1"/>
  <c r="P144" i="6"/>
  <c r="P26" i="33" s="1"/>
  <c r="P145" i="6"/>
  <c r="P146" i="6" s="1"/>
  <c r="P150" i="6"/>
  <c r="P30" i="33" s="1"/>
  <c r="P153" i="6"/>
  <c r="P29" i="33"/>
  <c r="P151" i="6"/>
  <c r="P152" i="6" s="1"/>
  <c r="P138" i="6"/>
  <c r="P22" i="33" s="1"/>
  <c r="P21" i="33"/>
  <c r="P139" i="6"/>
  <c r="P140" i="6" l="1"/>
  <c r="P10" i="68"/>
  <c r="P13" i="68" s="1"/>
  <c r="P154" i="6"/>
  <c r="P31" i="33"/>
  <c r="P15" i="39" l="1"/>
  <c r="P155" i="6"/>
  <c r="P32" i="33"/>
  <c r="P11" i="68"/>
  <c r="P12" i="68" s="1"/>
  <c r="P127" i="6" s="1"/>
  <c r="AG115" i="33"/>
  <c r="U115" i="33"/>
  <c r="AA115" i="33"/>
  <c r="Z115" i="33"/>
  <c r="P115" i="33"/>
  <c r="S115" i="33"/>
  <c r="AC115" i="33"/>
  <c r="AF115" i="33"/>
  <c r="R115" i="33"/>
  <c r="AE115" i="33"/>
  <c r="Y115" i="33"/>
  <c r="X115" i="33"/>
  <c r="AD115" i="33"/>
  <c r="V115" i="33"/>
  <c r="W115" i="33"/>
  <c r="T115" i="33"/>
  <c r="AB115" i="33"/>
  <c r="Q115" i="33"/>
  <c r="P81" i="33"/>
  <c r="P149" i="33"/>
  <c r="P167" i="33" s="1"/>
  <c r="P75" i="33" l="1"/>
  <c r="P109" i="33" s="1"/>
  <c r="P74" i="33"/>
  <c r="P76" i="33"/>
  <c r="P110" i="33" s="1"/>
  <c r="P79" i="33"/>
  <c r="P113" i="33" s="1"/>
  <c r="P78" i="33"/>
  <c r="P112" i="33" s="1"/>
  <c r="P77" i="33"/>
  <c r="P111" i="33" s="1"/>
  <c r="P157" i="6"/>
  <c r="P156" i="6"/>
  <c r="P33" i="33"/>
  <c r="P49" i="68"/>
  <c r="P70" i="8" l="1"/>
  <c r="P34" i="33"/>
  <c r="P158" i="6"/>
  <c r="P48" i="68"/>
  <c r="P35" i="33"/>
  <c r="P108" i="33"/>
  <c r="P99" i="33"/>
  <c r="P50" i="68"/>
  <c r="P130" i="6" s="1"/>
  <c r="P87" i="6" s="1"/>
  <c r="P67" i="6"/>
  <c r="P220" i="33"/>
  <c r="P254" i="33" s="1"/>
  <c r="P217" i="33"/>
  <c r="P226" i="33"/>
  <c r="P223" i="33"/>
  <c r="P257" i="33" s="1"/>
  <c r="P214" i="33"/>
  <c r="P221" i="33"/>
  <c r="P255" i="33" s="1"/>
  <c r="P219" i="33"/>
  <c r="P224" i="33"/>
  <c r="P258" i="33" s="1"/>
  <c r="P218" i="33"/>
  <c r="P222" i="33"/>
  <c r="P256" i="33" s="1"/>
  <c r="P215" i="33"/>
  <c r="P216" i="33"/>
  <c r="P225" i="33"/>
  <c r="P259" i="33" s="1"/>
  <c r="P171" i="33" l="1"/>
  <c r="P159" i="6"/>
  <c r="P36" i="33"/>
  <c r="P160" i="6"/>
  <c r="P161" i="6" s="1"/>
  <c r="P121" i="6" s="1"/>
  <c r="P123" i="6" s="1"/>
  <c r="P66" i="6"/>
  <c r="P227" i="33"/>
  <c r="P245" i="33" s="1"/>
  <c r="R261" i="33"/>
  <c r="U261" i="33"/>
  <c r="AC261" i="33"/>
  <c r="P261" i="33"/>
  <c r="AF261" i="33"/>
  <c r="Z261" i="33"/>
  <c r="V261" i="33"/>
  <c r="AE261" i="33"/>
  <c r="S261" i="33"/>
  <c r="T261" i="33"/>
  <c r="AG261" i="33"/>
  <c r="W261" i="33"/>
  <c r="X261" i="33"/>
  <c r="AA261" i="33"/>
  <c r="Q261" i="33"/>
  <c r="AB261" i="33"/>
  <c r="AD261" i="33"/>
  <c r="Y261" i="33"/>
  <c r="P188" i="33"/>
  <c r="P206" i="33" s="1"/>
  <c r="P24" i="7"/>
  <c r="P29" i="9"/>
  <c r="P23" i="9"/>
  <c r="P19" i="7"/>
  <c r="O11" i="67"/>
  <c r="P51" i="68"/>
  <c r="P71" i="8"/>
  <c r="P68" i="8"/>
  <c r="P59" i="33" l="1"/>
  <c r="P25" i="13"/>
  <c r="P19" i="13"/>
  <c r="P68" i="6"/>
  <c r="P37" i="33"/>
  <c r="P124" i="6"/>
  <c r="P122" i="6"/>
  <c r="P58" i="33"/>
  <c r="O14" i="67" l="1"/>
  <c r="P33" i="6"/>
  <c r="P13" i="39" s="1"/>
  <c r="P33" i="39" s="1"/>
  <c r="P40" i="62"/>
  <c r="P40" i="46"/>
  <c r="P69" i="8"/>
  <c r="P59" i="8" s="1"/>
  <c r="P58" i="8" s="1"/>
  <c r="P69" i="6"/>
  <c r="O12" i="67"/>
  <c r="P39" i="62"/>
  <c r="P39" i="46"/>
  <c r="P34" i="6" l="1"/>
  <c r="P36" i="6" s="1"/>
  <c r="P35" i="6"/>
  <c r="P37" i="6" s="1"/>
  <c r="P8" i="9"/>
  <c r="P5" i="7" l="1"/>
  <c r="P5" i="13"/>
  <c r="P86" i="6"/>
  <c r="P38" i="6"/>
  <c r="P18" i="7" l="1"/>
  <c r="P22" i="9"/>
  <c r="P55" i="6"/>
  <c r="P41" i="39" l="1"/>
  <c r="P56" i="6"/>
  <c r="P57" i="6" s="1"/>
  <c r="P18" i="13"/>
  <c r="P42" i="39" l="1"/>
  <c r="P58" i="6"/>
  <c r="P152" i="40" l="1"/>
  <c r="P59" i="6"/>
  <c r="P140" i="40"/>
  <c r="P141" i="40" s="1"/>
  <c r="P142" i="40" s="1"/>
  <c r="P117" i="40"/>
  <c r="P171" i="40"/>
  <c r="P43" i="39"/>
  <c r="P118" i="40" l="1"/>
  <c r="P126" i="40" s="1"/>
  <c r="P164" i="40"/>
  <c r="P119" i="40"/>
  <c r="P124" i="40" s="1"/>
  <c r="P163" i="40"/>
  <c r="P144" i="40"/>
  <c r="P143" i="40"/>
  <c r="P172" i="40"/>
  <c r="P174" i="40" s="1"/>
  <c r="P177" i="40"/>
  <c r="P173" i="40"/>
  <c r="P145" i="40" l="1"/>
  <c r="P146" i="40" s="1"/>
  <c r="P127" i="40"/>
  <c r="P128" i="40" s="1"/>
  <c r="P46" i="39" s="1"/>
  <c r="P121" i="40"/>
  <c r="P187" i="40"/>
  <c r="P188" i="40"/>
  <c r="P175" i="40"/>
  <c r="P176" i="40" s="1"/>
  <c r="P178" i="40"/>
  <c r="P190" i="40" s="1"/>
  <c r="P179" i="40"/>
  <c r="P181" i="40" s="1"/>
  <c r="P120" i="40"/>
  <c r="P123" i="40"/>
  <c r="P125" i="40" s="1"/>
  <c r="P122" i="40" l="1"/>
  <c r="P147" i="40"/>
  <c r="P189" i="40"/>
  <c r="P35" i="39" s="1"/>
  <c r="P180" i="40"/>
  <c r="P182" i="40" s="1"/>
  <c r="P45" i="39"/>
  <c r="P40" i="33"/>
  <c r="P39" i="6"/>
  <c r="P183" i="40"/>
  <c r="P41" i="33"/>
  <c r="P42" i="33" s="1"/>
  <c r="P44" i="39"/>
  <c r="P50" i="39" s="1"/>
  <c r="P51" i="39" s="1"/>
  <c r="P191" i="40"/>
  <c r="P192" i="40" s="1"/>
  <c r="P36" i="39" s="1"/>
  <c r="P184" i="40"/>
  <c r="P154" i="40"/>
  <c r="P153" i="40"/>
  <c r="P185" i="40" l="1"/>
  <c r="P186" i="40" s="1"/>
  <c r="P53" i="39"/>
  <c r="P40" i="6"/>
  <c r="P41" i="6"/>
  <c r="P42" i="6" s="1"/>
  <c r="P43" i="6" s="1"/>
  <c r="P43" i="33"/>
  <c r="P47" i="33"/>
  <c r="P48" i="33" s="1"/>
  <c r="P49" i="33" s="1"/>
  <c r="P51" i="33" s="1"/>
  <c r="P52" i="33" s="1"/>
  <c r="P53" i="33" s="1"/>
  <c r="P54" i="33" s="1"/>
  <c r="P159" i="40"/>
  <c r="P155" i="40"/>
  <c r="P156" i="40"/>
  <c r="P158" i="40"/>
  <c r="P34" i="39" l="1"/>
  <c r="P193" i="40"/>
  <c r="P14" i="39"/>
  <c r="P44" i="6"/>
  <c r="P48" i="6" s="1"/>
  <c r="P49" i="6" s="1"/>
  <c r="P157" i="40"/>
  <c r="P160" i="40"/>
  <c r="P161" i="40" l="1"/>
  <c r="P162" i="40" s="1"/>
  <c r="P52" i="39"/>
  <c r="P16" i="39"/>
  <c r="P50" i="6"/>
  <c r="P37" i="39"/>
  <c r="P47" i="39"/>
  <c r="P51" i="6"/>
  <c r="P54" i="39" l="1"/>
  <c r="P56" i="39"/>
  <c r="P17" i="39"/>
  <c r="P18" i="39"/>
  <c r="P52" i="6"/>
  <c r="P19" i="39" l="1"/>
  <c r="P20" i="39" s="1"/>
  <c r="P55" i="39"/>
  <c r="P38" i="39" s="1"/>
  <c r="P57" i="39" l="1"/>
  <c r="P61" i="6"/>
  <c r="P21" i="39"/>
  <c r="P60" i="6" s="1"/>
  <c r="P62" i="6" s="1"/>
  <c r="P6" i="7" l="1"/>
  <c r="P64" i="6"/>
  <c r="P65" i="6" s="1"/>
  <c r="P70" i="6"/>
  <c r="P9" i="9"/>
  <c r="P6" i="13" s="1"/>
  <c r="P63" i="6"/>
  <c r="P75" i="6" l="1"/>
  <c r="P71" i="6"/>
  <c r="P78" i="6" l="1"/>
  <c r="P11" i="9"/>
  <c r="P7" i="13" s="1"/>
  <c r="P99" i="6"/>
  <c r="P90" i="6" s="1"/>
  <c r="P21" i="7" s="1"/>
  <c r="P7" i="7"/>
  <c r="P25" i="9" l="1"/>
  <c r="P10" i="7"/>
  <c r="P14" i="9"/>
  <c r="P10" i="13" s="1"/>
  <c r="P21" i="13"/>
  <c r="P116" i="6" l="1"/>
  <c r="P77" i="8" l="1"/>
  <c r="P81" i="8" s="1"/>
  <c r="P81" i="6" s="1"/>
  <c r="P88" i="6"/>
  <c r="P17" i="9" l="1"/>
  <c r="P13" i="13" s="1"/>
  <c r="Y178" i="6"/>
  <c r="R178" i="6"/>
  <c r="Q178" i="6"/>
  <c r="AI178" i="6"/>
  <c r="U178" i="6"/>
  <c r="V178" i="6"/>
  <c r="W178" i="6"/>
  <c r="P178" i="6"/>
  <c r="P13" i="7"/>
  <c r="P85" i="6" s="1"/>
  <c r="X178" i="6"/>
  <c r="T178" i="6"/>
  <c r="S178" i="6"/>
  <c r="P17" i="7" l="1"/>
  <c r="P21" i="9"/>
  <c r="P17" i="13" s="1"/>
  <c r="P83" i="6"/>
  <c r="P196" i="6"/>
  <c r="AH178" i="6"/>
  <c r="AJ178" i="6" s="1"/>
  <c r="P82" i="6" l="1"/>
  <c r="P19" i="9"/>
  <c r="P15" i="13" s="1"/>
  <c r="P15" i="7"/>
  <c r="P14" i="7" l="1"/>
  <c r="P100" i="6"/>
  <c r="P18" i="9"/>
  <c r="P14" i="13" s="1"/>
  <c r="P95" i="6"/>
  <c r="P101" i="6" l="1"/>
  <c r="P102" i="6" s="1"/>
  <c r="P105" i="6" s="1"/>
  <c r="P103" i="6"/>
  <c r="P104" i="6" l="1"/>
  <c r="P106" i="6" s="1"/>
  <c r="P107" i="6" s="1"/>
  <c r="P91" i="6" s="1"/>
  <c r="P26" i="9" s="1"/>
  <c r="P89" i="6" l="1"/>
  <c r="P28" i="9" s="1"/>
  <c r="P24" i="13" s="1"/>
  <c r="P22" i="7"/>
  <c r="P93" i="6"/>
  <c r="P22" i="13"/>
  <c r="P20" i="13" s="1"/>
  <c r="P24" i="9"/>
  <c r="P20" i="7" l="1"/>
  <c r="P30" i="9"/>
  <c r="P25" i="7"/>
  <c r="P96" i="6"/>
  <c r="P27" i="7" l="1"/>
  <c r="Q111" i="6"/>
  <c r="P26" i="13"/>
  <c r="P32" i="9"/>
  <c r="P28" i="13" s="1"/>
  <c r="Q181" i="33" l="1"/>
  <c r="Q149" i="33"/>
  <c r="Q55" i="68"/>
  <c r="Q64" i="8"/>
  <c r="Q39" i="8"/>
  <c r="Q77" i="6"/>
  <c r="Q24" i="8"/>
  <c r="Q16" i="68"/>
  <c r="Q60" i="68"/>
  <c r="Q68" i="33"/>
  <c r="Q34" i="68"/>
  <c r="Q74" i="68"/>
  <c r="Q146" i="33"/>
  <c r="Q17" i="68"/>
  <c r="Q31" i="68"/>
  <c r="Q19" i="68"/>
  <c r="Q25" i="68"/>
  <c r="Q80" i="68"/>
  <c r="Q18" i="68"/>
  <c r="Q35" i="8"/>
  <c r="Q37" i="8"/>
  <c r="Q63" i="8"/>
  <c r="Q29" i="68"/>
  <c r="Q72" i="68"/>
  <c r="Q51" i="8"/>
  <c r="Q139" i="33"/>
  <c r="Q71" i="68"/>
  <c r="Q59" i="68"/>
  <c r="Q20" i="68"/>
  <c r="Q18" i="8"/>
  <c r="Q39" i="68"/>
  <c r="Q40" i="68"/>
  <c r="Q27" i="8"/>
  <c r="Q61" i="68"/>
  <c r="P6" i="67"/>
  <c r="P9" i="67" s="1"/>
  <c r="Q70" i="33"/>
  <c r="Q84" i="6"/>
  <c r="Q188" i="33"/>
  <c r="Q23" i="68"/>
  <c r="Q182" i="33"/>
  <c r="Q138" i="33"/>
  <c r="Q67" i="8"/>
  <c r="Q147" i="6"/>
  <c r="Q141" i="6"/>
  <c r="Q32" i="68"/>
  <c r="Q135" i="6"/>
  <c r="Q77" i="68"/>
  <c r="Q42" i="68"/>
  <c r="Q15" i="68"/>
  <c r="Q76" i="68"/>
  <c r="Q16" i="8"/>
  <c r="Q179" i="33"/>
  <c r="Q67" i="68"/>
  <c r="Q47" i="8"/>
  <c r="Q26" i="68"/>
  <c r="Q185" i="33"/>
  <c r="Q62" i="8"/>
  <c r="Q69" i="68"/>
  <c r="Q145" i="33"/>
  <c r="Q69" i="33"/>
  <c r="Q66" i="8"/>
  <c r="Q30" i="68"/>
  <c r="Q73" i="68"/>
  <c r="Q36" i="8"/>
  <c r="Q14" i="68"/>
  <c r="Q79" i="68"/>
  <c r="Q65" i="68"/>
  <c r="Q48" i="8"/>
  <c r="Q55" i="8" s="1"/>
  <c r="Q28" i="8"/>
  <c r="Q54" i="68"/>
  <c r="Q58" i="68"/>
  <c r="Q61" i="8"/>
  <c r="Q76" i="6"/>
  <c r="Q56" i="68"/>
  <c r="Q177" i="33"/>
  <c r="Q81" i="33"/>
  <c r="Q147" i="33"/>
  <c r="Q27" i="68"/>
  <c r="Q81" i="68"/>
  <c r="Q28" i="68"/>
  <c r="Q175" i="33"/>
  <c r="Q187" i="33"/>
  <c r="Q17" i="8"/>
  <c r="Q63" i="68"/>
  <c r="Q70" i="68"/>
  <c r="Q19" i="8"/>
  <c r="Q78" i="68"/>
  <c r="Q33" i="68"/>
  <c r="Q25" i="8"/>
  <c r="Q49" i="8"/>
  <c r="Q66" i="68"/>
  <c r="Q41" i="68"/>
  <c r="Q73" i="33"/>
  <c r="Q36" i="68"/>
  <c r="Q115" i="6"/>
  <c r="Q26" i="8"/>
  <c r="Q186" i="33"/>
  <c r="Q143" i="33"/>
  <c r="Q141" i="33"/>
  <c r="Q148" i="33"/>
  <c r="Q80" i="33"/>
  <c r="Q50" i="8"/>
  <c r="Q37" i="68"/>
  <c r="Q54" i="8"/>
  <c r="Q24" i="68"/>
  <c r="Q46" i="8"/>
  <c r="Q180" i="33"/>
  <c r="Q71" i="33"/>
  <c r="Q60" i="8"/>
  <c r="Q184" i="33"/>
  <c r="Q35" i="68"/>
  <c r="Q144" i="33"/>
  <c r="Q62" i="68"/>
  <c r="Q53" i="68"/>
  <c r="Q142" i="33"/>
  <c r="Q136" i="33"/>
  <c r="Q75" i="68"/>
  <c r="Q140" i="33"/>
  <c r="Q72" i="33"/>
  <c r="Q52" i="68"/>
  <c r="Q178" i="33"/>
  <c r="Q112" i="6"/>
  <c r="P17" i="67" s="1"/>
  <c r="Q176" i="33"/>
  <c r="Q64" i="68"/>
  <c r="Q137" i="33"/>
  <c r="Q183" i="33"/>
  <c r="Q43" i="68"/>
  <c r="Q57" i="68"/>
  <c r="Q52" i="8"/>
  <c r="Q38" i="68"/>
  <c r="Q21" i="68"/>
  <c r="Q38" i="8"/>
  <c r="Q74" i="6"/>
  <c r="Q10" i="9" s="1"/>
  <c r="Q68" i="68"/>
  <c r="Q22" i="68"/>
  <c r="Q116" i="6"/>
  <c r="Q77" i="8" s="1"/>
  <c r="Q88" i="6"/>
  <c r="Q82" i="68" l="1"/>
  <c r="Q131" i="6" s="1"/>
  <c r="Q34" i="8"/>
  <c r="Q33" i="8" s="1"/>
  <c r="P16" i="67"/>
  <c r="Q15" i="8"/>
  <c r="Q14" i="8" s="1"/>
  <c r="Q14" i="38"/>
  <c r="Q148" i="6"/>
  <c r="P10" i="67"/>
  <c r="Q27" i="33"/>
  <c r="Q23" i="8"/>
  <c r="Q22" i="8" s="1"/>
  <c r="P8" i="67"/>
  <c r="Q142" i="6"/>
  <c r="Q12" i="38"/>
  <c r="Q23" i="33"/>
  <c r="Q45" i="8"/>
  <c r="Q44" i="8" s="1"/>
  <c r="Q10" i="38"/>
  <c r="Q136" i="6"/>
  <c r="P7" i="67"/>
  <c r="Q19" i="33"/>
  <c r="Q9" i="7"/>
  <c r="Q13" i="9"/>
  <c r="Q80" i="8"/>
  <c r="Q92" i="6" s="1"/>
  <c r="Q12" i="9"/>
  <c r="Q8" i="7"/>
  <c r="Q44" i="68"/>
  <c r="Q20" i="9"/>
  <c r="Q16" i="7"/>
  <c r="Q83" i="68" l="1"/>
  <c r="Q132" i="6" s="1"/>
  <c r="Q16" i="38"/>
  <c r="Q20" i="38" s="1"/>
  <c r="Q16" i="13"/>
  <c r="Q9" i="13"/>
  <c r="Q24" i="33"/>
  <c r="Q13" i="38"/>
  <c r="Q27" i="9"/>
  <c r="Q23" i="7"/>
  <c r="Q11" i="38"/>
  <c r="Q20" i="33"/>
  <c r="Q15" i="38"/>
  <c r="Q28" i="33"/>
  <c r="Q8" i="13"/>
  <c r="Q17" i="38"/>
  <c r="Q128" i="6"/>
  <c r="Q45" i="68"/>
  <c r="Q23" i="13" l="1"/>
  <c r="Q90" i="38"/>
  <c r="Q42" i="38"/>
  <c r="Q66" i="38"/>
  <c r="Q21" i="38"/>
  <c r="Q85" i="68"/>
  <c r="Q129" i="6"/>
  <c r="Q31" i="6" s="1"/>
  <c r="Q91" i="38" l="1"/>
  <c r="Q22" i="38"/>
  <c r="Q67" i="38"/>
  <c r="Q43" i="38"/>
  <c r="Q32" i="6"/>
  <c r="Q72" i="8" s="1"/>
  <c r="Q73" i="8" s="1"/>
  <c r="Q74" i="8" s="1"/>
  <c r="Q65" i="8" s="1"/>
  <c r="P13" i="67" s="1"/>
  <c r="Q68" i="38" l="1"/>
  <c r="Q44" i="38"/>
  <c r="Q23" i="38"/>
  <c r="Q92" i="38"/>
  <c r="Q69" i="38" l="1"/>
  <c r="Q24" i="38"/>
  <c r="Q45" i="38"/>
  <c r="Q93" i="38"/>
  <c r="Q70" i="38" l="1"/>
  <c r="Q94" i="38"/>
  <c r="Q25" i="38"/>
  <c r="Q46" i="38"/>
  <c r="Q95" i="38" l="1"/>
  <c r="Q26" i="38"/>
  <c r="Q47" i="38"/>
  <c r="Q71" i="38"/>
  <c r="Q27" i="38" l="1"/>
  <c r="Q72" i="38"/>
  <c r="Q96" i="38"/>
  <c r="Q48" i="38"/>
  <c r="Q28" i="38" l="1"/>
  <c r="Q97" i="38"/>
  <c r="Q49" i="38"/>
  <c r="Q73" i="38"/>
  <c r="Q74" i="38" l="1"/>
  <c r="Q50" i="38"/>
  <c r="Q98" i="38"/>
  <c r="Q29" i="38"/>
  <c r="Q75" i="38" l="1"/>
  <c r="Q99" i="38"/>
  <c r="Q30" i="38"/>
  <c r="Q51" i="38"/>
  <c r="Q76" i="38" l="1"/>
  <c r="Q100" i="38"/>
  <c r="Q31" i="38"/>
  <c r="Q52" i="38"/>
  <c r="Q53" i="38" l="1"/>
  <c r="Q77" i="38"/>
  <c r="Q101" i="38"/>
  <c r="Q32" i="38"/>
  <c r="Q78" i="38" l="1"/>
  <c r="Q33" i="38"/>
  <c r="Q54" i="38"/>
  <c r="Q102" i="38"/>
  <c r="Q79" i="38" l="1"/>
  <c r="Q55" i="38"/>
  <c r="Q103" i="38"/>
  <c r="Q34" i="38"/>
  <c r="Q80" i="38" l="1"/>
  <c r="Q35" i="38"/>
  <c r="Q56" i="38"/>
  <c r="Q104" i="38"/>
  <c r="Q57" i="38" l="1"/>
  <c r="Q36" i="38"/>
  <c r="Q81" i="38"/>
  <c r="Q105" i="38"/>
  <c r="Q106" i="38" l="1"/>
  <c r="Q37" i="38"/>
  <c r="Q58" i="38"/>
  <c r="Q82" i="38"/>
  <c r="Q38" i="38" l="1"/>
  <c r="Q107" i="38"/>
  <c r="Q59" i="38"/>
  <c r="Q83" i="38"/>
  <c r="Q39" i="38" l="1"/>
  <c r="Q84" i="38"/>
  <c r="Q108" i="38"/>
  <c r="Q60" i="38"/>
  <c r="Q109" i="38" l="1"/>
  <c r="Q61" i="38"/>
  <c r="Q85" i="38"/>
  <c r="Q62" i="38" l="1"/>
  <c r="Q63" i="38"/>
  <c r="Q86" i="38"/>
  <c r="Q87" i="38"/>
  <c r="Q111" i="38"/>
  <c r="Q110" i="38"/>
  <c r="Q137" i="6" l="1"/>
  <c r="Q143" i="6"/>
  <c r="Q149" i="6"/>
  <c r="Q144" i="6" l="1"/>
  <c r="Q26" i="33" s="1"/>
  <c r="Q25" i="33"/>
  <c r="Q145" i="6"/>
  <c r="Q146" i="6" s="1"/>
  <c r="Q153" i="6"/>
  <c r="Q29" i="33"/>
  <c r="Q150" i="6"/>
  <c r="Q30" i="33" s="1"/>
  <c r="Q151" i="6"/>
  <c r="Q152" i="6" s="1"/>
  <c r="Q138" i="6"/>
  <c r="Q22" i="33" s="1"/>
  <c r="Q21" i="33"/>
  <c r="Q139" i="6"/>
  <c r="Q10" i="68" l="1"/>
  <c r="Q13" i="68" s="1"/>
  <c r="Q31" i="33"/>
  <c r="Q154" i="6"/>
  <c r="Q140" i="6"/>
  <c r="Q11" i="68" l="1"/>
  <c r="Q12" i="68" s="1"/>
  <c r="Q127" i="6" s="1"/>
  <c r="Q155" i="6"/>
  <c r="Q15" i="39"/>
  <c r="Q32" i="33"/>
  <c r="Q74" i="33" s="1"/>
  <c r="Q108" i="33" s="1"/>
  <c r="AE116" i="33"/>
  <c r="AB116" i="33"/>
  <c r="AC116" i="33"/>
  <c r="V116" i="33"/>
  <c r="S116" i="33"/>
  <c r="AD116" i="33"/>
  <c r="Q116" i="33"/>
  <c r="X116" i="33"/>
  <c r="Y116" i="33"/>
  <c r="U116" i="33"/>
  <c r="AA116" i="33"/>
  <c r="W116" i="33"/>
  <c r="Z116" i="33"/>
  <c r="R116" i="33"/>
  <c r="AG116" i="33"/>
  <c r="AF116" i="33"/>
  <c r="T116" i="33"/>
  <c r="Q150" i="33"/>
  <c r="Q167" i="33" s="1"/>
  <c r="Q82" i="33"/>
  <c r="Q76" i="33" l="1"/>
  <c r="Q110" i="33" s="1"/>
  <c r="Q75" i="33"/>
  <c r="Q79" i="33"/>
  <c r="Q113" i="33" s="1"/>
  <c r="Q77" i="33"/>
  <c r="Q111" i="33" s="1"/>
  <c r="Q78" i="33"/>
  <c r="Q112" i="33" s="1"/>
  <c r="Q33" i="33"/>
  <c r="Q157" i="6"/>
  <c r="Q156" i="6"/>
  <c r="Q49" i="68"/>
  <c r="Q34" i="33" l="1"/>
  <c r="Q70" i="8"/>
  <c r="Q158" i="6"/>
  <c r="Q48" i="68"/>
  <c r="Q35" i="33"/>
  <c r="Q109" i="33"/>
  <c r="Q99" i="33"/>
  <c r="Q217" i="33"/>
  <c r="Q221" i="33"/>
  <c r="Q255" i="33" s="1"/>
  <c r="Q214" i="33"/>
  <c r="Q227" i="33"/>
  <c r="Q215" i="33"/>
  <c r="Q222" i="33"/>
  <c r="Q256" i="33" s="1"/>
  <c r="Q220" i="33"/>
  <c r="Q254" i="33" s="1"/>
  <c r="Q226" i="33"/>
  <c r="Q216" i="33"/>
  <c r="Q218" i="33"/>
  <c r="Q223" i="33"/>
  <c r="Q257" i="33" s="1"/>
  <c r="Q224" i="33"/>
  <c r="Q258" i="33" s="1"/>
  <c r="Q225" i="33"/>
  <c r="Q259" i="33" s="1"/>
  <c r="Q219" i="33"/>
  <c r="Q67" i="6"/>
  <c r="Q50" i="68"/>
  <c r="Q130" i="6" s="1"/>
  <c r="Q87" i="6" s="1"/>
  <c r="Q171" i="33" l="1"/>
  <c r="Q66" i="6"/>
  <c r="Q228" i="33"/>
  <c r="Q245" i="33" s="1"/>
  <c r="Z262" i="33"/>
  <c r="AB262" i="33"/>
  <c r="S262" i="33"/>
  <c r="Q262" i="33"/>
  <c r="R262" i="33"/>
  <c r="U262" i="33"/>
  <c r="V262" i="33"/>
  <c r="T262" i="33"/>
  <c r="AG262" i="33"/>
  <c r="AC262" i="33"/>
  <c r="AE262" i="33"/>
  <c r="AA262" i="33"/>
  <c r="W262" i="33"/>
  <c r="AF262" i="33"/>
  <c r="X262" i="33"/>
  <c r="Y262" i="33"/>
  <c r="AD262" i="33"/>
  <c r="Q189" i="33"/>
  <c r="Q206" i="33" s="1"/>
  <c r="Q71" i="8"/>
  <c r="Q68" i="8"/>
  <c r="Q19" i="7"/>
  <c r="Q29" i="9"/>
  <c r="Q23" i="9"/>
  <c r="Q24" i="7"/>
  <c r="Q159" i="6"/>
  <c r="Q36" i="33"/>
  <c r="Q160" i="6"/>
  <c r="Q161" i="6" s="1"/>
  <c r="Q121" i="6" s="1"/>
  <c r="Q123" i="6" s="1"/>
  <c r="P11" i="67"/>
  <c r="Q51" i="68"/>
  <c r="Q59" i="33" l="1"/>
  <c r="Q37" i="33"/>
  <c r="Q25" i="13"/>
  <c r="Q68" i="6"/>
  <c r="Q124" i="6"/>
  <c r="Q122" i="6"/>
  <c r="Q19" i="13"/>
  <c r="Q58" i="33"/>
  <c r="P14" i="67" l="1"/>
  <c r="Q33" i="6"/>
  <c r="Q34" i="6" s="1"/>
  <c r="Q69" i="6"/>
  <c r="Q35" i="6"/>
  <c r="Q13" i="39"/>
  <c r="Q33" i="39" s="1"/>
  <c r="P12" i="67"/>
  <c r="Q39" i="62"/>
  <c r="Q39" i="46"/>
  <c r="Q40" i="46"/>
  <c r="Q69" i="8"/>
  <c r="Q59" i="8" s="1"/>
  <c r="Q58" i="8" s="1"/>
  <c r="Q81" i="8" s="1"/>
  <c r="Q81" i="6" s="1"/>
  <c r="Q40" i="62"/>
  <c r="Q37" i="6" l="1"/>
  <c r="Q5" i="7"/>
  <c r="Q8" i="9"/>
  <c r="Q36" i="6"/>
  <c r="U179" i="6"/>
  <c r="Z179" i="6"/>
  <c r="V179" i="6"/>
  <c r="S179" i="6"/>
  <c r="X179" i="6"/>
  <c r="R179" i="6"/>
  <c r="Q13" i="7"/>
  <c r="Q85" i="6" s="1"/>
  <c r="Q17" i="9"/>
  <c r="W179" i="6"/>
  <c r="AI179" i="6"/>
  <c r="T179" i="6"/>
  <c r="Y179" i="6"/>
  <c r="Q179" i="6"/>
  <c r="AH179" i="6" l="1"/>
  <c r="AJ179" i="6" s="1"/>
  <c r="Q196" i="6"/>
  <c r="Q13" i="13"/>
  <c r="Q21" i="9"/>
  <c r="Q17" i="7"/>
  <c r="Q83" i="6"/>
  <c r="Q5" i="13"/>
  <c r="Q38" i="6"/>
  <c r="Q86" i="6"/>
  <c r="Q22" i="9" l="1"/>
  <c r="Q18" i="7"/>
  <c r="Q19" i="9"/>
  <c r="Q82" i="6"/>
  <c r="Q15" i="7"/>
  <c r="Q55" i="6"/>
  <c r="Q17" i="13"/>
  <c r="Q15" i="13" l="1"/>
  <c r="Q41" i="39"/>
  <c r="Q56" i="6"/>
  <c r="Q57" i="6" s="1"/>
  <c r="Q18" i="9"/>
  <c r="Q100" i="6"/>
  <c r="Q14" i="7"/>
  <c r="Q18" i="13"/>
  <c r="Q42" i="39" l="1"/>
  <c r="Q58" i="6"/>
  <c r="Q14" i="13"/>
  <c r="Q117" i="40" l="1"/>
  <c r="Q43" i="39"/>
  <c r="Q171" i="40"/>
  <c r="Q152" i="40"/>
  <c r="Q59" i="6"/>
  <c r="Q140" i="40"/>
  <c r="Q141" i="40" s="1"/>
  <c r="Q142" i="40" s="1"/>
  <c r="Q173" i="40" l="1"/>
  <c r="Q175" i="40" s="1"/>
  <c r="Q177" i="40"/>
  <c r="Q172" i="40"/>
  <c r="Q187" i="40" s="1"/>
  <c r="Q144" i="40"/>
  <c r="Q145" i="40" s="1"/>
  <c r="Q143" i="40"/>
  <c r="Q119" i="40"/>
  <c r="Q127" i="40" s="1"/>
  <c r="Q163" i="40"/>
  <c r="Q118" i="40"/>
  <c r="Q164" i="40"/>
  <c r="Q174" i="40" l="1"/>
  <c r="Q176" i="40" s="1"/>
  <c r="Q146" i="40"/>
  <c r="Q147" i="40"/>
  <c r="Q178" i="40"/>
  <c r="Q179" i="40"/>
  <c r="Q123" i="40"/>
  <c r="Q126" i="40"/>
  <c r="Q128" i="40" s="1"/>
  <c r="Q46" i="39" s="1"/>
  <c r="Q120" i="40"/>
  <c r="Q188" i="40"/>
  <c r="Q189" i="40" s="1"/>
  <c r="Q35" i="39" s="1"/>
  <c r="Q121" i="40"/>
  <c r="Q124" i="40"/>
  <c r="Q154" i="40"/>
  <c r="Q153" i="40"/>
  <c r="Q183" i="40" l="1"/>
  <c r="Q180" i="40"/>
  <c r="Q125" i="40"/>
  <c r="Q190" i="40"/>
  <c r="Q122" i="40"/>
  <c r="Q191" i="40"/>
  <c r="Q184" i="40"/>
  <c r="Q181" i="40"/>
  <c r="Q156" i="40"/>
  <c r="Q158" i="40"/>
  <c r="Q155" i="40"/>
  <c r="Q159" i="40"/>
  <c r="Q185" i="40" l="1"/>
  <c r="Q41" i="33"/>
  <c r="Q42" i="33" s="1"/>
  <c r="Q44" i="39"/>
  <c r="Q50" i="39" s="1"/>
  <c r="Q51" i="39" s="1"/>
  <c r="Q45" i="39"/>
  <c r="Q39" i="6"/>
  <c r="Q40" i="33"/>
  <c r="Q182" i="40"/>
  <c r="Q192" i="40"/>
  <c r="Q36" i="39" s="1"/>
  <c r="Q157" i="40"/>
  <c r="Q160" i="40"/>
  <c r="Q186" i="40" l="1"/>
  <c r="Q193" i="40" s="1"/>
  <c r="Q161" i="40"/>
  <c r="Q162" i="40" s="1"/>
  <c r="Q40" i="6"/>
  <c r="Q41" i="6"/>
  <c r="Q53" i="39"/>
  <c r="Q43" i="33"/>
  <c r="Q47" i="33"/>
  <c r="Q48" i="33" s="1"/>
  <c r="Q49" i="33" s="1"/>
  <c r="Q51" i="33" s="1"/>
  <c r="Q52" i="33" s="1"/>
  <c r="Q53" i="33" s="1"/>
  <c r="Q54" i="33" s="1"/>
  <c r="Q34" i="39" l="1"/>
  <c r="Q37" i="39" s="1"/>
  <c r="Q47" i="39"/>
  <c r="Q42" i="6"/>
  <c r="Q14" i="39"/>
  <c r="Q44" i="6"/>
  <c r="Q48" i="6" s="1"/>
  <c r="Q16" i="39" l="1"/>
  <c r="Q52" i="39"/>
  <c r="Q43" i="6"/>
  <c r="Q49" i="6"/>
  <c r="Q51" i="6" s="1"/>
  <c r="Q52" i="6" s="1"/>
  <c r="Q50" i="6"/>
  <c r="Q56" i="39" l="1"/>
  <c r="Q17" i="39"/>
  <c r="Q54" i="39"/>
  <c r="Q55" i="39" s="1"/>
  <c r="Q18" i="39"/>
  <c r="Q19" i="39" l="1"/>
  <c r="Q20" i="39" s="1"/>
  <c r="Q61" i="6" s="1"/>
  <c r="Q38" i="39"/>
  <c r="Q57" i="39"/>
  <c r="Q21" i="39" l="1"/>
  <c r="Q60" i="6" s="1"/>
  <c r="Q62" i="6" s="1"/>
  <c r="Q70" i="6" s="1"/>
  <c r="Q9" i="9" l="1"/>
  <c r="Q6" i="13" s="1"/>
  <c r="Q6" i="7"/>
  <c r="Q63" i="6"/>
  <c r="Q64" i="6"/>
  <c r="Q65" i="6" s="1"/>
  <c r="Q75" i="6"/>
  <c r="Q71" i="6"/>
  <c r="Q78" i="6" l="1"/>
  <c r="Q7" i="7"/>
  <c r="Q99" i="6"/>
  <c r="Q90" i="6" s="1"/>
  <c r="Q25" i="9" s="1"/>
  <c r="Q11" i="9"/>
  <c r="Q7" i="13" s="1"/>
  <c r="Q21" i="7" l="1"/>
  <c r="Q10" i="7"/>
  <c r="Q14" i="9"/>
  <c r="Q10" i="13" s="1"/>
  <c r="Q95" i="6"/>
  <c r="Q21" i="13"/>
  <c r="Q103" i="6" l="1"/>
  <c r="Q101" i="6"/>
  <c r="Q102" i="6" l="1"/>
  <c r="Q105" i="6" s="1"/>
  <c r="Q104" i="6"/>
  <c r="Q106" i="6" s="1"/>
  <c r="Q107" i="6" s="1"/>
  <c r="Q91" i="6" l="1"/>
  <c r="Q26" i="9" l="1"/>
  <c r="Q22" i="7"/>
  <c r="Q89" i="6"/>
  <c r="Q28" i="9" l="1"/>
  <c r="Q20" i="7"/>
  <c r="Q93" i="6"/>
  <c r="Q22" i="13"/>
  <c r="Q20" i="13" s="1"/>
  <c r="Q24" i="9"/>
  <c r="Q30" i="9" l="1"/>
  <c r="Q25" i="7"/>
  <c r="Q96" i="6"/>
  <c r="Q24" i="13"/>
  <c r="Q27" i="7" l="1"/>
  <c r="R111" i="6"/>
  <c r="Q26" i="13"/>
  <c r="Q32" i="9"/>
  <c r="Q28" i="13" l="1"/>
  <c r="R145" i="33"/>
  <c r="R75" i="68"/>
  <c r="R67" i="8"/>
  <c r="R62" i="8"/>
  <c r="R47" i="8"/>
  <c r="R77" i="68"/>
  <c r="R63" i="8"/>
  <c r="R61" i="68"/>
  <c r="R68" i="68"/>
  <c r="R66" i="8"/>
  <c r="R80" i="33"/>
  <c r="R38" i="68"/>
  <c r="R71" i="33"/>
  <c r="R25" i="68"/>
  <c r="R64" i="8"/>
  <c r="R50" i="8"/>
  <c r="R176" i="33"/>
  <c r="R52" i="68"/>
  <c r="R115" i="6"/>
  <c r="R28" i="8"/>
  <c r="R53" i="68"/>
  <c r="R51" i="8"/>
  <c r="R52" i="8"/>
  <c r="R68" i="33"/>
  <c r="R135" i="6"/>
  <c r="R71" i="68"/>
  <c r="R77" i="6"/>
  <c r="R34" i="68"/>
  <c r="R43" i="68"/>
  <c r="R148" i="33"/>
  <c r="R19" i="68"/>
  <c r="R72" i="68"/>
  <c r="R140" i="33"/>
  <c r="R179" i="33"/>
  <c r="R80" i="68"/>
  <c r="R33" i="68"/>
  <c r="R188" i="33"/>
  <c r="R137" i="33"/>
  <c r="R73" i="33"/>
  <c r="R74" i="6"/>
  <c r="R10" i="9" s="1"/>
  <c r="R65" i="68"/>
  <c r="R143" i="33"/>
  <c r="R20" i="68"/>
  <c r="R14" i="68"/>
  <c r="R36" i="68"/>
  <c r="R70" i="33"/>
  <c r="R81" i="68"/>
  <c r="R81" i="33"/>
  <c r="R59" i="68"/>
  <c r="R70" i="68"/>
  <c r="R184" i="33"/>
  <c r="R60" i="8"/>
  <c r="R186" i="33"/>
  <c r="R142" i="33"/>
  <c r="R22" i="68"/>
  <c r="R78" i="68"/>
  <c r="R69" i="68"/>
  <c r="R178" i="33"/>
  <c r="R185" i="33"/>
  <c r="R37" i="68"/>
  <c r="R26" i="68"/>
  <c r="R180" i="33"/>
  <c r="R49" i="8"/>
  <c r="R61" i="8"/>
  <c r="R189" i="33"/>
  <c r="R27" i="8"/>
  <c r="R36" i="8"/>
  <c r="R76" i="68"/>
  <c r="R56" i="68"/>
  <c r="R46" i="8"/>
  <c r="R42" i="68"/>
  <c r="R23" i="68"/>
  <c r="R74" i="68"/>
  <c r="R146" i="33"/>
  <c r="R54" i="68"/>
  <c r="R31" i="68"/>
  <c r="R37" i="8"/>
  <c r="R147" i="6"/>
  <c r="R17" i="68"/>
  <c r="R15" i="68"/>
  <c r="R35" i="8"/>
  <c r="R183" i="33"/>
  <c r="R39" i="68"/>
  <c r="R55" i="68"/>
  <c r="R16" i="8"/>
  <c r="R18" i="68"/>
  <c r="R187" i="33"/>
  <c r="R54" i="8"/>
  <c r="R57" i="68"/>
  <c r="R18" i="8"/>
  <c r="R62" i="68"/>
  <c r="R144" i="33"/>
  <c r="R16" i="68"/>
  <c r="R67" i="68"/>
  <c r="R21" i="68"/>
  <c r="R63" i="68"/>
  <c r="R175" i="33"/>
  <c r="R69" i="33"/>
  <c r="R30" i="68"/>
  <c r="R150" i="33"/>
  <c r="R39" i="8"/>
  <c r="R35" i="68"/>
  <c r="R24" i="68"/>
  <c r="R149" i="33"/>
  <c r="R29" i="68"/>
  <c r="R64" i="68"/>
  <c r="R27" i="68"/>
  <c r="R177" i="33"/>
  <c r="R40" i="68"/>
  <c r="R139" i="33"/>
  <c r="R66" i="68"/>
  <c r="R19" i="8"/>
  <c r="R79" i="68"/>
  <c r="R17" i="8"/>
  <c r="R48" i="8"/>
  <c r="R55" i="8" s="1"/>
  <c r="R58" i="68"/>
  <c r="R181" i="33"/>
  <c r="R84" i="6"/>
  <c r="R25" i="8"/>
  <c r="R73" i="68"/>
  <c r="Q6" i="67"/>
  <c r="Q9" i="67" s="1"/>
  <c r="R41" i="68"/>
  <c r="R136" i="33"/>
  <c r="R141" i="33"/>
  <c r="R32" i="68"/>
  <c r="R60" i="68"/>
  <c r="R141" i="6"/>
  <c r="R26" i="8"/>
  <c r="R24" i="8"/>
  <c r="R72" i="33"/>
  <c r="R138" i="33"/>
  <c r="R182" i="33"/>
  <c r="R82" i="33"/>
  <c r="R76" i="6"/>
  <c r="R38" i="8"/>
  <c r="R28" i="68"/>
  <c r="R147" i="33"/>
  <c r="R116" i="6"/>
  <c r="R77" i="8" s="1"/>
  <c r="R88" i="6"/>
  <c r="R112" i="6"/>
  <c r="Q17" i="67" s="1"/>
  <c r="R23" i="8" l="1"/>
  <c r="R22" i="8" s="1"/>
  <c r="R15" i="8"/>
  <c r="R14" i="8" s="1"/>
  <c r="R34" i="8"/>
  <c r="R33" i="8" s="1"/>
  <c r="R44" i="68"/>
  <c r="R136" i="6"/>
  <c r="R10" i="38"/>
  <c r="R19" i="33"/>
  <c r="Q7" i="67"/>
  <c r="R13" i="9"/>
  <c r="R9" i="7"/>
  <c r="Q16" i="67"/>
  <c r="R80" i="8"/>
  <c r="R92" i="6" s="1"/>
  <c r="Q8" i="67"/>
  <c r="R12" i="38"/>
  <c r="R142" i="6"/>
  <c r="R23" i="33"/>
  <c r="R8" i="7"/>
  <c r="R12" i="9"/>
  <c r="R16" i="7"/>
  <c r="R20" i="9"/>
  <c r="Q10" i="67"/>
  <c r="R27" i="33"/>
  <c r="R14" i="38"/>
  <c r="R148" i="6"/>
  <c r="R45" i="8"/>
  <c r="R44" i="8" s="1"/>
  <c r="R82" i="68"/>
  <c r="R8" i="13" l="1"/>
  <c r="R9" i="13"/>
  <c r="R45" i="68"/>
  <c r="R128" i="6"/>
  <c r="R131" i="6"/>
  <c r="R83" i="68"/>
  <c r="R132" i="6" s="1"/>
  <c r="R13" i="38"/>
  <c r="R24" i="33"/>
  <c r="R23" i="7"/>
  <c r="R27" i="9"/>
  <c r="R16" i="13"/>
  <c r="R16" i="38"/>
  <c r="R28" i="33"/>
  <c r="R15" i="38"/>
  <c r="R11" i="38"/>
  <c r="R20" i="33"/>
  <c r="R20" i="38" l="1"/>
  <c r="R17" i="38"/>
  <c r="R23" i="13"/>
  <c r="R129" i="6"/>
  <c r="R31" i="6" s="1"/>
  <c r="R85" i="68"/>
  <c r="R32" i="6" l="1"/>
  <c r="R72" i="8" s="1"/>
  <c r="R73" i="8" s="1"/>
  <c r="R74" i="8" s="1"/>
  <c r="R65" i="8" s="1"/>
  <c r="Q13" i="67" s="1"/>
  <c r="R90" i="38"/>
  <c r="R21" i="38"/>
  <c r="R42" i="38"/>
  <c r="R66" i="38"/>
  <c r="R91" i="38" l="1"/>
  <c r="R43" i="38"/>
  <c r="R67" i="38"/>
  <c r="R22" i="38"/>
  <c r="R44" i="38" l="1"/>
  <c r="R23" i="38"/>
  <c r="R92" i="38"/>
  <c r="R68" i="38"/>
  <c r="R24" i="38" l="1"/>
  <c r="R69" i="38"/>
  <c r="R93" i="38"/>
  <c r="R45" i="38"/>
  <c r="R46" i="38" l="1"/>
  <c r="R70" i="38"/>
  <c r="R94" i="38"/>
  <c r="R25" i="38"/>
  <c r="R95" i="38" l="1"/>
  <c r="R26" i="38"/>
  <c r="R71" i="38"/>
  <c r="R47" i="38"/>
  <c r="R48" i="38" l="1"/>
  <c r="R27" i="38"/>
  <c r="R96" i="38"/>
  <c r="R72" i="38"/>
  <c r="R73" i="38" l="1"/>
  <c r="R28" i="38"/>
  <c r="R97" i="38"/>
  <c r="R49" i="38"/>
  <c r="R50" i="38" l="1"/>
  <c r="R29" i="38"/>
  <c r="R74" i="38"/>
  <c r="R98" i="38"/>
  <c r="R51" i="38" l="1"/>
  <c r="R75" i="38"/>
  <c r="R30" i="38"/>
  <c r="R99" i="38"/>
  <c r="R100" i="38" l="1"/>
  <c r="R76" i="38"/>
  <c r="R52" i="38"/>
  <c r="R31" i="38"/>
  <c r="R77" i="38" l="1"/>
  <c r="R32" i="38"/>
  <c r="R53" i="38"/>
  <c r="R101" i="38"/>
  <c r="R54" i="38" l="1"/>
  <c r="R33" i="38"/>
  <c r="R102" i="38"/>
  <c r="R78" i="38"/>
  <c r="R103" i="38" l="1"/>
  <c r="R55" i="38"/>
  <c r="R34" i="38"/>
  <c r="R79" i="38"/>
  <c r="R80" i="38" l="1"/>
  <c r="R56" i="38"/>
  <c r="R35" i="38"/>
  <c r="R104" i="38"/>
  <c r="R57" i="38" l="1"/>
  <c r="R105" i="38"/>
  <c r="R81" i="38"/>
  <c r="R36" i="38"/>
  <c r="R82" i="38" l="1"/>
  <c r="R106" i="38"/>
  <c r="R37" i="38"/>
  <c r="R58" i="38"/>
  <c r="R38" i="38" l="1"/>
  <c r="R59" i="38"/>
  <c r="R107" i="38"/>
  <c r="R83" i="38"/>
  <c r="R84" i="38" l="1"/>
  <c r="R60" i="38"/>
  <c r="R108" i="38"/>
  <c r="R39" i="38"/>
  <c r="R85" i="38" l="1"/>
  <c r="R61" i="38"/>
  <c r="R109" i="38"/>
  <c r="R110" i="38" l="1"/>
  <c r="R111" i="38"/>
  <c r="R62" i="38"/>
  <c r="R63" i="38"/>
  <c r="R87" i="38"/>
  <c r="R86" i="38"/>
  <c r="R149" i="6" l="1"/>
  <c r="R137" i="6"/>
  <c r="R143" i="6"/>
  <c r="R21" i="33" l="1"/>
  <c r="R138" i="6"/>
  <c r="R22" i="33" s="1"/>
  <c r="R139" i="6"/>
  <c r="R144" i="6"/>
  <c r="R26" i="33" s="1"/>
  <c r="R25" i="33"/>
  <c r="R145" i="6"/>
  <c r="R146" i="6" s="1"/>
  <c r="R153" i="6"/>
  <c r="R150" i="6"/>
  <c r="R30" i="33" s="1"/>
  <c r="R29" i="33"/>
  <c r="R151" i="6"/>
  <c r="R152" i="6" s="1"/>
  <c r="R31" i="33" l="1"/>
  <c r="R10" i="68"/>
  <c r="R13" i="68" s="1"/>
  <c r="R154" i="6"/>
  <c r="R140" i="6"/>
  <c r="R11" i="68" l="1"/>
  <c r="R12" i="68" s="1"/>
  <c r="R127" i="6" s="1"/>
  <c r="R155" i="6"/>
  <c r="R15" i="39"/>
  <c r="R32" i="33"/>
  <c r="R74" i="33" s="1"/>
  <c r="R108" i="33" s="1"/>
  <c r="AC117" i="33"/>
  <c r="Z117" i="33"/>
  <c r="W117" i="33"/>
  <c r="AF117" i="33"/>
  <c r="Y117" i="33"/>
  <c r="T117" i="33"/>
  <c r="AA117" i="33"/>
  <c r="AB117" i="33"/>
  <c r="AG117" i="33"/>
  <c r="AE117" i="33"/>
  <c r="R117" i="33"/>
  <c r="V117" i="33"/>
  <c r="S117" i="33"/>
  <c r="X117" i="33"/>
  <c r="AD117" i="33"/>
  <c r="U117" i="33"/>
  <c r="R83" i="33"/>
  <c r="R151" i="33"/>
  <c r="R167" i="33" s="1"/>
  <c r="R78" i="33" l="1"/>
  <c r="R112" i="33" s="1"/>
  <c r="R76" i="33"/>
  <c r="R110" i="33" s="1"/>
  <c r="R75" i="33"/>
  <c r="R77" i="33"/>
  <c r="R111" i="33" s="1"/>
  <c r="R79" i="33"/>
  <c r="R113" i="33" s="1"/>
  <c r="R49" i="68"/>
  <c r="R33" i="33"/>
  <c r="R157" i="6"/>
  <c r="R156" i="6"/>
  <c r="R228" i="33" l="1"/>
  <c r="R219" i="33"/>
  <c r="R224" i="33"/>
  <c r="R258" i="33" s="1"/>
  <c r="R220" i="33"/>
  <c r="R254" i="33" s="1"/>
  <c r="R215" i="33"/>
  <c r="R226" i="33"/>
  <c r="R225" i="33"/>
  <c r="R259" i="33" s="1"/>
  <c r="R223" i="33"/>
  <c r="R257" i="33" s="1"/>
  <c r="R216" i="33"/>
  <c r="R227" i="33"/>
  <c r="R214" i="33"/>
  <c r="R217" i="33"/>
  <c r="R221" i="33"/>
  <c r="R255" i="33" s="1"/>
  <c r="R218" i="33"/>
  <c r="R222" i="33"/>
  <c r="R256" i="33" s="1"/>
  <c r="R109" i="33"/>
  <c r="R99" i="33"/>
  <c r="R50" i="68"/>
  <c r="R130" i="6" s="1"/>
  <c r="R87" i="6" s="1"/>
  <c r="R67" i="6"/>
  <c r="R70" i="8"/>
  <c r="R34" i="33"/>
  <c r="R158" i="6"/>
  <c r="R35" i="33"/>
  <c r="R229" i="33" s="1"/>
  <c r="R48" i="68"/>
  <c r="R36" i="33" l="1"/>
  <c r="R159" i="6"/>
  <c r="R160" i="6"/>
  <c r="R161" i="6" s="1"/>
  <c r="R121" i="6" s="1"/>
  <c r="R123" i="6" s="1"/>
  <c r="R66" i="6"/>
  <c r="R245" i="33"/>
  <c r="R171" i="33"/>
  <c r="R29" i="9"/>
  <c r="R23" i="9"/>
  <c r="R19" i="7"/>
  <c r="R24" i="7"/>
  <c r="Q11" i="67"/>
  <c r="R51" i="68"/>
  <c r="Y263" i="33"/>
  <c r="T263" i="33"/>
  <c r="Z263" i="33"/>
  <c r="S263" i="33"/>
  <c r="V263" i="33"/>
  <c r="AD263" i="33"/>
  <c r="R263" i="33"/>
  <c r="AC263" i="33"/>
  <c r="W263" i="33"/>
  <c r="AA263" i="33"/>
  <c r="AF263" i="33"/>
  <c r="X263" i="33"/>
  <c r="AG263" i="33"/>
  <c r="U263" i="33"/>
  <c r="AE263" i="33"/>
  <c r="AB263" i="33"/>
  <c r="R190" i="33"/>
  <c r="R206" i="33" s="1"/>
  <c r="R71" i="8"/>
  <c r="R68" i="8"/>
  <c r="R59" i="33" l="1"/>
  <c r="R68" i="6"/>
  <c r="R19" i="13"/>
  <c r="R37" i="33"/>
  <c r="R124" i="6"/>
  <c r="R122" i="6"/>
  <c r="R25" i="13"/>
  <c r="R58" i="33"/>
  <c r="Q14" i="67" l="1"/>
  <c r="R33" i="6"/>
  <c r="R35" i="6" s="1"/>
  <c r="R69" i="8"/>
  <c r="R59" i="8" s="1"/>
  <c r="R58" i="8" s="1"/>
  <c r="R81" i="8" s="1"/>
  <c r="R81" i="6" s="1"/>
  <c r="R40" i="46"/>
  <c r="R40" i="62"/>
  <c r="R34" i="6"/>
  <c r="R13" i="39"/>
  <c r="R33" i="39" s="1"/>
  <c r="R39" i="62"/>
  <c r="R39" i="46"/>
  <c r="Q12" i="67"/>
  <c r="R69" i="6"/>
  <c r="R5" i="7" l="1"/>
  <c r="R8" i="9"/>
  <c r="R36" i="6"/>
  <c r="R37" i="6"/>
  <c r="Z180" i="6"/>
  <c r="R180" i="6"/>
  <c r="T180" i="6"/>
  <c r="W180" i="6"/>
  <c r="V180" i="6"/>
  <c r="R17" i="9"/>
  <c r="Y180" i="6"/>
  <c r="AA180" i="6"/>
  <c r="AI180" i="6"/>
  <c r="X180" i="6"/>
  <c r="R13" i="7"/>
  <c r="R85" i="6" s="1"/>
  <c r="S180" i="6"/>
  <c r="U180" i="6"/>
  <c r="R38" i="6" l="1"/>
  <c r="R86" i="6"/>
  <c r="R5" i="13"/>
  <c r="R21" i="9"/>
  <c r="R17" i="7"/>
  <c r="R83" i="6"/>
  <c r="R13" i="13"/>
  <c r="AH180" i="6"/>
  <c r="AJ180" i="6" s="1"/>
  <c r="R196" i="6"/>
  <c r="R18" i="7" l="1"/>
  <c r="R22" i="9"/>
  <c r="R17" i="13"/>
  <c r="R82" i="6"/>
  <c r="R19" i="9"/>
  <c r="R15" i="7"/>
  <c r="R55" i="6"/>
  <c r="R15" i="13" l="1"/>
  <c r="R41" i="39"/>
  <c r="R56" i="6"/>
  <c r="R57" i="6" s="1"/>
  <c r="R100" i="6"/>
  <c r="R18" i="9"/>
  <c r="R14" i="7"/>
  <c r="R18" i="13"/>
  <c r="R14" i="13" l="1"/>
  <c r="R42" i="39"/>
  <c r="R58" i="6"/>
  <c r="R152" i="40" l="1"/>
  <c r="R117" i="40"/>
  <c r="R171" i="40"/>
  <c r="R43" i="39"/>
  <c r="R140" i="40"/>
  <c r="R141" i="40" s="1"/>
  <c r="R142" i="40" s="1"/>
  <c r="R59" i="6"/>
  <c r="R172" i="40" l="1"/>
  <c r="R187" i="40" s="1"/>
  <c r="R177" i="40"/>
  <c r="R173" i="40"/>
  <c r="R175" i="40" s="1"/>
  <c r="R163" i="40"/>
  <c r="R119" i="40"/>
  <c r="R127" i="40" s="1"/>
  <c r="R118" i="40"/>
  <c r="R126" i="40" s="1"/>
  <c r="R128" i="40" s="1"/>
  <c r="R46" i="39" s="1"/>
  <c r="R164" i="40"/>
  <c r="R144" i="40"/>
  <c r="R143" i="40"/>
  <c r="R145" i="40" s="1"/>
  <c r="R174" i="40" l="1"/>
  <c r="R124" i="40"/>
  <c r="R120" i="40"/>
  <c r="R121" i="40"/>
  <c r="R176" i="40"/>
  <c r="R123" i="40"/>
  <c r="R125" i="40" s="1"/>
  <c r="R41" i="33" s="1"/>
  <c r="R42" i="33" s="1"/>
  <c r="R146" i="40"/>
  <c r="R147" i="40"/>
  <c r="R188" i="40"/>
  <c r="R189" i="40" s="1"/>
  <c r="R35" i="39" s="1"/>
  <c r="R178" i="40"/>
  <c r="R180" i="40" s="1"/>
  <c r="R179" i="40"/>
  <c r="R184" i="40" s="1"/>
  <c r="R153" i="40"/>
  <c r="R154" i="40"/>
  <c r="R44" i="39" l="1"/>
  <c r="R50" i="39" s="1"/>
  <c r="R51" i="39" s="1"/>
  <c r="R122" i="40"/>
  <c r="R183" i="40"/>
  <c r="R185" i="40" s="1"/>
  <c r="R191" i="40"/>
  <c r="R190" i="40"/>
  <c r="R181" i="40"/>
  <c r="R182" i="40" s="1"/>
  <c r="R155" i="40"/>
  <c r="R159" i="40"/>
  <c r="R158" i="40"/>
  <c r="R156" i="40"/>
  <c r="R39" i="6" l="1"/>
  <c r="R45" i="39"/>
  <c r="R53" i="39" s="1"/>
  <c r="R40" i="33"/>
  <c r="R192" i="40"/>
  <c r="R36" i="39" s="1"/>
  <c r="R186" i="40"/>
  <c r="R34" i="39" s="1"/>
  <c r="R160" i="40"/>
  <c r="R157" i="40"/>
  <c r="R193" i="40" l="1"/>
  <c r="R161" i="40"/>
  <c r="R162" i="40" s="1"/>
  <c r="R43" i="33"/>
  <c r="R47" i="33"/>
  <c r="R48" i="33" s="1"/>
  <c r="R49" i="33" s="1"/>
  <c r="R51" i="33" s="1"/>
  <c r="R52" i="33" s="1"/>
  <c r="R53" i="33" s="1"/>
  <c r="R54" i="33" s="1"/>
  <c r="R41" i="6"/>
  <c r="R40" i="6"/>
  <c r="R37" i="39"/>
  <c r="R47" i="39"/>
  <c r="R42" i="6" l="1"/>
  <c r="R14" i="39"/>
  <c r="R44" i="6"/>
  <c r="R48" i="6" s="1"/>
  <c r="R49" i="6" s="1"/>
  <c r="R52" i="39" l="1"/>
  <c r="R16" i="39"/>
  <c r="R50" i="6"/>
  <c r="R43" i="6"/>
  <c r="R51" i="6"/>
  <c r="R18" i="39" l="1"/>
  <c r="R56" i="39"/>
  <c r="R17" i="39"/>
  <c r="R19" i="39" s="1"/>
  <c r="R20" i="39" s="1"/>
  <c r="R54" i="39"/>
  <c r="R52" i="6"/>
  <c r="R55" i="39" l="1"/>
  <c r="R38" i="39" s="1"/>
  <c r="R21" i="39"/>
  <c r="R60" i="6" s="1"/>
  <c r="R62" i="6" s="1"/>
  <c r="R9" i="9" s="1"/>
  <c r="R61" i="6"/>
  <c r="R57" i="39" l="1"/>
  <c r="R6" i="7"/>
  <c r="R63" i="6"/>
  <c r="R64" i="6"/>
  <c r="R65" i="6" s="1"/>
  <c r="R70" i="6"/>
  <c r="R75" i="6" s="1"/>
  <c r="R6" i="13"/>
  <c r="R71" i="6" l="1"/>
  <c r="R99" i="6"/>
  <c r="R11" i="9"/>
  <c r="R7" i="7"/>
  <c r="R78" i="6"/>
  <c r="R7" i="13" l="1"/>
  <c r="R14" i="9"/>
  <c r="R10" i="7"/>
  <c r="R95" i="6"/>
  <c r="R90" i="6"/>
  <c r="R21" i="7" l="1"/>
  <c r="R25" i="9"/>
  <c r="R10" i="13"/>
  <c r="R101" i="6"/>
  <c r="R103" i="6"/>
  <c r="R102" i="6" l="1"/>
  <c r="R105" i="6" s="1"/>
  <c r="R104" i="6"/>
  <c r="R21" i="13"/>
  <c r="R106" i="6" l="1"/>
  <c r="R107" i="6" l="1"/>
  <c r="R91" i="6" l="1"/>
  <c r="R22" i="7" l="1"/>
  <c r="R26" i="9"/>
  <c r="R89" i="6"/>
  <c r="R28" i="9" l="1"/>
  <c r="R20" i="7"/>
  <c r="R93" i="6"/>
  <c r="R22" i="13"/>
  <c r="R20" i="13" s="1"/>
  <c r="R24" i="9"/>
  <c r="R30" i="9" l="1"/>
  <c r="R25" i="7"/>
  <c r="R96" i="6"/>
  <c r="R24" i="13"/>
  <c r="R27" i="7" l="1"/>
  <c r="S111" i="6"/>
  <c r="R26" i="13"/>
  <c r="R32" i="9"/>
  <c r="K30" i="7" l="1"/>
  <c r="O30" i="7"/>
  <c r="N30" i="7"/>
  <c r="L30" i="7"/>
  <c r="M30" i="7"/>
  <c r="P30" i="7"/>
  <c r="S41" i="68"/>
  <c r="S18" i="68"/>
  <c r="S182" i="33"/>
  <c r="S27" i="8"/>
  <c r="S78" i="68"/>
  <c r="S48" i="8"/>
  <c r="S55" i="8" s="1"/>
  <c r="S20" i="68"/>
  <c r="S175" i="33"/>
  <c r="S84" i="6"/>
  <c r="S37" i="8"/>
  <c r="S23" i="68"/>
  <c r="S65" i="68"/>
  <c r="S70" i="33"/>
  <c r="S69" i="68"/>
  <c r="S17" i="68"/>
  <c r="S46" i="8"/>
  <c r="S28" i="8"/>
  <c r="S31" i="68"/>
  <c r="S52" i="68"/>
  <c r="S61" i="8"/>
  <c r="S36" i="68"/>
  <c r="S141" i="6"/>
  <c r="S67" i="68"/>
  <c r="S52" i="8"/>
  <c r="S62" i="68"/>
  <c r="S77" i="68"/>
  <c r="S47" i="8"/>
  <c r="S190" i="33"/>
  <c r="S139" i="33"/>
  <c r="S136" i="33"/>
  <c r="S60" i="8"/>
  <c r="S19" i="68"/>
  <c r="S40" i="68"/>
  <c r="S141" i="33"/>
  <c r="S63" i="68"/>
  <c r="S83" i="33"/>
  <c r="S76" i="6"/>
  <c r="S15" i="68"/>
  <c r="S188" i="33"/>
  <c r="S24" i="8"/>
  <c r="S61" i="68"/>
  <c r="S186" i="33"/>
  <c r="S38" i="8"/>
  <c r="S17" i="8"/>
  <c r="S76" i="68"/>
  <c r="S77" i="6"/>
  <c r="S71" i="68"/>
  <c r="S29" i="68"/>
  <c r="S146" i="33"/>
  <c r="S51" i="8"/>
  <c r="S42" i="68"/>
  <c r="S49" i="8"/>
  <c r="S21" i="68"/>
  <c r="S37" i="68"/>
  <c r="S66" i="8"/>
  <c r="S68" i="68"/>
  <c r="S73" i="33"/>
  <c r="S72" i="68"/>
  <c r="S151" i="33"/>
  <c r="S70" i="68"/>
  <c r="S35" i="68"/>
  <c r="S27" i="68"/>
  <c r="S30" i="68"/>
  <c r="S82" i="33"/>
  <c r="S39" i="68"/>
  <c r="S16" i="8"/>
  <c r="S39" i="8"/>
  <c r="S26" i="68"/>
  <c r="S22" i="68"/>
  <c r="S81" i="68"/>
  <c r="S74" i="6"/>
  <c r="S10" i="9" s="1"/>
  <c r="S54" i="68"/>
  <c r="S66" i="68"/>
  <c r="S34" i="68"/>
  <c r="S147" i="6"/>
  <c r="S184" i="33"/>
  <c r="S72" i="33"/>
  <c r="S183" i="33"/>
  <c r="S33" i="68"/>
  <c r="S43" i="68"/>
  <c r="S142" i="33"/>
  <c r="S56" i="68"/>
  <c r="S67" i="8"/>
  <c r="S189" i="33"/>
  <c r="S148" i="33"/>
  <c r="S26" i="8"/>
  <c r="S187" i="33"/>
  <c r="S80" i="68"/>
  <c r="S73" i="68"/>
  <c r="S50" i="8"/>
  <c r="R6" i="67"/>
  <c r="R9" i="67" s="1"/>
  <c r="S138" i="33"/>
  <c r="S81" i="33"/>
  <c r="S147" i="33"/>
  <c r="S75" i="68"/>
  <c r="S179" i="33"/>
  <c r="S59" i="68"/>
  <c r="S71" i="33"/>
  <c r="S28" i="68"/>
  <c r="S137" i="33"/>
  <c r="S55" i="68"/>
  <c r="S64" i="8"/>
  <c r="S115" i="6"/>
  <c r="S18" i="8"/>
  <c r="S63" i="8"/>
  <c r="S180" i="33"/>
  <c r="S74" i="68"/>
  <c r="S177" i="33"/>
  <c r="S38" i="68"/>
  <c r="S35" i="8"/>
  <c r="S58" i="68"/>
  <c r="S176" i="33"/>
  <c r="S79" i="68"/>
  <c r="S62" i="8"/>
  <c r="S149" i="33"/>
  <c r="S16" i="68"/>
  <c r="S68" i="33"/>
  <c r="S80" i="33"/>
  <c r="S24" i="68"/>
  <c r="S143" i="33"/>
  <c r="S150" i="33"/>
  <c r="S25" i="8"/>
  <c r="S19" i="8"/>
  <c r="S54" i="8"/>
  <c r="S14" i="68"/>
  <c r="S69" i="33"/>
  <c r="S145" i="33"/>
  <c r="S53" i="68"/>
  <c r="S57" i="68"/>
  <c r="S135" i="6"/>
  <c r="S25" i="68"/>
  <c r="S32" i="68"/>
  <c r="S140" i="33"/>
  <c r="S144" i="33"/>
  <c r="S64" i="68"/>
  <c r="S36" i="8"/>
  <c r="S60" i="68"/>
  <c r="S185" i="33"/>
  <c r="S181" i="33"/>
  <c r="S178" i="33"/>
  <c r="S116" i="6"/>
  <c r="S77" i="8" s="1"/>
  <c r="S88" i="6"/>
  <c r="S112" i="6"/>
  <c r="R17" i="67" s="1"/>
  <c r="R28" i="13"/>
  <c r="Q30" i="7"/>
  <c r="P31" i="13" l="1"/>
  <c r="L31" i="13"/>
  <c r="O31" i="13"/>
  <c r="M31" i="13"/>
  <c r="S34" i="8"/>
  <c r="S33" i="8" s="1"/>
  <c r="S23" i="8"/>
  <c r="S22" i="8" s="1"/>
  <c r="R10" i="67"/>
  <c r="S14" i="38"/>
  <c r="S27" i="33"/>
  <c r="S148" i="6"/>
  <c r="S82" i="68"/>
  <c r="S10" i="38"/>
  <c r="R7" i="67"/>
  <c r="S136" i="6"/>
  <c r="S19" i="33"/>
  <c r="S80" i="8"/>
  <c r="S92" i="6" s="1"/>
  <c r="S15" i="8"/>
  <c r="S14" i="8" s="1"/>
  <c r="S13" i="9"/>
  <c r="S9" i="7"/>
  <c r="R8" i="67"/>
  <c r="S23" i="33"/>
  <c r="S12" i="38"/>
  <c r="S142" i="6"/>
  <c r="N31" i="13"/>
  <c r="Q31" i="13"/>
  <c r="S45" i="8"/>
  <c r="S44" i="8" s="1"/>
  <c r="R16" i="67"/>
  <c r="S44" i="68"/>
  <c r="S12" i="9"/>
  <c r="S8" i="7"/>
  <c r="S16" i="7"/>
  <c r="S20" i="9"/>
  <c r="S24" i="33" l="1"/>
  <c r="S13" i="38"/>
  <c r="S131" i="6"/>
  <c r="S83" i="68"/>
  <c r="S132" i="6" s="1"/>
  <c r="S16" i="13"/>
  <c r="S9" i="13"/>
  <c r="S16" i="38"/>
  <c r="S23" i="7"/>
  <c r="S27" i="9"/>
  <c r="S11" i="38"/>
  <c r="S20" i="33"/>
  <c r="S8" i="13"/>
  <c r="S28" i="33"/>
  <c r="S15" i="38"/>
  <c r="S128" i="6"/>
  <c r="S45" i="68"/>
  <c r="S85" i="68" l="1"/>
  <c r="S129" i="6"/>
  <c r="S31" i="6" s="1"/>
  <c r="S20" i="38"/>
  <c r="S17" i="38"/>
  <c r="S23" i="13"/>
  <c r="S66" i="38" l="1"/>
  <c r="S90" i="38"/>
  <c r="S42" i="38"/>
  <c r="S21" i="38"/>
  <c r="S32" i="6"/>
  <c r="S72" i="8" s="1"/>
  <c r="S73" i="8" s="1"/>
  <c r="S74" i="8" s="1"/>
  <c r="S65" i="8" s="1"/>
  <c r="R13" i="67" s="1"/>
  <c r="S22" i="38" l="1"/>
  <c r="S67" i="38"/>
  <c r="S43" i="38"/>
  <c r="S91" i="38"/>
  <c r="S44" i="38" l="1"/>
  <c r="S23" i="38"/>
  <c r="S68" i="38"/>
  <c r="S92" i="38"/>
  <c r="S45" i="38" l="1"/>
  <c r="S93" i="38"/>
  <c r="S69" i="38"/>
  <c r="S24" i="38"/>
  <c r="S94" i="38" l="1"/>
  <c r="S70" i="38"/>
  <c r="S25" i="38"/>
  <c r="S46" i="38"/>
  <c r="S47" i="38" l="1"/>
  <c r="S71" i="38"/>
  <c r="S26" i="38"/>
  <c r="S95" i="38"/>
  <c r="S48" i="38" l="1"/>
  <c r="S96" i="38"/>
  <c r="S72" i="38"/>
  <c r="S27" i="38"/>
  <c r="S49" i="38" l="1"/>
  <c r="S73" i="38"/>
  <c r="S28" i="38"/>
  <c r="S97" i="38"/>
  <c r="S74" i="38" l="1"/>
  <c r="S29" i="38"/>
  <c r="S98" i="38"/>
  <c r="S50" i="38"/>
  <c r="S99" i="38" l="1"/>
  <c r="S75" i="38"/>
  <c r="S30" i="38"/>
  <c r="S51" i="38"/>
  <c r="S31" i="38" l="1"/>
  <c r="S100" i="38"/>
  <c r="S52" i="38"/>
  <c r="S76" i="38"/>
  <c r="S101" i="38" l="1"/>
  <c r="S53" i="38"/>
  <c r="S32" i="38"/>
  <c r="S77" i="38"/>
  <c r="S102" i="38" l="1"/>
  <c r="S33" i="38"/>
  <c r="S54" i="38"/>
  <c r="S78" i="38"/>
  <c r="S103" i="38" l="1"/>
  <c r="S55" i="38"/>
  <c r="S79" i="38"/>
  <c r="S34" i="38"/>
  <c r="S104" i="38" l="1"/>
  <c r="S35" i="38"/>
  <c r="S80" i="38"/>
  <c r="S56" i="38"/>
  <c r="S81" i="38" l="1"/>
  <c r="S36" i="38"/>
  <c r="S105" i="38"/>
  <c r="S57" i="38"/>
  <c r="S37" i="38" l="1"/>
  <c r="S82" i="38"/>
  <c r="S58" i="38"/>
  <c r="S106" i="38"/>
  <c r="S59" i="38" l="1"/>
  <c r="S83" i="38"/>
  <c r="S38" i="38"/>
  <c r="S107" i="38"/>
  <c r="S108" i="38" l="1"/>
  <c r="S84" i="38"/>
  <c r="S39" i="38"/>
  <c r="S60" i="38"/>
  <c r="S85" i="38" l="1"/>
  <c r="S109" i="38"/>
  <c r="S61" i="38"/>
  <c r="S63" i="38" l="1"/>
  <c r="S62" i="38"/>
  <c r="S110" i="38"/>
  <c r="S111" i="38"/>
  <c r="S86" i="38"/>
  <c r="S87" i="38"/>
  <c r="S149" i="6" l="1"/>
  <c r="S143" i="6"/>
  <c r="S137" i="6"/>
  <c r="S25" i="33" l="1"/>
  <c r="S144" i="6"/>
  <c r="S26" i="33" s="1"/>
  <c r="S145" i="6"/>
  <c r="S146" i="6" s="1"/>
  <c r="S21" i="33"/>
  <c r="S138" i="6"/>
  <c r="S22" i="33" s="1"/>
  <c r="S139" i="6"/>
  <c r="S29" i="33"/>
  <c r="S153" i="6"/>
  <c r="S150" i="6"/>
  <c r="S30" i="33" s="1"/>
  <c r="S151" i="6"/>
  <c r="S152" i="6" s="1"/>
  <c r="S140" i="6" l="1"/>
  <c r="S10" i="68"/>
  <c r="S13" i="68" s="1"/>
  <c r="S31" i="33"/>
  <c r="S154" i="6"/>
  <c r="S118" i="33" l="1"/>
  <c r="U118" i="33"/>
  <c r="Z118" i="33"/>
  <c r="X118" i="33"/>
  <c r="Y118" i="33"/>
  <c r="AA118" i="33"/>
  <c r="AF118" i="33"/>
  <c r="AD118" i="33"/>
  <c r="AC118" i="33"/>
  <c r="AE118" i="33"/>
  <c r="T118" i="33"/>
  <c r="AB118" i="33"/>
  <c r="V118" i="33"/>
  <c r="W118" i="33"/>
  <c r="AG118" i="33"/>
  <c r="S152" i="33"/>
  <c r="S167" i="33" s="1"/>
  <c r="S84" i="33"/>
  <c r="S155" i="6"/>
  <c r="S11" i="68"/>
  <c r="S12" i="68" s="1"/>
  <c r="S127" i="6" s="1"/>
  <c r="S32" i="33"/>
  <c r="S74" i="33" s="1"/>
  <c r="S108" i="33" s="1"/>
  <c r="S15" i="39"/>
  <c r="S49" i="68" l="1"/>
  <c r="S33" i="33"/>
  <c r="S157" i="6"/>
  <c r="S156" i="6"/>
  <c r="S78" i="33"/>
  <c r="S112" i="33" s="1"/>
  <c r="S79" i="33"/>
  <c r="S113" i="33" s="1"/>
  <c r="S76" i="33"/>
  <c r="S110" i="33" s="1"/>
  <c r="S77" i="33"/>
  <c r="S111" i="33" s="1"/>
  <c r="S75" i="33"/>
  <c r="S70" i="8" l="1"/>
  <c r="S34" i="33"/>
  <c r="S158" i="6"/>
  <c r="S35" i="33"/>
  <c r="S48" i="68"/>
  <c r="S221" i="33"/>
  <c r="S255" i="33" s="1"/>
  <c r="S216" i="33"/>
  <c r="S223" i="33"/>
  <c r="S257" i="33" s="1"/>
  <c r="S220" i="33"/>
  <c r="S254" i="33" s="1"/>
  <c r="S215" i="33"/>
  <c r="S226" i="33"/>
  <c r="S229" i="33"/>
  <c r="S214" i="33"/>
  <c r="S217" i="33"/>
  <c r="S222" i="33"/>
  <c r="S256" i="33" s="1"/>
  <c r="S218" i="33"/>
  <c r="S225" i="33"/>
  <c r="S259" i="33" s="1"/>
  <c r="S227" i="33"/>
  <c r="S224" i="33"/>
  <c r="S258" i="33" s="1"/>
  <c r="S228" i="33"/>
  <c r="S219" i="33"/>
  <c r="S109" i="33"/>
  <c r="S99" i="33"/>
  <c r="S67" i="6"/>
  <c r="S50" i="68"/>
  <c r="S130" i="6" s="1"/>
  <c r="S87" i="6" s="1"/>
  <c r="S171" i="33" l="1"/>
  <c r="S51" i="68"/>
  <c r="R11" i="67"/>
  <c r="S36" i="33"/>
  <c r="S159" i="6"/>
  <c r="S160" i="6"/>
  <c r="S161" i="6" s="1"/>
  <c r="S121" i="6" s="1"/>
  <c r="S123" i="6" s="1"/>
  <c r="S19" i="7"/>
  <c r="S29" i="9"/>
  <c r="S23" i="9"/>
  <c r="S24" i="7"/>
  <c r="S66" i="6"/>
  <c r="S230" i="33"/>
  <c r="S245" i="33" s="1"/>
  <c r="AD264" i="33"/>
  <c r="T264" i="33"/>
  <c r="V264" i="33"/>
  <c r="Y264" i="33"/>
  <c r="AB264" i="33"/>
  <c r="AA264" i="33"/>
  <c r="AC264" i="33"/>
  <c r="W264" i="33"/>
  <c r="S264" i="33"/>
  <c r="X264" i="33"/>
  <c r="AG264" i="33"/>
  <c r="Z264" i="33"/>
  <c r="U264" i="33"/>
  <c r="AF264" i="33"/>
  <c r="AE264" i="33"/>
  <c r="S191" i="33"/>
  <c r="S206" i="33" s="1"/>
  <c r="S71" i="8"/>
  <c r="S68" i="8"/>
  <c r="S59" i="33" l="1"/>
  <c r="S19" i="13"/>
  <c r="S37" i="33"/>
  <c r="S68" i="6"/>
  <c r="S124" i="6"/>
  <c r="S122" i="6"/>
  <c r="S25" i="13"/>
  <c r="S58" i="33"/>
  <c r="R14" i="67" l="1"/>
  <c r="S33" i="6"/>
  <c r="S35" i="6" s="1"/>
  <c r="S39" i="62"/>
  <c r="R12" i="67"/>
  <c r="S39" i="46"/>
  <c r="S69" i="8"/>
  <c r="S59" i="8" s="1"/>
  <c r="S58" i="8" s="1"/>
  <c r="S81" i="8" s="1"/>
  <c r="S81" i="6" s="1"/>
  <c r="S40" i="62"/>
  <c r="S40" i="46"/>
  <c r="S69" i="6"/>
  <c r="S13" i="39" l="1"/>
  <c r="S33" i="39" s="1"/>
  <c r="S34" i="6"/>
  <c r="S5" i="7" s="1"/>
  <c r="U181" i="6"/>
  <c r="Y181" i="6"/>
  <c r="AA181" i="6"/>
  <c r="S17" i="9"/>
  <c r="AB181" i="6"/>
  <c r="X181" i="6"/>
  <c r="W181" i="6"/>
  <c r="V181" i="6"/>
  <c r="AI181" i="6"/>
  <c r="Z181" i="6"/>
  <c r="S181" i="6"/>
  <c r="T181" i="6"/>
  <c r="S13" i="7"/>
  <c r="S85" i="6" s="1"/>
  <c r="S37" i="6"/>
  <c r="S8" i="9" l="1"/>
  <c r="S5" i="13" s="1"/>
  <c r="S36" i="6"/>
  <c r="AH181" i="6"/>
  <c r="AJ181" i="6" s="1"/>
  <c r="S196" i="6"/>
  <c r="S21" i="9"/>
  <c r="S17" i="7"/>
  <c r="S83" i="6"/>
  <c r="S38" i="6"/>
  <c r="S86" i="6"/>
  <c r="S13" i="13"/>
  <c r="S19" i="9" l="1"/>
  <c r="S15" i="7"/>
  <c r="S82" i="6"/>
  <c r="S18" i="7"/>
  <c r="S22" i="9"/>
  <c r="S55" i="6"/>
  <c r="S17" i="13"/>
  <c r="S41" i="39" l="1"/>
  <c r="S56" i="6"/>
  <c r="S57" i="6" s="1"/>
  <c r="S18" i="13"/>
  <c r="S14" i="7"/>
  <c r="S100" i="6"/>
  <c r="S18" i="9"/>
  <c r="S15" i="13"/>
  <c r="S14" i="13" l="1"/>
  <c r="S42" i="39"/>
  <c r="S58" i="6"/>
  <c r="S117" i="40" l="1"/>
  <c r="S171" i="40"/>
  <c r="S140" i="40"/>
  <c r="S141" i="40" s="1"/>
  <c r="S142" i="40" s="1"/>
  <c r="S152" i="40"/>
  <c r="S43" i="39"/>
  <c r="S59" i="6"/>
  <c r="S143" i="40" l="1"/>
  <c r="S144" i="40"/>
  <c r="S145" i="40"/>
  <c r="S172" i="40"/>
  <c r="S187" i="40" s="1"/>
  <c r="S173" i="40"/>
  <c r="S175" i="40" s="1"/>
  <c r="S177" i="40"/>
  <c r="S119" i="40"/>
  <c r="S127" i="40" s="1"/>
  <c r="S118" i="40"/>
  <c r="S120" i="40" s="1"/>
  <c r="S164" i="40"/>
  <c r="S163" i="40"/>
  <c r="S188" i="40" l="1"/>
  <c r="S126" i="40"/>
  <c r="S128" i="40" s="1"/>
  <c r="S46" i="39" s="1"/>
  <c r="S147" i="40"/>
  <c r="S146" i="40"/>
  <c r="S124" i="40"/>
  <c r="S174" i="40"/>
  <c r="S176" i="40" s="1"/>
  <c r="S178" i="40"/>
  <c r="S180" i="40" s="1"/>
  <c r="S179" i="40"/>
  <c r="S191" i="40" s="1"/>
  <c r="S123" i="40"/>
  <c r="S121" i="40"/>
  <c r="S122" i="40" s="1"/>
  <c r="S189" i="40"/>
  <c r="S35" i="39" s="1"/>
  <c r="S153" i="40"/>
  <c r="S154" i="40"/>
  <c r="S190" i="40" l="1"/>
  <c r="S192" i="40" s="1"/>
  <c r="S36" i="39" s="1"/>
  <c r="S125" i="40"/>
  <c r="S44" i="39" s="1"/>
  <c r="S50" i="39" s="1"/>
  <c r="S51" i="39" s="1"/>
  <c r="S183" i="40"/>
  <c r="S181" i="40"/>
  <c r="S182" i="40" s="1"/>
  <c r="S184" i="40"/>
  <c r="S40" i="33"/>
  <c r="S45" i="39"/>
  <c r="S39" i="6"/>
  <c r="S158" i="40"/>
  <c r="S159" i="40"/>
  <c r="S155" i="40"/>
  <c r="S156" i="40"/>
  <c r="S185" i="40" l="1"/>
  <c r="S186" i="40" s="1"/>
  <c r="S193" i="40" s="1"/>
  <c r="S53" i="39"/>
  <c r="S41" i="33"/>
  <c r="S42" i="33" s="1"/>
  <c r="S40" i="6"/>
  <c r="S41" i="6"/>
  <c r="S43" i="33"/>
  <c r="S157" i="40"/>
  <c r="S160" i="40"/>
  <c r="S161" i="40" l="1"/>
  <c r="S162" i="40" s="1"/>
  <c r="S34" i="39"/>
  <c r="S37" i="39" s="1"/>
  <c r="S47" i="33"/>
  <c r="S48" i="33" s="1"/>
  <c r="S49" i="33" s="1"/>
  <c r="S51" i="33" s="1"/>
  <c r="S52" i="33" s="1"/>
  <c r="S53" i="33" s="1"/>
  <c r="S54" i="33" s="1"/>
  <c r="S47" i="39"/>
  <c r="S42" i="6"/>
  <c r="S14" i="39"/>
  <c r="S44" i="6"/>
  <c r="S43" i="6" l="1"/>
  <c r="S48" i="6"/>
  <c r="S52" i="39"/>
  <c r="S16" i="39"/>
  <c r="S17" i="39" l="1"/>
  <c r="S18" i="39"/>
  <c r="S56" i="39"/>
  <c r="S54" i="39"/>
  <c r="S55" i="39" s="1"/>
  <c r="S49" i="6"/>
  <c r="S50" i="6"/>
  <c r="S51" i="6" l="1"/>
  <c r="S57" i="39"/>
  <c r="S38" i="39"/>
  <c r="S19" i="39"/>
  <c r="S20" i="39" s="1"/>
  <c r="S21" i="39" l="1"/>
  <c r="S60" i="6" s="1"/>
  <c r="S61" i="6"/>
  <c r="S52" i="6"/>
  <c r="S62" i="6" l="1"/>
  <c r="S6" i="7" l="1"/>
  <c r="S70" i="6"/>
  <c r="S9" i="9"/>
  <c r="S63" i="6"/>
  <c r="S64" i="6"/>
  <c r="S6" i="13" l="1"/>
  <c r="S65" i="6"/>
  <c r="S75" i="6"/>
  <c r="S71" i="6"/>
  <c r="S11" i="9" l="1"/>
  <c r="S7" i="7"/>
  <c r="S99" i="6"/>
  <c r="S78" i="6"/>
  <c r="S90" i="6" l="1"/>
  <c r="S14" i="9"/>
  <c r="S10" i="7"/>
  <c r="S95" i="6"/>
  <c r="S7" i="13"/>
  <c r="S10" i="13" l="1"/>
  <c r="S103" i="6"/>
  <c r="S101" i="6"/>
  <c r="S21" i="7"/>
  <c r="S25" i="9"/>
  <c r="S21" i="13" l="1"/>
  <c r="S102" i="6"/>
  <c r="S105" i="6" s="1"/>
  <c r="S104" i="6"/>
  <c r="S106" i="6" l="1"/>
  <c r="S107" i="6" l="1"/>
  <c r="S91" i="6" l="1"/>
  <c r="S26" i="9" l="1"/>
  <c r="S22" i="7"/>
  <c r="S89" i="6"/>
  <c r="S20" i="7" l="1"/>
  <c r="S28" i="9"/>
  <c r="S93" i="6"/>
  <c r="S22" i="13"/>
  <c r="S20" i="13" s="1"/>
  <c r="S24" i="9"/>
  <c r="S30" i="9" l="1"/>
  <c r="S25" i="7"/>
  <c r="S96" i="6"/>
  <c r="S24" i="13"/>
  <c r="S27" i="7" l="1"/>
  <c r="T111" i="6"/>
  <c r="S26" i="13"/>
  <c r="S32" i="9"/>
  <c r="T69" i="33" l="1"/>
  <c r="T144" i="33"/>
  <c r="T181" i="33"/>
  <c r="T31" i="68"/>
  <c r="T27" i="8"/>
  <c r="T71" i="33"/>
  <c r="T77" i="68"/>
  <c r="T46" i="8"/>
  <c r="T71" i="68"/>
  <c r="T77" i="6"/>
  <c r="T18" i="68"/>
  <c r="T35" i="68"/>
  <c r="T42" i="68"/>
  <c r="T184" i="33"/>
  <c r="T66" i="68"/>
  <c r="T84" i="6"/>
  <c r="T191" i="33"/>
  <c r="T176" i="33"/>
  <c r="T72" i="33"/>
  <c r="T84" i="33"/>
  <c r="T139" i="33"/>
  <c r="T21" i="68"/>
  <c r="T147" i="33"/>
  <c r="T27" i="68"/>
  <c r="T50" i="8"/>
  <c r="T17" i="8"/>
  <c r="T182" i="33"/>
  <c r="T63" i="8"/>
  <c r="T19" i="68"/>
  <c r="T29" i="68"/>
  <c r="T81" i="68"/>
  <c r="T54" i="68"/>
  <c r="T37" i="68"/>
  <c r="T135" i="6"/>
  <c r="T24" i="68"/>
  <c r="T66" i="8"/>
  <c r="T26" i="68"/>
  <c r="T52" i="8"/>
  <c r="T185" i="33"/>
  <c r="T138" i="33"/>
  <c r="T188" i="33"/>
  <c r="T58" i="68"/>
  <c r="T36" i="68"/>
  <c r="T187" i="33"/>
  <c r="T65" i="68"/>
  <c r="T14" i="68"/>
  <c r="T78" i="68"/>
  <c r="T18" i="8"/>
  <c r="T63" i="68"/>
  <c r="T180" i="33"/>
  <c r="T53" i="68"/>
  <c r="T73" i="33"/>
  <c r="T39" i="8"/>
  <c r="T79" i="68"/>
  <c r="T69" i="68"/>
  <c r="T145" i="33"/>
  <c r="T140" i="33"/>
  <c r="T150" i="33"/>
  <c r="T141" i="6"/>
  <c r="T28" i="8"/>
  <c r="T74" i="6"/>
  <c r="T10" i="9" s="1"/>
  <c r="T146" i="33"/>
  <c r="T39" i="68"/>
  <c r="T62" i="8"/>
  <c r="T73" i="68"/>
  <c r="T32" i="68"/>
  <c r="T177" i="33"/>
  <c r="T38" i="68"/>
  <c r="T81" i="33"/>
  <c r="T15" i="68"/>
  <c r="T148" i="33"/>
  <c r="T33" i="68"/>
  <c r="T83" i="33"/>
  <c r="T30" i="68"/>
  <c r="T61" i="8"/>
  <c r="T19" i="8"/>
  <c r="T24" i="8"/>
  <c r="T16" i="8"/>
  <c r="T37" i="8"/>
  <c r="T20" i="68"/>
  <c r="T25" i="8"/>
  <c r="T70" i="68"/>
  <c r="T142" i="33"/>
  <c r="T16" i="68"/>
  <c r="T51" i="8"/>
  <c r="T26" i="8"/>
  <c r="T60" i="68"/>
  <c r="T25" i="68"/>
  <c r="T190" i="33"/>
  <c r="T70" i="33"/>
  <c r="T62" i="68"/>
  <c r="T149" i="33"/>
  <c r="T41" i="68"/>
  <c r="T67" i="68"/>
  <c r="T17" i="68"/>
  <c r="T147" i="6"/>
  <c r="T60" i="8"/>
  <c r="T48" i="8"/>
  <c r="T55" i="8" s="1"/>
  <c r="T54" i="8"/>
  <c r="T28" i="68"/>
  <c r="T36" i="8"/>
  <c r="T76" i="6"/>
  <c r="T179" i="33"/>
  <c r="T178" i="33"/>
  <c r="T38" i="8"/>
  <c r="T67" i="8"/>
  <c r="T55" i="68"/>
  <c r="T175" i="33"/>
  <c r="T186" i="33"/>
  <c r="T49" i="8"/>
  <c r="T64" i="68"/>
  <c r="T82" i="33"/>
  <c r="T115" i="6"/>
  <c r="T76" i="68"/>
  <c r="T59" i="68"/>
  <c r="T40" i="68"/>
  <c r="T189" i="33"/>
  <c r="T183" i="33"/>
  <c r="T80" i="33"/>
  <c r="T68" i="68"/>
  <c r="T61" i="68"/>
  <c r="T23" i="68"/>
  <c r="T34" i="68"/>
  <c r="T43" i="68"/>
  <c r="T22" i="68"/>
  <c r="T141" i="33"/>
  <c r="T137" i="33"/>
  <c r="T143" i="33"/>
  <c r="T80" i="68"/>
  <c r="T151" i="33"/>
  <c r="T72" i="68"/>
  <c r="T75" i="68"/>
  <c r="T68" i="33"/>
  <c r="T47" i="8"/>
  <c r="S6" i="67"/>
  <c r="S9" i="67" s="1"/>
  <c r="T136" i="33"/>
  <c r="T52" i="68"/>
  <c r="T35" i="8"/>
  <c r="T74" i="68"/>
  <c r="T64" i="8"/>
  <c r="T57" i="68"/>
  <c r="T56" i="68"/>
  <c r="T152" i="33"/>
  <c r="T116" i="6"/>
  <c r="T77" i="8" s="1"/>
  <c r="T88" i="6"/>
  <c r="T112" i="6"/>
  <c r="S17" i="67" s="1"/>
  <c r="S28" i="13"/>
  <c r="T80" i="8" l="1"/>
  <c r="T92" i="6" s="1"/>
  <c r="T27" i="9" s="1"/>
  <c r="T34" i="8"/>
  <c r="T33" i="8" s="1"/>
  <c r="T45" i="8"/>
  <c r="T44" i="8" s="1"/>
  <c r="S8" i="67"/>
  <c r="T12" i="38"/>
  <c r="T142" i="6"/>
  <c r="T23" i="33"/>
  <c r="T14" i="38"/>
  <c r="T27" i="33"/>
  <c r="S10" i="67"/>
  <c r="T148" i="6"/>
  <c r="T8" i="7"/>
  <c r="T12" i="9"/>
  <c r="T15" i="8"/>
  <c r="T14" i="8" s="1"/>
  <c r="T44" i="68"/>
  <c r="T10" i="38"/>
  <c r="S7" i="67"/>
  <c r="T136" i="6"/>
  <c r="T19" i="33"/>
  <c r="T9" i="7"/>
  <c r="T13" i="9"/>
  <c r="T16" i="7"/>
  <c r="T20" i="9"/>
  <c r="T82" i="68"/>
  <c r="S16" i="67"/>
  <c r="T23" i="8"/>
  <c r="T22" i="8" s="1"/>
  <c r="T23" i="7" l="1"/>
  <c r="T16" i="38"/>
  <c r="T20" i="38"/>
  <c r="T17" i="38"/>
  <c r="T83" i="68"/>
  <c r="T132" i="6" s="1"/>
  <c r="T131" i="6"/>
  <c r="T16" i="13"/>
  <c r="T9" i="13"/>
  <c r="T11" i="38"/>
  <c r="T20" i="33"/>
  <c r="T23" i="13"/>
  <c r="T8" i="13"/>
  <c r="T128" i="6"/>
  <c r="T45" i="68"/>
  <c r="T13" i="38"/>
  <c r="T24" i="33"/>
  <c r="T15" i="38"/>
  <c r="T28" i="33"/>
  <c r="T129" i="6" l="1"/>
  <c r="T31" i="6" s="1"/>
  <c r="T85" i="68"/>
  <c r="T42" i="38"/>
  <c r="T90" i="38"/>
  <c r="T21" i="38"/>
  <c r="T66" i="38"/>
  <c r="T67" i="38" l="1"/>
  <c r="T22" i="38"/>
  <c r="T91" i="38"/>
  <c r="T43" i="38"/>
  <c r="T32" i="6"/>
  <c r="T72" i="8" s="1"/>
  <c r="T73" i="8" s="1"/>
  <c r="T74" i="8" s="1"/>
  <c r="T65" i="8" s="1"/>
  <c r="S13" i="67" s="1"/>
  <c r="T44" i="38" l="1"/>
  <c r="T23" i="38"/>
  <c r="T92" i="38"/>
  <c r="T68" i="38"/>
  <c r="T93" i="38" l="1"/>
  <c r="T24" i="38"/>
  <c r="T69" i="38"/>
  <c r="T45" i="38"/>
  <c r="T25" i="38" l="1"/>
  <c r="T46" i="38"/>
  <c r="T70" i="38"/>
  <c r="T94" i="38"/>
  <c r="T95" i="38" l="1"/>
  <c r="T71" i="38"/>
  <c r="T47" i="38"/>
  <c r="T26" i="38"/>
  <c r="T27" i="38" l="1"/>
  <c r="T96" i="38"/>
  <c r="T72" i="38"/>
  <c r="T48" i="38"/>
  <c r="T28" i="38" l="1"/>
  <c r="T73" i="38"/>
  <c r="T49" i="38"/>
  <c r="T97" i="38"/>
  <c r="T29" i="38" l="1"/>
  <c r="T50" i="38"/>
  <c r="T74" i="38"/>
  <c r="T98" i="38"/>
  <c r="T30" i="38" l="1"/>
  <c r="T75" i="38"/>
  <c r="T99" i="38"/>
  <c r="T51" i="38"/>
  <c r="T76" i="38" l="1"/>
  <c r="T52" i="38"/>
  <c r="T31" i="38"/>
  <c r="T100" i="38"/>
  <c r="T32" i="38" l="1"/>
  <c r="T53" i="38"/>
  <c r="T101" i="38"/>
  <c r="T77" i="38"/>
  <c r="T54" i="38" l="1"/>
  <c r="T33" i="38"/>
  <c r="T102" i="38"/>
  <c r="T78" i="38"/>
  <c r="T34" i="38" l="1"/>
  <c r="T79" i="38"/>
  <c r="T103" i="38"/>
  <c r="T55" i="38"/>
  <c r="T104" i="38" l="1"/>
  <c r="T35" i="38"/>
  <c r="T56" i="38"/>
  <c r="T80" i="38"/>
  <c r="T105" i="38" l="1"/>
  <c r="T81" i="38"/>
  <c r="T36" i="38"/>
  <c r="T57" i="38"/>
  <c r="T58" i="38" l="1"/>
  <c r="T106" i="38"/>
  <c r="T37" i="38"/>
  <c r="T82" i="38"/>
  <c r="T59" i="38" l="1"/>
  <c r="T38" i="38"/>
  <c r="T83" i="38"/>
  <c r="T107" i="38"/>
  <c r="T60" i="38" l="1"/>
  <c r="T108" i="38"/>
  <c r="T39" i="38"/>
  <c r="T84" i="38"/>
  <c r="T85" i="38" l="1"/>
  <c r="T109" i="38"/>
  <c r="T61" i="38"/>
  <c r="T63" i="38" l="1"/>
  <c r="T62" i="38"/>
  <c r="T110" i="38"/>
  <c r="T111" i="38"/>
  <c r="T86" i="38"/>
  <c r="T87" i="38"/>
  <c r="T149" i="6" l="1"/>
  <c r="T143" i="6"/>
  <c r="T137" i="6"/>
  <c r="T25" i="33" l="1"/>
  <c r="T144" i="6"/>
  <c r="T26" i="33" s="1"/>
  <c r="T145" i="6"/>
  <c r="T146" i="6" s="1"/>
  <c r="T138" i="6"/>
  <c r="T22" i="33" s="1"/>
  <c r="T21" i="33"/>
  <c r="T139" i="6"/>
  <c r="T29" i="33"/>
  <c r="T150" i="6"/>
  <c r="T30" i="33" s="1"/>
  <c r="T153" i="6"/>
  <c r="T151" i="6"/>
  <c r="T152" i="6" s="1"/>
  <c r="T140" i="6" l="1"/>
  <c r="T10" i="68"/>
  <c r="T13" i="68" s="1"/>
  <c r="T31" i="33"/>
  <c r="T154" i="6"/>
  <c r="AG119" i="33" l="1"/>
  <c r="W119" i="33"/>
  <c r="V119" i="33"/>
  <c r="AE119" i="33"/>
  <c r="Z119" i="33"/>
  <c r="AF119" i="33"/>
  <c r="AC119" i="33"/>
  <c r="X119" i="33"/>
  <c r="Y119" i="33"/>
  <c r="AD119" i="33"/>
  <c r="AA119" i="33"/>
  <c r="U119" i="33"/>
  <c r="AB119" i="33"/>
  <c r="T119" i="33"/>
  <c r="T153" i="33"/>
  <c r="T167" i="33" s="1"/>
  <c r="T85" i="33"/>
  <c r="T32" i="33"/>
  <c r="T74" i="33" s="1"/>
  <c r="T108" i="33" s="1"/>
  <c r="T155" i="6"/>
  <c r="T11" i="68"/>
  <c r="T12" i="68" s="1"/>
  <c r="T127" i="6" s="1"/>
  <c r="T15" i="39"/>
  <c r="T156" i="6" l="1"/>
  <c r="T49" i="68"/>
  <c r="T157" i="6"/>
  <c r="T33" i="33"/>
  <c r="T78" i="33"/>
  <c r="T112" i="33" s="1"/>
  <c r="T77" i="33"/>
  <c r="T111" i="33" s="1"/>
  <c r="T79" i="33"/>
  <c r="T113" i="33" s="1"/>
  <c r="T75" i="33"/>
  <c r="T76" i="33"/>
  <c r="T110" i="33" s="1"/>
  <c r="T48" i="68" l="1"/>
  <c r="T35" i="33"/>
  <c r="T50" i="68"/>
  <c r="T130" i="6" s="1"/>
  <c r="T87" i="6" s="1"/>
  <c r="T67" i="6"/>
  <c r="T70" i="8"/>
  <c r="T34" i="33"/>
  <c r="T158" i="6"/>
  <c r="T109" i="33"/>
  <c r="T99" i="33"/>
  <c r="T218" i="33"/>
  <c r="T228" i="33"/>
  <c r="T214" i="33"/>
  <c r="T223" i="33"/>
  <c r="T257" i="33" s="1"/>
  <c r="T221" i="33"/>
  <c r="T255" i="33" s="1"/>
  <c r="T215" i="33"/>
  <c r="T229" i="33"/>
  <c r="T230" i="33"/>
  <c r="T227" i="33"/>
  <c r="T219" i="33"/>
  <c r="T222" i="33"/>
  <c r="T256" i="33" s="1"/>
  <c r="T226" i="33"/>
  <c r="T225" i="33"/>
  <c r="T259" i="33" s="1"/>
  <c r="T224" i="33"/>
  <c r="T258" i="33" s="1"/>
  <c r="T220" i="33"/>
  <c r="T254" i="33" s="1"/>
  <c r="T216" i="33"/>
  <c r="T217" i="33"/>
  <c r="T66" i="6" l="1"/>
  <c r="T23" i="9"/>
  <c r="T19" i="7"/>
  <c r="T29" i="9"/>
  <c r="T24" i="7"/>
  <c r="T171" i="33"/>
  <c r="T231" i="33"/>
  <c r="T245" i="33" s="1"/>
  <c r="AG265" i="33"/>
  <c r="U265" i="33"/>
  <c r="AB265" i="33"/>
  <c r="AF265" i="33"/>
  <c r="Z265" i="33"/>
  <c r="W265" i="33"/>
  <c r="V265" i="33"/>
  <c r="Y265" i="33"/>
  <c r="AE265" i="33"/>
  <c r="X265" i="33"/>
  <c r="AA265" i="33"/>
  <c r="AC265" i="33"/>
  <c r="T265" i="33"/>
  <c r="AD265" i="33"/>
  <c r="T192" i="33"/>
  <c r="T206" i="33" s="1"/>
  <c r="T36" i="33"/>
  <c r="T159" i="6"/>
  <c r="T160" i="6"/>
  <c r="T161" i="6" s="1"/>
  <c r="T121" i="6" s="1"/>
  <c r="T123" i="6" s="1"/>
  <c r="T71" i="8"/>
  <c r="T68" i="8"/>
  <c r="S11" i="67"/>
  <c r="T51" i="68"/>
  <c r="T59" i="33" l="1"/>
  <c r="T33" i="6"/>
  <c r="T124" i="6"/>
  <c r="T122" i="6"/>
  <c r="T37" i="33"/>
  <c r="T19" i="13"/>
  <c r="T25" i="13"/>
  <c r="T68" i="6"/>
  <c r="T58" i="33"/>
  <c r="S14" i="67" l="1"/>
  <c r="T35" i="6"/>
  <c r="T13" i="39"/>
  <c r="T33" i="39" s="1"/>
  <c r="T34" i="6"/>
  <c r="T69" i="6"/>
  <c r="T40" i="62"/>
  <c r="T40" i="46"/>
  <c r="T69" i="8"/>
  <c r="T59" i="8" s="1"/>
  <c r="T58" i="8" s="1"/>
  <c r="T81" i="8" s="1"/>
  <c r="T81" i="6" s="1"/>
  <c r="S12" i="67"/>
  <c r="T39" i="46"/>
  <c r="T39" i="62"/>
  <c r="T8" i="9" l="1"/>
  <c r="T5" i="7"/>
  <c r="T36" i="6"/>
  <c r="T17" i="9"/>
  <c r="V182" i="6"/>
  <c r="AC182" i="6"/>
  <c r="Z182" i="6"/>
  <c r="X182" i="6"/>
  <c r="W182" i="6"/>
  <c r="U182" i="6"/>
  <c r="AI182" i="6"/>
  <c r="Y182" i="6"/>
  <c r="AA182" i="6"/>
  <c r="T182" i="6"/>
  <c r="T13" i="7"/>
  <c r="T85" i="6" s="1"/>
  <c r="AB182" i="6"/>
  <c r="T37" i="6"/>
  <c r="AH182" i="6" l="1"/>
  <c r="AJ182" i="6" s="1"/>
  <c r="T196" i="6"/>
  <c r="T13" i="13"/>
  <c r="T38" i="6"/>
  <c r="T86" i="6"/>
  <c r="T21" i="9"/>
  <c r="T17" i="7"/>
  <c r="T83" i="6"/>
  <c r="T5" i="13"/>
  <c r="T17" i="13" l="1"/>
  <c r="T15" i="7"/>
  <c r="T19" i="9"/>
  <c r="T82" i="6"/>
  <c r="T22" i="9"/>
  <c r="T18" i="7"/>
  <c r="T55" i="6"/>
  <c r="T15" i="13" l="1"/>
  <c r="T18" i="13"/>
  <c r="T41" i="39"/>
  <c r="T56" i="6"/>
  <c r="T57" i="6" s="1"/>
  <c r="T18" i="9"/>
  <c r="T14" i="7"/>
  <c r="T100" i="6"/>
  <c r="T14" i="13" l="1"/>
  <c r="T42" i="39"/>
  <c r="T58" i="6"/>
  <c r="T43" i="39" l="1"/>
  <c r="T152" i="40"/>
  <c r="T117" i="40"/>
  <c r="T140" i="40"/>
  <c r="T141" i="40" s="1"/>
  <c r="T142" i="40" s="1"/>
  <c r="T171" i="40"/>
  <c r="T59" i="6"/>
  <c r="T143" i="40" l="1"/>
  <c r="T144" i="40"/>
  <c r="T118" i="40"/>
  <c r="T123" i="40" s="1"/>
  <c r="T119" i="40"/>
  <c r="T127" i="40" s="1"/>
  <c r="T163" i="40"/>
  <c r="T164" i="40"/>
  <c r="T177" i="40"/>
  <c r="T172" i="40"/>
  <c r="T174" i="40" s="1"/>
  <c r="T173" i="40"/>
  <c r="T188" i="40" s="1"/>
  <c r="T145" i="40" l="1"/>
  <c r="T147" i="40" s="1"/>
  <c r="T121" i="40"/>
  <c r="T187" i="40"/>
  <c r="T189" i="40"/>
  <c r="T35" i="39" s="1"/>
  <c r="T124" i="40"/>
  <c r="T125" i="40" s="1"/>
  <c r="T175" i="40"/>
  <c r="T176" i="40" s="1"/>
  <c r="T126" i="40"/>
  <c r="T128" i="40" s="1"/>
  <c r="T46" i="39" s="1"/>
  <c r="T178" i="40"/>
  <c r="T183" i="40" s="1"/>
  <c r="T179" i="40"/>
  <c r="T184" i="40" s="1"/>
  <c r="T120" i="40"/>
  <c r="T122" i="40" s="1"/>
  <c r="T146" i="40" l="1"/>
  <c r="T190" i="40"/>
  <c r="T185" i="40"/>
  <c r="T45" i="39"/>
  <c r="T39" i="6"/>
  <c r="T40" i="33"/>
  <c r="T191" i="40"/>
  <c r="T192" i="40" s="1"/>
  <c r="T36" i="39" s="1"/>
  <c r="T41" i="33"/>
  <c r="T42" i="33" s="1"/>
  <c r="T44" i="39"/>
  <c r="T50" i="39" s="1"/>
  <c r="T51" i="39" s="1"/>
  <c r="T181" i="40"/>
  <c r="T180" i="40"/>
  <c r="T153" i="40"/>
  <c r="T154" i="40"/>
  <c r="T41" i="6" l="1"/>
  <c r="T40" i="6"/>
  <c r="T53" i="39"/>
  <c r="T182" i="40"/>
  <c r="T186" i="40" s="1"/>
  <c r="T47" i="33"/>
  <c r="T48" i="33" s="1"/>
  <c r="T49" i="33" s="1"/>
  <c r="T51" i="33" s="1"/>
  <c r="T52" i="33" s="1"/>
  <c r="T53" i="33" s="1"/>
  <c r="T54" i="33" s="1"/>
  <c r="T43" i="33"/>
  <c r="T155" i="40"/>
  <c r="T159" i="40"/>
  <c r="T156" i="40"/>
  <c r="T158" i="40"/>
  <c r="T42" i="6" l="1"/>
  <c r="T193" i="40"/>
  <c r="T34" i="39"/>
  <c r="T44" i="6"/>
  <c r="T14" i="39"/>
  <c r="T157" i="40"/>
  <c r="T160" i="40"/>
  <c r="T161" i="40" l="1"/>
  <c r="T162" i="40" s="1"/>
  <c r="T43" i="6"/>
  <c r="T52" i="39"/>
  <c r="T16" i="39"/>
  <c r="T48" i="6"/>
  <c r="T37" i="39"/>
  <c r="T47" i="39"/>
  <c r="T49" i="6" l="1"/>
  <c r="T50" i="6"/>
  <c r="T56" i="39"/>
  <c r="T54" i="39"/>
  <c r="T55" i="39" s="1"/>
  <c r="T17" i="39"/>
  <c r="T18" i="39"/>
  <c r="T57" i="39" l="1"/>
  <c r="T19" i="39"/>
  <c r="T20" i="39" s="1"/>
  <c r="T38" i="39"/>
  <c r="T51" i="6"/>
  <c r="T52" i="6" l="1"/>
  <c r="T61" i="6"/>
  <c r="T21" i="39"/>
  <c r="T60" i="6" s="1"/>
  <c r="T62" i="6" l="1"/>
  <c r="T9" i="9" l="1"/>
  <c r="T70" i="6"/>
  <c r="T6" i="7"/>
  <c r="T63" i="6"/>
  <c r="T64" i="6"/>
  <c r="T65" i="6" l="1"/>
  <c r="T75" i="6"/>
  <c r="T71" i="6"/>
  <c r="T6" i="13"/>
  <c r="T99" i="6" l="1"/>
  <c r="T11" i="9"/>
  <c r="T7" i="7"/>
  <c r="T78" i="6"/>
  <c r="T7" i="13" l="1"/>
  <c r="T10" i="7"/>
  <c r="T14" i="9"/>
  <c r="T95" i="6"/>
  <c r="T90" i="6"/>
  <c r="T25" i="9" l="1"/>
  <c r="T21" i="7"/>
  <c r="T10" i="13"/>
  <c r="T101" i="6"/>
  <c r="T103" i="6"/>
  <c r="T102" i="6" l="1"/>
  <c r="T105" i="6" s="1"/>
  <c r="T104" i="6"/>
  <c r="T21" i="13"/>
  <c r="T106" i="6" l="1"/>
  <c r="T107" i="6" l="1"/>
  <c r="T91" i="6" l="1"/>
  <c r="T26" i="9" l="1"/>
  <c r="T22" i="7"/>
  <c r="T89" i="6"/>
  <c r="T20" i="7" l="1"/>
  <c r="T28" i="9"/>
  <c r="T93" i="6"/>
  <c r="T22" i="13"/>
  <c r="T20" i="13" s="1"/>
  <c r="T24" i="9"/>
  <c r="T25" i="7" l="1"/>
  <c r="T30" i="9"/>
  <c r="T96" i="6"/>
  <c r="T24" i="13"/>
  <c r="T27" i="7" l="1"/>
  <c r="U111" i="6"/>
  <c r="T26" i="13"/>
  <c r="T32" i="9"/>
  <c r="U137" i="33" l="1"/>
  <c r="U83" i="33"/>
  <c r="U149" i="33"/>
  <c r="U16" i="8"/>
  <c r="U74" i="68"/>
  <c r="U189" i="33"/>
  <c r="U32" i="68"/>
  <c r="U184" i="33"/>
  <c r="U67" i="8"/>
  <c r="U21" i="68"/>
  <c r="U80" i="33"/>
  <c r="U38" i="68"/>
  <c r="U69" i="68"/>
  <c r="U50" i="8"/>
  <c r="U74" i="6"/>
  <c r="U10" i="9" s="1"/>
  <c r="U147" i="6"/>
  <c r="U84" i="6"/>
  <c r="U25" i="8"/>
  <c r="U141" i="33"/>
  <c r="U53" i="68"/>
  <c r="U140" i="33"/>
  <c r="U151" i="33"/>
  <c r="U180" i="33"/>
  <c r="U46" i="8"/>
  <c r="U71" i="33"/>
  <c r="U42" i="68"/>
  <c r="U85" i="33"/>
  <c r="U35" i="68"/>
  <c r="U148" i="33"/>
  <c r="U72" i="68"/>
  <c r="U175" i="33"/>
  <c r="U76" i="68"/>
  <c r="U27" i="68"/>
  <c r="U146" i="33"/>
  <c r="U70" i="68"/>
  <c r="U43" i="68"/>
  <c r="U61" i="68"/>
  <c r="U84" i="33"/>
  <c r="U69" i="33"/>
  <c r="U24" i="68"/>
  <c r="U147" i="33"/>
  <c r="U14" i="68"/>
  <c r="U67" i="68"/>
  <c r="U153" i="33"/>
  <c r="U35" i="8"/>
  <c r="U24" i="8"/>
  <c r="U60" i="8"/>
  <c r="U49" i="8"/>
  <c r="U56" i="68"/>
  <c r="U187" i="33"/>
  <c r="U77" i="6"/>
  <c r="U115" i="6"/>
  <c r="U31" i="68"/>
  <c r="U82" i="33"/>
  <c r="U66" i="8"/>
  <c r="U186" i="33"/>
  <c r="U139" i="33"/>
  <c r="U78" i="68"/>
  <c r="U185" i="33"/>
  <c r="U142" i="33"/>
  <c r="U40" i="68"/>
  <c r="U19" i="8"/>
  <c r="U22" i="68"/>
  <c r="U52" i="8"/>
  <c r="U65" i="68"/>
  <c r="U81" i="33"/>
  <c r="U38" i="8"/>
  <c r="U75" i="68"/>
  <c r="U177" i="33"/>
  <c r="U62" i="8"/>
  <c r="U20" i="68"/>
  <c r="U81" i="68"/>
  <c r="U54" i="68"/>
  <c r="U68" i="33"/>
  <c r="U34" i="68"/>
  <c r="U60" i="68"/>
  <c r="U141" i="6"/>
  <c r="U143" i="33"/>
  <c r="U23" i="68"/>
  <c r="U73" i="68"/>
  <c r="U71" i="68"/>
  <c r="U29" i="68"/>
  <c r="U55" i="68"/>
  <c r="U183" i="33"/>
  <c r="U188" i="33"/>
  <c r="U15" i="68"/>
  <c r="U18" i="8"/>
  <c r="U190" i="33"/>
  <c r="U39" i="68"/>
  <c r="U136" i="33"/>
  <c r="U47" i="8"/>
  <c r="U79" i="68"/>
  <c r="U182" i="33"/>
  <c r="U54" i="8"/>
  <c r="U68" i="68"/>
  <c r="U30" i="68"/>
  <c r="U27" i="8"/>
  <c r="U26" i="8"/>
  <c r="U17" i="8"/>
  <c r="U64" i="8"/>
  <c r="U77" i="68"/>
  <c r="U64" i="68"/>
  <c r="U16" i="68"/>
  <c r="U178" i="33"/>
  <c r="T6" i="67"/>
  <c r="T9" i="67" s="1"/>
  <c r="U19" i="68"/>
  <c r="U191" i="33"/>
  <c r="U80" i="68"/>
  <c r="U70" i="33"/>
  <c r="U37" i="8"/>
  <c r="U138" i="33"/>
  <c r="U62" i="68"/>
  <c r="U28" i="8"/>
  <c r="U48" i="8"/>
  <c r="U55" i="8" s="1"/>
  <c r="U145" i="33"/>
  <c r="U66" i="68"/>
  <c r="U61" i="8"/>
  <c r="U73" i="33"/>
  <c r="U18" i="68"/>
  <c r="U63" i="68"/>
  <c r="U192" i="33"/>
  <c r="U152" i="33"/>
  <c r="U179" i="33"/>
  <c r="U36" i="68"/>
  <c r="U63" i="8"/>
  <c r="U36" i="8"/>
  <c r="U33" i="68"/>
  <c r="U144" i="33"/>
  <c r="U58" i="68"/>
  <c r="U41" i="68"/>
  <c r="U176" i="33"/>
  <c r="U28" i="68"/>
  <c r="U57" i="68"/>
  <c r="U51" i="8"/>
  <c r="U72" i="33"/>
  <c r="U26" i="68"/>
  <c r="U59" i="68"/>
  <c r="U17" i="68"/>
  <c r="U39" i="8"/>
  <c r="U25" i="68"/>
  <c r="U52" i="68"/>
  <c r="U37" i="68"/>
  <c r="U76" i="6"/>
  <c r="U135" i="6"/>
  <c r="U150" i="33"/>
  <c r="U181" i="33"/>
  <c r="U116" i="6"/>
  <c r="U77" i="8" s="1"/>
  <c r="U88" i="6"/>
  <c r="U112" i="6"/>
  <c r="T17" i="67" s="1"/>
  <c r="T28" i="13"/>
  <c r="U80" i="8" l="1"/>
  <c r="U92" i="6" s="1"/>
  <c r="U27" i="9" s="1"/>
  <c r="U15" i="8"/>
  <c r="U14" i="8" s="1"/>
  <c r="T16" i="67"/>
  <c r="U45" i="8"/>
  <c r="U44" i="8" s="1"/>
  <c r="U8" i="7"/>
  <c r="U12" i="9"/>
  <c r="U13" i="9"/>
  <c r="U9" i="7"/>
  <c r="U19" i="33"/>
  <c r="U136" i="6"/>
  <c r="T7" i="67"/>
  <c r="U10" i="38"/>
  <c r="U23" i="7"/>
  <c r="U23" i="8"/>
  <c r="U22" i="8" s="1"/>
  <c r="U44" i="68"/>
  <c r="U14" i="38"/>
  <c r="T10" i="67"/>
  <c r="U27" i="33"/>
  <c r="U148" i="6"/>
  <c r="U82" i="68"/>
  <c r="T8" i="67"/>
  <c r="U12" i="38"/>
  <c r="U142" i="6"/>
  <c r="U23" i="33"/>
  <c r="U34" i="8"/>
  <c r="U33" i="8" s="1"/>
  <c r="U20" i="9"/>
  <c r="U16" i="7"/>
  <c r="U131" i="6" l="1"/>
  <c r="U83" i="68"/>
  <c r="U132" i="6" s="1"/>
  <c r="U24" i="33"/>
  <c r="U13" i="38"/>
  <c r="U128" i="6"/>
  <c r="U45" i="68"/>
  <c r="U16" i="38"/>
  <c r="U8" i="13"/>
  <c r="U11" i="38"/>
  <c r="U20" i="33"/>
  <c r="U9" i="13"/>
  <c r="U16" i="13"/>
  <c r="U15" i="38"/>
  <c r="U28" i="33"/>
  <c r="U23" i="13"/>
  <c r="U129" i="6" l="1"/>
  <c r="U31" i="6" s="1"/>
  <c r="U85" i="68"/>
  <c r="U20" i="38"/>
  <c r="U17" i="38"/>
  <c r="U21" i="38" l="1"/>
  <c r="U90" i="38"/>
  <c r="U42" i="38"/>
  <c r="U66" i="38"/>
  <c r="U32" i="6"/>
  <c r="U72" i="8" s="1"/>
  <c r="U73" i="8" s="1"/>
  <c r="U74" i="8" s="1"/>
  <c r="U65" i="8" s="1"/>
  <c r="T13" i="67" s="1"/>
  <c r="U43" i="38" l="1"/>
  <c r="U67" i="38"/>
  <c r="U22" i="38"/>
  <c r="U91" i="38"/>
  <c r="U44" i="38" l="1"/>
  <c r="U92" i="38"/>
  <c r="U23" i="38"/>
  <c r="U68" i="38"/>
  <c r="U24" i="38" l="1"/>
  <c r="U45" i="38"/>
  <c r="U69" i="38"/>
  <c r="U93" i="38"/>
  <c r="U46" i="38" l="1"/>
  <c r="U94" i="38"/>
  <c r="U25" i="38"/>
  <c r="U70" i="38"/>
  <c r="U71" i="38" l="1"/>
  <c r="U26" i="38"/>
  <c r="U47" i="38"/>
  <c r="U95" i="38"/>
  <c r="U96" i="38" l="1"/>
  <c r="U72" i="38"/>
  <c r="U27" i="38"/>
  <c r="U48" i="38"/>
  <c r="U97" i="38" l="1"/>
  <c r="U73" i="38"/>
  <c r="U28" i="38"/>
  <c r="U49" i="38"/>
  <c r="U50" i="38" l="1"/>
  <c r="U74" i="38"/>
  <c r="U98" i="38"/>
  <c r="U29" i="38"/>
  <c r="U99" i="38" l="1"/>
  <c r="U75" i="38"/>
  <c r="U51" i="38"/>
  <c r="U30" i="38"/>
  <c r="U100" i="38" l="1"/>
  <c r="U52" i="38"/>
  <c r="U31" i="38"/>
  <c r="U76" i="38"/>
  <c r="U77" i="38" l="1"/>
  <c r="U101" i="38"/>
  <c r="U53" i="38"/>
  <c r="U32" i="38"/>
  <c r="U102" i="38" l="1"/>
  <c r="U33" i="38"/>
  <c r="U78" i="38"/>
  <c r="U54" i="38"/>
  <c r="U55" i="38" l="1"/>
  <c r="U34" i="38"/>
  <c r="U103" i="38"/>
  <c r="U79" i="38"/>
  <c r="U35" i="38" l="1"/>
  <c r="U104" i="38"/>
  <c r="U56" i="38"/>
  <c r="U80" i="38"/>
  <c r="U81" i="38" l="1"/>
  <c r="U57" i="38"/>
  <c r="U36" i="38"/>
  <c r="U105" i="38"/>
  <c r="U106" i="38" l="1"/>
  <c r="U82" i="38"/>
  <c r="U37" i="38"/>
  <c r="U58" i="38"/>
  <c r="U107" i="38" l="1"/>
  <c r="U38" i="38"/>
  <c r="U59" i="38"/>
  <c r="U83" i="38"/>
  <c r="U60" i="38" l="1"/>
  <c r="U84" i="38"/>
  <c r="U108" i="38"/>
  <c r="U39" i="38"/>
  <c r="U61" i="38" l="1"/>
  <c r="U85" i="38"/>
  <c r="U109" i="38"/>
  <c r="U110" i="38" l="1"/>
  <c r="U111" i="38"/>
  <c r="U87" i="38"/>
  <c r="U86" i="38"/>
  <c r="U62" i="38"/>
  <c r="U63" i="38"/>
  <c r="U149" i="6" l="1"/>
  <c r="U143" i="6"/>
  <c r="U137" i="6"/>
  <c r="U25" i="33" l="1"/>
  <c r="U144" i="6"/>
  <c r="U26" i="33" s="1"/>
  <c r="U145" i="6"/>
  <c r="U146" i="6" s="1"/>
  <c r="U138" i="6"/>
  <c r="U22" i="33" s="1"/>
  <c r="U21" i="33"/>
  <c r="U139" i="6"/>
  <c r="U29" i="33"/>
  <c r="U150" i="6"/>
  <c r="U30" i="33" s="1"/>
  <c r="U153" i="6"/>
  <c r="U151" i="6"/>
  <c r="U152" i="6" s="1"/>
  <c r="U140" i="6" l="1"/>
  <c r="U31" i="33"/>
  <c r="U10" i="68"/>
  <c r="U13" i="68" s="1"/>
  <c r="U154" i="6"/>
  <c r="AE120" i="33" l="1"/>
  <c r="AA120" i="33"/>
  <c r="AG120" i="33"/>
  <c r="X120" i="33"/>
  <c r="AF120" i="33"/>
  <c r="Y120" i="33"/>
  <c r="Z120" i="33"/>
  <c r="W120" i="33"/>
  <c r="U120" i="33"/>
  <c r="V120" i="33"/>
  <c r="AD120" i="33"/>
  <c r="AB120" i="33"/>
  <c r="AC120" i="33"/>
  <c r="U154" i="33"/>
  <c r="U167" i="33" s="1"/>
  <c r="U86" i="33"/>
  <c r="U32" i="33"/>
  <c r="U74" i="33" s="1"/>
  <c r="U108" i="33" s="1"/>
  <c r="U155" i="6"/>
  <c r="U11" i="68"/>
  <c r="U12" i="68" s="1"/>
  <c r="U127" i="6" s="1"/>
  <c r="U15" i="39"/>
  <c r="U78" i="33" l="1"/>
  <c r="U112" i="33" s="1"/>
  <c r="U75" i="33"/>
  <c r="U77" i="33"/>
  <c r="U111" i="33" s="1"/>
  <c r="U79" i="33"/>
  <c r="U113" i="33" s="1"/>
  <c r="U76" i="33"/>
  <c r="U110" i="33" s="1"/>
  <c r="U49" i="68"/>
  <c r="U33" i="33"/>
  <c r="U156" i="6"/>
  <c r="U157" i="6"/>
  <c r="U227" i="33" l="1"/>
  <c r="U220" i="33"/>
  <c r="U254" i="33" s="1"/>
  <c r="U230" i="33"/>
  <c r="U214" i="33"/>
  <c r="U228" i="33"/>
  <c r="U217" i="33"/>
  <c r="U219" i="33"/>
  <c r="U224" i="33"/>
  <c r="U258" i="33" s="1"/>
  <c r="U215" i="33"/>
  <c r="U226" i="33"/>
  <c r="U225" i="33"/>
  <c r="U259" i="33" s="1"/>
  <c r="U231" i="33"/>
  <c r="U229" i="33"/>
  <c r="U216" i="33"/>
  <c r="U218" i="33"/>
  <c r="U222" i="33"/>
  <c r="U256" i="33" s="1"/>
  <c r="U221" i="33"/>
  <c r="U255" i="33" s="1"/>
  <c r="U223" i="33"/>
  <c r="U257" i="33" s="1"/>
  <c r="U109" i="33"/>
  <c r="U99" i="33"/>
  <c r="U171" i="33" s="1"/>
  <c r="U50" i="68"/>
  <c r="U130" i="6" s="1"/>
  <c r="U87" i="6" s="1"/>
  <c r="U67" i="6"/>
  <c r="U35" i="33"/>
  <c r="U48" i="68"/>
  <c r="U70" i="8"/>
  <c r="U34" i="33"/>
  <c r="U158" i="6"/>
  <c r="U51" i="68" l="1"/>
  <c r="T11" i="67"/>
  <c r="U36" i="33"/>
  <c r="U159" i="6"/>
  <c r="U160" i="6"/>
  <c r="U161" i="6" s="1"/>
  <c r="U121" i="6" s="1"/>
  <c r="U123" i="6" s="1"/>
  <c r="U232" i="33"/>
  <c r="U245" i="33" s="1"/>
  <c r="Y266" i="33"/>
  <c r="U266" i="33"/>
  <c r="AF266" i="33"/>
  <c r="W266" i="33"/>
  <c r="AA266" i="33"/>
  <c r="AD266" i="33"/>
  <c r="V266" i="33"/>
  <c r="AG266" i="33"/>
  <c r="X266" i="33"/>
  <c r="AE266" i="33"/>
  <c r="AC266" i="33"/>
  <c r="Z266" i="33"/>
  <c r="AB266" i="33"/>
  <c r="U193" i="33"/>
  <c r="U206" i="33" s="1"/>
  <c r="U66" i="6"/>
  <c r="U71" i="8"/>
  <c r="U68" i="8"/>
  <c r="U23" i="9"/>
  <c r="U24" i="7"/>
  <c r="U29" i="9"/>
  <c r="U19" i="7"/>
  <c r="U59" i="33" l="1"/>
  <c r="U19" i="13"/>
  <c r="U68" i="6"/>
  <c r="U124" i="6"/>
  <c r="U122" i="6"/>
  <c r="U25" i="13"/>
  <c r="U37" i="33"/>
  <c r="U58" i="33"/>
  <c r="T14" i="67" l="1"/>
  <c r="U33" i="6"/>
  <c r="U13" i="39" s="1"/>
  <c r="U33" i="39" s="1"/>
  <c r="U40" i="46"/>
  <c r="U40" i="62"/>
  <c r="U69" i="8"/>
  <c r="U59" i="8" s="1"/>
  <c r="U58" i="8" s="1"/>
  <c r="U81" i="8" s="1"/>
  <c r="U81" i="6" s="1"/>
  <c r="T12" i="67"/>
  <c r="U39" i="62"/>
  <c r="U39" i="46"/>
  <c r="U69" i="6"/>
  <c r="U35" i="6" l="1"/>
  <c r="U34" i="6"/>
  <c r="U37" i="6"/>
  <c r="Y183" i="6"/>
  <c r="W183" i="6"/>
  <c r="AA183" i="6"/>
  <c r="AD183" i="6"/>
  <c r="Z183" i="6"/>
  <c r="U17" i="9"/>
  <c r="X183" i="6"/>
  <c r="AB183" i="6"/>
  <c r="AI183" i="6"/>
  <c r="AC183" i="6"/>
  <c r="U183" i="6"/>
  <c r="V183" i="6"/>
  <c r="U13" i="7"/>
  <c r="U85" i="6" s="1"/>
  <c r="U8" i="9"/>
  <c r="U5" i="7"/>
  <c r="U36" i="6"/>
  <c r="U13" i="13" l="1"/>
  <c r="U5" i="13"/>
  <c r="U17" i="7"/>
  <c r="U21" i="9"/>
  <c r="U83" i="6"/>
  <c r="AH183" i="6"/>
  <c r="AJ183" i="6" s="1"/>
  <c r="U196" i="6"/>
  <c r="U86" i="6"/>
  <c r="U38" i="6"/>
  <c r="U18" i="7" l="1"/>
  <c r="U22" i="9"/>
  <c r="U17" i="13"/>
  <c r="U55" i="6"/>
  <c r="U82" i="6"/>
  <c r="U19" i="9"/>
  <c r="U15" i="7"/>
  <c r="U41" i="39" l="1"/>
  <c r="U56" i="6"/>
  <c r="U57" i="6" s="1"/>
  <c r="U15" i="13"/>
  <c r="U18" i="13"/>
  <c r="U14" i="7"/>
  <c r="U100" i="6"/>
  <c r="U18" i="9"/>
  <c r="U42" i="39" l="1"/>
  <c r="U58" i="6"/>
  <c r="U14" i="13"/>
  <c r="U171" i="40" l="1"/>
  <c r="U140" i="40"/>
  <c r="U141" i="40" s="1"/>
  <c r="U142" i="40" s="1"/>
  <c r="U43" i="39"/>
  <c r="U152" i="40"/>
  <c r="U117" i="40"/>
  <c r="U59" i="6"/>
  <c r="U144" i="40" l="1"/>
  <c r="U143" i="40"/>
  <c r="U145" i="40"/>
  <c r="U164" i="40"/>
  <c r="U118" i="40"/>
  <c r="U120" i="40" s="1"/>
  <c r="U119" i="40"/>
  <c r="U124" i="40" s="1"/>
  <c r="U163" i="40"/>
  <c r="U177" i="40"/>
  <c r="U172" i="40"/>
  <c r="U174" i="40" s="1"/>
  <c r="U173" i="40"/>
  <c r="U175" i="40" s="1"/>
  <c r="U126" i="40" l="1"/>
  <c r="U127" i="40"/>
  <c r="U176" i="40"/>
  <c r="U123" i="40"/>
  <c r="U125" i="40" s="1"/>
  <c r="U41" i="33" s="1"/>
  <c r="U42" i="33" s="1"/>
  <c r="U188" i="40"/>
  <c r="U187" i="40"/>
  <c r="U121" i="40"/>
  <c r="U122" i="40" s="1"/>
  <c r="U45" i="39" s="1"/>
  <c r="U178" i="40"/>
  <c r="U190" i="40" s="1"/>
  <c r="U179" i="40"/>
  <c r="U181" i="40" s="1"/>
  <c r="U146" i="40"/>
  <c r="U147" i="40"/>
  <c r="U128" i="40"/>
  <c r="U46" i="39" s="1"/>
  <c r="U153" i="40"/>
  <c r="U189" i="40" l="1"/>
  <c r="U35" i="39" s="1"/>
  <c r="U44" i="39"/>
  <c r="U50" i="39" s="1"/>
  <c r="U51" i="39" s="1"/>
  <c r="U53" i="39" s="1"/>
  <c r="U40" i="33"/>
  <c r="U47" i="33" s="1"/>
  <c r="U48" i="33" s="1"/>
  <c r="U49" i="33" s="1"/>
  <c r="U51" i="33" s="1"/>
  <c r="U52" i="33" s="1"/>
  <c r="U53" i="33" s="1"/>
  <c r="U54" i="33" s="1"/>
  <c r="U39" i="6"/>
  <c r="U40" i="6" s="1"/>
  <c r="U191" i="40"/>
  <c r="U192" i="40" s="1"/>
  <c r="U36" i="39" s="1"/>
  <c r="U184" i="40"/>
  <c r="U183" i="40"/>
  <c r="U180" i="40"/>
  <c r="U182" i="40" s="1"/>
  <c r="U155" i="40"/>
  <c r="U158" i="40"/>
  <c r="U154" i="40"/>
  <c r="U43" i="33" l="1"/>
  <c r="U41" i="6"/>
  <c r="U42" i="6" s="1"/>
  <c r="U185" i="40"/>
  <c r="U186" i="40" s="1"/>
  <c r="U14" i="39"/>
  <c r="U44" i="6"/>
  <c r="U159" i="40"/>
  <c r="U156" i="40"/>
  <c r="U43" i="6" l="1"/>
  <c r="U193" i="40"/>
  <c r="U34" i="39"/>
  <c r="U48" i="6"/>
  <c r="U52" i="39"/>
  <c r="U16" i="39"/>
  <c r="U160" i="40"/>
  <c r="U157" i="40"/>
  <c r="U161" i="40" l="1"/>
  <c r="U162" i="40" s="1"/>
  <c r="U18" i="39" s="1"/>
  <c r="U50" i="6"/>
  <c r="U49" i="6"/>
  <c r="U17" i="39"/>
  <c r="U54" i="39"/>
  <c r="U55" i="39" s="1"/>
  <c r="U37" i="39"/>
  <c r="U47" i="39"/>
  <c r="U56" i="39" s="1"/>
  <c r="U19" i="39" l="1"/>
  <c r="U20" i="39" s="1"/>
  <c r="U61" i="6" s="1"/>
  <c r="U57" i="39"/>
  <c r="U51" i="6"/>
  <c r="U38" i="39"/>
  <c r="U21" i="39" l="1"/>
  <c r="U60" i="6" s="1"/>
  <c r="U62" i="6" s="1"/>
  <c r="U52" i="6"/>
  <c r="U70" i="6" l="1"/>
  <c r="U9" i="9"/>
  <c r="U63" i="6"/>
  <c r="U6" i="7"/>
  <c r="U64" i="6"/>
  <c r="U65" i="6" l="1"/>
  <c r="U6" i="13"/>
  <c r="U75" i="6"/>
  <c r="U71" i="6"/>
  <c r="U99" i="6" l="1"/>
  <c r="U11" i="9"/>
  <c r="U7" i="7"/>
  <c r="U78" i="6"/>
  <c r="U7" i="13" l="1"/>
  <c r="U14" i="9"/>
  <c r="U10" i="7"/>
  <c r="U95" i="6"/>
  <c r="U90" i="6"/>
  <c r="U25" i="9" l="1"/>
  <c r="U21" i="7"/>
  <c r="U10" i="13"/>
  <c r="U101" i="6"/>
  <c r="U103" i="6"/>
  <c r="U102" i="6" l="1"/>
  <c r="U105" i="6" s="1"/>
  <c r="U104" i="6"/>
  <c r="U21" i="13"/>
  <c r="U106" i="6" l="1"/>
  <c r="U107" i="6" l="1"/>
  <c r="U91" i="6" l="1"/>
  <c r="U22" i="7" l="1"/>
  <c r="U26" i="9"/>
  <c r="U89" i="6"/>
  <c r="U20" i="7" l="1"/>
  <c r="U28" i="9"/>
  <c r="U93" i="6"/>
  <c r="U22" i="13"/>
  <c r="U20" i="13" s="1"/>
  <c r="U24" i="9"/>
  <c r="U30" i="9" l="1"/>
  <c r="U25" i="7"/>
  <c r="U96" i="6"/>
  <c r="U24" i="13"/>
  <c r="U27" i="7" l="1"/>
  <c r="V111" i="6"/>
  <c r="U26" i="13"/>
  <c r="U32" i="9"/>
  <c r="U28" i="13" l="1"/>
  <c r="V18" i="68"/>
  <c r="V25" i="68"/>
  <c r="V140" i="33"/>
  <c r="V115" i="6"/>
  <c r="U16" i="67" s="1"/>
  <c r="V30" i="68"/>
  <c r="V78" i="68"/>
  <c r="V142" i="33"/>
  <c r="V49" i="8"/>
  <c r="V39" i="8"/>
  <c r="V175" i="33"/>
  <c r="V183" i="33"/>
  <c r="V151" i="33"/>
  <c r="V185" i="33"/>
  <c r="V69" i="68"/>
  <c r="V72" i="33"/>
  <c r="V141" i="6"/>
  <c r="V150" i="33"/>
  <c r="V81" i="68"/>
  <c r="V37" i="8"/>
  <c r="V85" i="33"/>
  <c r="V67" i="68"/>
  <c r="V74" i="68"/>
  <c r="V50" i="8"/>
  <c r="V61" i="8"/>
  <c r="V26" i="68"/>
  <c r="V23" i="68"/>
  <c r="V137" i="33"/>
  <c r="V79" i="68"/>
  <c r="V147" i="33"/>
  <c r="U6" i="67"/>
  <c r="U9" i="67" s="1"/>
  <c r="V37" i="68"/>
  <c r="V188" i="33"/>
  <c r="V177" i="33"/>
  <c r="V147" i="6"/>
  <c r="V40" i="68"/>
  <c r="V38" i="8"/>
  <c r="V80" i="68"/>
  <c r="V135" i="6"/>
  <c r="V138" i="33"/>
  <c r="V38" i="68"/>
  <c r="V51" i="8"/>
  <c r="V141" i="33"/>
  <c r="V39" i="68"/>
  <c r="V184" i="33"/>
  <c r="V68" i="33"/>
  <c r="V70" i="33"/>
  <c r="V54" i="68"/>
  <c r="V84" i="6"/>
  <c r="V75" i="68"/>
  <c r="V60" i="68"/>
  <c r="V152" i="33"/>
  <c r="V36" i="68"/>
  <c r="V66" i="68"/>
  <c r="V31" i="68"/>
  <c r="V191" i="33"/>
  <c r="V35" i="68"/>
  <c r="V62" i="68"/>
  <c r="V76" i="68"/>
  <c r="V27" i="68"/>
  <c r="V61" i="68"/>
  <c r="V154" i="33"/>
  <c r="V52" i="8"/>
  <c r="V82" i="33"/>
  <c r="V73" i="33"/>
  <c r="V193" i="33"/>
  <c r="V70" i="68"/>
  <c r="V77" i="68"/>
  <c r="V32" i="68"/>
  <c r="V46" i="8"/>
  <c r="V64" i="68"/>
  <c r="V34" i="68"/>
  <c r="V190" i="33"/>
  <c r="V59" i="68"/>
  <c r="V178" i="33"/>
  <c r="V16" i="8"/>
  <c r="V86" i="33"/>
  <c r="V149" i="33"/>
  <c r="V20" i="68"/>
  <c r="V55" i="68"/>
  <c r="V54" i="8"/>
  <c r="V80" i="33"/>
  <c r="V145" i="33"/>
  <c r="V84" i="33"/>
  <c r="V73" i="68"/>
  <c r="V60" i="8"/>
  <c r="V22" i="68"/>
  <c r="V14" i="68"/>
  <c r="V56" i="68"/>
  <c r="V18" i="8"/>
  <c r="V65" i="68"/>
  <c r="V148" i="33"/>
  <c r="V17" i="8"/>
  <c r="V25" i="8"/>
  <c r="V180" i="33"/>
  <c r="V71" i="68"/>
  <c r="V41" i="68"/>
  <c r="V71" i="33"/>
  <c r="V189" i="33"/>
  <c r="V42" i="68"/>
  <c r="V28" i="68"/>
  <c r="V19" i="68"/>
  <c r="V144" i="33"/>
  <c r="V63" i="68"/>
  <c r="V66" i="8"/>
  <c r="V15" i="68"/>
  <c r="V77" i="6"/>
  <c r="V64" i="8"/>
  <c r="V52" i="68"/>
  <c r="V63" i="8"/>
  <c r="V21" i="68"/>
  <c r="V16" i="68"/>
  <c r="V81" i="33"/>
  <c r="V26" i="8"/>
  <c r="V62" i="8"/>
  <c r="V28" i="8"/>
  <c r="V74" i="6"/>
  <c r="V10" i="9" s="1"/>
  <c r="V67" i="8"/>
  <c r="V47" i="8"/>
  <c r="V186" i="33"/>
  <c r="V153" i="33"/>
  <c r="V17" i="68"/>
  <c r="V24" i="8"/>
  <c r="V53" i="68"/>
  <c r="V182" i="33"/>
  <c r="V36" i="8"/>
  <c r="V179" i="33"/>
  <c r="V57" i="68"/>
  <c r="V187" i="33"/>
  <c r="V29" i="68"/>
  <c r="V69" i="33"/>
  <c r="V27" i="8"/>
  <c r="V33" i="68"/>
  <c r="V181" i="33"/>
  <c r="V146" i="33"/>
  <c r="V43" i="68"/>
  <c r="V24" i="68"/>
  <c r="V35" i="8"/>
  <c r="V192" i="33"/>
  <c r="V72" i="68"/>
  <c r="V143" i="33"/>
  <c r="V176" i="33"/>
  <c r="V139" i="33"/>
  <c r="V19" i="8"/>
  <c r="V68" i="68"/>
  <c r="V58" i="68"/>
  <c r="V83" i="33"/>
  <c r="V48" i="8"/>
  <c r="V55" i="8" s="1"/>
  <c r="V76" i="6"/>
  <c r="V136" i="33"/>
  <c r="V116" i="6"/>
  <c r="V77" i="8" s="1"/>
  <c r="V88" i="6"/>
  <c r="V112" i="6"/>
  <c r="U17" i="67" s="1"/>
  <c r="V34" i="8" l="1"/>
  <c r="V33" i="8" s="1"/>
  <c r="V23" i="8"/>
  <c r="V22" i="8" s="1"/>
  <c r="V13" i="9"/>
  <c r="V9" i="13" s="1"/>
  <c r="V9" i="7"/>
  <c r="V27" i="33"/>
  <c r="U10" i="67"/>
  <c r="V14" i="38"/>
  <c r="V148" i="6"/>
  <c r="V45" i="8"/>
  <c r="V44" i="8" s="1"/>
  <c r="V19" i="33"/>
  <c r="V10" i="38"/>
  <c r="V136" i="6"/>
  <c r="U7" i="67"/>
  <c r="V12" i="9"/>
  <c r="V8" i="13" s="1"/>
  <c r="V8" i="7"/>
  <c r="V82" i="68"/>
  <c r="V16" i="7"/>
  <c r="V20" i="9"/>
  <c r="V16" i="13" s="1"/>
  <c r="U8" i="67"/>
  <c r="V12" i="38"/>
  <c r="V142" i="6"/>
  <c r="V23" i="33"/>
  <c r="V80" i="8"/>
  <c r="V92" i="6" s="1"/>
  <c r="V44" i="68"/>
  <c r="V15" i="8"/>
  <c r="V14" i="8" s="1"/>
  <c r="V13" i="38" l="1"/>
  <c r="V24" i="33"/>
  <c r="V11" i="38"/>
  <c r="V20" i="33"/>
  <c r="V83" i="68"/>
  <c r="V132" i="6" s="1"/>
  <c r="V131" i="6"/>
  <c r="V16" i="38"/>
  <c r="V15" i="38"/>
  <c r="V28" i="33"/>
  <c r="V128" i="6"/>
  <c r="V45" i="68"/>
  <c r="V27" i="9"/>
  <c r="V23" i="13" s="1"/>
  <c r="V23" i="7"/>
  <c r="V20" i="38" l="1"/>
  <c r="V17" i="38"/>
  <c r="V85" i="68"/>
  <c r="V129" i="6"/>
  <c r="V31" i="6" s="1"/>
  <c r="V32" i="6" s="1"/>
  <c r="V72" i="8" s="1"/>
  <c r="V73" i="8" s="1"/>
  <c r="V74" i="8" s="1"/>
  <c r="V65" i="8" s="1"/>
  <c r="U13" i="67" s="1"/>
  <c r="V21" i="38" l="1"/>
  <c r="V90" i="38"/>
  <c r="V42" i="38"/>
  <c r="V66" i="38"/>
  <c r="V22" i="38" l="1"/>
  <c r="V91" i="38"/>
  <c r="V43" i="38"/>
  <c r="V67" i="38"/>
  <c r="V23" i="38" l="1"/>
  <c r="V44" i="38"/>
  <c r="V68" i="38"/>
  <c r="V92" i="38"/>
  <c r="V69" i="38" l="1"/>
  <c r="V45" i="38"/>
  <c r="V93" i="38"/>
  <c r="V24" i="38"/>
  <c r="V70" i="38" l="1"/>
  <c r="V46" i="38"/>
  <c r="V25" i="38"/>
  <c r="V94" i="38"/>
  <c r="V95" i="38" l="1"/>
  <c r="V47" i="38"/>
  <c r="V26" i="38"/>
  <c r="V71" i="38"/>
  <c r="V96" i="38" l="1"/>
  <c r="V48" i="38"/>
  <c r="V72" i="38"/>
  <c r="V27" i="38"/>
  <c r="V28" i="38" l="1"/>
  <c r="V73" i="38"/>
  <c r="V49" i="38"/>
  <c r="V97" i="38"/>
  <c r="V74" i="38" l="1"/>
  <c r="V29" i="38"/>
  <c r="V50" i="38"/>
  <c r="V98" i="38"/>
  <c r="V51" i="38" l="1"/>
  <c r="V75" i="38"/>
  <c r="V99" i="38"/>
  <c r="V30" i="38"/>
  <c r="V31" i="38" l="1"/>
  <c r="V76" i="38"/>
  <c r="V100" i="38"/>
  <c r="V52" i="38"/>
  <c r="V32" i="38" l="1"/>
  <c r="V101" i="38"/>
  <c r="V53" i="38"/>
  <c r="V77" i="38"/>
  <c r="V33" i="38" l="1"/>
  <c r="V54" i="38"/>
  <c r="V78" i="38"/>
  <c r="V102" i="38"/>
  <c r="V34" i="38" l="1"/>
  <c r="V103" i="38"/>
  <c r="V79" i="38"/>
  <c r="V55" i="38"/>
  <c r="V56" i="38" l="1"/>
  <c r="V35" i="38"/>
  <c r="V104" i="38"/>
  <c r="V80" i="38"/>
  <c r="V105" i="38" l="1"/>
  <c r="V57" i="38"/>
  <c r="V36" i="38"/>
  <c r="V81" i="38"/>
  <c r="V82" i="38" l="1"/>
  <c r="V106" i="38"/>
  <c r="V58" i="38"/>
  <c r="V37" i="38"/>
  <c r="V59" i="38" l="1"/>
  <c r="V107" i="38"/>
  <c r="V83" i="38"/>
  <c r="V38" i="38"/>
  <c r="V60" i="38" l="1"/>
  <c r="V84" i="38"/>
  <c r="V39" i="38"/>
  <c r="V108" i="38"/>
  <c r="V61" i="38" l="1"/>
  <c r="V109" i="38"/>
  <c r="V85" i="38"/>
  <c r="V87" i="38" l="1"/>
  <c r="V143" i="6" s="1"/>
  <c r="V86" i="38"/>
  <c r="V111" i="38"/>
  <c r="V149" i="6" s="1"/>
  <c r="V110" i="38"/>
  <c r="V63" i="38"/>
  <c r="V137" i="6" s="1"/>
  <c r="V62" i="38"/>
  <c r="V150" i="6" l="1"/>
  <c r="V30" i="33" s="1"/>
  <c r="V153" i="6"/>
  <c r="V29" i="33"/>
  <c r="V151" i="6"/>
  <c r="V152" i="6" s="1"/>
  <c r="V21" i="33"/>
  <c r="V138" i="6"/>
  <c r="V22" i="33" s="1"/>
  <c r="V139" i="6"/>
  <c r="V144" i="6"/>
  <c r="V26" i="33" s="1"/>
  <c r="V25" i="33"/>
  <c r="V145" i="6"/>
  <c r="V146" i="6" s="1"/>
  <c r="V140" i="6" l="1"/>
  <c r="V31" i="33"/>
  <c r="V10" i="68"/>
  <c r="V13" i="68" s="1"/>
  <c r="V154" i="6"/>
  <c r="AA121" i="33" l="1"/>
  <c r="AE121" i="33"/>
  <c r="X121" i="33"/>
  <c r="V121" i="33"/>
  <c r="AF121" i="33"/>
  <c r="AC121" i="33"/>
  <c r="AG121" i="33"/>
  <c r="AD121" i="33"/>
  <c r="Z121" i="33"/>
  <c r="Y121" i="33"/>
  <c r="AB121" i="33"/>
  <c r="W121" i="33"/>
  <c r="V87" i="33"/>
  <c r="V155" i="33"/>
  <c r="V167" i="33" s="1"/>
  <c r="V15" i="39"/>
  <c r="V155" i="6"/>
  <c r="V11" i="68"/>
  <c r="V12" i="68" s="1"/>
  <c r="V127" i="6" s="1"/>
  <c r="V32" i="33"/>
  <c r="V74" i="33" s="1"/>
  <c r="V108" i="33" s="1"/>
  <c r="V33" i="33" l="1"/>
  <c r="V157" i="6"/>
  <c r="V156" i="6"/>
  <c r="V49" i="68"/>
  <c r="V77" i="33"/>
  <c r="V111" i="33" s="1"/>
  <c r="V78" i="33"/>
  <c r="V112" i="33" s="1"/>
  <c r="V79" i="33"/>
  <c r="V113" i="33" s="1"/>
  <c r="V75" i="33"/>
  <c r="V76" i="33"/>
  <c r="V110" i="33" s="1"/>
  <c r="V67" i="6" l="1"/>
  <c r="V66" i="6" s="1"/>
  <c r="V68" i="6" s="1"/>
  <c r="V69" i="6" s="1"/>
  <c r="V50" i="68"/>
  <c r="V130" i="6" s="1"/>
  <c r="V87" i="6" s="1"/>
  <c r="V48" i="68"/>
  <c r="V35" i="33"/>
  <c r="V34" i="33"/>
  <c r="V70" i="8"/>
  <c r="V158" i="6"/>
  <c r="V109" i="33"/>
  <c r="V99" i="33"/>
  <c r="V227" i="33"/>
  <c r="V230" i="33"/>
  <c r="V218" i="33"/>
  <c r="V219" i="33"/>
  <c r="V232" i="33"/>
  <c r="V228" i="33"/>
  <c r="V220" i="33"/>
  <c r="V254" i="33" s="1"/>
  <c r="V215" i="33"/>
  <c r="V214" i="33"/>
  <c r="V221" i="33"/>
  <c r="V255" i="33" s="1"/>
  <c r="V229" i="33"/>
  <c r="V225" i="33"/>
  <c r="V259" i="33" s="1"/>
  <c r="V217" i="33"/>
  <c r="V224" i="33"/>
  <c r="V258" i="33" s="1"/>
  <c r="V222" i="33"/>
  <c r="V256" i="33" s="1"/>
  <c r="V226" i="33"/>
  <c r="V231" i="33"/>
  <c r="V216" i="33"/>
  <c r="V223" i="33"/>
  <c r="V257" i="33" s="1"/>
  <c r="AB267" i="33" l="1"/>
  <c r="AA267" i="33"/>
  <c r="AC267" i="33"/>
  <c r="AE267" i="33"/>
  <c r="AF267" i="33"/>
  <c r="V267" i="33"/>
  <c r="AG267" i="33"/>
  <c r="Z267" i="33"/>
  <c r="AD267" i="33"/>
  <c r="X267" i="33"/>
  <c r="W267" i="33"/>
  <c r="Y267" i="33"/>
  <c r="V194" i="33"/>
  <c r="V206" i="33" s="1"/>
  <c r="V36" i="33"/>
  <c r="V159" i="6"/>
  <c r="V160" i="6"/>
  <c r="V161" i="6" s="1"/>
  <c r="V121" i="6" s="1"/>
  <c r="V123" i="6" s="1"/>
  <c r="V233" i="33"/>
  <c r="V245" i="33" s="1"/>
  <c r="V71" i="8"/>
  <c r="V68" i="8"/>
  <c r="V23" i="9"/>
  <c r="V19" i="13" s="1"/>
  <c r="V29" i="9"/>
  <c r="V25" i="13" s="1"/>
  <c r="V24" i="7"/>
  <c r="V19" i="7"/>
  <c r="V51" i="68"/>
  <c r="U11" i="67"/>
  <c r="V171" i="33"/>
  <c r="V59" i="33" l="1"/>
  <c r="V124" i="6"/>
  <c r="V122" i="6"/>
  <c r="V37" i="33"/>
  <c r="V58" i="33"/>
  <c r="U14" i="67" l="1"/>
  <c r="V33" i="6"/>
  <c r="V13" i="39" s="1"/>
  <c r="V33" i="39" s="1"/>
  <c r="V69" i="8"/>
  <c r="V59" i="8" s="1"/>
  <c r="V58" i="8" s="1"/>
  <c r="V81" i="8" s="1"/>
  <c r="V81" i="6" s="1"/>
  <c r="V40" i="46"/>
  <c r="V40" i="62"/>
  <c r="V39" i="46"/>
  <c r="V39" i="62"/>
  <c r="U12" i="67"/>
  <c r="V34" i="6" l="1"/>
  <c r="V35" i="6"/>
  <c r="V37" i="6" s="1"/>
  <c r="V8" i="9"/>
  <c r="V5" i="13" s="1"/>
  <c r="V5" i="7"/>
  <c r="V36" i="6"/>
  <c r="Y184" i="6"/>
  <c r="V184" i="6"/>
  <c r="X184" i="6"/>
  <c r="AB184" i="6"/>
  <c r="AE184" i="6"/>
  <c r="AI184" i="6"/>
  <c r="AC184" i="6"/>
  <c r="AA184" i="6"/>
  <c r="Z184" i="6"/>
  <c r="W184" i="6"/>
  <c r="V17" i="9"/>
  <c r="V13" i="13" s="1"/>
  <c r="AD184" i="6"/>
  <c r="V13" i="7"/>
  <c r="V85" i="6" s="1"/>
  <c r="V38" i="6"/>
  <c r="V86" i="6"/>
  <c r="V55" i="6" l="1"/>
  <c r="AH184" i="6"/>
  <c r="AJ184" i="6" s="1"/>
  <c r="V196" i="6"/>
  <c r="V22" i="9"/>
  <c r="V18" i="13" s="1"/>
  <c r="V18" i="7"/>
  <c r="V21" i="9"/>
  <c r="V17" i="13" s="1"/>
  <c r="V17" i="7"/>
  <c r="V83" i="6"/>
  <c r="V82" i="6" l="1"/>
  <c r="V19" i="9"/>
  <c r="V15" i="13" s="1"/>
  <c r="V15" i="7"/>
  <c r="V56" i="6"/>
  <c r="V57" i="6" s="1"/>
  <c r="V41" i="39"/>
  <c r="V42" i="39" l="1"/>
  <c r="V58" i="6"/>
  <c r="V100" i="6"/>
  <c r="V18" i="9"/>
  <c r="V14" i="13" s="1"/>
  <c r="V14" i="7"/>
  <c r="V171" i="40" l="1"/>
  <c r="V117" i="40"/>
  <c r="V152" i="40"/>
  <c r="V43" i="39"/>
  <c r="V140" i="40"/>
  <c r="V141" i="40" s="1"/>
  <c r="V142" i="40" s="1"/>
  <c r="V59" i="6"/>
  <c r="V118" i="40" l="1"/>
  <c r="V123" i="40" s="1"/>
  <c r="V164" i="40"/>
  <c r="V119" i="40"/>
  <c r="V127" i="40" s="1"/>
  <c r="V163" i="40"/>
  <c r="V144" i="40"/>
  <c r="V143" i="40"/>
  <c r="V177" i="40"/>
  <c r="V172" i="40"/>
  <c r="V174" i="40" s="1"/>
  <c r="V173" i="40"/>
  <c r="V175" i="40" s="1"/>
  <c r="V120" i="40" l="1"/>
  <c r="V126" i="40"/>
  <c r="V128" i="40" s="1"/>
  <c r="V46" i="39" s="1"/>
  <c r="V145" i="40"/>
  <c r="V147" i="40" s="1"/>
  <c r="V176" i="40"/>
  <c r="V187" i="40"/>
  <c r="V124" i="40"/>
  <c r="V125" i="40" s="1"/>
  <c r="V44" i="39" s="1"/>
  <c r="V50" i="39" s="1"/>
  <c r="V51" i="39" s="1"/>
  <c r="V188" i="40"/>
  <c r="V178" i="40"/>
  <c r="V190" i="40" s="1"/>
  <c r="V179" i="40"/>
  <c r="V191" i="40" s="1"/>
  <c r="V121" i="40"/>
  <c r="V122" i="40" l="1"/>
  <c r="V45" i="39" s="1"/>
  <c r="V192" i="40"/>
  <c r="V36" i="39" s="1"/>
  <c r="V146" i="40"/>
  <c r="V181" i="40"/>
  <c r="V189" i="40"/>
  <c r="V35" i="39" s="1"/>
  <c r="V180" i="40"/>
  <c r="V41" i="33"/>
  <c r="V42" i="33" s="1"/>
  <c r="V184" i="40"/>
  <c r="V183" i="40"/>
  <c r="V153" i="40"/>
  <c r="V154" i="40"/>
  <c r="V40" i="33" l="1"/>
  <c r="V43" i="33" s="1"/>
  <c r="V39" i="6"/>
  <c r="V182" i="40"/>
  <c r="V185" i="40"/>
  <c r="V47" i="33"/>
  <c r="V48" i="33" s="1"/>
  <c r="V49" i="33" s="1"/>
  <c r="V51" i="33" s="1"/>
  <c r="V52" i="33" s="1"/>
  <c r="V53" i="33" s="1"/>
  <c r="V54" i="33" s="1"/>
  <c r="V41" i="6"/>
  <c r="V42" i="6" s="1"/>
  <c r="V43" i="6" s="1"/>
  <c r="V40" i="6"/>
  <c r="V53" i="39"/>
  <c r="V155" i="40"/>
  <c r="V159" i="40"/>
  <c r="V156" i="40"/>
  <c r="V158" i="40"/>
  <c r="V186" i="40" l="1"/>
  <c r="V34" i="39" s="1"/>
  <c r="V37" i="39" s="1"/>
  <c r="V44" i="6"/>
  <c r="V48" i="6" s="1"/>
  <c r="V14" i="39"/>
  <c r="V157" i="40"/>
  <c r="V160" i="40"/>
  <c r="V161" i="40" l="1"/>
  <c r="V162" i="40" s="1"/>
  <c r="V47" i="39"/>
  <c r="V193" i="40"/>
  <c r="V52" i="39"/>
  <c r="V16" i="39"/>
  <c r="V50" i="6"/>
  <c r="V49" i="6"/>
  <c r="V51" i="6" s="1"/>
  <c r="V52" i="6" s="1"/>
  <c r="V17" i="39" l="1"/>
  <c r="V54" i="39"/>
  <c r="V55" i="39" s="1"/>
  <c r="V56" i="39"/>
  <c r="V57" i="39" s="1"/>
  <c r="V18" i="39"/>
  <c r="V38" i="39" l="1"/>
  <c r="V19" i="39"/>
  <c r="V20" i="39" s="1"/>
  <c r="V61" i="6" l="1"/>
  <c r="V21" i="39"/>
  <c r="V60" i="6" s="1"/>
  <c r="V62" i="6" s="1"/>
  <c r="V70" i="6" l="1"/>
  <c r="V63" i="6"/>
  <c r="V9" i="9"/>
  <c r="V6" i="13" s="1"/>
  <c r="V6" i="7"/>
  <c r="V64" i="6"/>
  <c r="V65" i="6" l="1"/>
  <c r="V75" i="6"/>
  <c r="V71" i="6"/>
  <c r="V99" i="6" l="1"/>
  <c r="V90" i="6" s="1"/>
  <c r="V11" i="9"/>
  <c r="V7" i="13" s="1"/>
  <c r="V7" i="7"/>
  <c r="V78" i="6"/>
  <c r="V25" i="9" l="1"/>
  <c r="V21" i="7"/>
  <c r="V10" i="7"/>
  <c r="V14" i="9"/>
  <c r="V95" i="6"/>
  <c r="V103" i="6" l="1"/>
  <c r="V101" i="6"/>
  <c r="V10" i="13"/>
  <c r="V21" i="13"/>
  <c r="V102" i="6" l="1"/>
  <c r="V105" i="6" s="1"/>
  <c r="V104" i="6"/>
  <c r="V106" i="6" s="1"/>
  <c r="V107" i="6" s="1"/>
  <c r="V91" i="6" s="1"/>
  <c r="V26" i="9" l="1"/>
  <c r="V22" i="7"/>
  <c r="V89" i="6"/>
  <c r="V28" i="9" l="1"/>
  <c r="V24" i="13" s="1"/>
  <c r="V20" i="7"/>
  <c r="V93" i="6"/>
  <c r="V22" i="13"/>
  <c r="V20" i="13" s="1"/>
  <c r="V24" i="9"/>
  <c r="V30" i="9" l="1"/>
  <c r="V25" i="7"/>
  <c r="V96" i="6"/>
  <c r="V27" i="7" l="1"/>
  <c r="W111" i="6"/>
  <c r="V26" i="13"/>
  <c r="V32" i="9"/>
  <c r="V28" i="13" s="1"/>
  <c r="W36" i="68" l="1"/>
  <c r="W71" i="33"/>
  <c r="V6" i="67"/>
  <c r="V9" i="67" s="1"/>
  <c r="W57" i="68"/>
  <c r="W182" i="33"/>
  <c r="W27" i="8"/>
  <c r="W25" i="8"/>
  <c r="W70" i="33"/>
  <c r="W69" i="68"/>
  <c r="W79" i="68"/>
  <c r="W19" i="68"/>
  <c r="W84" i="33"/>
  <c r="W35" i="68"/>
  <c r="W36" i="8"/>
  <c r="W73" i="33"/>
  <c r="W20" i="68"/>
  <c r="W141" i="33"/>
  <c r="W40" i="68"/>
  <c r="W138" i="33"/>
  <c r="W75" i="68"/>
  <c r="W69" i="33"/>
  <c r="W27" i="68"/>
  <c r="W68" i="68"/>
  <c r="W192" i="33"/>
  <c r="W144" i="33"/>
  <c r="W136" i="33"/>
  <c r="W71" i="68"/>
  <c r="W39" i="8"/>
  <c r="W16" i="8"/>
  <c r="W64" i="68"/>
  <c r="W193" i="33"/>
  <c r="W72" i="68"/>
  <c r="W60" i="8"/>
  <c r="W78" i="68"/>
  <c r="W180" i="33"/>
  <c r="W176" i="33"/>
  <c r="W63" i="68"/>
  <c r="W185" i="33"/>
  <c r="W18" i="68"/>
  <c r="W24" i="68"/>
  <c r="W175" i="33"/>
  <c r="W54" i="8"/>
  <c r="W86" i="33"/>
  <c r="W74" i="6"/>
  <c r="W10" i="9" s="1"/>
  <c r="W16" i="68"/>
  <c r="W26" i="68"/>
  <c r="W18" i="8"/>
  <c r="W54" i="68"/>
  <c r="W150" i="33"/>
  <c r="W52" i="8"/>
  <c r="W68" i="33"/>
  <c r="W83" i="33"/>
  <c r="W37" i="8"/>
  <c r="W154" i="33"/>
  <c r="W25" i="68"/>
  <c r="W43" i="68"/>
  <c r="W187" i="33"/>
  <c r="W178" i="33"/>
  <c r="W17" i="8"/>
  <c r="W55" i="68"/>
  <c r="W50" i="8"/>
  <c r="W41" i="68"/>
  <c r="W190" i="33"/>
  <c r="W80" i="33"/>
  <c r="W32" i="68"/>
  <c r="W46" i="8"/>
  <c r="W24" i="8"/>
  <c r="W49" i="8"/>
  <c r="W151" i="33"/>
  <c r="W37" i="68"/>
  <c r="W184" i="33"/>
  <c r="W186" i="33"/>
  <c r="W72" i="33"/>
  <c r="W48" i="8"/>
  <c r="W55" i="8" s="1"/>
  <c r="W51" i="8"/>
  <c r="W189" i="33"/>
  <c r="W60" i="68"/>
  <c r="W152" i="33"/>
  <c r="W140" i="33"/>
  <c r="W147" i="6"/>
  <c r="W81" i="68"/>
  <c r="W143" i="33"/>
  <c r="W59" i="68"/>
  <c r="W148" i="33"/>
  <c r="W52" i="68"/>
  <c r="W73" i="68"/>
  <c r="W30" i="68"/>
  <c r="W181" i="33"/>
  <c r="W67" i="68"/>
  <c r="W34" i="68"/>
  <c r="W62" i="68"/>
  <c r="W85" i="33"/>
  <c r="W47" i="8"/>
  <c r="W56" i="68"/>
  <c r="W22" i="68"/>
  <c r="W61" i="8"/>
  <c r="W21" i="68"/>
  <c r="W146" i="33"/>
  <c r="W194" i="33"/>
  <c r="W63" i="8"/>
  <c r="W28" i="8"/>
  <c r="W66" i="68"/>
  <c r="W153" i="33"/>
  <c r="W135" i="6"/>
  <c r="W70" i="68"/>
  <c r="W84" i="6"/>
  <c r="W19" i="8"/>
  <c r="W177" i="33"/>
  <c r="W77" i="6"/>
  <c r="W53" i="68"/>
  <c r="W28" i="68"/>
  <c r="W35" i="8"/>
  <c r="W42" i="68"/>
  <c r="W66" i="8"/>
  <c r="W76" i="68"/>
  <c r="W77" i="68"/>
  <c r="W64" i="8"/>
  <c r="W142" i="33"/>
  <c r="W62" i="8"/>
  <c r="W183" i="33"/>
  <c r="W31" i="68"/>
  <c r="W137" i="33"/>
  <c r="W74" i="68"/>
  <c r="W147" i="33"/>
  <c r="W139" i="33"/>
  <c r="W155" i="33"/>
  <c r="W145" i="33"/>
  <c r="W39" i="68"/>
  <c r="W14" i="68"/>
  <c r="W87" i="33"/>
  <c r="W115" i="6"/>
  <c r="V16" i="67" s="1"/>
  <c r="W23" i="68"/>
  <c r="W38" i="68"/>
  <c r="W82" i="33"/>
  <c r="W65" i="68"/>
  <c r="W29" i="68"/>
  <c r="W191" i="33"/>
  <c r="W149" i="33"/>
  <c r="W17" i="68"/>
  <c r="W81" i="33"/>
  <c r="W67" i="8"/>
  <c r="W15" i="68"/>
  <c r="W33" i="68"/>
  <c r="W179" i="33"/>
  <c r="W141" i="6"/>
  <c r="W58" i="68"/>
  <c r="W80" i="68"/>
  <c r="W38" i="8"/>
  <c r="W26" i="8"/>
  <c r="W76" i="6"/>
  <c r="W188" i="33"/>
  <c r="W61" i="68"/>
  <c r="W116" i="6"/>
  <c r="W77" i="8" s="1"/>
  <c r="W88" i="6"/>
  <c r="W112" i="6"/>
  <c r="V17" i="67" s="1"/>
  <c r="W15" i="8" l="1"/>
  <c r="W14" i="8" s="1"/>
  <c r="W8" i="7"/>
  <c r="W12" i="9"/>
  <c r="W8" i="13" s="1"/>
  <c r="W45" i="8"/>
  <c r="W44" i="8" s="1"/>
  <c r="W23" i="33"/>
  <c r="W142" i="6"/>
  <c r="W12" i="38"/>
  <c r="V8" i="67"/>
  <c r="W80" i="8"/>
  <c r="W92" i="6" s="1"/>
  <c r="W82" i="68"/>
  <c r="W34" i="8"/>
  <c r="W33" i="8" s="1"/>
  <c r="W19" i="33"/>
  <c r="W136" i="6"/>
  <c r="W10" i="38"/>
  <c r="V7" i="67"/>
  <c r="W14" i="38"/>
  <c r="W27" i="33"/>
  <c r="V10" i="67"/>
  <c r="W148" i="6"/>
  <c r="W16" i="7"/>
  <c r="W20" i="9"/>
  <c r="W16" i="13" s="1"/>
  <c r="W44" i="68"/>
  <c r="W9" i="7"/>
  <c r="W13" i="9"/>
  <c r="W9" i="13" s="1"/>
  <c r="W23" i="8"/>
  <c r="W22" i="8" s="1"/>
  <c r="W16" i="38" l="1"/>
  <c r="W20" i="38" s="1"/>
  <c r="W83" i="68"/>
  <c r="W132" i="6" s="1"/>
  <c r="W131" i="6"/>
  <c r="W45" i="68"/>
  <c r="W128" i="6"/>
  <c r="W15" i="38"/>
  <c r="W28" i="33"/>
  <c r="W11" i="38"/>
  <c r="W20" i="33"/>
  <c r="W23" i="7"/>
  <c r="W27" i="9"/>
  <c r="W23" i="13" s="1"/>
  <c r="W13" i="38"/>
  <c r="W24" i="33"/>
  <c r="W17" i="38" l="1"/>
  <c r="W129" i="6"/>
  <c r="W31" i="6" s="1"/>
  <c r="W32" i="6" s="1"/>
  <c r="W72" i="8" s="1"/>
  <c r="W73" i="8" s="1"/>
  <c r="W74" i="8" s="1"/>
  <c r="W65" i="8" s="1"/>
  <c r="V13" i="67" s="1"/>
  <c r="W85" i="68"/>
  <c r="W66" i="38"/>
  <c r="W90" i="38"/>
  <c r="W21" i="38"/>
  <c r="W42" i="38"/>
  <c r="W43" i="38" l="1"/>
  <c r="W67" i="38"/>
  <c r="W22" i="38"/>
  <c r="W91" i="38"/>
  <c r="W44" i="38" l="1"/>
  <c r="W92" i="38"/>
  <c r="W68" i="38"/>
  <c r="W23" i="38"/>
  <c r="W93" i="38" l="1"/>
  <c r="W45" i="38"/>
  <c r="W69" i="38"/>
  <c r="W24" i="38"/>
  <c r="W25" i="38" l="1"/>
  <c r="W94" i="38"/>
  <c r="W46" i="38"/>
  <c r="W70" i="38"/>
  <c r="W26" i="38" l="1"/>
  <c r="W71" i="38"/>
  <c r="W47" i="38"/>
  <c r="W95" i="38"/>
  <c r="W96" i="38" l="1"/>
  <c r="W27" i="38"/>
  <c r="W48" i="38"/>
  <c r="W72" i="38"/>
  <c r="W49" i="38" l="1"/>
  <c r="W97" i="38"/>
  <c r="W28" i="38"/>
  <c r="W73" i="38"/>
  <c r="W74" i="38" l="1"/>
  <c r="W98" i="38"/>
  <c r="W29" i="38"/>
  <c r="W50" i="38"/>
  <c r="W99" i="38" l="1"/>
  <c r="W51" i="38"/>
  <c r="W30" i="38"/>
  <c r="W75" i="38"/>
  <c r="W52" i="38" l="1"/>
  <c r="W100" i="38"/>
  <c r="W76" i="38"/>
  <c r="W31" i="38"/>
  <c r="W32" i="38" l="1"/>
  <c r="W101" i="38"/>
  <c r="W53" i="38"/>
  <c r="W77" i="38"/>
  <c r="W33" i="38" l="1"/>
  <c r="W102" i="38"/>
  <c r="W54" i="38"/>
  <c r="W78" i="38"/>
  <c r="W79" i="38" l="1"/>
  <c r="W34" i="38"/>
  <c r="W55" i="38"/>
  <c r="W103" i="38"/>
  <c r="W80" i="38" l="1"/>
  <c r="W104" i="38"/>
  <c r="W35" i="38"/>
  <c r="W56" i="38"/>
  <c r="W105" i="38" l="1"/>
  <c r="W57" i="38"/>
  <c r="W81" i="38"/>
  <c r="W36" i="38"/>
  <c r="W58" i="38" l="1"/>
  <c r="W82" i="38"/>
  <c r="W37" i="38"/>
  <c r="W106" i="38"/>
  <c r="W83" i="38" l="1"/>
  <c r="W38" i="38"/>
  <c r="W59" i="38"/>
  <c r="W107" i="38"/>
  <c r="W108" i="38" l="1"/>
  <c r="W39" i="38"/>
  <c r="W60" i="38"/>
  <c r="W84" i="38"/>
  <c r="W61" i="38" l="1"/>
  <c r="W85" i="38"/>
  <c r="W109" i="38"/>
  <c r="W111" i="38" l="1"/>
  <c r="W149" i="6" s="1"/>
  <c r="W110" i="38"/>
  <c r="W86" i="38"/>
  <c r="W87" i="38"/>
  <c r="W143" i="6" s="1"/>
  <c r="W63" i="38"/>
  <c r="W137" i="6" s="1"/>
  <c r="W62" i="38"/>
  <c r="W25" i="33" l="1"/>
  <c r="W144" i="6"/>
  <c r="W26" i="33" s="1"/>
  <c r="W145" i="6"/>
  <c r="W146" i="6" s="1"/>
  <c r="W21" i="33"/>
  <c r="W138" i="6"/>
  <c r="W22" i="33" s="1"/>
  <c r="W139" i="6"/>
  <c r="W29" i="33"/>
  <c r="W150" i="6"/>
  <c r="W30" i="33" s="1"/>
  <c r="W153" i="6"/>
  <c r="W151" i="6"/>
  <c r="W152" i="6" s="1"/>
  <c r="W10" i="68" l="1"/>
  <c r="W13" i="68" s="1"/>
  <c r="W31" i="33"/>
  <c r="W154" i="6"/>
  <c r="W140" i="6"/>
  <c r="W15" i="39" l="1"/>
  <c r="W155" i="6"/>
  <c r="W11" i="68"/>
  <c r="W12" i="68" s="1"/>
  <c r="W127" i="6" s="1"/>
  <c r="W32" i="33"/>
  <c r="W74" i="33" s="1"/>
  <c r="W108" i="33" s="1"/>
  <c r="AE122" i="33"/>
  <c r="AA122" i="33"/>
  <c r="AG122" i="33"/>
  <c r="AF122" i="33"/>
  <c r="Y122" i="33"/>
  <c r="AB122" i="33"/>
  <c r="AD122" i="33"/>
  <c r="AC122" i="33"/>
  <c r="Z122" i="33"/>
  <c r="X122" i="33"/>
  <c r="W122" i="33"/>
  <c r="W88" i="33"/>
  <c r="W156" i="33"/>
  <c r="W167" i="33" s="1"/>
  <c r="W78" i="33" l="1"/>
  <c r="W112" i="33" s="1"/>
  <c r="W76" i="33"/>
  <c r="W110" i="33" s="1"/>
  <c r="W79" i="33"/>
  <c r="W113" i="33" s="1"/>
  <c r="W75" i="33"/>
  <c r="W77" i="33"/>
  <c r="W111" i="33" s="1"/>
  <c r="W49" i="68"/>
  <c r="W156" i="6"/>
  <c r="W33" i="33"/>
  <c r="W157" i="6"/>
  <c r="W34" i="33" l="1"/>
  <c r="W70" i="8"/>
  <c r="W158" i="6"/>
  <c r="W222" i="33"/>
  <c r="W256" i="33" s="1"/>
  <c r="W229" i="33"/>
  <c r="W215" i="33"/>
  <c r="W225" i="33"/>
  <c r="W259" i="33" s="1"/>
  <c r="W214" i="33"/>
  <c r="W223" i="33"/>
  <c r="W257" i="33" s="1"/>
  <c r="W219" i="33"/>
  <c r="W227" i="33"/>
  <c r="W218" i="33"/>
  <c r="W230" i="33"/>
  <c r="W217" i="33"/>
  <c r="W224" i="33"/>
  <c r="W258" i="33" s="1"/>
  <c r="W228" i="33"/>
  <c r="W220" i="33"/>
  <c r="W254" i="33" s="1"/>
  <c r="W231" i="33"/>
  <c r="W232" i="33"/>
  <c r="W216" i="33"/>
  <c r="W226" i="33"/>
  <c r="W221" i="33"/>
  <c r="W255" i="33" s="1"/>
  <c r="W233" i="33"/>
  <c r="W109" i="33"/>
  <c r="W99" i="33"/>
  <c r="W171" i="33" s="1"/>
  <c r="W67" i="6"/>
  <c r="W66" i="6" s="1"/>
  <c r="W68" i="6" s="1"/>
  <c r="W69" i="6" s="1"/>
  <c r="W50" i="68"/>
  <c r="W130" i="6" s="1"/>
  <c r="W87" i="6" s="1"/>
  <c r="W48" i="68"/>
  <c r="W35" i="33"/>
  <c r="W234" i="33" s="1"/>
  <c r="W19" i="7" l="1"/>
  <c r="W23" i="9"/>
  <c r="W19" i="13" s="1"/>
  <c r="W24" i="7"/>
  <c r="W29" i="9"/>
  <c r="W25" i="13" s="1"/>
  <c r="W245" i="33"/>
  <c r="W36" i="33"/>
  <c r="W159" i="6"/>
  <c r="W160" i="6"/>
  <c r="W161" i="6" s="1"/>
  <c r="W121" i="6" s="1"/>
  <c r="W123" i="6" s="1"/>
  <c r="W71" i="8"/>
  <c r="W68" i="8"/>
  <c r="AC268" i="33"/>
  <c r="AF268" i="33"/>
  <c r="AD268" i="33"/>
  <c r="W268" i="33"/>
  <c r="X268" i="33"/>
  <c r="Y268" i="33"/>
  <c r="AE268" i="33"/>
  <c r="AG268" i="33"/>
  <c r="Z268" i="33"/>
  <c r="AB268" i="33"/>
  <c r="AA268" i="33"/>
  <c r="W195" i="33"/>
  <c r="W206" i="33" s="1"/>
  <c r="V11" i="67"/>
  <c r="W51" i="68"/>
  <c r="W124" i="6" l="1"/>
  <c r="W122" i="6"/>
  <c r="W37" i="33"/>
  <c r="W59" i="33"/>
  <c r="W39" i="62" l="1"/>
  <c r="V12" i="67"/>
  <c r="W39" i="46"/>
  <c r="W33" i="6"/>
  <c r="W69" i="8"/>
  <c r="W59" i="8" s="1"/>
  <c r="W58" i="8" s="1"/>
  <c r="W81" i="8" s="1"/>
  <c r="W81" i="6" s="1"/>
  <c r="W40" i="46"/>
  <c r="W40" i="62"/>
  <c r="W58" i="33"/>
  <c r="V14" i="67" l="1"/>
  <c r="Z185" i="6"/>
  <c r="W185" i="6"/>
  <c r="AI185" i="6"/>
  <c r="AF185" i="6"/>
  <c r="Y185" i="6"/>
  <c r="AC185" i="6"/>
  <c r="AA185" i="6"/>
  <c r="AE185" i="6"/>
  <c r="AD185" i="6"/>
  <c r="X185" i="6"/>
  <c r="AB185" i="6"/>
  <c r="W17" i="9"/>
  <c r="W13" i="13" s="1"/>
  <c r="W13" i="7"/>
  <c r="W85" i="6" s="1"/>
  <c r="W13" i="39"/>
  <c r="W33" i="39" s="1"/>
  <c r="W35" i="6"/>
  <c r="W37" i="6" s="1"/>
  <c r="W34" i="6"/>
  <c r="W38" i="6" l="1"/>
  <c r="W86" i="6"/>
  <c r="AH185" i="6"/>
  <c r="AJ185" i="6" s="1"/>
  <c r="W196" i="6"/>
  <c r="W8" i="9"/>
  <c r="W5" i="13" s="1"/>
  <c r="W5" i="7"/>
  <c r="W36" i="6"/>
  <c r="W21" i="9"/>
  <c r="W17" i="13" s="1"/>
  <c r="W17" i="7"/>
  <c r="W83" i="6"/>
  <c r="W15" i="7" l="1"/>
  <c r="W19" i="9"/>
  <c r="W15" i="13" s="1"/>
  <c r="W82" i="6"/>
  <c r="W18" i="7"/>
  <c r="W22" i="9"/>
  <c r="W18" i="13" s="1"/>
  <c r="W55" i="6"/>
  <c r="W14" i="7" l="1"/>
  <c r="W18" i="9"/>
  <c r="W14" i="13" s="1"/>
  <c r="W100" i="6"/>
  <c r="W41" i="39"/>
  <c r="W56" i="6"/>
  <c r="W57" i="6" s="1"/>
  <c r="W42" i="39" l="1"/>
  <c r="W58" i="6"/>
  <c r="W171" i="40" l="1"/>
  <c r="W43" i="39"/>
  <c r="W140" i="40"/>
  <c r="W141" i="40" s="1"/>
  <c r="W142" i="40" s="1"/>
  <c r="W152" i="40"/>
  <c r="W117" i="40"/>
  <c r="W59" i="6"/>
  <c r="W144" i="40" l="1"/>
  <c r="W143" i="40"/>
  <c r="W119" i="40"/>
  <c r="W124" i="40" s="1"/>
  <c r="W163" i="40"/>
  <c r="W118" i="40"/>
  <c r="W123" i="40" s="1"/>
  <c r="W164" i="40"/>
  <c r="W173" i="40"/>
  <c r="W188" i="40" s="1"/>
  <c r="W172" i="40"/>
  <c r="W174" i="40" s="1"/>
  <c r="W177" i="40"/>
  <c r="W126" i="40" l="1"/>
  <c r="W145" i="40"/>
  <c r="W147" i="40" s="1"/>
  <c r="W175" i="40"/>
  <c r="W176" i="40" s="1"/>
  <c r="W120" i="40"/>
  <c r="W187" i="40"/>
  <c r="W189" i="40" s="1"/>
  <c r="W35" i="39" s="1"/>
  <c r="W121" i="40"/>
  <c r="W179" i="40"/>
  <c r="W181" i="40" s="1"/>
  <c r="W178" i="40"/>
  <c r="W190" i="40" s="1"/>
  <c r="W127" i="40"/>
  <c r="W128" i="40" s="1"/>
  <c r="W46" i="39" s="1"/>
  <c r="W125" i="40"/>
  <c r="W146" i="40" l="1"/>
  <c r="W122" i="40"/>
  <c r="W40" i="33" s="1"/>
  <c r="W184" i="40"/>
  <c r="W41" i="33"/>
  <c r="W42" i="33" s="1"/>
  <c r="W44" i="39"/>
  <c r="W50" i="39" s="1"/>
  <c r="W51" i="39" s="1"/>
  <c r="W180" i="40"/>
  <c r="W182" i="40" s="1"/>
  <c r="W183" i="40"/>
  <c r="W191" i="40"/>
  <c r="W192" i="40" s="1"/>
  <c r="W36" i="39" s="1"/>
  <c r="W153" i="40"/>
  <c r="W154" i="40"/>
  <c r="W39" i="6" l="1"/>
  <c r="W45" i="39"/>
  <c r="W53" i="39" s="1"/>
  <c r="W185" i="40"/>
  <c r="W186" i="40" s="1"/>
  <c r="W193" i="40" s="1"/>
  <c r="W41" i="6"/>
  <c r="W42" i="6" s="1"/>
  <c r="W43" i="6" s="1"/>
  <c r="W40" i="6"/>
  <c r="W47" i="33"/>
  <c r="W48" i="33" s="1"/>
  <c r="W49" i="33" s="1"/>
  <c r="W51" i="33" s="1"/>
  <c r="W52" i="33" s="1"/>
  <c r="W53" i="33" s="1"/>
  <c r="W54" i="33" s="1"/>
  <c r="W43" i="33"/>
  <c r="W158" i="40"/>
  <c r="W159" i="40"/>
  <c r="W160" i="40"/>
  <c r="W156" i="40"/>
  <c r="W155" i="40"/>
  <c r="W34" i="39" l="1"/>
  <c r="W37" i="39" s="1"/>
  <c r="W161" i="40"/>
  <c r="W162" i="40" s="1"/>
  <c r="W44" i="6"/>
  <c r="W48" i="6" s="1"/>
  <c r="W14" i="39"/>
  <c r="W157" i="40"/>
  <c r="W47" i="39" l="1"/>
  <c r="W52" i="39"/>
  <c r="W16" i="39"/>
  <c r="W49" i="6"/>
  <c r="W51" i="6" s="1"/>
  <c r="W52" i="6" s="1"/>
  <c r="W50" i="6"/>
  <c r="W56" i="39" l="1"/>
  <c r="W17" i="39"/>
  <c r="W18" i="39"/>
  <c r="W54" i="39"/>
  <c r="W55" i="39" s="1"/>
  <c r="W57" i="39" l="1"/>
  <c r="W19" i="39"/>
  <c r="W20" i="39" s="1"/>
  <c r="W38" i="39"/>
  <c r="W61" i="6" l="1"/>
  <c r="W21" i="39"/>
  <c r="W60" i="6" s="1"/>
  <c r="W62" i="6" s="1"/>
  <c r="W6" i="7" l="1"/>
  <c r="W9" i="9"/>
  <c r="W6" i="13" s="1"/>
  <c r="W70" i="6"/>
  <c r="W63" i="6"/>
  <c r="W64" i="6"/>
  <c r="W75" i="6" l="1"/>
  <c r="W71" i="6"/>
  <c r="W65" i="6"/>
  <c r="W11" i="9" l="1"/>
  <c r="W7" i="13" s="1"/>
  <c r="W7" i="7"/>
  <c r="W99" i="6"/>
  <c r="W90" i="6" s="1"/>
  <c r="W78" i="6"/>
  <c r="W21" i="7" l="1"/>
  <c r="W25" i="9"/>
  <c r="W14" i="9"/>
  <c r="W10" i="7"/>
  <c r="W95" i="6"/>
  <c r="W10" i="13" l="1"/>
  <c r="W101" i="6"/>
  <c r="W103" i="6"/>
  <c r="W21" i="13"/>
  <c r="W102" i="6" l="1"/>
  <c r="W105" i="6" s="1"/>
  <c r="W104" i="6"/>
  <c r="W106" i="6" s="1"/>
  <c r="W107" i="6" s="1"/>
  <c r="W91" i="6" s="1"/>
  <c r="W26" i="9" l="1"/>
  <c r="W22" i="7"/>
  <c r="W89" i="6"/>
  <c r="W20" i="7" l="1"/>
  <c r="W28" i="9"/>
  <c r="W24" i="13" s="1"/>
  <c r="W93" i="6"/>
  <c r="W22" i="13"/>
  <c r="W20" i="13" s="1"/>
  <c r="W24" i="9"/>
  <c r="W25" i="7" l="1"/>
  <c r="W30" i="9"/>
  <c r="W96" i="6"/>
  <c r="W27" i="7" l="1"/>
  <c r="X111" i="6"/>
  <c r="W26" i="13"/>
  <c r="W32" i="9"/>
  <c r="W28" i="13" s="1"/>
  <c r="X43" i="68" l="1"/>
  <c r="X17" i="8"/>
  <c r="X17" i="68"/>
  <c r="X20" i="68"/>
  <c r="X72" i="68"/>
  <c r="X21" i="68"/>
  <c r="X52" i="8"/>
  <c r="X41" i="68"/>
  <c r="X60" i="68"/>
  <c r="X185" i="33"/>
  <c r="X35" i="8"/>
  <c r="X57" i="68"/>
  <c r="X178" i="33"/>
  <c r="X72" i="33"/>
  <c r="X181" i="33"/>
  <c r="X141" i="33"/>
  <c r="X16" i="8"/>
  <c r="X63" i="68"/>
  <c r="X155" i="33"/>
  <c r="X71" i="68"/>
  <c r="X68" i="68"/>
  <c r="X76" i="68"/>
  <c r="X188" i="33"/>
  <c r="X146" i="33"/>
  <c r="X88" i="33"/>
  <c r="X15" i="68"/>
  <c r="X180" i="33"/>
  <c r="X71" i="33"/>
  <c r="X153" i="33"/>
  <c r="X195" i="33"/>
  <c r="X55" i="68"/>
  <c r="X80" i="33"/>
  <c r="X70" i="68"/>
  <c r="X145" i="33"/>
  <c r="X179" i="33"/>
  <c r="X152" i="33"/>
  <c r="X34" i="68"/>
  <c r="X28" i="8"/>
  <c r="X182" i="33"/>
  <c r="X138" i="33"/>
  <c r="X18" i="68"/>
  <c r="X25" i="8"/>
  <c r="X63" i="8"/>
  <c r="X79" i="68"/>
  <c r="X42" i="68"/>
  <c r="X78" i="68"/>
  <c r="X70" i="33"/>
  <c r="X154" i="33"/>
  <c r="X50" i="8"/>
  <c r="X19" i="68"/>
  <c r="X46" i="8"/>
  <c r="X69" i="68"/>
  <c r="X84" i="6"/>
  <c r="X33" i="68"/>
  <c r="X189" i="33"/>
  <c r="X37" i="8"/>
  <c r="X39" i="8"/>
  <c r="X24" i="8"/>
  <c r="X136" i="33"/>
  <c r="X54" i="8"/>
  <c r="X47" i="8"/>
  <c r="X39" i="68"/>
  <c r="X80" i="68"/>
  <c r="X27" i="68"/>
  <c r="X27" i="8"/>
  <c r="X40" i="68"/>
  <c r="X81" i="33"/>
  <c r="X115" i="6"/>
  <c r="W16" i="67" s="1"/>
  <c r="X177" i="33"/>
  <c r="X29" i="68"/>
  <c r="X36" i="8"/>
  <c r="X156" i="33"/>
  <c r="X22" i="68"/>
  <c r="X38" i="8"/>
  <c r="X87" i="33"/>
  <c r="X191" i="33"/>
  <c r="X60" i="8"/>
  <c r="X66" i="68"/>
  <c r="X187" i="33"/>
  <c r="X194" i="33"/>
  <c r="X192" i="33"/>
  <c r="X62" i="68"/>
  <c r="X35" i="68"/>
  <c r="X142" i="33"/>
  <c r="X84" i="33"/>
  <c r="X14" i="68"/>
  <c r="X31" i="68"/>
  <c r="X73" i="68"/>
  <c r="X36" i="68"/>
  <c r="X24" i="68"/>
  <c r="W6" i="67"/>
  <c r="W9" i="67" s="1"/>
  <c r="X175" i="33"/>
  <c r="X85" i="33"/>
  <c r="X77" i="68"/>
  <c r="X49" i="8"/>
  <c r="X186" i="33"/>
  <c r="X59" i="68"/>
  <c r="X18" i="8"/>
  <c r="X58" i="68"/>
  <c r="X73" i="33"/>
  <c r="X77" i="6"/>
  <c r="X64" i="68"/>
  <c r="X54" i="68"/>
  <c r="X190" i="33"/>
  <c r="X83" i="33"/>
  <c r="X148" i="33"/>
  <c r="X81" i="68"/>
  <c r="X53" i="68"/>
  <c r="X26" i="68"/>
  <c r="X183" i="33"/>
  <c r="X176" i="33"/>
  <c r="X16" i="68"/>
  <c r="X135" i="6"/>
  <c r="X74" i="6"/>
  <c r="X10" i="9" s="1"/>
  <c r="X137" i="33"/>
  <c r="X37" i="68"/>
  <c r="X75" i="68"/>
  <c r="X28" i="68"/>
  <c r="X25" i="68"/>
  <c r="X82" i="33"/>
  <c r="X141" i="6"/>
  <c r="X52" i="68"/>
  <c r="X69" i="33"/>
  <c r="X38" i="68"/>
  <c r="X150" i="33"/>
  <c r="X48" i="8"/>
  <c r="X55" i="8" s="1"/>
  <c r="X184" i="33"/>
  <c r="X147" i="33"/>
  <c r="X193" i="33"/>
  <c r="X143" i="33"/>
  <c r="X144" i="33"/>
  <c r="X74" i="68"/>
  <c r="X30" i="68"/>
  <c r="X67" i="8"/>
  <c r="X32" i="68"/>
  <c r="X86" i="33"/>
  <c r="X64" i="8"/>
  <c r="X23" i="68"/>
  <c r="X19" i="8"/>
  <c r="X76" i="6"/>
  <c r="X139" i="33"/>
  <c r="X65" i="68"/>
  <c r="X66" i="8"/>
  <c r="X67" i="68"/>
  <c r="X26" i="8"/>
  <c r="X140" i="33"/>
  <c r="X56" i="68"/>
  <c r="X68" i="33"/>
  <c r="X61" i="68"/>
  <c r="X62" i="8"/>
  <c r="X147" i="6"/>
  <c r="X151" i="33"/>
  <c r="X51" i="8"/>
  <c r="X61" i="8"/>
  <c r="X149" i="33"/>
  <c r="X116" i="6"/>
  <c r="X77" i="8" s="1"/>
  <c r="X88" i="6"/>
  <c r="X112" i="6"/>
  <c r="W17" i="67" s="1"/>
  <c r="X8" i="7" l="1"/>
  <c r="X12" i="9"/>
  <c r="X8" i="13" s="1"/>
  <c r="X27" i="33"/>
  <c r="W10" i="67"/>
  <c r="X14" i="38"/>
  <c r="X148" i="6"/>
  <c r="X45" i="8"/>
  <c r="X44" i="8" s="1"/>
  <c r="X34" i="8"/>
  <c r="X33" i="8" s="1"/>
  <c r="X44" i="68"/>
  <c r="X23" i="8"/>
  <c r="X22" i="8" s="1"/>
  <c r="X82" i="68"/>
  <c r="X80" i="8"/>
  <c r="X92" i="6" s="1"/>
  <c r="W8" i="67"/>
  <c r="X142" i="6"/>
  <c r="X12" i="38"/>
  <c r="X23" i="33"/>
  <c r="X10" i="38"/>
  <c r="X19" i="33"/>
  <c r="X136" i="6"/>
  <c r="W7" i="67"/>
  <c r="X13" i="9"/>
  <c r="X9" i="13" s="1"/>
  <c r="X9" i="7"/>
  <c r="X16" i="7"/>
  <c r="X20" i="9"/>
  <c r="X16" i="13" s="1"/>
  <c r="X15" i="8"/>
  <c r="X14" i="8" s="1"/>
  <c r="X45" i="68" l="1"/>
  <c r="X128" i="6"/>
  <c r="X16" i="38"/>
  <c r="X20" i="33"/>
  <c r="X11" i="38"/>
  <c r="X27" i="9"/>
  <c r="X23" i="13" s="1"/>
  <c r="X23" i="7"/>
  <c r="X28" i="33"/>
  <c r="X15" i="38"/>
  <c r="X83" i="68"/>
  <c r="X132" i="6" s="1"/>
  <c r="X131" i="6"/>
  <c r="X24" i="33"/>
  <c r="X13" i="38"/>
  <c r="X20" i="38" l="1"/>
  <c r="X17" i="38"/>
  <c r="X129" i="6"/>
  <c r="X31" i="6" s="1"/>
  <c r="X32" i="6" s="1"/>
  <c r="X72" i="8" s="1"/>
  <c r="X73" i="8" s="1"/>
  <c r="X74" i="8" s="1"/>
  <c r="X65" i="8" s="1"/>
  <c r="W13" i="67" s="1"/>
  <c r="X85" i="68"/>
  <c r="X66" i="38" l="1"/>
  <c r="X21" i="38"/>
  <c r="X42" i="38"/>
  <c r="X90" i="38"/>
  <c r="X22" i="38" l="1"/>
  <c r="X91" i="38"/>
  <c r="X43" i="38"/>
  <c r="X67" i="38"/>
  <c r="X23" i="38" l="1"/>
  <c r="X68" i="38"/>
  <c r="X92" i="38"/>
  <c r="X44" i="38"/>
  <c r="X45" i="38" l="1"/>
  <c r="X69" i="38"/>
  <c r="X24" i="38"/>
  <c r="X93" i="38"/>
  <c r="X46" i="38" l="1"/>
  <c r="X25" i="38"/>
  <c r="X70" i="38"/>
  <c r="X94" i="38"/>
  <c r="X71" i="38" l="1"/>
  <c r="X47" i="38"/>
  <c r="X26" i="38"/>
  <c r="X95" i="38"/>
  <c r="X48" i="38" l="1"/>
  <c r="X27" i="38"/>
  <c r="X96" i="38"/>
  <c r="X72" i="38"/>
  <c r="X49" i="38" l="1"/>
  <c r="X97" i="38"/>
  <c r="X28" i="38"/>
  <c r="X73" i="38"/>
  <c r="X50" i="38" l="1"/>
  <c r="X74" i="38"/>
  <c r="X29" i="38"/>
  <c r="X98" i="38"/>
  <c r="X51" i="38" l="1"/>
  <c r="X75" i="38"/>
  <c r="X99" i="38"/>
  <c r="X30" i="38"/>
  <c r="X52" i="38" l="1"/>
  <c r="X100" i="38"/>
  <c r="X31" i="38"/>
  <c r="X76" i="38"/>
  <c r="X77" i="38" l="1"/>
  <c r="X53" i="38"/>
  <c r="X101" i="38"/>
  <c r="X32" i="38"/>
  <c r="X102" i="38" l="1"/>
  <c r="X78" i="38"/>
  <c r="X33" i="38"/>
  <c r="X54" i="38"/>
  <c r="X34" i="38" l="1"/>
  <c r="X55" i="38"/>
  <c r="X79" i="38"/>
  <c r="X103" i="38"/>
  <c r="X56" i="38" l="1"/>
  <c r="X35" i="38"/>
  <c r="X80" i="38"/>
  <c r="X104" i="38"/>
  <c r="X57" i="38" l="1"/>
  <c r="X81" i="38"/>
  <c r="X105" i="38"/>
  <c r="X36" i="38"/>
  <c r="X37" i="38" l="1"/>
  <c r="X82" i="38"/>
  <c r="X58" i="38"/>
  <c r="X106" i="38"/>
  <c r="X107" i="38" l="1"/>
  <c r="X59" i="38"/>
  <c r="X38" i="38"/>
  <c r="X83" i="38"/>
  <c r="X108" i="38" l="1"/>
  <c r="X60" i="38"/>
  <c r="X39" i="38"/>
  <c r="X84" i="38"/>
  <c r="X61" i="38" l="1"/>
  <c r="X85" i="38"/>
  <c r="X109" i="38"/>
  <c r="X111" i="38" l="1"/>
  <c r="X149" i="6" s="1"/>
  <c r="X110" i="38"/>
  <c r="X86" i="38"/>
  <c r="X87" i="38"/>
  <c r="X143" i="6" s="1"/>
  <c r="X63" i="38"/>
  <c r="X137" i="6" s="1"/>
  <c r="X62" i="38"/>
  <c r="X25" i="33" l="1"/>
  <c r="X144" i="6"/>
  <c r="X26" i="33" s="1"/>
  <c r="X145" i="6"/>
  <c r="X146" i="6" s="1"/>
  <c r="X21" i="33"/>
  <c r="X138" i="6"/>
  <c r="X22" i="33" s="1"/>
  <c r="X139" i="6"/>
  <c r="X150" i="6"/>
  <c r="X30" i="33" s="1"/>
  <c r="X153" i="6"/>
  <c r="X29" i="33"/>
  <c r="X151" i="6"/>
  <c r="X152" i="6" s="1"/>
  <c r="X140" i="6" l="1"/>
  <c r="X31" i="33"/>
  <c r="X10" i="68"/>
  <c r="X13" i="68" s="1"/>
  <c r="X154" i="6"/>
  <c r="AG123" i="33" l="1"/>
  <c r="X123" i="33"/>
  <c r="AB123" i="33"/>
  <c r="Y123" i="33"/>
  <c r="AC123" i="33"/>
  <c r="AE123" i="33"/>
  <c r="AF123" i="33"/>
  <c r="AD123" i="33"/>
  <c r="Z123" i="33"/>
  <c r="AA123" i="33"/>
  <c r="X157" i="33"/>
  <c r="X167" i="33" s="1"/>
  <c r="X89" i="33"/>
  <c r="X32" i="33"/>
  <c r="X74" i="33" s="1"/>
  <c r="X108" i="33" s="1"/>
  <c r="X11" i="68"/>
  <c r="X12" i="68" s="1"/>
  <c r="X127" i="6" s="1"/>
  <c r="X15" i="39"/>
  <c r="X155" i="6"/>
  <c r="X157" i="6" l="1"/>
  <c r="X33" i="33"/>
  <c r="X156" i="6"/>
  <c r="X49" i="68"/>
  <c r="X79" i="33"/>
  <c r="X113" i="33" s="1"/>
  <c r="X75" i="33"/>
  <c r="X78" i="33"/>
  <c r="X112" i="33" s="1"/>
  <c r="X76" i="33"/>
  <c r="X110" i="33" s="1"/>
  <c r="X77" i="33"/>
  <c r="X111" i="33" s="1"/>
  <c r="X67" i="6" l="1"/>
  <c r="X66" i="6" s="1"/>
  <c r="X68" i="6" s="1"/>
  <c r="X69" i="6" s="1"/>
  <c r="X50" i="68"/>
  <c r="X130" i="6" s="1"/>
  <c r="X87" i="6" s="1"/>
  <c r="X109" i="33"/>
  <c r="X99" i="33"/>
  <c r="X171" i="33" s="1"/>
  <c r="X34" i="33"/>
  <c r="X70" i="8"/>
  <c r="X158" i="6"/>
  <c r="X216" i="33"/>
  <c r="X218" i="33"/>
  <c r="X226" i="33"/>
  <c r="X214" i="33"/>
  <c r="X230" i="33"/>
  <c r="X231" i="33"/>
  <c r="X217" i="33"/>
  <c r="X234" i="33"/>
  <c r="X229" i="33"/>
  <c r="X224" i="33"/>
  <c r="X258" i="33" s="1"/>
  <c r="X232" i="33"/>
  <c r="X225" i="33"/>
  <c r="X259" i="33" s="1"/>
  <c r="X215" i="33"/>
  <c r="X220" i="33"/>
  <c r="X254" i="33" s="1"/>
  <c r="X222" i="33"/>
  <c r="X256" i="33" s="1"/>
  <c r="X223" i="33"/>
  <c r="X257" i="33" s="1"/>
  <c r="X219" i="33"/>
  <c r="X227" i="33"/>
  <c r="X221" i="33"/>
  <c r="X255" i="33" s="1"/>
  <c r="X228" i="33"/>
  <c r="X233" i="33"/>
  <c r="X35" i="33"/>
  <c r="X48" i="68"/>
  <c r="X71" i="8" l="1"/>
  <c r="X68" i="8"/>
  <c r="X19" i="7"/>
  <c r="X29" i="9"/>
  <c r="X25" i="13" s="1"/>
  <c r="X23" i="9"/>
  <c r="X19" i="13" s="1"/>
  <c r="X24" i="7"/>
  <c r="X36" i="33"/>
  <c r="X159" i="6"/>
  <c r="X160" i="6"/>
  <c r="X161" i="6" s="1"/>
  <c r="X121" i="6" s="1"/>
  <c r="X123" i="6" s="1"/>
  <c r="W11" i="67"/>
  <c r="X51" i="68"/>
  <c r="X235" i="33"/>
  <c r="X245" i="33" s="1"/>
  <c r="AD269" i="33"/>
  <c r="AB269" i="33"/>
  <c r="Z269" i="33"/>
  <c r="Y269" i="33"/>
  <c r="AA269" i="33"/>
  <c r="AE269" i="33"/>
  <c r="X269" i="33"/>
  <c r="AF269" i="33"/>
  <c r="AC269" i="33"/>
  <c r="AG269" i="33"/>
  <c r="X196" i="33"/>
  <c r="X206" i="33" s="1"/>
  <c r="X59" i="33" l="1"/>
  <c r="X124" i="6"/>
  <c r="X122" i="6"/>
  <c r="X37" i="33"/>
  <c r="X39" i="46" l="1"/>
  <c r="W12" i="67"/>
  <c r="X39" i="62"/>
  <c r="X40" i="62"/>
  <c r="X69" i="8"/>
  <c r="X59" i="8" s="1"/>
  <c r="X58" i="8" s="1"/>
  <c r="X81" i="8" s="1"/>
  <c r="X81" i="6" s="1"/>
  <c r="X40" i="46"/>
  <c r="X33" i="6"/>
  <c r="X58" i="33"/>
  <c r="W14" i="67" l="1"/>
  <c r="X34" i="6"/>
  <c r="X35" i="6"/>
  <c r="X37" i="6" s="1"/>
  <c r="X13" i="39"/>
  <c r="X33" i="39" s="1"/>
  <c r="Y186" i="6"/>
  <c r="AI186" i="6"/>
  <c r="AF186" i="6"/>
  <c r="AA186" i="6"/>
  <c r="AC186" i="6"/>
  <c r="X17" i="9"/>
  <c r="X13" i="13" s="1"/>
  <c r="Z186" i="6"/>
  <c r="X186" i="6"/>
  <c r="AD186" i="6"/>
  <c r="AE186" i="6"/>
  <c r="AG186" i="6"/>
  <c r="AB186" i="6"/>
  <c r="X13" i="7"/>
  <c r="X85" i="6" s="1"/>
  <c r="X38" i="6" l="1"/>
  <c r="X86" i="6"/>
  <c r="X17" i="7"/>
  <c r="X21" i="9"/>
  <c r="X17" i="13" s="1"/>
  <c r="X83" i="6"/>
  <c r="AH186" i="6"/>
  <c r="AJ186" i="6" s="1"/>
  <c r="X196" i="6"/>
  <c r="X5" i="7"/>
  <c r="X8" i="9"/>
  <c r="X5" i="13" s="1"/>
  <c r="X36" i="6"/>
  <c r="X22" i="9" l="1"/>
  <c r="X18" i="13" s="1"/>
  <c r="X18" i="7"/>
  <c r="X55" i="6"/>
  <c r="X15" i="7"/>
  <c r="X19" i="9"/>
  <c r="X15" i="13" s="1"/>
  <c r="X82" i="6"/>
  <c r="X100" i="6" l="1"/>
  <c r="X14" i="7"/>
  <c r="X18" i="9"/>
  <c r="X14" i="13" s="1"/>
  <c r="X56" i="6"/>
  <c r="X57" i="6" s="1"/>
  <c r="X41" i="39"/>
  <c r="X42" i="39" l="1"/>
  <c r="X58" i="6"/>
  <c r="X117" i="40" l="1"/>
  <c r="X140" i="40"/>
  <c r="X141" i="40" s="1"/>
  <c r="X142" i="40" s="1"/>
  <c r="X43" i="39"/>
  <c r="X171" i="40"/>
  <c r="X152" i="40"/>
  <c r="X59" i="6"/>
  <c r="X172" i="40" l="1"/>
  <c r="X187" i="40" s="1"/>
  <c r="X173" i="40"/>
  <c r="X188" i="40" s="1"/>
  <c r="X177" i="40"/>
  <c r="X143" i="40"/>
  <c r="X144" i="40"/>
  <c r="X118" i="40"/>
  <c r="X126" i="40" s="1"/>
  <c r="X163" i="40"/>
  <c r="X119" i="40"/>
  <c r="X127" i="40" s="1"/>
  <c r="X164" i="40"/>
  <c r="X189" i="40" l="1"/>
  <c r="X35" i="39" s="1"/>
  <c r="X145" i="40"/>
  <c r="X146" i="40" s="1"/>
  <c r="X174" i="40"/>
  <c r="X175" i="40"/>
  <c r="X176" i="40" s="1"/>
  <c r="X128" i="40"/>
  <c r="X46" i="39" s="1"/>
  <c r="X123" i="40"/>
  <c r="X120" i="40"/>
  <c r="X121" i="40"/>
  <c r="X179" i="40"/>
  <c r="X181" i="40" s="1"/>
  <c r="X178" i="40"/>
  <c r="X183" i="40" s="1"/>
  <c r="X124" i="40"/>
  <c r="X147" i="40" l="1"/>
  <c r="X180" i="40"/>
  <c r="X182" i="40" s="1"/>
  <c r="X125" i="40"/>
  <c r="X41" i="33" s="1"/>
  <c r="X42" i="33" s="1"/>
  <c r="X184" i="40"/>
  <c r="X185" i="40" s="1"/>
  <c r="X122" i="40"/>
  <c r="X40" i="33" s="1"/>
  <c r="X190" i="40"/>
  <c r="X191" i="40"/>
  <c r="X154" i="40"/>
  <c r="X153" i="40"/>
  <c r="X44" i="39" l="1"/>
  <c r="X50" i="39" s="1"/>
  <c r="X51" i="39" s="1"/>
  <c r="X186" i="40"/>
  <c r="X34" i="39" s="1"/>
  <c r="X192" i="40"/>
  <c r="X36" i="39" s="1"/>
  <c r="X45" i="39"/>
  <c r="X39" i="6"/>
  <c r="X41" i="6" s="1"/>
  <c r="X42" i="6" s="1"/>
  <c r="X43" i="6" s="1"/>
  <c r="X47" i="33"/>
  <c r="X48" i="33" s="1"/>
  <c r="X49" i="33" s="1"/>
  <c r="X51" i="33" s="1"/>
  <c r="X52" i="33" s="1"/>
  <c r="X53" i="33" s="1"/>
  <c r="X54" i="33" s="1"/>
  <c r="X43" i="33"/>
  <c r="X159" i="40"/>
  <c r="X158" i="40"/>
  <c r="X155" i="40"/>
  <c r="X156" i="40"/>
  <c r="X53" i="39" l="1"/>
  <c r="X193" i="40"/>
  <c r="X37" i="39"/>
  <c r="X40" i="6"/>
  <c r="X14" i="39" s="1"/>
  <c r="X47" i="39"/>
  <c r="X157" i="40"/>
  <c r="X160" i="40"/>
  <c r="X161" i="40" l="1"/>
  <c r="X162" i="40" s="1"/>
  <c r="X44" i="6"/>
  <c r="X48" i="6" s="1"/>
  <c r="X50" i="6" s="1"/>
  <c r="X52" i="39"/>
  <c r="X16" i="39"/>
  <c r="X49" i="6" l="1"/>
  <c r="X51" i="6" s="1"/>
  <c r="X52" i="6" s="1"/>
  <c r="X18" i="39"/>
  <c r="X54" i="39"/>
  <c r="X55" i="39" s="1"/>
  <c r="X56" i="39"/>
  <c r="X38" i="39" s="1"/>
  <c r="X17" i="39"/>
  <c r="X19" i="39" l="1"/>
  <c r="X20" i="39" s="1"/>
  <c r="X21" i="39" s="1"/>
  <c r="X60" i="6" s="1"/>
  <c r="X62" i="6" s="1"/>
  <c r="X57" i="39"/>
  <c r="X61" i="6" l="1"/>
  <c r="X9" i="9"/>
  <c r="X6" i="13" s="1"/>
  <c r="X70" i="6"/>
  <c r="X63" i="6"/>
  <c r="X6" i="7"/>
  <c r="X64" i="6"/>
  <c r="X75" i="6" l="1"/>
  <c r="X71" i="6"/>
  <c r="X65" i="6"/>
  <c r="X11" i="9" l="1"/>
  <c r="X7" i="13" s="1"/>
  <c r="X99" i="6"/>
  <c r="X90" i="6" s="1"/>
  <c r="X7" i="7"/>
  <c r="X78" i="6"/>
  <c r="X21" i="7" l="1"/>
  <c r="X25" i="9"/>
  <c r="X10" i="7"/>
  <c r="X14" i="9"/>
  <c r="X95" i="6"/>
  <c r="X101" i="6" l="1"/>
  <c r="X103" i="6"/>
  <c r="X21" i="13"/>
  <c r="X10" i="13"/>
  <c r="X102" i="6" l="1"/>
  <c r="X105" i="6" s="1"/>
  <c r="X104" i="6"/>
  <c r="X106" i="6" s="1"/>
  <c r="X107" i="6" s="1"/>
  <c r="X91" i="6" s="1"/>
  <c r="X26" i="9" l="1"/>
  <c r="X22" i="7"/>
  <c r="X89" i="6"/>
  <c r="X20" i="7" l="1"/>
  <c r="X28" i="9"/>
  <c r="X24" i="13" s="1"/>
  <c r="X93" i="6"/>
  <c r="X22" i="13"/>
  <c r="X20" i="13" s="1"/>
  <c r="X24" i="9"/>
  <c r="X30" i="9" l="1"/>
  <c r="X25" i="7"/>
  <c r="X96" i="6"/>
  <c r="X27" i="7" l="1"/>
  <c r="Y111" i="6"/>
  <c r="X26" i="13"/>
  <c r="X32" i="9"/>
  <c r="X28" i="13" s="1"/>
  <c r="Y37" i="68" l="1"/>
  <c r="Y17" i="68"/>
  <c r="Y26" i="8"/>
  <c r="Y154" i="33"/>
  <c r="Y37" i="8"/>
  <c r="Y192" i="33"/>
  <c r="Y61" i="68"/>
  <c r="Y50" i="8"/>
  <c r="Y30" i="68"/>
  <c r="Y84" i="6"/>
  <c r="Y35" i="68"/>
  <c r="Y64" i="8"/>
  <c r="Y155" i="33"/>
  <c r="Y179" i="33"/>
  <c r="Y188" i="33"/>
  <c r="Y73" i="33"/>
  <c r="Y35" i="8"/>
  <c r="Y54" i="8"/>
  <c r="Y79" i="68"/>
  <c r="Y85" i="33"/>
  <c r="Y42" i="68"/>
  <c r="Y69" i="33"/>
  <c r="Y195" i="33"/>
  <c r="Y46" i="8"/>
  <c r="Y66" i="8"/>
  <c r="Y59" i="68"/>
  <c r="X6" i="67"/>
  <c r="X9" i="67" s="1"/>
  <c r="Y194" i="33"/>
  <c r="Y187" i="33"/>
  <c r="Y145" i="33"/>
  <c r="Y38" i="68"/>
  <c r="Y84" i="33"/>
  <c r="Y190" i="33"/>
  <c r="Y183" i="33"/>
  <c r="Y74" i="6"/>
  <c r="Y10" i="9" s="1"/>
  <c r="Y62" i="8"/>
  <c r="Y61" i="8"/>
  <c r="Y19" i="8"/>
  <c r="Y60" i="8"/>
  <c r="Y39" i="68"/>
  <c r="Y151" i="33"/>
  <c r="Y193" i="33"/>
  <c r="Y181" i="33"/>
  <c r="Y40" i="68"/>
  <c r="Y16" i="68"/>
  <c r="Y141" i="6"/>
  <c r="Y64" i="68"/>
  <c r="Y39" i="8"/>
  <c r="Y71" i="33"/>
  <c r="Y144" i="33"/>
  <c r="Y41" i="68"/>
  <c r="Y182" i="33"/>
  <c r="Y89" i="33"/>
  <c r="Y139" i="33"/>
  <c r="Y24" i="68"/>
  <c r="Y38" i="8"/>
  <c r="Y77" i="6"/>
  <c r="Y76" i="68"/>
  <c r="Y53" i="68"/>
  <c r="Y137" i="33"/>
  <c r="Y176" i="33"/>
  <c r="Y147" i="6"/>
  <c r="Y191" i="33"/>
  <c r="Y138" i="33"/>
  <c r="Y71" i="68"/>
  <c r="Y87" i="33"/>
  <c r="Y26" i="68"/>
  <c r="Y189" i="33"/>
  <c r="Y180" i="33"/>
  <c r="Y16" i="8"/>
  <c r="Y27" i="68"/>
  <c r="Y15" i="68"/>
  <c r="Y49" i="8"/>
  <c r="Y86" i="33"/>
  <c r="Y18" i="68"/>
  <c r="Y67" i="8"/>
  <c r="Y70" i="33"/>
  <c r="Y63" i="8"/>
  <c r="Y27" i="8"/>
  <c r="Y43" i="68"/>
  <c r="Y48" i="8"/>
  <c r="Y55" i="8" s="1"/>
  <c r="Y69" i="68"/>
  <c r="Y80" i="68"/>
  <c r="Y146" i="33"/>
  <c r="Y135" i="6"/>
  <c r="Y52" i="8"/>
  <c r="Y141" i="33"/>
  <c r="Y60" i="68"/>
  <c r="Y55" i="68"/>
  <c r="Y36" i="68"/>
  <c r="Y21" i="68"/>
  <c r="Y175" i="33"/>
  <c r="Y23" i="68"/>
  <c r="Y81" i="33"/>
  <c r="Y34" i="68"/>
  <c r="Y142" i="33"/>
  <c r="Y63" i="68"/>
  <c r="Y19" i="68"/>
  <c r="Y143" i="33"/>
  <c r="Y136" i="33"/>
  <c r="Y76" i="6"/>
  <c r="Y115" i="6"/>
  <c r="X16" i="67" s="1"/>
  <c r="Y20" i="68"/>
  <c r="Y68" i="68"/>
  <c r="Y88" i="33"/>
  <c r="Y67" i="68"/>
  <c r="Y186" i="33"/>
  <c r="Y73" i="68"/>
  <c r="Y32" i="68"/>
  <c r="Y54" i="68"/>
  <c r="Y58" i="68"/>
  <c r="Y156" i="33"/>
  <c r="Y33" i="68"/>
  <c r="Y83" i="33"/>
  <c r="Y18" i="8"/>
  <c r="Y75" i="68"/>
  <c r="Y74" i="68"/>
  <c r="Y52" i="68"/>
  <c r="Y24" i="8"/>
  <c r="Y147" i="33"/>
  <c r="Y196" i="33"/>
  <c r="Y29" i="68"/>
  <c r="Y152" i="33"/>
  <c r="Y57" i="68"/>
  <c r="Y72" i="68"/>
  <c r="Y72" i="33"/>
  <c r="Y25" i="8"/>
  <c r="Y82" i="33"/>
  <c r="Y47" i="8"/>
  <c r="Y77" i="68"/>
  <c r="Y25" i="68"/>
  <c r="Y51" i="8"/>
  <c r="Y140" i="33"/>
  <c r="Y56" i="68"/>
  <c r="Y70" i="68"/>
  <c r="Y153" i="33"/>
  <c r="Y28" i="68"/>
  <c r="Y14" i="68"/>
  <c r="Y184" i="33"/>
  <c r="Y149" i="33"/>
  <c r="Y150" i="33"/>
  <c r="Y31" i="68"/>
  <c r="Y66" i="68"/>
  <c r="Y36" i="8"/>
  <c r="Y178" i="33"/>
  <c r="Y62" i="68"/>
  <c r="Y185" i="33"/>
  <c r="Y157" i="33"/>
  <c r="Y78" i="68"/>
  <c r="Y22" i="68"/>
  <c r="Y81" i="68"/>
  <c r="Y148" i="33"/>
  <c r="Y80" i="33"/>
  <c r="Y177" i="33"/>
  <c r="Y28" i="8"/>
  <c r="Y17" i="8"/>
  <c r="Y68" i="33"/>
  <c r="Y65" i="68"/>
  <c r="Y116" i="6"/>
  <c r="Y77" i="8" s="1"/>
  <c r="Y88" i="6"/>
  <c r="Y112" i="6"/>
  <c r="X17" i="67" s="1"/>
  <c r="Y15" i="8" l="1"/>
  <c r="Y14" i="8" s="1"/>
  <c r="Y34" i="8"/>
  <c r="Y33" i="8" s="1"/>
  <c r="Y44" i="68"/>
  <c r="Y128" i="6" s="1"/>
  <c r="X8" i="67"/>
  <c r="Y12" i="38"/>
  <c r="Y23" i="33"/>
  <c r="Y142" i="6"/>
  <c r="Y8" i="7"/>
  <c r="Y12" i="9"/>
  <c r="Y8" i="13" s="1"/>
  <c r="Y19" i="33"/>
  <c r="Y136" i="6"/>
  <c r="X7" i="67"/>
  <c r="Y10" i="38"/>
  <c r="Y13" i="9"/>
  <c r="Y9" i="13" s="1"/>
  <c r="Y9" i="7"/>
  <c r="X10" i="67"/>
  <c r="Y27" i="33"/>
  <c r="Y14" i="38"/>
  <c r="Y148" i="6"/>
  <c r="Y20" i="9"/>
  <c r="Y16" i="13" s="1"/>
  <c r="Y16" i="7"/>
  <c r="Y45" i="8"/>
  <c r="Y44" i="8" s="1"/>
  <c r="Y80" i="8"/>
  <c r="Y92" i="6" s="1"/>
  <c r="Y82" i="68"/>
  <c r="Y23" i="8"/>
  <c r="Y22" i="8" s="1"/>
  <c r="Y45" i="68" l="1"/>
  <c r="Y16" i="38"/>
  <c r="Y20" i="33"/>
  <c r="Y11" i="38"/>
  <c r="Y83" i="68"/>
  <c r="Y132" i="6" s="1"/>
  <c r="Y131" i="6"/>
  <c r="Y15" i="38"/>
  <c r="Y28" i="33"/>
  <c r="Y13" i="38"/>
  <c r="Y24" i="33"/>
  <c r="Y23" i="7"/>
  <c r="Y27" i="9"/>
  <c r="Y23" i="13" s="1"/>
  <c r="Y129" i="6"/>
  <c r="Y85" i="68" l="1"/>
  <c r="Y31" i="6"/>
  <c r="Y32" i="6" s="1"/>
  <c r="Y72" i="8" s="1"/>
  <c r="Y73" i="8" s="1"/>
  <c r="Y74" i="8" s="1"/>
  <c r="Y65" i="8" s="1"/>
  <c r="X13" i="67" s="1"/>
  <c r="Y20" i="38"/>
  <c r="Y17" i="38"/>
  <c r="Y90" i="38" l="1"/>
  <c r="Y21" i="38"/>
  <c r="Y42" i="38"/>
  <c r="Y66" i="38"/>
  <c r="Y43" i="38" l="1"/>
  <c r="Y67" i="38"/>
  <c r="Y91" i="38"/>
  <c r="Y22" i="38"/>
  <c r="Y68" i="38" l="1"/>
  <c r="Y92" i="38"/>
  <c r="Y44" i="38"/>
  <c r="Y23" i="38"/>
  <c r="Y69" i="38" l="1"/>
  <c r="Y45" i="38"/>
  <c r="Y93" i="38"/>
  <c r="Y24" i="38"/>
  <c r="Y70" i="38" l="1"/>
  <c r="Y25" i="38"/>
  <c r="Y94" i="38"/>
  <c r="Y46" i="38"/>
  <c r="Y95" i="38" l="1"/>
  <c r="Y71" i="38"/>
  <c r="Y47" i="38"/>
  <c r="Y26" i="38"/>
  <c r="Y27" i="38" l="1"/>
  <c r="Y48" i="38"/>
  <c r="Y72" i="38"/>
  <c r="Y96" i="38"/>
  <c r="Y49" i="38" l="1"/>
  <c r="Y28" i="38"/>
  <c r="Y73" i="38"/>
  <c r="Y97" i="38"/>
  <c r="Y98" i="38" l="1"/>
  <c r="Y50" i="38"/>
  <c r="Y29" i="38"/>
  <c r="Y74" i="38"/>
  <c r="Y51" i="38" l="1"/>
  <c r="Y75" i="38"/>
  <c r="Y30" i="38"/>
  <c r="Y99" i="38"/>
  <c r="Y76" i="38" l="1"/>
  <c r="Y52" i="38"/>
  <c r="Y100" i="38"/>
  <c r="Y31" i="38"/>
  <c r="Y53" i="38" l="1"/>
  <c r="Y32" i="38"/>
  <c r="Y101" i="38"/>
  <c r="Y77" i="38"/>
  <c r="Y54" i="38" l="1"/>
  <c r="Y102" i="38"/>
  <c r="Y78" i="38"/>
  <c r="Y33" i="38"/>
  <c r="Y34" i="38" l="1"/>
  <c r="Y55" i="38"/>
  <c r="Y79" i="38"/>
  <c r="Y103" i="38"/>
  <c r="Y56" i="38" l="1"/>
  <c r="Y80" i="38"/>
  <c r="Y35" i="38"/>
  <c r="Y104" i="38"/>
  <c r="Y57" i="38" l="1"/>
  <c r="Y105" i="38"/>
  <c r="Y81" i="38"/>
  <c r="Y36" i="38"/>
  <c r="Y58" i="38" l="1"/>
  <c r="Y106" i="38"/>
  <c r="Y82" i="38"/>
  <c r="Y37" i="38"/>
  <c r="Y38" i="38" l="1"/>
  <c r="Y59" i="38"/>
  <c r="Y107" i="38"/>
  <c r="Y83" i="38"/>
  <c r="Y108" i="38" l="1"/>
  <c r="Y84" i="38"/>
  <c r="Y39" i="38"/>
  <c r="Y60" i="38"/>
  <c r="Y109" i="38" l="1"/>
  <c r="Y85" i="38"/>
  <c r="Y61" i="38"/>
  <c r="Y63" i="38" l="1"/>
  <c r="Y137" i="6" s="1"/>
  <c r="Y62" i="38"/>
  <c r="Y87" i="38"/>
  <c r="Y143" i="6" s="1"/>
  <c r="Y86" i="38"/>
  <c r="Y111" i="38"/>
  <c r="Y149" i="6" s="1"/>
  <c r="Y110" i="38"/>
  <c r="Y25" i="33" l="1"/>
  <c r="Y144" i="6"/>
  <c r="Y26" i="33" s="1"/>
  <c r="Y145" i="6"/>
  <c r="Y146" i="6" s="1"/>
  <c r="Y150" i="6"/>
  <c r="Y30" i="33" s="1"/>
  <c r="Y153" i="6"/>
  <c r="Y29" i="33"/>
  <c r="Y151" i="6"/>
  <c r="Y152" i="6" s="1"/>
  <c r="Y21" i="33"/>
  <c r="Y138" i="6"/>
  <c r="Y22" i="33" s="1"/>
  <c r="Y139" i="6"/>
  <c r="Y140" i="6" l="1"/>
  <c r="Y31" i="33"/>
  <c r="Y10" i="68"/>
  <c r="Y13" i="68" s="1"/>
  <c r="Y154" i="6"/>
  <c r="Y124" i="33" l="1"/>
  <c r="AG124" i="33"/>
  <c r="AF124" i="33"/>
  <c r="AB124" i="33"/>
  <c r="AE124" i="33"/>
  <c r="AD124" i="33"/>
  <c r="AA124" i="33"/>
  <c r="Z124" i="33"/>
  <c r="AC124" i="33"/>
  <c r="Y90" i="33"/>
  <c r="Y158" i="33"/>
  <c r="Y167" i="33" s="1"/>
  <c r="Y11" i="68"/>
  <c r="Y12" i="68" s="1"/>
  <c r="Y127" i="6" s="1"/>
  <c r="Y15" i="39"/>
  <c r="Y155" i="6"/>
  <c r="Y32" i="33"/>
  <c r="Y74" i="33" s="1"/>
  <c r="Y108" i="33" s="1"/>
  <c r="Y77" i="33" l="1"/>
  <c r="Y111" i="33" s="1"/>
  <c r="Y75" i="33"/>
  <c r="Y76" i="33"/>
  <c r="Y110" i="33" s="1"/>
  <c r="Y78" i="33"/>
  <c r="Y112" i="33" s="1"/>
  <c r="Y79" i="33"/>
  <c r="Y113" i="33" s="1"/>
  <c r="Y33" i="33"/>
  <c r="Y156" i="6"/>
  <c r="Y49" i="68"/>
  <c r="Y157" i="6"/>
  <c r="Y109" i="33" l="1"/>
  <c r="Y99" i="33"/>
  <c r="Y171" i="33" s="1"/>
  <c r="Y50" i="68"/>
  <c r="Y130" i="6" s="1"/>
  <c r="Y87" i="6" s="1"/>
  <c r="Y67" i="6"/>
  <c r="Y66" i="6" s="1"/>
  <c r="Y68" i="6" s="1"/>
  <c r="Y69" i="6" s="1"/>
  <c r="Y34" i="33"/>
  <c r="Y70" i="8"/>
  <c r="Y158" i="6"/>
  <c r="Y215" i="33"/>
  <c r="Y225" i="33"/>
  <c r="Y259" i="33" s="1"/>
  <c r="Y233" i="33"/>
  <c r="Y230" i="33"/>
  <c r="Y228" i="33"/>
  <c r="Y226" i="33"/>
  <c r="Y220" i="33"/>
  <c r="Y254" i="33" s="1"/>
  <c r="Y231" i="33"/>
  <c r="Y224" i="33"/>
  <c r="Y258" i="33" s="1"/>
  <c r="Y227" i="33"/>
  <c r="Y234" i="33"/>
  <c r="Y216" i="33"/>
  <c r="Y221" i="33"/>
  <c r="Y255" i="33" s="1"/>
  <c r="Y219" i="33"/>
  <c r="Y222" i="33"/>
  <c r="Y256" i="33" s="1"/>
  <c r="Y223" i="33"/>
  <c r="Y257" i="33" s="1"/>
  <c r="Y232" i="33"/>
  <c r="Y229" i="33"/>
  <c r="Y214" i="33"/>
  <c r="Y218" i="33"/>
  <c r="Y235" i="33"/>
  <c r="Y217" i="33"/>
  <c r="Y48" i="68"/>
  <c r="Y35" i="33"/>
  <c r="Y236" i="33" s="1"/>
  <c r="X11" i="67" l="1"/>
  <c r="Y51" i="68"/>
  <c r="Y36" i="33"/>
  <c r="Y159" i="6"/>
  <c r="Y160" i="6"/>
  <c r="Y161" i="6" s="1"/>
  <c r="Y121" i="6" s="1"/>
  <c r="Y123" i="6" s="1"/>
  <c r="Y71" i="8"/>
  <c r="Y68" i="8"/>
  <c r="AE270" i="33"/>
  <c r="AC270" i="33"/>
  <c r="AD270" i="33"/>
  <c r="AB270" i="33"/>
  <c r="AF270" i="33"/>
  <c r="AA270" i="33"/>
  <c r="Y270" i="33"/>
  <c r="AG270" i="33"/>
  <c r="Z270" i="33"/>
  <c r="Y197" i="33"/>
  <c r="Y206" i="33" s="1"/>
  <c r="Y245" i="33"/>
  <c r="Y19" i="7"/>
  <c r="Y29" i="9"/>
  <c r="Y25" i="13" s="1"/>
  <c r="Y23" i="9"/>
  <c r="Y19" i="13" s="1"/>
  <c r="Y24" i="7"/>
  <c r="Y37" i="33" l="1"/>
  <c r="Y59" i="33"/>
  <c r="Y124" i="6"/>
  <c r="Y122" i="6"/>
  <c r="Y33" i="6" l="1"/>
  <c r="X12" i="67"/>
  <c r="Y39" i="46"/>
  <c r="Y39" i="62"/>
  <c r="Y69" i="8"/>
  <c r="Y59" i="8" s="1"/>
  <c r="Y58" i="8" s="1"/>
  <c r="Y81" i="8" s="1"/>
  <c r="Y81" i="6" s="1"/>
  <c r="Y40" i="62"/>
  <c r="Y40" i="46"/>
  <c r="Y58" i="33"/>
  <c r="X14" i="67" l="1"/>
  <c r="Y13" i="39"/>
  <c r="Y33" i="39" s="1"/>
  <c r="Y34" i="6"/>
  <c r="Y35" i="6"/>
  <c r="Y37" i="6" s="1"/>
  <c r="AB187" i="6"/>
  <c r="Y187" i="6"/>
  <c r="AF187" i="6"/>
  <c r="AE187" i="6"/>
  <c r="AI187" i="6"/>
  <c r="AA187" i="6"/>
  <c r="AG187" i="6"/>
  <c r="AD187" i="6"/>
  <c r="Y17" i="9"/>
  <c r="Y13" i="13" s="1"/>
  <c r="Z187" i="6"/>
  <c r="AC187" i="6"/>
  <c r="Y13" i="7"/>
  <c r="Y85" i="6" s="1"/>
  <c r="AH187" i="6" l="1"/>
  <c r="AJ187" i="6" s="1"/>
  <c r="Y196" i="6"/>
  <c r="Y5" i="7"/>
  <c r="Y8" i="9"/>
  <c r="Y5" i="13" s="1"/>
  <c r="Y36" i="6"/>
  <c r="Y86" i="6"/>
  <c r="Y38" i="6"/>
  <c r="Y21" i="9"/>
  <c r="Y17" i="13" s="1"/>
  <c r="Y17" i="7"/>
  <c r="Y83" i="6"/>
  <c r="Y15" i="7" l="1"/>
  <c r="Y19" i="9"/>
  <c r="Y15" i="13" s="1"/>
  <c r="Y82" i="6"/>
  <c r="Y55" i="6"/>
  <c r="Y18" i="7"/>
  <c r="Y22" i="9"/>
  <c r="Y18" i="13" s="1"/>
  <c r="Y41" i="39" l="1"/>
  <c r="Y56" i="6"/>
  <c r="Y57" i="6" s="1"/>
  <c r="Y100" i="6"/>
  <c r="Y14" i="7"/>
  <c r="Y18" i="9"/>
  <c r="Y14" i="13" s="1"/>
  <c r="Y42" i="39" l="1"/>
  <c r="Y58" i="6"/>
  <c r="Y171" i="40" l="1"/>
  <c r="Y117" i="40"/>
  <c r="Y140" i="40"/>
  <c r="Y141" i="40" s="1"/>
  <c r="Y142" i="40" s="1"/>
  <c r="Y43" i="39"/>
  <c r="Y152" i="40"/>
  <c r="Y59" i="6"/>
  <c r="Y143" i="40" l="1"/>
  <c r="Y145" i="40"/>
  <c r="Y144" i="40"/>
  <c r="Y164" i="40"/>
  <c r="Y118" i="40"/>
  <c r="Y126" i="40" s="1"/>
  <c r="Y163" i="40"/>
  <c r="Y119" i="40"/>
  <c r="Y121" i="40" s="1"/>
  <c r="Y177" i="40"/>
  <c r="Y173" i="40"/>
  <c r="Y175" i="40" s="1"/>
  <c r="Y172" i="40"/>
  <c r="Y187" i="40" s="1"/>
  <c r="Y123" i="40" l="1"/>
  <c r="Y120" i="40"/>
  <c r="Y174" i="40"/>
  <c r="Y127" i="40"/>
  <c r="Y128" i="40" s="1"/>
  <c r="Y46" i="39" s="1"/>
  <c r="Y176" i="40"/>
  <c r="Y147" i="40"/>
  <c r="Y146" i="40"/>
  <c r="Y124" i="40"/>
  <c r="Y125" i="40" s="1"/>
  <c r="Y188" i="40"/>
  <c r="Y189" i="40" s="1"/>
  <c r="Y35" i="39" s="1"/>
  <c r="Y179" i="40"/>
  <c r="Y191" i="40" s="1"/>
  <c r="Y178" i="40"/>
  <c r="Y180" i="40" s="1"/>
  <c r="Y122" i="40"/>
  <c r="Y153" i="40"/>
  <c r="Y154" i="40"/>
  <c r="Y184" i="40" l="1"/>
  <c r="Y181" i="40"/>
  <c r="Y182" i="40" s="1"/>
  <c r="Y183" i="40"/>
  <c r="Y44" i="39"/>
  <c r="Y50" i="39" s="1"/>
  <c r="Y51" i="39" s="1"/>
  <c r="Y41" i="33"/>
  <c r="Y42" i="33" s="1"/>
  <c r="Y39" i="6"/>
  <c r="Y45" i="39"/>
  <c r="Y40" i="33"/>
  <c r="Y190" i="40"/>
  <c r="Y192" i="40" s="1"/>
  <c r="Y36" i="39" s="1"/>
  <c r="Y156" i="40"/>
  <c r="Y155" i="40"/>
  <c r="Y159" i="40"/>
  <c r="Y158" i="40"/>
  <c r="Y185" i="40" l="1"/>
  <c r="Y186" i="40" s="1"/>
  <c r="Y34" i="39" s="1"/>
  <c r="Y37" i="39" s="1"/>
  <c r="Y53" i="39"/>
  <c r="Y41" i="6"/>
  <c r="Y42" i="6" s="1"/>
  <c r="Y43" i="6" s="1"/>
  <c r="Y40" i="6"/>
  <c r="Y47" i="33"/>
  <c r="Y48" i="33" s="1"/>
  <c r="Y49" i="33" s="1"/>
  <c r="Y51" i="33" s="1"/>
  <c r="Y52" i="33" s="1"/>
  <c r="Y53" i="33" s="1"/>
  <c r="Y54" i="33" s="1"/>
  <c r="Y43" i="33"/>
  <c r="Y157" i="40"/>
  <c r="Y160" i="40"/>
  <c r="Y161" i="40" l="1"/>
  <c r="Y162" i="40" s="1"/>
  <c r="Y193" i="40"/>
  <c r="Y47" i="39"/>
  <c r="Y44" i="6"/>
  <c r="Y48" i="6" s="1"/>
  <c r="Y14" i="39"/>
  <c r="Y52" i="39" l="1"/>
  <c r="Y16" i="39"/>
  <c r="Y49" i="6"/>
  <c r="Y51" i="6" s="1"/>
  <c r="Y52" i="6" s="1"/>
  <c r="Y50" i="6"/>
  <c r="Y17" i="39" l="1"/>
  <c r="Y56" i="39"/>
  <c r="Y18" i="39"/>
  <c r="Y54" i="39"/>
  <c r="Y55" i="39" s="1"/>
  <c r="Y57" i="39" l="1"/>
  <c r="Y38" i="39"/>
  <c r="Y19" i="39"/>
  <c r="Y20" i="39" s="1"/>
  <c r="Y21" i="39" l="1"/>
  <c r="Y60" i="6" s="1"/>
  <c r="Y62" i="6" s="1"/>
  <c r="Y61" i="6"/>
  <c r="Y9" i="9" l="1"/>
  <c r="Y6" i="13" s="1"/>
  <c r="Y70" i="6"/>
  <c r="Y6" i="7"/>
  <c r="Y63" i="6"/>
  <c r="Y64" i="6"/>
  <c r="Y75" i="6" l="1"/>
  <c r="Y71" i="6"/>
  <c r="Y65" i="6"/>
  <c r="Y99" i="6" l="1"/>
  <c r="Y90" i="6" s="1"/>
  <c r="Y11" i="9"/>
  <c r="Y7" i="13" s="1"/>
  <c r="Y7" i="7"/>
  <c r="Y78" i="6"/>
  <c r="Y25" i="9" l="1"/>
  <c r="Y21" i="7"/>
  <c r="Y14" i="9"/>
  <c r="Y10" i="7"/>
  <c r="Y95" i="6"/>
  <c r="Y10" i="13" l="1"/>
  <c r="Y103" i="6"/>
  <c r="Y101" i="6"/>
  <c r="Y21" i="13"/>
  <c r="Y102" i="6" l="1"/>
  <c r="Y105" i="6" s="1"/>
  <c r="Y104" i="6"/>
  <c r="Y106" i="6" s="1"/>
  <c r="Y107" i="6" s="1"/>
  <c r="Y91" i="6" s="1"/>
  <c r="Y26" i="9" l="1"/>
  <c r="Y22" i="7"/>
  <c r="Y89" i="6"/>
  <c r="Y28" i="9" l="1"/>
  <c r="Y24" i="13" s="1"/>
  <c r="Y20" i="7"/>
  <c r="Y93" i="6"/>
  <c r="Y22" i="13"/>
  <c r="Y20" i="13" s="1"/>
  <c r="Y24" i="9"/>
  <c r="Y30" i="9" l="1"/>
  <c r="Y25" i="7"/>
  <c r="Y96" i="6"/>
  <c r="Y27" i="7" l="1"/>
  <c r="Z111" i="6"/>
  <c r="Y26" i="13"/>
  <c r="Y32" i="9"/>
  <c r="Y28" i="13" s="1"/>
  <c r="Z63" i="68" l="1"/>
  <c r="Z35" i="68"/>
  <c r="Z177" i="33"/>
  <c r="Z37" i="8"/>
  <c r="Z74" i="68"/>
  <c r="Z17" i="8"/>
  <c r="Z197" i="33"/>
  <c r="Z194" i="33"/>
  <c r="Z138" i="33"/>
  <c r="Z24" i="8"/>
  <c r="Z181" i="33"/>
  <c r="Z23" i="68"/>
  <c r="Z85" i="33"/>
  <c r="Z188" i="33"/>
  <c r="Z68" i="33"/>
  <c r="Z36" i="8"/>
  <c r="Z48" i="8"/>
  <c r="Z55" i="8" s="1"/>
  <c r="Z187" i="33"/>
  <c r="Z175" i="33"/>
  <c r="Z154" i="33"/>
  <c r="Z36" i="68"/>
  <c r="Z18" i="8"/>
  <c r="Z147" i="6"/>
  <c r="Z80" i="68"/>
  <c r="Z143" i="33"/>
  <c r="Z29" i="68"/>
  <c r="Z83" i="33"/>
  <c r="Z70" i="33"/>
  <c r="Z52" i="68"/>
  <c r="Z81" i="33"/>
  <c r="Z55" i="68"/>
  <c r="Z26" i="68"/>
  <c r="Z80" i="33"/>
  <c r="Z67" i="8"/>
  <c r="Z61" i="8"/>
  <c r="Z68" i="68"/>
  <c r="Z14" i="68"/>
  <c r="Z54" i="68"/>
  <c r="Z178" i="33"/>
  <c r="Z152" i="33"/>
  <c r="Z192" i="33"/>
  <c r="Z50" i="8"/>
  <c r="Z49" i="8"/>
  <c r="Z71" i="68"/>
  <c r="Z115" i="6"/>
  <c r="Y16" i="67" s="1"/>
  <c r="Z144" i="33"/>
  <c r="Z153" i="33"/>
  <c r="Z149" i="33"/>
  <c r="Z30" i="68"/>
  <c r="Z75" i="68"/>
  <c r="Z40" i="68"/>
  <c r="Z32" i="68"/>
  <c r="Z56" i="68"/>
  <c r="Z183" i="33"/>
  <c r="Z88" i="33"/>
  <c r="Z137" i="33"/>
  <c r="Z38" i="68"/>
  <c r="Z59" i="68"/>
  <c r="Z20" i="68"/>
  <c r="Z24" i="68"/>
  <c r="Z157" i="33"/>
  <c r="Z82" i="33"/>
  <c r="Z62" i="8"/>
  <c r="Z43" i="68"/>
  <c r="Z51" i="8"/>
  <c r="Z69" i="33"/>
  <c r="Z189" i="33"/>
  <c r="Z19" i="8"/>
  <c r="Z145" i="33"/>
  <c r="Z195" i="33"/>
  <c r="Z67" i="68"/>
  <c r="Z22" i="68"/>
  <c r="Z39" i="8"/>
  <c r="Z141" i="33"/>
  <c r="Z39" i="68"/>
  <c r="Z78" i="68"/>
  <c r="Z16" i="8"/>
  <c r="Z158" i="33"/>
  <c r="Z77" i="68"/>
  <c r="Z63" i="8"/>
  <c r="Z191" i="33"/>
  <c r="Z72" i="68"/>
  <c r="Z136" i="33"/>
  <c r="Z42" i="68"/>
  <c r="Z150" i="33"/>
  <c r="Z155" i="33"/>
  <c r="Z47" i="8"/>
  <c r="Z193" i="33"/>
  <c r="Z139" i="33"/>
  <c r="Z57" i="68"/>
  <c r="Z87" i="33"/>
  <c r="Z33" i="68"/>
  <c r="Z182" i="33"/>
  <c r="Z27" i="68"/>
  <c r="Z89" i="33"/>
  <c r="Z179" i="33"/>
  <c r="Z27" i="8"/>
  <c r="Z72" i="33"/>
  <c r="Z18" i="68"/>
  <c r="Z156" i="33"/>
  <c r="Z38" i="8"/>
  <c r="Z73" i="33"/>
  <c r="Z84" i="6"/>
  <c r="Z176" i="33"/>
  <c r="Z77" i="6"/>
  <c r="Z180" i="33"/>
  <c r="Z76" i="68"/>
  <c r="Z54" i="8"/>
  <c r="Z81" i="68"/>
  <c r="Z86" i="33"/>
  <c r="Z61" i="68"/>
  <c r="Z148" i="33"/>
  <c r="Z21" i="68"/>
  <c r="Z62" i="68"/>
  <c r="Z64" i="8"/>
  <c r="Z60" i="68"/>
  <c r="Z58" i="68"/>
  <c r="Z76" i="6"/>
  <c r="Z73" i="68"/>
  <c r="Z25" i="68"/>
  <c r="Z146" i="33"/>
  <c r="Z53" i="68"/>
  <c r="Z66" i="8"/>
  <c r="Z69" i="68"/>
  <c r="Z15" i="68"/>
  <c r="Z71" i="33"/>
  <c r="Z184" i="33"/>
  <c r="Z64" i="68"/>
  <c r="Z70" i="68"/>
  <c r="Z16" i="68"/>
  <c r="Z186" i="33"/>
  <c r="Z26" i="8"/>
  <c r="Z28" i="8"/>
  <c r="Z142" i="33"/>
  <c r="Z196" i="33"/>
  <c r="Z151" i="33"/>
  <c r="Z185" i="33"/>
  <c r="Z65" i="68"/>
  <c r="Z147" i="33"/>
  <c r="Z25" i="8"/>
  <c r="Y6" i="67"/>
  <c r="Y9" i="67" s="1"/>
  <c r="Z74" i="6"/>
  <c r="Z10" i="9" s="1"/>
  <c r="Z41" i="68"/>
  <c r="Z28" i="68"/>
  <c r="Z46" i="8"/>
  <c r="Z190" i="33"/>
  <c r="Z37" i="68"/>
  <c r="Z84" i="33"/>
  <c r="Z90" i="33"/>
  <c r="Z35" i="8"/>
  <c r="Z19" i="68"/>
  <c r="Z140" i="33"/>
  <c r="Z135" i="6"/>
  <c r="Z141" i="6"/>
  <c r="Z31" i="68"/>
  <c r="Z34" i="68"/>
  <c r="Z17" i="68"/>
  <c r="Z66" i="68"/>
  <c r="Z79" i="68"/>
  <c r="Z60" i="8"/>
  <c r="Z52" i="8"/>
  <c r="Z116" i="6"/>
  <c r="Z77" i="8" s="1"/>
  <c r="Z88" i="6"/>
  <c r="Z112" i="6"/>
  <c r="Y17" i="67" s="1"/>
  <c r="Z34" i="8" l="1"/>
  <c r="Z33" i="8" s="1"/>
  <c r="Z23" i="8"/>
  <c r="Z22" i="8" s="1"/>
  <c r="Z19" i="33"/>
  <c r="Z10" i="38"/>
  <c r="Z136" i="6"/>
  <c r="Y7" i="67"/>
  <c r="Z13" i="9"/>
  <c r="Z9" i="13" s="1"/>
  <c r="Z9" i="7"/>
  <c r="Z15" i="8"/>
  <c r="Z14" i="8" s="1"/>
  <c r="Z44" i="68"/>
  <c r="Z82" i="68"/>
  <c r="Y8" i="67"/>
  <c r="Z12" i="38"/>
  <c r="Z142" i="6"/>
  <c r="Z23" i="33"/>
  <c r="Z8" i="7"/>
  <c r="Z12" i="9"/>
  <c r="Z8" i="13" s="1"/>
  <c r="Z45" i="8"/>
  <c r="Z44" i="8" s="1"/>
  <c r="Z80" i="8"/>
  <c r="Z92" i="6" s="1"/>
  <c r="Z20" i="9"/>
  <c r="Z16" i="13" s="1"/>
  <c r="Z16" i="7"/>
  <c r="Z14" i="38"/>
  <c r="Y10" i="67"/>
  <c r="Z27" i="33"/>
  <c r="Z148" i="6"/>
  <c r="Z23" i="7" l="1"/>
  <c r="Z27" i="9"/>
  <c r="Z23" i="13" s="1"/>
  <c r="Z16" i="38"/>
  <c r="Z11" i="38"/>
  <c r="Z20" i="33"/>
  <c r="Z131" i="6"/>
  <c r="Z83" i="68"/>
  <c r="Z132" i="6" s="1"/>
  <c r="Z28" i="33"/>
  <c r="Z15" i="38"/>
  <c r="Z13" i="38"/>
  <c r="Z24" i="33"/>
  <c r="Z128" i="6"/>
  <c r="Z45" i="68"/>
  <c r="Z20" i="38" l="1"/>
  <c r="Z17" i="38"/>
  <c r="Z85" i="68"/>
  <c r="Z129" i="6"/>
  <c r="Z31" i="6" s="1"/>
  <c r="Z32" i="6" s="1"/>
  <c r="Z72" i="8" s="1"/>
  <c r="Z73" i="8" s="1"/>
  <c r="Z74" i="8" s="1"/>
  <c r="Z65" i="8" s="1"/>
  <c r="Y13" i="67" s="1"/>
  <c r="Z42" i="38" l="1"/>
  <c r="Z21" i="38"/>
  <c r="Z66" i="38"/>
  <c r="Z90" i="38"/>
  <c r="Z67" i="38" l="1"/>
  <c r="Z22" i="38"/>
  <c r="Z91" i="38"/>
  <c r="Z43" i="38"/>
  <c r="Z68" i="38" l="1"/>
  <c r="Z44" i="38"/>
  <c r="Z23" i="38"/>
  <c r="Z92" i="38"/>
  <c r="Z45" i="38" l="1"/>
  <c r="Z69" i="38"/>
  <c r="Z24" i="38"/>
  <c r="Z93" i="38"/>
  <c r="Z94" i="38" l="1"/>
  <c r="Z70" i="38"/>
  <c r="Z25" i="38"/>
  <c r="Z46" i="38"/>
  <c r="Z95" i="38" l="1"/>
  <c r="Z47" i="38"/>
  <c r="Z71" i="38"/>
  <c r="Z26" i="38"/>
  <c r="Z96" i="38" l="1"/>
  <c r="Z48" i="38"/>
  <c r="Z72" i="38"/>
  <c r="Z27" i="38"/>
  <c r="Z73" i="38" l="1"/>
  <c r="Z97" i="38"/>
  <c r="Z49" i="38"/>
  <c r="Z28" i="38"/>
  <c r="Z50" i="38" l="1"/>
  <c r="Z98" i="38"/>
  <c r="Z29" i="38"/>
  <c r="Z74" i="38"/>
  <c r="Z30" i="38" l="1"/>
  <c r="Z51" i="38"/>
  <c r="Z75" i="38"/>
  <c r="Z99" i="38"/>
  <c r="Z100" i="38" l="1"/>
  <c r="Z52" i="38"/>
  <c r="Z76" i="38"/>
  <c r="Z31" i="38"/>
  <c r="Z53" i="38" l="1"/>
  <c r="Z77" i="38"/>
  <c r="Z32" i="38"/>
  <c r="Z101" i="38"/>
  <c r="Z78" i="38" l="1"/>
  <c r="Z54" i="38"/>
  <c r="Z102" i="38"/>
  <c r="Z33" i="38"/>
  <c r="Z79" i="38" l="1"/>
  <c r="Z55" i="38"/>
  <c r="Z34" i="38"/>
  <c r="Z103" i="38"/>
  <c r="Z35" i="38" l="1"/>
  <c r="Z80" i="38"/>
  <c r="Z104" i="38"/>
  <c r="Z56" i="38"/>
  <c r="Z36" i="38" l="1"/>
  <c r="Z57" i="38"/>
  <c r="Z105" i="38"/>
  <c r="Z81" i="38"/>
  <c r="Z106" i="38" l="1"/>
  <c r="Z37" i="38"/>
  <c r="Z58" i="38"/>
  <c r="Z82" i="38"/>
  <c r="Z107" i="38" l="1"/>
  <c r="Z59" i="38"/>
  <c r="Z83" i="38"/>
  <c r="Z38" i="38"/>
  <c r="Z108" i="38" l="1"/>
  <c r="Z60" i="38"/>
  <c r="Z39" i="38"/>
  <c r="Z84" i="38"/>
  <c r="Z109" i="38" l="1"/>
  <c r="Z61" i="38"/>
  <c r="Z85" i="38"/>
  <c r="Z87" i="38" l="1"/>
  <c r="Z143" i="6" s="1"/>
  <c r="Z86" i="38"/>
  <c r="Z62" i="38"/>
  <c r="Z63" i="38"/>
  <c r="Z137" i="6" s="1"/>
  <c r="Z111" i="38"/>
  <c r="Z149" i="6" s="1"/>
  <c r="Z110" i="38"/>
  <c r="Z138" i="6" l="1"/>
  <c r="Z22" i="33" s="1"/>
  <c r="Z21" i="33"/>
  <c r="Z139" i="6"/>
  <c r="Z29" i="33"/>
  <c r="Z150" i="6"/>
  <c r="Z30" i="33" s="1"/>
  <c r="Z153" i="6"/>
  <c r="Z151" i="6"/>
  <c r="Z152" i="6" s="1"/>
  <c r="Z144" i="6"/>
  <c r="Z26" i="33" s="1"/>
  <c r="Z25" i="33"/>
  <c r="Z145" i="6"/>
  <c r="Z146" i="6" s="1"/>
  <c r="Z140" i="6" l="1"/>
  <c r="Z31" i="33"/>
  <c r="Z10" i="68"/>
  <c r="Z13" i="68" s="1"/>
  <c r="Z154" i="6"/>
  <c r="AB125" i="33" l="1"/>
  <c r="AG125" i="33"/>
  <c r="AF125" i="33"/>
  <c r="Z125" i="33"/>
  <c r="AD125" i="33"/>
  <c r="AE125" i="33"/>
  <c r="AA125" i="33"/>
  <c r="AC125" i="33"/>
  <c r="Z91" i="33"/>
  <c r="Z159" i="33"/>
  <c r="Z167" i="33" s="1"/>
  <c r="Z11" i="68"/>
  <c r="Z12" i="68" s="1"/>
  <c r="Z127" i="6" s="1"/>
  <c r="Z155" i="6"/>
  <c r="Z32" i="33"/>
  <c r="Z74" i="33" s="1"/>
  <c r="Z108" i="33" s="1"/>
  <c r="Z15" i="39"/>
  <c r="Z157" i="6" l="1"/>
  <c r="Z156" i="6"/>
  <c r="Z33" i="33"/>
  <c r="Z49" i="68"/>
  <c r="Z77" i="33"/>
  <c r="Z111" i="33" s="1"/>
  <c r="Z76" i="33"/>
  <c r="Z110" i="33" s="1"/>
  <c r="Z79" i="33"/>
  <c r="Z113" i="33" s="1"/>
  <c r="Z78" i="33"/>
  <c r="Z112" i="33" s="1"/>
  <c r="Z75" i="33"/>
  <c r="Z67" i="6" l="1"/>
  <c r="Z66" i="6" s="1"/>
  <c r="Z68" i="6" s="1"/>
  <c r="Z69" i="6" s="1"/>
  <c r="Z50" i="68"/>
  <c r="Z130" i="6" s="1"/>
  <c r="Z87" i="6" s="1"/>
  <c r="Z217" i="33"/>
  <c r="Z218" i="33"/>
  <c r="Z226" i="33"/>
  <c r="Z225" i="33"/>
  <c r="Z259" i="33" s="1"/>
  <c r="Z219" i="33"/>
  <c r="Z233" i="33"/>
  <c r="Z221" i="33"/>
  <c r="Z255" i="33" s="1"/>
  <c r="Z232" i="33"/>
  <c r="Z228" i="33"/>
  <c r="Z234" i="33"/>
  <c r="Z215" i="33"/>
  <c r="Z235" i="33"/>
  <c r="Z223" i="33"/>
  <c r="Z257" i="33" s="1"/>
  <c r="Z227" i="33"/>
  <c r="Z230" i="33"/>
  <c r="Z216" i="33"/>
  <c r="Z222" i="33"/>
  <c r="Z256" i="33" s="1"/>
  <c r="Z231" i="33"/>
  <c r="Z224" i="33"/>
  <c r="Z258" i="33" s="1"/>
  <c r="Z229" i="33"/>
  <c r="Z214" i="33"/>
  <c r="Z236" i="33"/>
  <c r="Z220" i="33"/>
  <c r="Z254" i="33" s="1"/>
  <c r="Z109" i="33"/>
  <c r="Z99" i="33"/>
  <c r="Z171" i="33" s="1"/>
  <c r="Z34" i="33"/>
  <c r="Z70" i="8"/>
  <c r="Z158" i="6"/>
  <c r="Z35" i="33"/>
  <c r="Z48" i="68"/>
  <c r="AC271" i="33" l="1"/>
  <c r="AG271" i="33"/>
  <c r="AF271" i="33"/>
  <c r="AD271" i="33"/>
  <c r="AA271" i="33"/>
  <c r="AB271" i="33"/>
  <c r="Z271" i="33"/>
  <c r="AE271" i="33"/>
  <c r="Z198" i="33"/>
  <c r="Z206" i="33" s="1"/>
  <c r="Z36" i="33"/>
  <c r="Z159" i="6"/>
  <c r="Z160" i="6"/>
  <c r="Z161" i="6" s="1"/>
  <c r="Z121" i="6" s="1"/>
  <c r="Z123" i="6" s="1"/>
  <c r="Z24" i="7"/>
  <c r="Z29" i="9"/>
  <c r="Z25" i="13" s="1"/>
  <c r="Z23" i="9"/>
  <c r="Z19" i="13" s="1"/>
  <c r="Z19" i="7"/>
  <c r="Z71" i="8"/>
  <c r="Z68" i="8"/>
  <c r="Z237" i="33"/>
  <c r="Z245" i="33" s="1"/>
  <c r="Z51" i="68"/>
  <c r="Y11" i="67"/>
  <c r="Z59" i="33" l="1"/>
  <c r="Z124" i="6"/>
  <c r="Z122" i="6"/>
  <c r="Z33" i="6"/>
  <c r="Z37" i="33"/>
  <c r="Z58" i="33"/>
  <c r="Y14" i="67" l="1"/>
  <c r="Z39" i="46"/>
  <c r="Y12" i="67"/>
  <c r="Z39" i="62"/>
  <c r="Z69" i="8"/>
  <c r="Z59" i="8" s="1"/>
  <c r="Z58" i="8" s="1"/>
  <c r="Z81" i="8" s="1"/>
  <c r="Z81" i="6" s="1"/>
  <c r="Z40" i="62"/>
  <c r="Z40" i="46"/>
  <c r="Z35" i="6"/>
  <c r="Z37" i="6" s="1"/>
  <c r="Z13" i="39"/>
  <c r="Z33" i="39" s="1"/>
  <c r="Z34" i="6"/>
  <c r="AF188" i="6" l="1"/>
  <c r="AG188" i="6"/>
  <c r="Z17" i="9"/>
  <c r="Z13" i="13" s="1"/>
  <c r="AB188" i="6"/>
  <c r="AI188" i="6"/>
  <c r="AD188" i="6"/>
  <c r="AA188" i="6"/>
  <c r="Z188" i="6"/>
  <c r="AC188" i="6"/>
  <c r="AE188" i="6"/>
  <c r="Z13" i="7"/>
  <c r="Z85" i="6" s="1"/>
  <c r="Z38" i="6"/>
  <c r="Z86" i="6"/>
  <c r="Z8" i="9"/>
  <c r="Z5" i="13" s="1"/>
  <c r="Z5" i="7"/>
  <c r="Z36" i="6"/>
  <c r="AH188" i="6" l="1"/>
  <c r="AJ188" i="6" s="1"/>
  <c r="Z196" i="6"/>
  <c r="Z17" i="7"/>
  <c r="Z21" i="9"/>
  <c r="Z17" i="13" s="1"/>
  <c r="Z83" i="6"/>
  <c r="Z22" i="9"/>
  <c r="Z18" i="13" s="1"/>
  <c r="Z18" i="7"/>
  <c r="Z55" i="6"/>
  <c r="Z41" i="39" l="1"/>
  <c r="Z56" i="6"/>
  <c r="Z57" i="6" s="1"/>
  <c r="Z82" i="6"/>
  <c r="Z15" i="7"/>
  <c r="Z19" i="9"/>
  <c r="Z15" i="13" s="1"/>
  <c r="Z14" i="7" l="1"/>
  <c r="Z18" i="9"/>
  <c r="Z14" i="13" s="1"/>
  <c r="Z100" i="6"/>
  <c r="Z42" i="39"/>
  <c r="Z58" i="6"/>
  <c r="Z43" i="39" l="1"/>
  <c r="Z171" i="40"/>
  <c r="Z140" i="40"/>
  <c r="Z141" i="40" s="1"/>
  <c r="Z142" i="40" s="1"/>
  <c r="Z117" i="40"/>
  <c r="Z152" i="40"/>
  <c r="Z59" i="6"/>
  <c r="Z144" i="40" l="1"/>
  <c r="Z143" i="40"/>
  <c r="Z145" i="40"/>
  <c r="Z172" i="40"/>
  <c r="Z174" i="40" s="1"/>
  <c r="Z176" i="40" s="1"/>
  <c r="Z173" i="40"/>
  <c r="Z175" i="40" s="1"/>
  <c r="Z177" i="40"/>
  <c r="Z188" i="40"/>
  <c r="Z164" i="40"/>
  <c r="Z163" i="40"/>
  <c r="Z119" i="40"/>
  <c r="Z127" i="40" s="1"/>
  <c r="Z118" i="40"/>
  <c r="Z126" i="40" s="1"/>
  <c r="Z128" i="40" s="1"/>
  <c r="Z46" i="39" s="1"/>
  <c r="Z123" i="40"/>
  <c r="Z124" i="40" l="1"/>
  <c r="Z125" i="40" s="1"/>
  <c r="Z120" i="40"/>
  <c r="Z121" i="40"/>
  <c r="Z179" i="40"/>
  <c r="Z181" i="40" s="1"/>
  <c r="Z178" i="40"/>
  <c r="Z183" i="40" s="1"/>
  <c r="Z146" i="40"/>
  <c r="Z147" i="40"/>
  <c r="Z187" i="40"/>
  <c r="Z189" i="40" s="1"/>
  <c r="Z35" i="39" s="1"/>
  <c r="Z153" i="40"/>
  <c r="Z41" i="33" l="1"/>
  <c r="Z42" i="33" s="1"/>
  <c r="Z44" i="39"/>
  <c r="Z50" i="39" s="1"/>
  <c r="Z51" i="39" s="1"/>
  <c r="Z122" i="40"/>
  <c r="Z191" i="40"/>
  <c r="Z184" i="40"/>
  <c r="Z185" i="40" s="1"/>
  <c r="Z190" i="40"/>
  <c r="Z180" i="40"/>
  <c r="Z182" i="40" s="1"/>
  <c r="Z155" i="40"/>
  <c r="Z154" i="40"/>
  <c r="Z158" i="40"/>
  <c r="Z186" i="40" l="1"/>
  <c r="Z34" i="39" s="1"/>
  <c r="Z192" i="40"/>
  <c r="Z36" i="39" s="1"/>
  <c r="Z40" i="33"/>
  <c r="Z39" i="6"/>
  <c r="Z45" i="39"/>
  <c r="Z53" i="39" s="1"/>
  <c r="Z159" i="40"/>
  <c r="Z160" i="40"/>
  <c r="Z156" i="40"/>
  <c r="Z161" i="40" l="1"/>
  <c r="Z162" i="40" s="1"/>
  <c r="Z193" i="40"/>
  <c r="Z41" i="6"/>
  <c r="Z42" i="6" s="1"/>
  <c r="Z43" i="6" s="1"/>
  <c r="Z40" i="6"/>
  <c r="Z47" i="33"/>
  <c r="Z48" i="33" s="1"/>
  <c r="Z49" i="33" s="1"/>
  <c r="Z51" i="33" s="1"/>
  <c r="Z52" i="33" s="1"/>
  <c r="Z53" i="33" s="1"/>
  <c r="Z54" i="33" s="1"/>
  <c r="Z43" i="33"/>
  <c r="Z37" i="39"/>
  <c r="Z47" i="39"/>
  <c r="Z157" i="40"/>
  <c r="Z44" i="6" l="1"/>
  <c r="Z48" i="6" s="1"/>
  <c r="Z14" i="39"/>
  <c r="Z52" i="39" l="1"/>
  <c r="Z16" i="39"/>
  <c r="Z49" i="6"/>
  <c r="Z51" i="6" s="1"/>
  <c r="Z52" i="6" s="1"/>
  <c r="Z50" i="6"/>
  <c r="Z18" i="39" l="1"/>
  <c r="Z54" i="39"/>
  <c r="Z56" i="39"/>
  <c r="Z17" i="39"/>
  <c r="Z19" i="39" l="1"/>
  <c r="Z20" i="39" s="1"/>
  <c r="Z61" i="6" s="1"/>
  <c r="Z55" i="39"/>
  <c r="Z57" i="39" s="1"/>
  <c r="Z21" i="39" l="1"/>
  <c r="Z60" i="6" s="1"/>
  <c r="Z62" i="6" s="1"/>
  <c r="Z9" i="9" s="1"/>
  <c r="Z6" i="13" s="1"/>
  <c r="Z38" i="39"/>
  <c r="Z6" i="7" l="1"/>
  <c r="Z70" i="6"/>
  <c r="Z75" i="6" s="1"/>
  <c r="Z78" i="6" s="1"/>
  <c r="Z63" i="6"/>
  <c r="Z64" i="6"/>
  <c r="Z65" i="6" s="1"/>
  <c r="Z7" i="7" l="1"/>
  <c r="Z11" i="9"/>
  <c r="Z7" i="13" s="1"/>
  <c r="Z99" i="6"/>
  <c r="Z90" i="6" s="1"/>
  <c r="Z21" i="7" s="1"/>
  <c r="Z71" i="6"/>
  <c r="Z10" i="7"/>
  <c r="Z14" i="9"/>
  <c r="Z95" i="6"/>
  <c r="Z25" i="9" l="1"/>
  <c r="Z21" i="13" s="1"/>
  <c r="Z101" i="6"/>
  <c r="Z103" i="6"/>
  <c r="Z10" i="13"/>
  <c r="Z102" i="6" l="1"/>
  <c r="Z105" i="6" s="1"/>
  <c r="Z104" i="6"/>
  <c r="Z106" i="6" s="1"/>
  <c r="Z107" i="6" s="1"/>
  <c r="Z91" i="6" s="1"/>
  <c r="Z26" i="9" l="1"/>
  <c r="Z22" i="7"/>
  <c r="Z89" i="6"/>
  <c r="Z20" i="7" l="1"/>
  <c r="Z28" i="9"/>
  <c r="Z24" i="13" s="1"/>
  <c r="Z93" i="6"/>
  <c r="Z22" i="13"/>
  <c r="Z20" i="13" s="1"/>
  <c r="Z24" i="9"/>
  <c r="Z30" i="9" l="1"/>
  <c r="Z25" i="7"/>
  <c r="Z96" i="6"/>
  <c r="Z27" i="7" l="1"/>
  <c r="X30" i="7" s="1"/>
  <c r="AA111" i="6"/>
  <c r="Z26" i="13"/>
  <c r="Z32" i="9"/>
  <c r="Z28" i="13" s="1"/>
  <c r="U31" i="13" l="1"/>
  <c r="W31" i="13"/>
  <c r="W30" i="7"/>
  <c r="V30" i="7"/>
  <c r="S31" i="13"/>
  <c r="V31" i="13"/>
  <c r="R30" i="7"/>
  <c r="T30" i="7"/>
  <c r="R31" i="13"/>
  <c r="T31" i="13"/>
  <c r="S30" i="7"/>
  <c r="U30" i="7"/>
  <c r="Y31" i="13"/>
  <c r="X31" i="13"/>
  <c r="AA26" i="8"/>
  <c r="AA177" i="33"/>
  <c r="AA18" i="68"/>
  <c r="AA25" i="68"/>
  <c r="AA68" i="33"/>
  <c r="AA24" i="8"/>
  <c r="AA185" i="33"/>
  <c r="AA38" i="8"/>
  <c r="AA37" i="8"/>
  <c r="AA180" i="33"/>
  <c r="AA145" i="33"/>
  <c r="AA147" i="33"/>
  <c r="AA27" i="8"/>
  <c r="AA77" i="68"/>
  <c r="AA43" i="68"/>
  <c r="AA187" i="33"/>
  <c r="AA53" i="68"/>
  <c r="AA32" i="68"/>
  <c r="AA77" i="6"/>
  <c r="AA141" i="6"/>
  <c r="AA186" i="33"/>
  <c r="AA20" i="68"/>
  <c r="AA66" i="8"/>
  <c r="AA72" i="68"/>
  <c r="AA65" i="68"/>
  <c r="AA84" i="33"/>
  <c r="AA80" i="68"/>
  <c r="AA67" i="8"/>
  <c r="AA48" i="8"/>
  <c r="AA55" i="8" s="1"/>
  <c r="AA198" i="33"/>
  <c r="AA52" i="8"/>
  <c r="AA153" i="33"/>
  <c r="AA76" i="6"/>
  <c r="AA80" i="33"/>
  <c r="AA75" i="68"/>
  <c r="AA17" i="68"/>
  <c r="AA157" i="33"/>
  <c r="AA155" i="33"/>
  <c r="AA196" i="33"/>
  <c r="AA23" i="68"/>
  <c r="AA58" i="68"/>
  <c r="AA197" i="33"/>
  <c r="AA141" i="33"/>
  <c r="AA22" i="68"/>
  <c r="AA151" i="33"/>
  <c r="AA140" i="33"/>
  <c r="AA181" i="33"/>
  <c r="AA63" i="8"/>
  <c r="AA156" i="33"/>
  <c r="AA88" i="33"/>
  <c r="AA31" i="68"/>
  <c r="AA136" i="33"/>
  <c r="AA18" i="8"/>
  <c r="AA49" i="8"/>
  <c r="AA152" i="33"/>
  <c r="AA27" i="68"/>
  <c r="AA72" i="33"/>
  <c r="AA194" i="33"/>
  <c r="AA137" i="33"/>
  <c r="AA39" i="68"/>
  <c r="AA37" i="68"/>
  <c r="AA84" i="6"/>
  <c r="AA34" i="68"/>
  <c r="AA81" i="68"/>
  <c r="AA56" i="68"/>
  <c r="AA73" i="33"/>
  <c r="AA73" i="68"/>
  <c r="AA17" i="8"/>
  <c r="AA64" i="68"/>
  <c r="AA192" i="33"/>
  <c r="AA15" i="68"/>
  <c r="AA83" i="33"/>
  <c r="AA61" i="8"/>
  <c r="AA135" i="6"/>
  <c r="AA66" i="68"/>
  <c r="AA60" i="68"/>
  <c r="AA146" i="33"/>
  <c r="AA189" i="33"/>
  <c r="AA28" i="8"/>
  <c r="AA71" i="33"/>
  <c r="AA42" i="68"/>
  <c r="AA36" i="8"/>
  <c r="AA28" i="68"/>
  <c r="AA182" i="33"/>
  <c r="AA55" i="68"/>
  <c r="AA54" i="8"/>
  <c r="AA115" i="6"/>
  <c r="Z16" i="67" s="1"/>
  <c r="AA36" i="68"/>
  <c r="AA35" i="8"/>
  <c r="AA68" i="68"/>
  <c r="AA21" i="68"/>
  <c r="AA188" i="33"/>
  <c r="AA69" i="33"/>
  <c r="AA62" i="68"/>
  <c r="AA139" i="33"/>
  <c r="AA25" i="8"/>
  <c r="AA61" i="68"/>
  <c r="AA63" i="68"/>
  <c r="AA47" i="8"/>
  <c r="AA54" i="68"/>
  <c r="AA16" i="8"/>
  <c r="AA91" i="33"/>
  <c r="AA67" i="68"/>
  <c r="AA70" i="68"/>
  <c r="AA74" i="68"/>
  <c r="AA40" i="68"/>
  <c r="AA193" i="33"/>
  <c r="AA64" i="8"/>
  <c r="AA57" i="68"/>
  <c r="Z6" i="67"/>
  <c r="Z9" i="67" s="1"/>
  <c r="AA81" i="33"/>
  <c r="AA26" i="68"/>
  <c r="AA30" i="68"/>
  <c r="AA159" i="33"/>
  <c r="AA149" i="33"/>
  <c r="AA175" i="33"/>
  <c r="AA90" i="33"/>
  <c r="AA71" i="68"/>
  <c r="AA24" i="68"/>
  <c r="AA50" i="8"/>
  <c r="AA195" i="33"/>
  <c r="AA142" i="33"/>
  <c r="AA46" i="8"/>
  <c r="AA150" i="33"/>
  <c r="AA190" i="33"/>
  <c r="AA78" i="68"/>
  <c r="AA38" i="68"/>
  <c r="AA76" i="68"/>
  <c r="AA184" i="33"/>
  <c r="AA33" i="68"/>
  <c r="AA59" i="68"/>
  <c r="AA35" i="68"/>
  <c r="AA144" i="33"/>
  <c r="AA14" i="68"/>
  <c r="AA148" i="33"/>
  <c r="AA19" i="8"/>
  <c r="AA178" i="33"/>
  <c r="AA154" i="33"/>
  <c r="AA70" i="33"/>
  <c r="AA183" i="33"/>
  <c r="AA16" i="68"/>
  <c r="AA158" i="33"/>
  <c r="AA39" i="8"/>
  <c r="AA86" i="33"/>
  <c r="AA191" i="33"/>
  <c r="AA69" i="68"/>
  <c r="AA41" i="68"/>
  <c r="AA29" i="68"/>
  <c r="AA79" i="68"/>
  <c r="AA52" i="68"/>
  <c r="AA82" i="33"/>
  <c r="AA147" i="6"/>
  <c r="AA74" i="6"/>
  <c r="AA10" i="9" s="1"/>
  <c r="AA143" i="33"/>
  <c r="AA19" i="68"/>
  <c r="AA60" i="8"/>
  <c r="AA179" i="33"/>
  <c r="AA176" i="33"/>
  <c r="AA85" i="33"/>
  <c r="AA51" i="8"/>
  <c r="AA87" i="33"/>
  <c r="AA89" i="33"/>
  <c r="AA62" i="8"/>
  <c r="AA138" i="33"/>
  <c r="AA116" i="6"/>
  <c r="AA77" i="8" s="1"/>
  <c r="AA88" i="6"/>
  <c r="AA112" i="6"/>
  <c r="Z17" i="67" s="1"/>
  <c r="Y30" i="7"/>
  <c r="AA45" i="8" l="1"/>
  <c r="AA44" i="8" s="1"/>
  <c r="AA9" i="7"/>
  <c r="AA13" i="9"/>
  <c r="AA9" i="13" s="1"/>
  <c r="AA14" i="38"/>
  <c r="Z10" i="67"/>
  <c r="AA27" i="33"/>
  <c r="AA148" i="6"/>
  <c r="AA80" i="8"/>
  <c r="AA92" i="6" s="1"/>
  <c r="AA82" i="68"/>
  <c r="AA44" i="68"/>
  <c r="AA19" i="33"/>
  <c r="Z7" i="67"/>
  <c r="AA10" i="38"/>
  <c r="AA136" i="6"/>
  <c r="AA20" i="9"/>
  <c r="AA16" i="13" s="1"/>
  <c r="AA16" i="7"/>
  <c r="AA23" i="8"/>
  <c r="AA22" i="8" s="1"/>
  <c r="Z8" i="67"/>
  <c r="AA12" i="38"/>
  <c r="AA23" i="33"/>
  <c r="AA142" i="6"/>
  <c r="AA15" i="8"/>
  <c r="AA14" i="8" s="1"/>
  <c r="AA34" i="8"/>
  <c r="AA33" i="8" s="1"/>
  <c r="AA8" i="7"/>
  <c r="AA12" i="9"/>
  <c r="AA8" i="13" s="1"/>
  <c r="AA16" i="38" l="1"/>
  <c r="AA13" i="38"/>
  <c r="AA24" i="33"/>
  <c r="AA131" i="6"/>
  <c r="AA83" i="68"/>
  <c r="AA132" i="6" s="1"/>
  <c r="AA27" i="9"/>
  <c r="AA23" i="13" s="1"/>
  <c r="AA23" i="7"/>
  <c r="AA20" i="33"/>
  <c r="AA11" i="38"/>
  <c r="AA128" i="6"/>
  <c r="AA45" i="68"/>
  <c r="AA28" i="33"/>
  <c r="AA15" i="38"/>
  <c r="AA129" i="6" l="1"/>
  <c r="AA31" i="6" s="1"/>
  <c r="AA32" i="6" s="1"/>
  <c r="AA72" i="8" s="1"/>
  <c r="AA73" i="8" s="1"/>
  <c r="AA74" i="8" s="1"/>
  <c r="AA65" i="8" s="1"/>
  <c r="Z13" i="67" s="1"/>
  <c r="AA85" i="68"/>
  <c r="AA20" i="38"/>
  <c r="AA17" i="38"/>
  <c r="AA42" i="38" l="1"/>
  <c r="AA90" i="38"/>
  <c r="AA66" i="38"/>
  <c r="AA21" i="38"/>
  <c r="AA91" i="38" l="1"/>
  <c r="AA43" i="38"/>
  <c r="AA22" i="38"/>
  <c r="AA67" i="38"/>
  <c r="AA68" i="38" l="1"/>
  <c r="AA44" i="38"/>
  <c r="AA92" i="38"/>
  <c r="AA23" i="38"/>
  <c r="AA45" i="38" l="1"/>
  <c r="AA69" i="38"/>
  <c r="AA93" i="38"/>
  <c r="AA24" i="38"/>
  <c r="AA70" i="38" l="1"/>
  <c r="AA25" i="38"/>
  <c r="AA94" i="38"/>
  <c r="AA46" i="38"/>
  <c r="AA71" i="38" l="1"/>
  <c r="AA26" i="38"/>
  <c r="AA95" i="38"/>
  <c r="AA47" i="38"/>
  <c r="AA27" i="38" l="1"/>
  <c r="AA48" i="38"/>
  <c r="AA72" i="38"/>
  <c r="AA96" i="38"/>
  <c r="AA49" i="38" l="1"/>
  <c r="AA73" i="38"/>
  <c r="AA28" i="38"/>
  <c r="AA97" i="38"/>
  <c r="AA98" i="38" l="1"/>
  <c r="AA74" i="38"/>
  <c r="AA29" i="38"/>
  <c r="AA50" i="38"/>
  <c r="AA75" i="38" l="1"/>
  <c r="AA51" i="38"/>
  <c r="AA30" i="38"/>
  <c r="AA99" i="38"/>
  <c r="AA76" i="38" l="1"/>
  <c r="AA31" i="38"/>
  <c r="AA100" i="38"/>
  <c r="AA52" i="38"/>
  <c r="AA32" i="38" l="1"/>
  <c r="AA53" i="38"/>
  <c r="AA77" i="38"/>
  <c r="AA101" i="38"/>
  <c r="AA33" i="38" l="1"/>
  <c r="AA78" i="38"/>
  <c r="AA54" i="38"/>
  <c r="AA102" i="38"/>
  <c r="AA103" i="38" l="1"/>
  <c r="AA79" i="38"/>
  <c r="AA55" i="38"/>
  <c r="AA34" i="38"/>
  <c r="AA56" i="38" l="1"/>
  <c r="AA80" i="38"/>
  <c r="AA104" i="38"/>
  <c r="AA35" i="38"/>
  <c r="AA105" i="38" l="1"/>
  <c r="AA81" i="38"/>
  <c r="AA36" i="38"/>
  <c r="AA57" i="38"/>
  <c r="AA82" i="38" l="1"/>
  <c r="AA106" i="38"/>
  <c r="AA58" i="38"/>
  <c r="AA37" i="38"/>
  <c r="AA38" i="38" l="1"/>
  <c r="AA83" i="38"/>
  <c r="AA59" i="38"/>
  <c r="AA107" i="38"/>
  <c r="AA39" i="38" l="1"/>
  <c r="AA108" i="38"/>
  <c r="AA60" i="38"/>
  <c r="AA84" i="38"/>
  <c r="AA109" i="38" l="1"/>
  <c r="AA61" i="38"/>
  <c r="AA85" i="38"/>
  <c r="AA87" i="38" l="1"/>
  <c r="AA143" i="6" s="1"/>
  <c r="AA86" i="38"/>
  <c r="AA62" i="38"/>
  <c r="AA63" i="38"/>
  <c r="AA137" i="6" s="1"/>
  <c r="AA110" i="38"/>
  <c r="AA111" i="38"/>
  <c r="AA149" i="6" s="1"/>
  <c r="AA21" i="33" l="1"/>
  <c r="AA138" i="6"/>
  <c r="AA22" i="33" s="1"/>
  <c r="AA139" i="6"/>
  <c r="AA153" i="6"/>
  <c r="AA150" i="6"/>
  <c r="AA30" i="33" s="1"/>
  <c r="AA29" i="33"/>
  <c r="AA151" i="6"/>
  <c r="AA152" i="6" s="1"/>
  <c r="AA144" i="6"/>
  <c r="AA26" i="33" s="1"/>
  <c r="AA25" i="33"/>
  <c r="AA145" i="6"/>
  <c r="AA146" i="6" s="1"/>
  <c r="AA140" i="6" l="1"/>
  <c r="AA31" i="33"/>
  <c r="AA10" i="68"/>
  <c r="AA13" i="68" s="1"/>
  <c r="AA154" i="6"/>
  <c r="AB126" i="33" l="1"/>
  <c r="AD126" i="33"/>
  <c r="AF126" i="33"/>
  <c r="AC126" i="33"/>
  <c r="AE126" i="33"/>
  <c r="AG126" i="33"/>
  <c r="AA126" i="33"/>
  <c r="AA92" i="33"/>
  <c r="AA160" i="33"/>
  <c r="AA167" i="33" s="1"/>
  <c r="AA32" i="33"/>
  <c r="AA74" i="33" s="1"/>
  <c r="AA108" i="33" s="1"/>
  <c r="AA11" i="68"/>
  <c r="AA12" i="68" s="1"/>
  <c r="AA127" i="6" s="1"/>
  <c r="AA15" i="39"/>
  <c r="AA155" i="6"/>
  <c r="AA157" i="6" l="1"/>
  <c r="AA33" i="33"/>
  <c r="AA156" i="6"/>
  <c r="AA49" i="68"/>
  <c r="AA79" i="33"/>
  <c r="AA113" i="33" s="1"/>
  <c r="AA76" i="33"/>
  <c r="AA110" i="33" s="1"/>
  <c r="AA78" i="33"/>
  <c r="AA112" i="33" s="1"/>
  <c r="AA75" i="33"/>
  <c r="AA77" i="33"/>
  <c r="AA111" i="33" s="1"/>
  <c r="AA67" i="6" l="1"/>
  <c r="AA66" i="6" s="1"/>
  <c r="AA68" i="6" s="1"/>
  <c r="AA69" i="6" s="1"/>
  <c r="AA50" i="68"/>
  <c r="AA130" i="6" s="1"/>
  <c r="AA87" i="6" s="1"/>
  <c r="AA70" i="8"/>
  <c r="AA34" i="33"/>
  <c r="AA158" i="6"/>
  <c r="AA217" i="33"/>
  <c r="AA220" i="33"/>
  <c r="AA254" i="33" s="1"/>
  <c r="AA214" i="33"/>
  <c r="AA216" i="33"/>
  <c r="AA218" i="33"/>
  <c r="AA224" i="33"/>
  <c r="AA258" i="33" s="1"/>
  <c r="AA233" i="33"/>
  <c r="AA229" i="33"/>
  <c r="AA234" i="33"/>
  <c r="AA219" i="33"/>
  <c r="AA237" i="33"/>
  <c r="AA227" i="33"/>
  <c r="AA221" i="33"/>
  <c r="AA255" i="33" s="1"/>
  <c r="AA223" i="33"/>
  <c r="AA257" i="33" s="1"/>
  <c r="AA228" i="33"/>
  <c r="AA222" i="33"/>
  <c r="AA256" i="33" s="1"/>
  <c r="AA215" i="33"/>
  <c r="AA230" i="33"/>
  <c r="AA236" i="33"/>
  <c r="AA226" i="33"/>
  <c r="AA232" i="33"/>
  <c r="AA235" i="33"/>
  <c r="AA231" i="33"/>
  <c r="AA225" i="33"/>
  <c r="AA259" i="33" s="1"/>
  <c r="AA109" i="33"/>
  <c r="AA99" i="33"/>
  <c r="AA48" i="68"/>
  <c r="AA35" i="33"/>
  <c r="AA19" i="7" l="1"/>
  <c r="AA24" i="7"/>
  <c r="AA29" i="9"/>
  <c r="AA25" i="13" s="1"/>
  <c r="AA23" i="9"/>
  <c r="AA19" i="13" s="1"/>
  <c r="Z11" i="67"/>
  <c r="AA51" i="68"/>
  <c r="AA171" i="33"/>
  <c r="AA71" i="8"/>
  <c r="AA68" i="8"/>
  <c r="AA238" i="33"/>
  <c r="AA245" i="33" s="1"/>
  <c r="AC272" i="33"/>
  <c r="AF272" i="33"/>
  <c r="AA272" i="33"/>
  <c r="AB272" i="33"/>
  <c r="AG272" i="33"/>
  <c r="AD272" i="33"/>
  <c r="AE272" i="33"/>
  <c r="AA199" i="33"/>
  <c r="AA206" i="33" s="1"/>
  <c r="AA36" i="33"/>
  <c r="AA159" i="6"/>
  <c r="AA160" i="6"/>
  <c r="AA161" i="6" s="1"/>
  <c r="AA121" i="6" s="1"/>
  <c r="AA123" i="6" s="1"/>
  <c r="AA59" i="33" l="1"/>
  <c r="AA124" i="6"/>
  <c r="AA122" i="6"/>
  <c r="AA37" i="33"/>
  <c r="AA58" i="33"/>
  <c r="Z14" i="67" l="1"/>
  <c r="AA33" i="6"/>
  <c r="AA34" i="6" s="1"/>
  <c r="AA69" i="8"/>
  <c r="AA59" i="8" s="1"/>
  <c r="AA58" i="8" s="1"/>
  <c r="AA81" i="8" s="1"/>
  <c r="AA81" i="6" s="1"/>
  <c r="AA40" i="46"/>
  <c r="AA40" i="62"/>
  <c r="Z12" i="67"/>
  <c r="AA39" i="46"/>
  <c r="AA39" i="62"/>
  <c r="AA13" i="39" l="1"/>
  <c r="AA33" i="39" s="1"/>
  <c r="AA35" i="6"/>
  <c r="AA37" i="6" s="1"/>
  <c r="AA86" i="6" s="1"/>
  <c r="AG189" i="6"/>
  <c r="AB189" i="6"/>
  <c r="AC189" i="6"/>
  <c r="AD189" i="6"/>
  <c r="AA17" i="9"/>
  <c r="AA13" i="13" s="1"/>
  <c r="AI189" i="6"/>
  <c r="AA189" i="6"/>
  <c r="AE189" i="6"/>
  <c r="AF189" i="6"/>
  <c r="AA13" i="7"/>
  <c r="AA85" i="6" s="1"/>
  <c r="AA8" i="9"/>
  <c r="AA5" i="13" s="1"/>
  <c r="AA5" i="7"/>
  <c r="AA36" i="6"/>
  <c r="AA38" i="6" l="1"/>
  <c r="AA18" i="7"/>
  <c r="AA22" i="9"/>
  <c r="AA18" i="13" s="1"/>
  <c r="AH189" i="6"/>
  <c r="AJ189" i="6" s="1"/>
  <c r="AA196" i="6"/>
  <c r="AA21" i="9"/>
  <c r="AA17" i="13" s="1"/>
  <c r="AA17" i="7"/>
  <c r="AA83" i="6"/>
  <c r="AA55" i="6"/>
  <c r="AA19" i="9" l="1"/>
  <c r="AA15" i="13" s="1"/>
  <c r="AA82" i="6"/>
  <c r="AA15" i="7"/>
  <c r="AA56" i="6"/>
  <c r="AA57" i="6" s="1"/>
  <c r="AA41" i="39"/>
  <c r="AA42" i="39" l="1"/>
  <c r="AA58" i="6"/>
  <c r="AA18" i="9"/>
  <c r="AA14" i="13" s="1"/>
  <c r="AA100" i="6"/>
  <c r="AA14" i="7"/>
  <c r="AA140" i="40" l="1"/>
  <c r="AA141" i="40" s="1"/>
  <c r="AA142" i="40" s="1"/>
  <c r="AA117" i="40"/>
  <c r="AA171" i="40"/>
  <c r="AA43" i="39"/>
  <c r="AA152" i="40"/>
  <c r="AA59" i="6"/>
  <c r="AA172" i="40" l="1"/>
  <c r="AA174" i="40" s="1"/>
  <c r="AA173" i="40"/>
  <c r="AA188" i="40" s="1"/>
  <c r="AA177" i="40"/>
  <c r="AA119" i="40"/>
  <c r="AA127" i="40" s="1"/>
  <c r="AA163" i="40"/>
  <c r="AA118" i="40"/>
  <c r="AA123" i="40" s="1"/>
  <c r="AA164" i="40"/>
  <c r="AA143" i="40"/>
  <c r="AA144" i="40"/>
  <c r="AA145" i="40" s="1"/>
  <c r="AA187" i="40" l="1"/>
  <c r="AA189" i="40" s="1"/>
  <c r="AA35" i="39" s="1"/>
  <c r="AA121" i="40"/>
  <c r="AA175" i="40"/>
  <c r="AA176" i="40" s="1"/>
  <c r="AA178" i="40"/>
  <c r="AA183" i="40" s="1"/>
  <c r="AA179" i="40"/>
  <c r="AA181" i="40" s="1"/>
  <c r="AA120" i="40"/>
  <c r="AA126" i="40"/>
  <c r="AA128" i="40" s="1"/>
  <c r="AA46" i="39" s="1"/>
  <c r="AA146" i="40"/>
  <c r="AA147" i="40"/>
  <c r="AA124" i="40"/>
  <c r="AA125" i="40" s="1"/>
  <c r="AA154" i="40"/>
  <c r="AA122" i="40" l="1"/>
  <c r="AA45" i="39" s="1"/>
  <c r="AA190" i="40"/>
  <c r="AA180" i="40"/>
  <c r="AA182" i="40" s="1"/>
  <c r="AA41" i="33"/>
  <c r="AA42" i="33" s="1"/>
  <c r="AA44" i="39"/>
  <c r="AA50" i="39" s="1"/>
  <c r="AA51" i="39" s="1"/>
  <c r="AA184" i="40"/>
  <c r="AA185" i="40" s="1"/>
  <c r="AA191" i="40"/>
  <c r="AA156" i="40"/>
  <c r="AA159" i="40"/>
  <c r="AA153" i="40"/>
  <c r="AA39" i="6" l="1"/>
  <c r="AA40" i="6" s="1"/>
  <c r="AA40" i="33"/>
  <c r="AA43" i="33" s="1"/>
  <c r="AA192" i="40"/>
  <c r="AA36" i="39" s="1"/>
  <c r="AA186" i="40"/>
  <c r="AA193" i="40" s="1"/>
  <c r="AA53" i="39"/>
  <c r="AA155" i="40"/>
  <c r="AA158" i="40"/>
  <c r="AA160" i="40"/>
  <c r="AA47" i="33" l="1"/>
  <c r="AA48" i="33" s="1"/>
  <c r="AA49" i="33" s="1"/>
  <c r="AA51" i="33" s="1"/>
  <c r="AA52" i="33" s="1"/>
  <c r="AA53" i="33" s="1"/>
  <c r="AA54" i="33" s="1"/>
  <c r="AA41" i="6"/>
  <c r="AA42" i="6" s="1"/>
  <c r="AA43" i="6" s="1"/>
  <c r="AA161" i="40"/>
  <c r="AA162" i="40" s="1"/>
  <c r="AA34" i="39"/>
  <c r="AA14" i="39"/>
  <c r="AA44" i="6"/>
  <c r="AA48" i="6" s="1"/>
  <c r="AA157" i="40"/>
  <c r="AA37" i="39" l="1"/>
  <c r="AA47" i="39"/>
  <c r="AA49" i="6"/>
  <c r="AA51" i="6" s="1"/>
  <c r="AA52" i="6" s="1"/>
  <c r="AA50" i="6"/>
  <c r="AA52" i="39"/>
  <c r="AA16" i="39"/>
  <c r="AA56" i="39" l="1"/>
  <c r="AA18" i="39"/>
  <c r="AA54" i="39"/>
  <c r="AA55" i="39" s="1"/>
  <c r="AA17" i="39"/>
  <c r="AA19" i="39" l="1"/>
  <c r="AA20" i="39" s="1"/>
  <c r="AA21" i="39" s="1"/>
  <c r="AA60" i="6" s="1"/>
  <c r="AA62" i="6" s="1"/>
  <c r="AA38" i="39"/>
  <c r="AA57" i="39"/>
  <c r="AA61" i="6" l="1"/>
  <c r="AA9" i="9"/>
  <c r="AA6" i="13" s="1"/>
  <c r="AA70" i="6"/>
  <c r="AA6" i="7"/>
  <c r="AA63" i="6"/>
  <c r="AA64" i="6"/>
  <c r="AA75" i="6" l="1"/>
  <c r="AA71" i="6"/>
  <c r="AA65" i="6"/>
  <c r="AA99" i="6" l="1"/>
  <c r="AA90" i="6" s="1"/>
  <c r="AA11" i="9"/>
  <c r="AA7" i="13" s="1"/>
  <c r="AA7" i="7"/>
  <c r="AA78" i="6"/>
  <c r="AA25" i="9" l="1"/>
  <c r="AA21" i="7"/>
  <c r="AA14" i="9"/>
  <c r="AA10" i="7"/>
  <c r="AA95" i="6"/>
  <c r="AA10" i="13" l="1"/>
  <c r="AA101" i="6"/>
  <c r="AA103" i="6"/>
  <c r="AA21" i="13"/>
  <c r="AA102" i="6" l="1"/>
  <c r="AA105" i="6" s="1"/>
  <c r="AA104" i="6"/>
  <c r="AA106" i="6" s="1"/>
  <c r="AA107" i="6" s="1"/>
  <c r="AA91" i="6" s="1"/>
  <c r="AA22" i="7" l="1"/>
  <c r="AA26" i="9"/>
  <c r="AA89" i="6"/>
  <c r="AA28" i="9" l="1"/>
  <c r="AA24" i="13" s="1"/>
  <c r="AA20" i="7"/>
  <c r="AA93" i="6"/>
  <c r="AA22" i="13"/>
  <c r="AA20" i="13" s="1"/>
  <c r="AA24" i="9"/>
  <c r="AA30" i="9" l="1"/>
  <c r="AA25" i="7"/>
  <c r="AA96" i="6"/>
  <c r="AA27" i="7" l="1"/>
  <c r="AB111" i="6"/>
  <c r="AA26" i="13"/>
  <c r="AA32" i="9"/>
  <c r="AA28" i="13" s="1"/>
  <c r="Z31" i="13" s="1"/>
  <c r="AB136" i="33" l="1"/>
  <c r="AB72" i="68"/>
  <c r="AB153" i="33"/>
  <c r="AB36" i="68"/>
  <c r="AB88" i="33"/>
  <c r="AB65" i="68"/>
  <c r="AB51" i="8"/>
  <c r="AB152" i="33"/>
  <c r="AB150" i="33"/>
  <c r="AB154" i="33"/>
  <c r="AB141" i="6"/>
  <c r="AB92" i="33"/>
  <c r="AB34" i="68"/>
  <c r="AB199" i="33"/>
  <c r="AB37" i="68"/>
  <c r="AB40" i="68"/>
  <c r="AB76" i="68"/>
  <c r="AB32" i="68"/>
  <c r="AB85" i="33"/>
  <c r="AB54" i="68"/>
  <c r="AB143" i="33"/>
  <c r="AB35" i="8"/>
  <c r="AB77" i="6"/>
  <c r="AB74" i="6"/>
  <c r="AB10" i="9" s="1"/>
  <c r="AB73" i="68"/>
  <c r="AB31" i="68"/>
  <c r="AB141" i="33"/>
  <c r="AB189" i="33"/>
  <c r="AB52" i="68"/>
  <c r="AB27" i="68"/>
  <c r="AB144" i="33"/>
  <c r="AB74" i="68"/>
  <c r="AB35" i="68"/>
  <c r="AB15" i="68"/>
  <c r="AB192" i="33"/>
  <c r="AB69" i="33"/>
  <c r="AB194" i="33"/>
  <c r="AB38" i="68"/>
  <c r="AB66" i="8"/>
  <c r="AB193" i="33"/>
  <c r="AB24" i="68"/>
  <c r="AB80" i="68"/>
  <c r="AB19" i="8"/>
  <c r="AB56" i="68"/>
  <c r="AB16" i="68"/>
  <c r="AB28" i="8"/>
  <c r="AB176" i="33"/>
  <c r="AB76" i="6"/>
  <c r="AB139" i="33"/>
  <c r="AB36" i="8"/>
  <c r="AB155" i="33"/>
  <c r="AB81" i="33"/>
  <c r="AB60" i="8"/>
  <c r="AB197" i="33"/>
  <c r="AB62" i="8"/>
  <c r="AB23" i="68"/>
  <c r="AB72" i="33"/>
  <c r="AB179" i="33"/>
  <c r="AB38" i="8"/>
  <c r="AB68" i="68"/>
  <c r="AB20" i="68"/>
  <c r="AB75" i="68"/>
  <c r="AB39" i="8"/>
  <c r="AB70" i="68"/>
  <c r="AB190" i="33"/>
  <c r="AB84" i="6"/>
  <c r="AB46" i="8"/>
  <c r="AB68" i="33"/>
  <c r="AB186" i="33"/>
  <c r="AB24" i="8"/>
  <c r="AB78" i="68"/>
  <c r="AB73" i="33"/>
  <c r="AB151" i="33"/>
  <c r="AB182" i="33"/>
  <c r="AB137" i="33"/>
  <c r="AB33" i="68"/>
  <c r="AB69" i="68"/>
  <c r="AB61" i="8"/>
  <c r="AB195" i="33"/>
  <c r="AB29" i="68"/>
  <c r="AB18" i="68"/>
  <c r="AB157" i="33"/>
  <c r="AB90" i="33"/>
  <c r="AB25" i="8"/>
  <c r="AB81" i="68"/>
  <c r="AB91" i="33"/>
  <c r="AB17" i="68"/>
  <c r="AB175" i="33"/>
  <c r="AB188" i="33"/>
  <c r="AB89" i="33"/>
  <c r="AB63" i="8"/>
  <c r="AB17" i="8"/>
  <c r="AB42" i="68"/>
  <c r="AB54" i="8"/>
  <c r="AB147" i="6"/>
  <c r="AB191" i="33"/>
  <c r="AB50" i="8"/>
  <c r="AB158" i="33"/>
  <c r="AB52" i="8"/>
  <c r="AB49" i="8"/>
  <c r="AB159" i="33"/>
  <c r="AB160" i="33"/>
  <c r="AB22" i="68"/>
  <c r="AB185" i="33"/>
  <c r="AB64" i="8"/>
  <c r="AB86" i="33"/>
  <c r="AB79" i="68"/>
  <c r="AB80" i="33"/>
  <c r="AB18" i="8"/>
  <c r="AB156" i="33"/>
  <c r="AB77" i="68"/>
  <c r="AB64" i="68"/>
  <c r="AB187" i="33"/>
  <c r="AB43" i="68"/>
  <c r="AB70" i="33"/>
  <c r="AB142" i="33"/>
  <c r="AB41" i="68"/>
  <c r="AB58" i="68"/>
  <c r="AB21" i="68"/>
  <c r="AB67" i="68"/>
  <c r="AB19" i="68"/>
  <c r="AB83" i="33"/>
  <c r="AB145" i="33"/>
  <c r="AB198" i="33"/>
  <c r="AB55" i="68"/>
  <c r="AB37" i="8"/>
  <c r="AB196" i="33"/>
  <c r="AB53" i="68"/>
  <c r="AB59" i="68"/>
  <c r="AB63" i="68"/>
  <c r="AB28" i="68"/>
  <c r="AB39" i="68"/>
  <c r="AB183" i="33"/>
  <c r="AB87" i="33"/>
  <c r="AB178" i="33"/>
  <c r="AB115" i="6"/>
  <c r="AA16" i="67" s="1"/>
  <c r="AB61" i="68"/>
  <c r="AB14" i="68"/>
  <c r="AB181" i="33"/>
  <c r="AB62" i="68"/>
  <c r="AB184" i="33"/>
  <c r="AB67" i="8"/>
  <c r="AB60" i="68"/>
  <c r="AB149" i="33"/>
  <c r="AB48" i="8"/>
  <c r="AB55" i="8" s="1"/>
  <c r="AB26" i="8"/>
  <c r="AB140" i="33"/>
  <c r="AB71" i="33"/>
  <c r="AB26" i="68"/>
  <c r="AB84" i="33"/>
  <c r="AB57" i="68"/>
  <c r="AB177" i="33"/>
  <c r="AB147" i="33"/>
  <c r="AB27" i="8"/>
  <c r="AB180" i="33"/>
  <c r="AB16" i="8"/>
  <c r="AB148" i="33"/>
  <c r="AB30" i="68"/>
  <c r="AB47" i="8"/>
  <c r="AB71" i="68"/>
  <c r="AB66" i="68"/>
  <c r="AB25" i="68"/>
  <c r="AB138" i="33"/>
  <c r="AA6" i="67"/>
  <c r="AA9" i="67" s="1"/>
  <c r="AB135" i="6"/>
  <c r="AB146" i="33"/>
  <c r="AB82" i="33"/>
  <c r="AB116" i="6"/>
  <c r="AB77" i="8" s="1"/>
  <c r="AB88" i="6"/>
  <c r="AB112" i="6"/>
  <c r="AA17" i="67" s="1"/>
  <c r="AB15" i="8" l="1"/>
  <c r="AB14" i="8" s="1"/>
  <c r="AB8" i="7"/>
  <c r="AB12" i="9"/>
  <c r="AB8" i="13" s="1"/>
  <c r="AB27" i="33"/>
  <c r="AA10" i="67"/>
  <c r="AB14" i="38"/>
  <c r="AB148" i="6"/>
  <c r="AB45" i="8"/>
  <c r="AB44" i="8" s="1"/>
  <c r="AB9" i="7"/>
  <c r="AB13" i="9"/>
  <c r="AB9" i="13" s="1"/>
  <c r="AB23" i="33"/>
  <c r="AB142" i="6"/>
  <c r="AA8" i="67"/>
  <c r="AB12" i="38"/>
  <c r="AB44" i="68"/>
  <c r="AB23" i="8"/>
  <c r="AB22" i="8" s="1"/>
  <c r="AB20" i="9"/>
  <c r="AB16" i="13" s="1"/>
  <c r="AB16" i="7"/>
  <c r="AB34" i="8"/>
  <c r="AB33" i="8" s="1"/>
  <c r="AB136" i="6"/>
  <c r="AB10" i="38"/>
  <c r="AA7" i="67"/>
  <c r="AB19" i="33"/>
  <c r="AB80" i="8"/>
  <c r="AB92" i="6" s="1"/>
  <c r="AB82" i="68"/>
  <c r="AB83" i="68" l="1"/>
  <c r="AB132" i="6" s="1"/>
  <c r="AB131" i="6"/>
  <c r="AB23" i="7"/>
  <c r="AB27" i="9"/>
  <c r="AB23" i="13" s="1"/>
  <c r="AB28" i="33"/>
  <c r="AB15" i="38"/>
  <c r="AB16" i="38"/>
  <c r="AB20" i="33"/>
  <c r="AB11" i="38"/>
  <c r="AB45" i="68"/>
  <c r="AB128" i="6"/>
  <c r="AB24" i="33"/>
  <c r="AB13" i="38"/>
  <c r="AB20" i="38" l="1"/>
  <c r="AB17" i="38"/>
  <c r="AB85" i="68"/>
  <c r="AB129" i="6"/>
  <c r="AB31" i="6" s="1"/>
  <c r="AB32" i="6" s="1"/>
  <c r="AB72" i="8" s="1"/>
  <c r="AB73" i="8" s="1"/>
  <c r="AB74" i="8" s="1"/>
  <c r="AB65" i="8" s="1"/>
  <c r="AA13" i="67" s="1"/>
  <c r="AB66" i="38" l="1"/>
  <c r="AB42" i="38"/>
  <c r="AB90" i="38"/>
  <c r="AB21" i="38"/>
  <c r="AB67" i="38" l="1"/>
  <c r="AB43" i="38"/>
  <c r="AB91" i="38"/>
  <c r="AB22" i="38"/>
  <c r="AB23" i="38" l="1"/>
  <c r="AB68" i="38"/>
  <c r="AB44" i="38"/>
  <c r="AB92" i="38"/>
  <c r="AB93" i="38" l="1"/>
  <c r="AB45" i="38"/>
  <c r="AB24" i="38"/>
  <c r="AB69" i="38"/>
  <c r="AB94" i="38" l="1"/>
  <c r="AB70" i="38"/>
  <c r="AB25" i="38"/>
  <c r="AB46" i="38"/>
  <c r="AB95" i="38" l="1"/>
  <c r="AB26" i="38"/>
  <c r="AB47" i="38"/>
  <c r="AB71" i="38"/>
  <c r="AB72" i="38" l="1"/>
  <c r="AB48" i="38"/>
  <c r="AB27" i="38"/>
  <c r="AB96" i="38"/>
  <c r="AB28" i="38" l="1"/>
  <c r="AB49" i="38"/>
  <c r="AB97" i="38"/>
  <c r="AB73" i="38"/>
  <c r="AB74" i="38" l="1"/>
  <c r="AB50" i="38"/>
  <c r="AB29" i="38"/>
  <c r="AB98" i="38"/>
  <c r="AB99" i="38" l="1"/>
  <c r="AB75" i="38"/>
  <c r="AB51" i="38"/>
  <c r="AB30" i="38"/>
  <c r="AB31" i="38" l="1"/>
  <c r="AB52" i="38"/>
  <c r="AB76" i="38"/>
  <c r="AB100" i="38"/>
  <c r="AB77" i="38" l="1"/>
  <c r="AB101" i="38"/>
  <c r="AB53" i="38"/>
  <c r="AB32" i="38"/>
  <c r="AB102" i="38" l="1"/>
  <c r="AB33" i="38"/>
  <c r="AB78" i="38"/>
  <c r="AB54" i="38"/>
  <c r="AB34" i="38" l="1"/>
  <c r="AB55" i="38"/>
  <c r="AB79" i="38"/>
  <c r="AB103" i="38"/>
  <c r="AB56" i="38" l="1"/>
  <c r="AB80" i="38"/>
  <c r="AB35" i="38"/>
  <c r="AB104" i="38"/>
  <c r="AB81" i="38" l="1"/>
  <c r="AB57" i="38"/>
  <c r="AB105" i="38"/>
  <c r="AB36" i="38"/>
  <c r="AB37" i="38" l="1"/>
  <c r="AB58" i="38"/>
  <c r="AB106" i="38"/>
  <c r="AB82" i="38"/>
  <c r="AB38" i="38" l="1"/>
  <c r="AB107" i="38"/>
  <c r="AB59" i="38"/>
  <c r="AB83" i="38"/>
  <c r="AB84" i="38" l="1"/>
  <c r="AB108" i="38"/>
  <c r="AB60" i="38"/>
  <c r="AB39" i="38"/>
  <c r="AB61" i="38" l="1"/>
  <c r="AB109" i="38"/>
  <c r="AB85" i="38"/>
  <c r="AB87" i="38" l="1"/>
  <c r="AB143" i="6" s="1"/>
  <c r="AB86" i="38"/>
  <c r="AB111" i="38"/>
  <c r="AB149" i="6" s="1"/>
  <c r="AB110" i="38"/>
  <c r="AB63" i="38"/>
  <c r="AB137" i="6" s="1"/>
  <c r="AB62" i="38"/>
  <c r="AB150" i="6" l="1"/>
  <c r="AB30" i="33" s="1"/>
  <c r="AB29" i="33"/>
  <c r="AB153" i="6"/>
  <c r="AB151" i="6"/>
  <c r="AB152" i="6" s="1"/>
  <c r="AB138" i="6"/>
  <c r="AB22" i="33" s="1"/>
  <c r="AB21" i="33"/>
  <c r="AB139" i="6"/>
  <c r="AB25" i="33"/>
  <c r="AB144" i="6"/>
  <c r="AB26" i="33" s="1"/>
  <c r="AB145" i="6"/>
  <c r="AB146" i="6" s="1"/>
  <c r="AB140" i="6" l="1"/>
  <c r="AB10" i="68"/>
  <c r="AB13" i="68" s="1"/>
  <c r="AB31" i="33"/>
  <c r="AB154" i="6"/>
  <c r="AD127" i="33" l="1"/>
  <c r="AE127" i="33"/>
  <c r="AB127" i="33"/>
  <c r="AC127" i="33"/>
  <c r="AF127" i="33"/>
  <c r="AG127" i="33"/>
  <c r="AB93" i="33"/>
  <c r="AB161" i="33"/>
  <c r="AB167" i="33" s="1"/>
  <c r="AB11" i="68"/>
  <c r="AB12" i="68" s="1"/>
  <c r="AB127" i="6" s="1"/>
  <c r="AB32" i="33"/>
  <c r="AB74" i="33" s="1"/>
  <c r="AB108" i="33" s="1"/>
  <c r="AB155" i="6"/>
  <c r="AB15" i="39"/>
  <c r="AB49" i="68" l="1"/>
  <c r="AB157" i="6"/>
  <c r="AB156" i="6"/>
  <c r="AB33" i="33"/>
  <c r="AB76" i="33"/>
  <c r="AB110" i="33" s="1"/>
  <c r="AB79" i="33"/>
  <c r="AB113" i="33" s="1"/>
  <c r="AB78" i="33"/>
  <c r="AB112" i="33" s="1"/>
  <c r="AB75" i="33"/>
  <c r="AB77" i="33"/>
  <c r="AB111" i="33" s="1"/>
  <c r="AB34" i="33" l="1"/>
  <c r="AB70" i="8"/>
  <c r="AB158" i="6"/>
  <c r="AB48" i="68"/>
  <c r="AB35" i="33"/>
  <c r="AB67" i="6"/>
  <c r="AB66" i="6" s="1"/>
  <c r="AB68" i="6" s="1"/>
  <c r="AB69" i="6" s="1"/>
  <c r="AB50" i="68"/>
  <c r="AB130" i="6" s="1"/>
  <c r="AB87" i="6" s="1"/>
  <c r="AB109" i="33"/>
  <c r="AB99" i="33"/>
  <c r="AB171" i="33" s="1"/>
  <c r="AB217" i="33"/>
  <c r="AB235" i="33"/>
  <c r="AB214" i="33"/>
  <c r="AB219" i="33"/>
  <c r="AB215" i="33"/>
  <c r="AB226" i="33"/>
  <c r="AB216" i="33"/>
  <c r="AB228" i="33"/>
  <c r="AB234" i="33"/>
  <c r="AB237" i="33"/>
  <c r="AB220" i="33"/>
  <c r="AB254" i="33" s="1"/>
  <c r="AB227" i="33"/>
  <c r="AB233" i="33"/>
  <c r="AB218" i="33"/>
  <c r="AB230" i="33"/>
  <c r="AB224" i="33"/>
  <c r="AB258" i="33" s="1"/>
  <c r="AB223" i="33"/>
  <c r="AB257" i="33" s="1"/>
  <c r="AB236" i="33"/>
  <c r="AB229" i="33"/>
  <c r="AB221" i="33"/>
  <c r="AB255" i="33" s="1"/>
  <c r="AB225" i="33"/>
  <c r="AB259" i="33" s="1"/>
  <c r="AB238" i="33"/>
  <c r="AB232" i="33"/>
  <c r="AB231" i="33"/>
  <c r="AB222" i="33"/>
  <c r="AB256" i="33" s="1"/>
  <c r="AB239" i="33"/>
  <c r="AA11" i="67" l="1"/>
  <c r="AB51" i="68"/>
  <c r="AB36" i="33"/>
  <c r="AB159" i="6"/>
  <c r="AB160" i="6"/>
  <c r="AB161" i="6" s="1"/>
  <c r="AB121" i="6" s="1"/>
  <c r="AB123" i="6" s="1"/>
  <c r="AB29" i="9"/>
  <c r="AB25" i="13" s="1"/>
  <c r="AB19" i="7"/>
  <c r="AB23" i="9"/>
  <c r="AB19" i="13" s="1"/>
  <c r="AB24" i="7"/>
  <c r="AB71" i="8"/>
  <c r="AB68" i="8"/>
  <c r="AB245" i="33"/>
  <c r="AB59" i="33" s="1"/>
  <c r="AG273" i="33"/>
  <c r="AE273" i="33"/>
  <c r="AF273" i="33"/>
  <c r="AC273" i="33"/>
  <c r="AB273" i="33"/>
  <c r="AD273" i="33"/>
  <c r="AB200" i="33"/>
  <c r="AB206" i="33" s="1"/>
  <c r="AB37" i="33" l="1"/>
  <c r="AB33" i="6"/>
  <c r="AB124" i="6"/>
  <c r="AB122" i="6"/>
  <c r="AB58" i="33"/>
  <c r="AA14" i="67" l="1"/>
  <c r="AB39" i="62"/>
  <c r="AA12" i="67"/>
  <c r="AB39" i="46"/>
  <c r="AB13" i="39"/>
  <c r="AB33" i="39" s="1"/>
  <c r="AB34" i="6"/>
  <c r="AB35" i="6"/>
  <c r="AB37" i="6" s="1"/>
  <c r="AB40" i="46"/>
  <c r="AB40" i="62"/>
  <c r="AB69" i="8"/>
  <c r="AB59" i="8" s="1"/>
  <c r="AB58" i="8" s="1"/>
  <c r="AB81" i="8" s="1"/>
  <c r="AB81" i="6" s="1"/>
  <c r="AI190" i="6" l="1"/>
  <c r="AF190" i="6"/>
  <c r="AB190" i="6"/>
  <c r="AD190" i="6"/>
  <c r="AG190" i="6"/>
  <c r="AC190" i="6"/>
  <c r="AE190" i="6"/>
  <c r="AB17" i="9"/>
  <c r="AB13" i="13" s="1"/>
  <c r="AB13" i="7"/>
  <c r="AB85" i="6" s="1"/>
  <c r="AB86" i="6"/>
  <c r="AB38" i="6"/>
  <c r="AB8" i="9"/>
  <c r="AB5" i="13" s="1"/>
  <c r="AB5" i="7"/>
  <c r="AB36" i="6"/>
  <c r="AB22" i="9" l="1"/>
  <c r="AB18" i="13" s="1"/>
  <c r="AB18" i="7"/>
  <c r="AB55" i="6"/>
  <c r="AH190" i="6"/>
  <c r="AJ190" i="6" s="1"/>
  <c r="AB196" i="6"/>
  <c r="AB17" i="7"/>
  <c r="AB21" i="9"/>
  <c r="AB17" i="13" s="1"/>
  <c r="AB83" i="6"/>
  <c r="AB56" i="6" l="1"/>
  <c r="AB57" i="6" s="1"/>
  <c r="AB41" i="39"/>
  <c r="AB19" i="9"/>
  <c r="AB15" i="13" s="1"/>
  <c r="AB15" i="7"/>
  <c r="AB82" i="6"/>
  <c r="AB100" i="6" l="1"/>
  <c r="AB18" i="9"/>
  <c r="AB14" i="13" s="1"/>
  <c r="AB14" i="7"/>
  <c r="AB42" i="39"/>
  <c r="AB58" i="6"/>
  <c r="AB117" i="40" l="1"/>
  <c r="AB171" i="40"/>
  <c r="AB152" i="40"/>
  <c r="AB140" i="40"/>
  <c r="AB141" i="40" s="1"/>
  <c r="AB142" i="40" s="1"/>
  <c r="AB43" i="39"/>
  <c r="AB59" i="6"/>
  <c r="AB144" i="40" l="1"/>
  <c r="AB143" i="40"/>
  <c r="AB173" i="40"/>
  <c r="AB188" i="40" s="1"/>
  <c r="AB172" i="40"/>
  <c r="AB187" i="40" s="1"/>
  <c r="AB177" i="40"/>
  <c r="AB163" i="40"/>
  <c r="AB119" i="40"/>
  <c r="AB124" i="40" s="1"/>
  <c r="AB118" i="40"/>
  <c r="AB126" i="40" s="1"/>
  <c r="AB164" i="40"/>
  <c r="AB145" i="40" l="1"/>
  <c r="AB147" i="40" s="1"/>
  <c r="AB120" i="40"/>
  <c r="AB127" i="40"/>
  <c r="AB128" i="40" s="1"/>
  <c r="AB46" i="39" s="1"/>
  <c r="AB123" i="40"/>
  <c r="AB125" i="40" s="1"/>
  <c r="AB44" i="39" s="1"/>
  <c r="AB50" i="39" s="1"/>
  <c r="AB51" i="39" s="1"/>
  <c r="AB189" i="40"/>
  <c r="AB35" i="39" s="1"/>
  <c r="AB121" i="40"/>
  <c r="AB174" i="40"/>
  <c r="AB178" i="40"/>
  <c r="AB180" i="40" s="1"/>
  <c r="AB179" i="40"/>
  <c r="AB191" i="40" s="1"/>
  <c r="AB175" i="40"/>
  <c r="AB122" i="40" l="1"/>
  <c r="AB45" i="39" s="1"/>
  <c r="AB146" i="40"/>
  <c r="AB39" i="6"/>
  <c r="AB41" i="6" s="1"/>
  <c r="AB42" i="6" s="1"/>
  <c r="AB43" i="6" s="1"/>
  <c r="AB41" i="33"/>
  <c r="AB42" i="33" s="1"/>
  <c r="AB176" i="40"/>
  <c r="AB190" i="40"/>
  <c r="AB192" i="40" s="1"/>
  <c r="AB36" i="39" s="1"/>
  <c r="AB181" i="40"/>
  <c r="AB182" i="40" s="1"/>
  <c r="AB184" i="40"/>
  <c r="AB53" i="39"/>
  <c r="AB183" i="40"/>
  <c r="AB154" i="40"/>
  <c r="AB153" i="40"/>
  <c r="AB40" i="33" l="1"/>
  <c r="AB47" i="33"/>
  <c r="AB48" i="33" s="1"/>
  <c r="AB49" i="33" s="1"/>
  <c r="AB51" i="33" s="1"/>
  <c r="AB52" i="33" s="1"/>
  <c r="AB53" i="33" s="1"/>
  <c r="AB54" i="33" s="1"/>
  <c r="AB43" i="33"/>
  <c r="AB40" i="6"/>
  <c r="AB44" i="6" s="1"/>
  <c r="AB48" i="6" s="1"/>
  <c r="AB185" i="40"/>
  <c r="AB186" i="40" s="1"/>
  <c r="AB156" i="40"/>
  <c r="AB159" i="40"/>
  <c r="AB155" i="40"/>
  <c r="AB158" i="40"/>
  <c r="AB14" i="39" l="1"/>
  <c r="AB52" i="39" s="1"/>
  <c r="AB193" i="40"/>
  <c r="AB34" i="39"/>
  <c r="AB37" i="39" s="1"/>
  <c r="AB50" i="6"/>
  <c r="AB49" i="6"/>
  <c r="AB51" i="6" s="1"/>
  <c r="AB52" i="6" s="1"/>
  <c r="AB160" i="40"/>
  <c r="AB157" i="40"/>
  <c r="AB161" i="40" l="1"/>
  <c r="AB162" i="40" s="1"/>
  <c r="AB16" i="39"/>
  <c r="AB54" i="39" s="1"/>
  <c r="AB55" i="39" s="1"/>
  <c r="AB47" i="39"/>
  <c r="AB18" i="39"/>
  <c r="AB17" i="39" l="1"/>
  <c r="AB56" i="39"/>
  <c r="AB57" i="39" s="1"/>
  <c r="AB19" i="39"/>
  <c r="AB20" i="39" s="1"/>
  <c r="AB38" i="39" l="1"/>
  <c r="AB61" i="6"/>
  <c r="AB21" i="39"/>
  <c r="AB60" i="6" s="1"/>
  <c r="AB62" i="6" s="1"/>
  <c r="AB6" i="7" l="1"/>
  <c r="AB9" i="9"/>
  <c r="AB6" i="13" s="1"/>
  <c r="AB70" i="6"/>
  <c r="AB63" i="6"/>
  <c r="AB64" i="6"/>
  <c r="AB75" i="6" l="1"/>
  <c r="AB71" i="6"/>
  <c r="AB65" i="6"/>
  <c r="AB99" i="6" l="1"/>
  <c r="AB90" i="6" s="1"/>
  <c r="AB7" i="7"/>
  <c r="AB11" i="9"/>
  <c r="AB7" i="13" s="1"/>
  <c r="AB78" i="6"/>
  <c r="AB21" i="7" l="1"/>
  <c r="AB25" i="9"/>
  <c r="AB10" i="7"/>
  <c r="AB14" i="9"/>
  <c r="AB95" i="6"/>
  <c r="AB101" i="6" l="1"/>
  <c r="AB103" i="6"/>
  <c r="AB21" i="13"/>
  <c r="AB10" i="13"/>
  <c r="AB102" i="6" l="1"/>
  <c r="AB105" i="6" s="1"/>
  <c r="AB104" i="6"/>
  <c r="AB106" i="6" s="1"/>
  <c r="AB107" i="6" s="1"/>
  <c r="AB91" i="6" s="1"/>
  <c r="AB26" i="9" l="1"/>
  <c r="AB22" i="7"/>
  <c r="AB89" i="6"/>
  <c r="AB28" i="9" l="1"/>
  <c r="AB24" i="13" s="1"/>
  <c r="AB20" i="7"/>
  <c r="AB93" i="6"/>
  <c r="AB22" i="13"/>
  <c r="AB20" i="13" s="1"/>
  <c r="AB24" i="9"/>
  <c r="AB25" i="7" l="1"/>
  <c r="AB30" i="9"/>
  <c r="AB96" i="6"/>
  <c r="AB27" i="7" l="1"/>
  <c r="AC111" i="6"/>
  <c r="AB26" i="13"/>
  <c r="AB32" i="9"/>
  <c r="AB28" i="13" s="1"/>
  <c r="AA31" i="13" l="1"/>
  <c r="AC152" i="33"/>
  <c r="AC197" i="33"/>
  <c r="AC39" i="68"/>
  <c r="AC139" i="33"/>
  <c r="AC38" i="68"/>
  <c r="AC182" i="33"/>
  <c r="AC181" i="33"/>
  <c r="AC83" i="33"/>
  <c r="AC137" i="33"/>
  <c r="AC136" i="33"/>
  <c r="AC81" i="33"/>
  <c r="AC183" i="33"/>
  <c r="AC20" i="68"/>
  <c r="AC198" i="33"/>
  <c r="AC16" i="68"/>
  <c r="AC41" i="68"/>
  <c r="AC180" i="33"/>
  <c r="AC193" i="33"/>
  <c r="AC53" i="68"/>
  <c r="AC24" i="8"/>
  <c r="AC87" i="33"/>
  <c r="AC146" i="33"/>
  <c r="AC15" i="68"/>
  <c r="AC156" i="33"/>
  <c r="AC39" i="8"/>
  <c r="AC69" i="68"/>
  <c r="AC29" i="68"/>
  <c r="AC184" i="33"/>
  <c r="AC54" i="68"/>
  <c r="AC191" i="33"/>
  <c r="AC75" i="68"/>
  <c r="AC30" i="68"/>
  <c r="AC185" i="33"/>
  <c r="AC190" i="33"/>
  <c r="AC90" i="33"/>
  <c r="AC178" i="33"/>
  <c r="AC37" i="8"/>
  <c r="AC155" i="33"/>
  <c r="AC153" i="33"/>
  <c r="AC141" i="33"/>
  <c r="AC26" i="8"/>
  <c r="AC157" i="33"/>
  <c r="AC85" i="33"/>
  <c r="AC160" i="33"/>
  <c r="AC147" i="6"/>
  <c r="AC86" i="33"/>
  <c r="AC140" i="33"/>
  <c r="AC18" i="8"/>
  <c r="AC67" i="8"/>
  <c r="AC17" i="8"/>
  <c r="AC32" i="68"/>
  <c r="AC40" i="68"/>
  <c r="AC115" i="6"/>
  <c r="AB16" i="67" s="1"/>
  <c r="AC199" i="33"/>
  <c r="AC77" i="68"/>
  <c r="AC61" i="8"/>
  <c r="AC92" i="33"/>
  <c r="AC84" i="33"/>
  <c r="AC51" i="8"/>
  <c r="AC70" i="33"/>
  <c r="AC52" i="68"/>
  <c r="AC91" i="33"/>
  <c r="AC151" i="33"/>
  <c r="AC19" i="68"/>
  <c r="AC55" i="68"/>
  <c r="AC59" i="68"/>
  <c r="AC64" i="8"/>
  <c r="AC36" i="68"/>
  <c r="AC38" i="8"/>
  <c r="AC74" i="6"/>
  <c r="AC10" i="9" s="1"/>
  <c r="AC176" i="33"/>
  <c r="AC22" i="68"/>
  <c r="AC148" i="33"/>
  <c r="AC186" i="33"/>
  <c r="AC144" i="33"/>
  <c r="AC145" i="33"/>
  <c r="AC70" i="68"/>
  <c r="AC27" i="8"/>
  <c r="AC68" i="68"/>
  <c r="AC16" i="8"/>
  <c r="AC36" i="8"/>
  <c r="AC18" i="68"/>
  <c r="AC84" i="6"/>
  <c r="AC26" i="68"/>
  <c r="AC81" i="68"/>
  <c r="AC33" i="68"/>
  <c r="AC49" i="8"/>
  <c r="AC60" i="68"/>
  <c r="AC35" i="8"/>
  <c r="AC66" i="68"/>
  <c r="AC64" i="68"/>
  <c r="AC65" i="68"/>
  <c r="AC71" i="68"/>
  <c r="AC34" i="68"/>
  <c r="AC52" i="8"/>
  <c r="AC35" i="68"/>
  <c r="AC60" i="8"/>
  <c r="AC54" i="8"/>
  <c r="AC175" i="33"/>
  <c r="AC154" i="33"/>
  <c r="AC28" i="8"/>
  <c r="AC56" i="68"/>
  <c r="AC77" i="6"/>
  <c r="AC143" i="33"/>
  <c r="AC27" i="68"/>
  <c r="AC62" i="68"/>
  <c r="AC158" i="33"/>
  <c r="AC192" i="33"/>
  <c r="AC188" i="33"/>
  <c r="AC88" i="33"/>
  <c r="AC161" i="33"/>
  <c r="AB6" i="67"/>
  <c r="AB9" i="67" s="1"/>
  <c r="AC28" i="68"/>
  <c r="AC72" i="33"/>
  <c r="AC71" i="33"/>
  <c r="AC63" i="8"/>
  <c r="AC25" i="8"/>
  <c r="AC23" i="68"/>
  <c r="AC141" i="6"/>
  <c r="AC46" i="8"/>
  <c r="AC76" i="68"/>
  <c r="AC21" i="68"/>
  <c r="AC76" i="6"/>
  <c r="AC93" i="33"/>
  <c r="AC47" i="8"/>
  <c r="AC67" i="68"/>
  <c r="AC187" i="33"/>
  <c r="AC189" i="33"/>
  <c r="AC73" i="68"/>
  <c r="AC24" i="68"/>
  <c r="AC58" i="68"/>
  <c r="AC80" i="68"/>
  <c r="AC194" i="33"/>
  <c r="AC66" i="8"/>
  <c r="AC69" i="33"/>
  <c r="AC31" i="68"/>
  <c r="AC177" i="33"/>
  <c r="AC147" i="33"/>
  <c r="AC72" i="68"/>
  <c r="AC17" i="68"/>
  <c r="AC48" i="8"/>
  <c r="AC55" i="8" s="1"/>
  <c r="AC42" i="68"/>
  <c r="AC82" i="33"/>
  <c r="AC79" i="68"/>
  <c r="AC138" i="33"/>
  <c r="AC50" i="8"/>
  <c r="AC19" i="8"/>
  <c r="AC78" i="68"/>
  <c r="AC62" i="8"/>
  <c r="AC73" i="33"/>
  <c r="AC80" i="33"/>
  <c r="AC142" i="33"/>
  <c r="AC74" i="68"/>
  <c r="AC159" i="33"/>
  <c r="AC61" i="68"/>
  <c r="AC37" i="68"/>
  <c r="AC68" i="33"/>
  <c r="AC179" i="33"/>
  <c r="AC195" i="33"/>
  <c r="AC149" i="33"/>
  <c r="AC14" i="68"/>
  <c r="AC196" i="33"/>
  <c r="AC25" i="68"/>
  <c r="AC135" i="6"/>
  <c r="AC89" i="33"/>
  <c r="AC63" i="68"/>
  <c r="AC200" i="33"/>
  <c r="AC57" i="68"/>
  <c r="AC150" i="33"/>
  <c r="AC43" i="68"/>
  <c r="AC116" i="6"/>
  <c r="AC77" i="8" s="1"/>
  <c r="AC88" i="6"/>
  <c r="AC112" i="6"/>
  <c r="AB17" i="67" s="1"/>
  <c r="AC34" i="8" l="1"/>
  <c r="AC33" i="8" s="1"/>
  <c r="AC44" i="68"/>
  <c r="AC82" i="68"/>
  <c r="AC27" i="33"/>
  <c r="AB10" i="67"/>
  <c r="AC14" i="38"/>
  <c r="AC148" i="6"/>
  <c r="AC19" i="33"/>
  <c r="AC136" i="6"/>
  <c r="AB7" i="67"/>
  <c r="AC10" i="38"/>
  <c r="AC45" i="8"/>
  <c r="AC44" i="8" s="1"/>
  <c r="AC15" i="8"/>
  <c r="AC14" i="8" s="1"/>
  <c r="AC23" i="8"/>
  <c r="AC22" i="8" s="1"/>
  <c r="AC8" i="7"/>
  <c r="AC12" i="9"/>
  <c r="AC8" i="13" s="1"/>
  <c r="AC12" i="38"/>
  <c r="AC142" i="6"/>
  <c r="AC23" i="33"/>
  <c r="AB8" i="67"/>
  <c r="AC9" i="7"/>
  <c r="AC13" i="9"/>
  <c r="AC9" i="13" s="1"/>
  <c r="AC16" i="7"/>
  <c r="AC20" i="9"/>
  <c r="AC16" i="13" s="1"/>
  <c r="AC80" i="8"/>
  <c r="AC92" i="6" s="1"/>
  <c r="AC16" i="38" l="1"/>
  <c r="AC20" i="38" s="1"/>
  <c r="AC28" i="33"/>
  <c r="AC15" i="38"/>
  <c r="AC23" i="7"/>
  <c r="AC27" i="9"/>
  <c r="AC23" i="13" s="1"/>
  <c r="AC11" i="38"/>
  <c r="AC20" i="33"/>
  <c r="AC17" i="38"/>
  <c r="AC83" i="68"/>
  <c r="AC132" i="6" s="1"/>
  <c r="AC131" i="6"/>
  <c r="AC13" i="38"/>
  <c r="AC24" i="33"/>
  <c r="AC45" i="68"/>
  <c r="AC128" i="6"/>
  <c r="AC129" i="6" l="1"/>
  <c r="AC31" i="6" s="1"/>
  <c r="AC32" i="6" s="1"/>
  <c r="AC72" i="8" s="1"/>
  <c r="AC73" i="8" s="1"/>
  <c r="AC74" i="8" s="1"/>
  <c r="AC65" i="8" s="1"/>
  <c r="AB13" i="67" s="1"/>
  <c r="AC85" i="68"/>
  <c r="AC90" i="38"/>
  <c r="AC42" i="38"/>
  <c r="AC66" i="38"/>
  <c r="AC21" i="38"/>
  <c r="AC67" i="38" l="1"/>
  <c r="AC43" i="38"/>
  <c r="AC91" i="38"/>
  <c r="AC22" i="38"/>
  <c r="AC44" i="38" l="1"/>
  <c r="AC23" i="38"/>
  <c r="AC68" i="38"/>
  <c r="AC92" i="38"/>
  <c r="AC69" i="38" l="1"/>
  <c r="AC24" i="38"/>
  <c r="AC45" i="38"/>
  <c r="AC93" i="38"/>
  <c r="AC94" i="38" l="1"/>
  <c r="AC25" i="38"/>
  <c r="AC46" i="38"/>
  <c r="AC70" i="38"/>
  <c r="AC95" i="38" l="1"/>
  <c r="AC71" i="38"/>
  <c r="AC47" i="38"/>
  <c r="AC26" i="38"/>
  <c r="AC48" i="38" l="1"/>
  <c r="AC72" i="38"/>
  <c r="AC96" i="38"/>
  <c r="AC27" i="38"/>
  <c r="AC97" i="38" l="1"/>
  <c r="AC49" i="38"/>
  <c r="AC73" i="38"/>
  <c r="AC28" i="38"/>
  <c r="AC98" i="38" l="1"/>
  <c r="AC74" i="38"/>
  <c r="AC50" i="38"/>
  <c r="AC29" i="38"/>
  <c r="AC99" i="38" l="1"/>
  <c r="AC30" i="38"/>
  <c r="AC51" i="38"/>
  <c r="AC75" i="38"/>
  <c r="AC52" i="38" l="1"/>
  <c r="AC31" i="38"/>
  <c r="AC76" i="38"/>
  <c r="AC100" i="38"/>
  <c r="AC101" i="38" l="1"/>
  <c r="AC53" i="38"/>
  <c r="AC32" i="38"/>
  <c r="AC77" i="38"/>
  <c r="AC54" i="38" l="1"/>
  <c r="AC102" i="38"/>
  <c r="AC33" i="38"/>
  <c r="AC78" i="38"/>
  <c r="AC34" i="38" l="1"/>
  <c r="AC55" i="38"/>
  <c r="AC103" i="38"/>
  <c r="AC79" i="38"/>
  <c r="AC56" i="38" l="1"/>
  <c r="AC104" i="38"/>
  <c r="AC35" i="38"/>
  <c r="AC80" i="38"/>
  <c r="AC81" i="38" l="1"/>
  <c r="AC105" i="38"/>
  <c r="AC57" i="38"/>
  <c r="AC36" i="38"/>
  <c r="AC37" i="38" l="1"/>
  <c r="AC106" i="38"/>
  <c r="AC82" i="38"/>
  <c r="AC58" i="38"/>
  <c r="AC38" i="38" l="1"/>
  <c r="AC59" i="38"/>
  <c r="AC83" i="38"/>
  <c r="AC107" i="38"/>
  <c r="AC108" i="38" l="1"/>
  <c r="AC39" i="38"/>
  <c r="AC84" i="38"/>
  <c r="AC60" i="38"/>
  <c r="AC85" i="38" l="1"/>
  <c r="AC61" i="38"/>
  <c r="AC109" i="38"/>
  <c r="AC111" i="38" l="1"/>
  <c r="AC149" i="6" s="1"/>
  <c r="AC110" i="38"/>
  <c r="AC63" i="38"/>
  <c r="AC137" i="6" s="1"/>
  <c r="AC62" i="38"/>
  <c r="AC86" i="38"/>
  <c r="AC87" i="38"/>
  <c r="AC143" i="6" s="1"/>
  <c r="AC25" i="33" l="1"/>
  <c r="AC144" i="6"/>
  <c r="AC26" i="33" s="1"/>
  <c r="AC145" i="6"/>
  <c r="AC146" i="6" s="1"/>
  <c r="AC21" i="33"/>
  <c r="AC138" i="6"/>
  <c r="AC22" i="33" s="1"/>
  <c r="AC139" i="6"/>
  <c r="AC29" i="33"/>
  <c r="AC150" i="6"/>
  <c r="AC30" i="33" s="1"/>
  <c r="AC153" i="6"/>
  <c r="AC151" i="6"/>
  <c r="AC152" i="6" s="1"/>
  <c r="AC140" i="6" l="1"/>
  <c r="AC31" i="33"/>
  <c r="AC10" i="68"/>
  <c r="AC13" i="68" s="1"/>
  <c r="AC154" i="6"/>
  <c r="AG128" i="33" l="1"/>
  <c r="AC128" i="33"/>
  <c r="AE128" i="33"/>
  <c r="AF128" i="33"/>
  <c r="AD128" i="33"/>
  <c r="AC94" i="33"/>
  <c r="AC162" i="33"/>
  <c r="AC167" i="33" s="1"/>
  <c r="AC11" i="68"/>
  <c r="AC12" i="68" s="1"/>
  <c r="AC127" i="6" s="1"/>
  <c r="AC155" i="6"/>
  <c r="AC32" i="33"/>
  <c r="AC74" i="33" s="1"/>
  <c r="AC108" i="33" s="1"/>
  <c r="AC15" i="39"/>
  <c r="AC75" i="33" l="1"/>
  <c r="AC76" i="33"/>
  <c r="AC110" i="33" s="1"/>
  <c r="AC79" i="33"/>
  <c r="AC113" i="33" s="1"/>
  <c r="AC77" i="33"/>
  <c r="AC111" i="33" s="1"/>
  <c r="AC78" i="33"/>
  <c r="AC112" i="33" s="1"/>
  <c r="AC157" i="6"/>
  <c r="AC49" i="68"/>
  <c r="AC33" i="33"/>
  <c r="AC156" i="6"/>
  <c r="AC70" i="8" l="1"/>
  <c r="AC34" i="33"/>
  <c r="AC158" i="6"/>
  <c r="AC50" i="68"/>
  <c r="AC130" i="6" s="1"/>
  <c r="AC87" i="6" s="1"/>
  <c r="AC67" i="6"/>
  <c r="AC66" i="6" s="1"/>
  <c r="AC68" i="6" s="1"/>
  <c r="AC69" i="6" s="1"/>
  <c r="AC48" i="68"/>
  <c r="AC35" i="33"/>
  <c r="AC109" i="33"/>
  <c r="AC99" i="33"/>
  <c r="AC229" i="33"/>
  <c r="AC225" i="33"/>
  <c r="AC259" i="33" s="1"/>
  <c r="AC224" i="33"/>
  <c r="AC258" i="33" s="1"/>
  <c r="AC222" i="33"/>
  <c r="AC256" i="33" s="1"/>
  <c r="AC232" i="33"/>
  <c r="AC217" i="33"/>
  <c r="AC220" i="33"/>
  <c r="AC254" i="33" s="1"/>
  <c r="AC233" i="33"/>
  <c r="AC230" i="33"/>
  <c r="AC238" i="33"/>
  <c r="AC240" i="33"/>
  <c r="AC228" i="33"/>
  <c r="AC221" i="33"/>
  <c r="AC255" i="33" s="1"/>
  <c r="AC234" i="33"/>
  <c r="AC219" i="33"/>
  <c r="AC231" i="33"/>
  <c r="AC214" i="33"/>
  <c r="AC235" i="33"/>
  <c r="AC218" i="33"/>
  <c r="AC237" i="33"/>
  <c r="AC227" i="33"/>
  <c r="AC215" i="33"/>
  <c r="AC216" i="33"/>
  <c r="AC226" i="33"/>
  <c r="AC236" i="33"/>
  <c r="AC239" i="33"/>
  <c r="AC223" i="33"/>
  <c r="AC257" i="33" s="1"/>
  <c r="AC245" i="33" l="1"/>
  <c r="AC29" i="9"/>
  <c r="AC25" i="13" s="1"/>
  <c r="AC19" i="7"/>
  <c r="AC24" i="7"/>
  <c r="AC23" i="9"/>
  <c r="AC19" i="13" s="1"/>
  <c r="AC51" i="68"/>
  <c r="AB11" i="67"/>
  <c r="AD274" i="33"/>
  <c r="AC274" i="33"/>
  <c r="AG274" i="33"/>
  <c r="AF274" i="33"/>
  <c r="AE274" i="33"/>
  <c r="AC201" i="33"/>
  <c r="AC206" i="33" s="1"/>
  <c r="AC36" i="33"/>
  <c r="AC159" i="6"/>
  <c r="AC160" i="6"/>
  <c r="AC161" i="6" s="1"/>
  <c r="AC121" i="6" s="1"/>
  <c r="AC123" i="6" s="1"/>
  <c r="AC171" i="33"/>
  <c r="AC71" i="8"/>
  <c r="AC68" i="8"/>
  <c r="AC59" i="33" l="1"/>
  <c r="AC37" i="33"/>
  <c r="AC124" i="6"/>
  <c r="AC122" i="6"/>
  <c r="AC33" i="6"/>
  <c r="AC58" i="33"/>
  <c r="AB14" i="67" l="1"/>
  <c r="AC34" i="6"/>
  <c r="AC13" i="39"/>
  <c r="AC33" i="39" s="1"/>
  <c r="AC35" i="6"/>
  <c r="AC37" i="6" s="1"/>
  <c r="AC40" i="46"/>
  <c r="AC69" i="8"/>
  <c r="AC59" i="8" s="1"/>
  <c r="AC58" i="8" s="1"/>
  <c r="AC81" i="8" s="1"/>
  <c r="AC81" i="6" s="1"/>
  <c r="AC40" i="62"/>
  <c r="AC39" i="62"/>
  <c r="AC39" i="46"/>
  <c r="AB12" i="67"/>
  <c r="AC86" i="6" l="1"/>
  <c r="AC38" i="6"/>
  <c r="AE191" i="6"/>
  <c r="AD191" i="6"/>
  <c r="AC191" i="6"/>
  <c r="AI191" i="6"/>
  <c r="AG191" i="6"/>
  <c r="AF191" i="6"/>
  <c r="AC17" i="9"/>
  <c r="AC13" i="13" s="1"/>
  <c r="AC13" i="7"/>
  <c r="AC85" i="6" s="1"/>
  <c r="AC8" i="9"/>
  <c r="AC5" i="13" s="1"/>
  <c r="AC5" i="7"/>
  <c r="AC36" i="6"/>
  <c r="AC17" i="7" l="1"/>
  <c r="AC21" i="9"/>
  <c r="AC17" i="13" s="1"/>
  <c r="AC83" i="6"/>
  <c r="AC55" i="6"/>
  <c r="AH191" i="6"/>
  <c r="AJ191" i="6" s="1"/>
  <c r="AC196" i="6"/>
  <c r="AC22" i="9"/>
  <c r="AC18" i="13" s="1"/>
  <c r="AC18" i="7"/>
  <c r="AC56" i="6" l="1"/>
  <c r="AC57" i="6" s="1"/>
  <c r="AC41" i="39"/>
  <c r="AC19" i="9"/>
  <c r="AC15" i="13" s="1"/>
  <c r="AC82" i="6"/>
  <c r="AC15" i="7"/>
  <c r="AC100" i="6" l="1"/>
  <c r="AC18" i="9"/>
  <c r="AC14" i="13" s="1"/>
  <c r="AC14" i="7"/>
  <c r="AC42" i="39"/>
  <c r="AC58" i="6"/>
  <c r="AC117" i="40" l="1"/>
  <c r="AC43" i="39"/>
  <c r="AC171" i="40"/>
  <c r="AC140" i="40"/>
  <c r="AC141" i="40" s="1"/>
  <c r="AC142" i="40" s="1"/>
  <c r="AC152" i="40"/>
  <c r="AC59" i="6"/>
  <c r="AC144" i="40" l="1"/>
  <c r="AC143" i="40"/>
  <c r="AC173" i="40"/>
  <c r="AC188" i="40" s="1"/>
  <c r="AC177" i="40"/>
  <c r="AC172" i="40"/>
  <c r="AC174" i="40" s="1"/>
  <c r="AC163" i="40"/>
  <c r="AC164" i="40"/>
  <c r="AC119" i="40"/>
  <c r="AC127" i="40" s="1"/>
  <c r="AC118" i="40"/>
  <c r="AC126" i="40" s="1"/>
  <c r="AC120" i="40" l="1"/>
  <c r="AC145" i="40"/>
  <c r="AC146" i="40" s="1"/>
  <c r="AC175" i="40"/>
  <c r="AC176" i="40" s="1"/>
  <c r="AC187" i="40"/>
  <c r="AC189" i="40" s="1"/>
  <c r="AC35" i="39" s="1"/>
  <c r="AC123" i="40"/>
  <c r="AC128" i="40"/>
  <c r="AC46" i="39" s="1"/>
  <c r="AC124" i="40"/>
  <c r="AC121" i="40"/>
  <c r="AC179" i="40"/>
  <c r="AC191" i="40" s="1"/>
  <c r="AC178" i="40"/>
  <c r="AC183" i="40" s="1"/>
  <c r="AC122" i="40" l="1"/>
  <c r="AC125" i="40"/>
  <c r="AC41" i="33" s="1"/>
  <c r="AC42" i="33" s="1"/>
  <c r="AC147" i="40"/>
  <c r="AC184" i="40"/>
  <c r="AC185" i="40" s="1"/>
  <c r="AC181" i="40"/>
  <c r="AC190" i="40"/>
  <c r="AC192" i="40" s="1"/>
  <c r="AC36" i="39" s="1"/>
  <c r="AC45" i="39"/>
  <c r="AC40" i="33"/>
  <c r="AC39" i="6"/>
  <c r="AC180" i="40"/>
  <c r="AC154" i="40"/>
  <c r="AC153" i="40"/>
  <c r="AC44" i="39" l="1"/>
  <c r="AC50" i="39" s="1"/>
  <c r="AC51" i="39" s="1"/>
  <c r="AC53" i="39" s="1"/>
  <c r="AC182" i="40"/>
  <c r="AC186" i="40" s="1"/>
  <c r="AC43" i="33"/>
  <c r="AC47" i="33"/>
  <c r="AC48" i="33" s="1"/>
  <c r="AC49" i="33" s="1"/>
  <c r="AC51" i="33" s="1"/>
  <c r="AC52" i="33" s="1"/>
  <c r="AC53" i="33" s="1"/>
  <c r="AC54" i="33" s="1"/>
  <c r="AC40" i="6"/>
  <c r="AC41" i="6"/>
  <c r="AC42" i="6" s="1"/>
  <c r="AC43" i="6" s="1"/>
  <c r="AC158" i="40"/>
  <c r="AC156" i="40"/>
  <c r="AC155" i="40"/>
  <c r="AC159" i="40"/>
  <c r="AC34" i="39" l="1"/>
  <c r="AC37" i="39" s="1"/>
  <c r="AC193" i="40"/>
  <c r="AC44" i="6"/>
  <c r="AC48" i="6" s="1"/>
  <c r="AC14" i="39"/>
  <c r="AC47" i="39"/>
  <c r="AC160" i="40"/>
  <c r="AC157" i="40"/>
  <c r="AC161" i="40" l="1"/>
  <c r="AC162" i="40" s="1"/>
  <c r="AC52" i="39"/>
  <c r="AC16" i="39"/>
  <c r="AC50" i="6"/>
  <c r="AC49" i="6"/>
  <c r="AC51" i="6" s="1"/>
  <c r="AC52" i="6" s="1"/>
  <c r="AC18" i="39" l="1"/>
  <c r="AC17" i="39"/>
  <c r="AC54" i="39"/>
  <c r="AC55" i="39" s="1"/>
  <c r="AC56" i="39"/>
  <c r="AC19" i="39" l="1"/>
  <c r="AC20" i="39" s="1"/>
  <c r="AC21" i="39" s="1"/>
  <c r="AC60" i="6" s="1"/>
  <c r="AC62" i="6" s="1"/>
  <c r="AC38" i="39"/>
  <c r="AC57" i="39"/>
  <c r="AC61" i="6" l="1"/>
  <c r="AC63" i="6"/>
  <c r="AC6" i="7"/>
  <c r="AC70" i="6"/>
  <c r="AC9" i="9"/>
  <c r="AC6" i="13" s="1"/>
  <c r="AC64" i="6"/>
  <c r="AC75" i="6" l="1"/>
  <c r="AC71" i="6"/>
  <c r="AC65" i="6"/>
  <c r="AC7" i="7" l="1"/>
  <c r="AC99" i="6"/>
  <c r="AC90" i="6" s="1"/>
  <c r="AC11" i="9"/>
  <c r="AC7" i="13" s="1"/>
  <c r="AC78" i="6"/>
  <c r="AC25" i="9" l="1"/>
  <c r="AC21" i="7"/>
  <c r="AC10" i="7"/>
  <c r="AC14" i="9"/>
  <c r="AC95" i="6"/>
  <c r="AC103" i="6" l="1"/>
  <c r="AC101" i="6"/>
  <c r="AC10" i="13"/>
  <c r="AC21" i="13"/>
  <c r="AC102" i="6" l="1"/>
  <c r="AC105" i="6" s="1"/>
  <c r="AC104" i="6"/>
  <c r="AC106" i="6" s="1"/>
  <c r="AC107" i="6" s="1"/>
  <c r="AC91" i="6" s="1"/>
  <c r="AC22" i="7" l="1"/>
  <c r="AC26" i="9"/>
  <c r="AC89" i="6"/>
  <c r="AC20" i="7" l="1"/>
  <c r="AC28" i="9"/>
  <c r="AC24" i="13" s="1"/>
  <c r="AC93" i="6"/>
  <c r="AC22" i="13"/>
  <c r="AC20" i="13" s="1"/>
  <c r="AC24" i="9"/>
  <c r="AC30" i="9" l="1"/>
  <c r="AC25" i="7"/>
  <c r="AC96" i="6"/>
  <c r="AC27" i="7" l="1"/>
  <c r="AD111" i="6"/>
  <c r="AC26" i="13"/>
  <c r="AC32" i="9"/>
  <c r="AC28" i="13" s="1"/>
  <c r="AD18" i="68" l="1"/>
  <c r="AD159" i="33"/>
  <c r="AD74" i="68"/>
  <c r="AD54" i="8"/>
  <c r="AD27" i="68"/>
  <c r="AD90" i="33"/>
  <c r="AD71" i="33"/>
  <c r="AD19" i="68"/>
  <c r="AD84" i="6"/>
  <c r="AD66" i="68"/>
  <c r="AD72" i="68"/>
  <c r="AD179" i="33"/>
  <c r="AD51" i="8"/>
  <c r="AD157" i="33"/>
  <c r="AD177" i="33"/>
  <c r="AD63" i="68"/>
  <c r="AD83" i="33"/>
  <c r="AD138" i="33"/>
  <c r="AD53" i="68"/>
  <c r="AD175" i="33"/>
  <c r="AD81" i="33"/>
  <c r="AD64" i="8"/>
  <c r="AD198" i="33"/>
  <c r="AD153" i="33"/>
  <c r="AD58" i="68"/>
  <c r="AD69" i="33"/>
  <c r="AD75" i="68"/>
  <c r="AD92" i="33"/>
  <c r="AD32" i="68"/>
  <c r="AD88" i="33"/>
  <c r="AD84" i="33"/>
  <c r="AD56" i="68"/>
  <c r="AD16" i="68"/>
  <c r="AD72" i="33"/>
  <c r="AD197" i="33"/>
  <c r="AD79" i="68"/>
  <c r="AD191" i="33"/>
  <c r="AD35" i="68"/>
  <c r="AD73" i="33"/>
  <c r="AD158" i="33"/>
  <c r="AD143" i="33"/>
  <c r="AD16" i="8"/>
  <c r="AD135" i="6"/>
  <c r="AD18" i="8"/>
  <c r="AD80" i="33"/>
  <c r="AD28" i="68"/>
  <c r="AD20" i="68"/>
  <c r="AD65" i="68"/>
  <c r="AD87" i="33"/>
  <c r="AD155" i="33"/>
  <c r="AD190" i="33"/>
  <c r="AD49" i="8"/>
  <c r="AD43" i="68"/>
  <c r="AD194" i="33"/>
  <c r="AD180" i="33"/>
  <c r="AD24" i="68"/>
  <c r="AD178" i="33"/>
  <c r="AD186" i="33"/>
  <c r="AD142" i="33"/>
  <c r="AD147" i="6"/>
  <c r="AD161" i="33"/>
  <c r="AD67" i="8"/>
  <c r="AD86" i="33"/>
  <c r="AD35" i="8"/>
  <c r="AD40" i="68"/>
  <c r="AD152" i="33"/>
  <c r="AD15" i="68"/>
  <c r="AD66" i="8"/>
  <c r="AD52" i="68"/>
  <c r="AD139" i="33"/>
  <c r="AD187" i="33"/>
  <c r="AD145" i="33"/>
  <c r="AD57" i="68"/>
  <c r="AD68" i="33"/>
  <c r="AD148" i="33"/>
  <c r="AD19" i="8"/>
  <c r="AD41" i="68"/>
  <c r="AD201" i="33"/>
  <c r="AD23" i="68"/>
  <c r="AD141" i="6"/>
  <c r="AD184" i="33"/>
  <c r="AD27" i="8"/>
  <c r="AD61" i="68"/>
  <c r="AD70" i="33"/>
  <c r="AD60" i="68"/>
  <c r="AD91" i="33"/>
  <c r="AD146" i="33"/>
  <c r="AD34" i="68"/>
  <c r="AD76" i="68"/>
  <c r="AD149" i="33"/>
  <c r="AD81" i="68"/>
  <c r="AD150" i="33"/>
  <c r="AD183" i="33"/>
  <c r="AD77" i="6"/>
  <c r="AD80" i="68"/>
  <c r="AD29" i="68"/>
  <c r="AD17" i="68"/>
  <c r="AD38" i="8"/>
  <c r="AD30" i="68"/>
  <c r="AD26" i="8"/>
  <c r="AD25" i="68"/>
  <c r="AD26" i="68"/>
  <c r="AD162" i="33"/>
  <c r="AD156" i="33"/>
  <c r="AD59" i="68"/>
  <c r="AD55" i="68"/>
  <c r="AD154" i="33"/>
  <c r="AD68" i="68"/>
  <c r="AD196" i="33"/>
  <c r="AD14" i="68"/>
  <c r="AD22" i="68"/>
  <c r="AD61" i="8"/>
  <c r="AD33" i="68"/>
  <c r="AD94" i="33"/>
  <c r="AD39" i="68"/>
  <c r="AD54" i="68"/>
  <c r="AD47" i="8"/>
  <c r="AD63" i="8"/>
  <c r="AD89" i="33"/>
  <c r="AD36" i="68"/>
  <c r="AD64" i="68"/>
  <c r="AC6" i="67"/>
  <c r="AC9" i="67" s="1"/>
  <c r="AD151" i="33"/>
  <c r="AD144" i="33"/>
  <c r="AD25" i="8"/>
  <c r="AD181" i="33"/>
  <c r="AD82" i="33"/>
  <c r="AD93" i="33"/>
  <c r="AD140" i="33"/>
  <c r="AD182" i="33"/>
  <c r="AD160" i="33"/>
  <c r="AD50" i="8"/>
  <c r="AD147" i="33"/>
  <c r="AD67" i="68"/>
  <c r="AD136" i="33"/>
  <c r="AD176" i="33"/>
  <c r="AD78" i="68"/>
  <c r="AD141" i="33"/>
  <c r="AD77" i="68"/>
  <c r="AD17" i="8"/>
  <c r="AD195" i="33"/>
  <c r="AD24" i="8"/>
  <c r="AD28" i="8"/>
  <c r="AD70" i="68"/>
  <c r="AD62" i="68"/>
  <c r="AD37" i="68"/>
  <c r="AD189" i="33"/>
  <c r="AD200" i="33"/>
  <c r="AD60" i="8"/>
  <c r="AD71" i="68"/>
  <c r="AD85" i="33"/>
  <c r="AD115" i="6"/>
  <c r="AC16" i="67" s="1"/>
  <c r="AD76" i="6"/>
  <c r="AD37" i="8"/>
  <c r="AD21" i="68"/>
  <c r="AD46" i="8"/>
  <c r="AD193" i="33"/>
  <c r="AD185" i="33"/>
  <c r="AD188" i="33"/>
  <c r="AD69" i="68"/>
  <c r="AD137" i="33"/>
  <c r="AD74" i="6"/>
  <c r="AD10" i="9" s="1"/>
  <c r="AD73" i="68"/>
  <c r="AD48" i="8"/>
  <c r="AD55" i="8" s="1"/>
  <c r="AD31" i="68"/>
  <c r="AD62" i="8"/>
  <c r="AD42" i="68"/>
  <c r="AD199" i="33"/>
  <c r="AD36" i="8"/>
  <c r="AD52" i="8"/>
  <c r="AD39" i="8"/>
  <c r="AD38" i="68"/>
  <c r="AD192" i="33"/>
  <c r="AD116" i="6"/>
  <c r="AD77" i="8" s="1"/>
  <c r="AD88" i="6"/>
  <c r="AD112" i="6"/>
  <c r="AC17" i="67" s="1"/>
  <c r="AD23" i="8" l="1"/>
  <c r="AD22" i="8" s="1"/>
  <c r="AD23" i="33"/>
  <c r="AD142" i="6"/>
  <c r="AC8" i="67"/>
  <c r="AD12" i="38"/>
  <c r="AD34" i="8"/>
  <c r="AD33" i="8" s="1"/>
  <c r="AC10" i="67"/>
  <c r="AD27" i="33"/>
  <c r="AD14" i="38"/>
  <c r="AD148" i="6"/>
  <c r="AD136" i="6"/>
  <c r="AC7" i="67"/>
  <c r="AD10" i="38"/>
  <c r="AD19" i="33"/>
  <c r="AD44" i="68"/>
  <c r="AD13" i="9"/>
  <c r="AD9" i="13" s="1"/>
  <c r="AD9" i="7"/>
  <c r="AD15" i="8"/>
  <c r="AD14" i="8" s="1"/>
  <c r="AD80" i="8"/>
  <c r="AD92" i="6" s="1"/>
  <c r="AD45" i="8"/>
  <c r="AD44" i="8" s="1"/>
  <c r="AD12" i="9"/>
  <c r="AD8" i="13" s="1"/>
  <c r="AD8" i="7"/>
  <c r="AD82" i="68"/>
  <c r="AD16" i="7"/>
  <c r="AD20" i="9"/>
  <c r="AD16" i="13" s="1"/>
  <c r="AD23" i="7" l="1"/>
  <c r="AD27" i="9"/>
  <c r="AD23" i="13" s="1"/>
  <c r="AD83" i="68"/>
  <c r="AD132" i="6" s="1"/>
  <c r="AD131" i="6"/>
  <c r="AD11" i="38"/>
  <c r="AD20" i="33"/>
  <c r="AD15" i="38"/>
  <c r="AD28" i="33"/>
  <c r="AD16" i="38"/>
  <c r="AD24" i="33"/>
  <c r="AD13" i="38"/>
  <c r="AD45" i="68"/>
  <c r="AD128" i="6"/>
  <c r="AD20" i="38" l="1"/>
  <c r="AD17" i="38"/>
  <c r="AD129" i="6"/>
  <c r="AD31" i="6" s="1"/>
  <c r="AD32" i="6" s="1"/>
  <c r="AD72" i="8" s="1"/>
  <c r="AD73" i="8" s="1"/>
  <c r="AD74" i="8" s="1"/>
  <c r="AD65" i="8" s="1"/>
  <c r="AC13" i="67" s="1"/>
  <c r="AD85" i="68"/>
  <c r="AD90" i="38" l="1"/>
  <c r="AD42" i="38"/>
  <c r="AD66" i="38"/>
  <c r="AD21" i="38"/>
  <c r="AD91" i="38" l="1"/>
  <c r="AD43" i="38"/>
  <c r="AD67" i="38"/>
  <c r="AD22" i="38"/>
  <c r="AD68" i="38" l="1"/>
  <c r="AD92" i="38"/>
  <c r="AD44" i="38"/>
  <c r="AD23" i="38"/>
  <c r="AD24" i="38" l="1"/>
  <c r="AD45" i="38"/>
  <c r="AD93" i="38"/>
  <c r="AD69" i="38"/>
  <c r="AD46" i="38" l="1"/>
  <c r="AD94" i="38"/>
  <c r="AD25" i="38"/>
  <c r="AD70" i="38"/>
  <c r="AD71" i="38" l="1"/>
  <c r="AD26" i="38"/>
  <c r="AD47" i="38"/>
  <c r="AD95" i="38"/>
  <c r="AD72" i="38" l="1"/>
  <c r="AD27" i="38"/>
  <c r="AD48" i="38"/>
  <c r="AD96" i="38"/>
  <c r="AD73" i="38" l="1"/>
  <c r="AD28" i="38"/>
  <c r="AD97" i="38"/>
  <c r="AD49" i="38"/>
  <c r="AD29" i="38" l="1"/>
  <c r="AD98" i="38"/>
  <c r="AD74" i="38"/>
  <c r="AD50" i="38"/>
  <c r="AD51" i="38" l="1"/>
  <c r="AD75" i="38"/>
  <c r="AD30" i="38"/>
  <c r="AD99" i="38"/>
  <c r="AD52" i="38" l="1"/>
  <c r="AD100" i="38"/>
  <c r="AD76" i="38"/>
  <c r="AD31" i="38"/>
  <c r="AD77" i="38" l="1"/>
  <c r="AD101" i="38"/>
  <c r="AD53" i="38"/>
  <c r="AD32" i="38"/>
  <c r="AD102" i="38" l="1"/>
  <c r="AD78" i="38"/>
  <c r="AD54" i="38"/>
  <c r="AD33" i="38"/>
  <c r="AD34" i="38" l="1"/>
  <c r="AD103" i="38"/>
  <c r="AD79" i="38"/>
  <c r="AD55" i="38"/>
  <c r="AD35" i="38" l="1"/>
  <c r="AD80" i="38"/>
  <c r="AD56" i="38"/>
  <c r="AD104" i="38"/>
  <c r="AD36" i="38" l="1"/>
  <c r="AD81" i="38"/>
  <c r="AD105" i="38"/>
  <c r="AD57" i="38"/>
  <c r="AD106" i="38" l="1"/>
  <c r="AD37" i="38"/>
  <c r="AD82" i="38"/>
  <c r="AD58" i="38"/>
  <c r="AD107" i="38" l="1"/>
  <c r="AD59" i="38"/>
  <c r="AD38" i="38"/>
  <c r="AD83" i="38"/>
  <c r="AD60" i="38" l="1"/>
  <c r="AD84" i="38"/>
  <c r="AD108" i="38"/>
  <c r="AD39" i="38"/>
  <c r="AD85" i="38" l="1"/>
  <c r="AD61" i="38"/>
  <c r="AD109" i="38"/>
  <c r="AD110" i="38" l="1"/>
  <c r="AD111" i="38"/>
  <c r="AD149" i="6" s="1"/>
  <c r="AD62" i="38"/>
  <c r="AD63" i="38"/>
  <c r="AD137" i="6" s="1"/>
  <c r="AD86" i="38"/>
  <c r="AD87" i="38"/>
  <c r="AD143" i="6" s="1"/>
  <c r="AD21" i="33" l="1"/>
  <c r="AD138" i="6"/>
  <c r="AD22" i="33" s="1"/>
  <c r="AD139" i="6"/>
  <c r="AD153" i="6"/>
  <c r="AD150" i="6"/>
  <c r="AD30" i="33" s="1"/>
  <c r="AD29" i="33"/>
  <c r="AD151" i="6"/>
  <c r="AD152" i="6" s="1"/>
  <c r="AD144" i="6"/>
  <c r="AD26" i="33" s="1"/>
  <c r="AD25" i="33"/>
  <c r="AD145" i="6"/>
  <c r="AD146" i="6" s="1"/>
  <c r="AD140" i="6" l="1"/>
  <c r="AD31" i="33"/>
  <c r="AD10" i="68"/>
  <c r="AD13" i="68" s="1"/>
  <c r="AD154" i="6"/>
  <c r="AG129" i="33" l="1"/>
  <c r="AF129" i="33"/>
  <c r="AE129" i="33"/>
  <c r="AD129" i="33"/>
  <c r="AD95" i="33"/>
  <c r="AD163" i="33"/>
  <c r="AD167" i="33" s="1"/>
  <c r="AD155" i="6"/>
  <c r="AD15" i="39"/>
  <c r="AD32" i="33"/>
  <c r="AD74" i="33" s="1"/>
  <c r="AD108" i="33" s="1"/>
  <c r="AD11" i="68"/>
  <c r="AD12" i="68" s="1"/>
  <c r="AD127" i="6" s="1"/>
  <c r="AD156" i="6" l="1"/>
  <c r="AD33" i="33"/>
  <c r="AD157" i="6"/>
  <c r="AD49" i="68"/>
  <c r="AD76" i="33"/>
  <c r="AD110" i="33" s="1"/>
  <c r="AD77" i="33"/>
  <c r="AD111" i="33" s="1"/>
  <c r="AD79" i="33"/>
  <c r="AD113" i="33" s="1"/>
  <c r="AD78" i="33"/>
  <c r="AD112" i="33" s="1"/>
  <c r="AD75" i="33"/>
  <c r="AD48" i="68" l="1"/>
  <c r="AD35" i="33"/>
  <c r="AD34" i="33"/>
  <c r="AD70" i="8"/>
  <c r="AD158" i="6"/>
  <c r="AD219" i="33"/>
  <c r="AD229" i="33"/>
  <c r="AD231" i="33"/>
  <c r="AD234" i="33"/>
  <c r="AD226" i="33"/>
  <c r="AD227" i="33"/>
  <c r="AD238" i="33"/>
  <c r="AD233" i="33"/>
  <c r="AD214" i="33"/>
  <c r="AD223" i="33"/>
  <c r="AD257" i="33" s="1"/>
  <c r="AD236" i="33"/>
  <c r="AD237" i="33"/>
  <c r="AD240" i="33"/>
  <c r="AD239" i="33"/>
  <c r="AD230" i="33"/>
  <c r="AD228" i="33"/>
  <c r="AD217" i="33"/>
  <c r="AD220" i="33"/>
  <c r="AD254" i="33" s="1"/>
  <c r="AD235" i="33"/>
  <c r="AD232" i="33"/>
  <c r="AD215" i="33"/>
  <c r="AD221" i="33"/>
  <c r="AD255" i="33" s="1"/>
  <c r="AD222" i="33"/>
  <c r="AD256" i="33" s="1"/>
  <c r="AD218" i="33"/>
  <c r="AD216" i="33"/>
  <c r="AD224" i="33"/>
  <c r="AD258" i="33" s="1"/>
  <c r="AD225" i="33"/>
  <c r="AD259" i="33" s="1"/>
  <c r="AD109" i="33"/>
  <c r="AD99" i="33"/>
  <c r="AD67" i="6"/>
  <c r="AD66" i="6" s="1"/>
  <c r="AD68" i="6" s="1"/>
  <c r="AD69" i="6" s="1"/>
  <c r="AD50" i="68"/>
  <c r="AD130" i="6" s="1"/>
  <c r="AD87" i="6" s="1"/>
  <c r="AD71" i="8" l="1"/>
  <c r="AD68" i="8"/>
  <c r="AD19" i="7"/>
  <c r="AD29" i="9"/>
  <c r="AD25" i="13" s="1"/>
  <c r="AD23" i="9"/>
  <c r="AD19" i="13" s="1"/>
  <c r="AD24" i="7"/>
  <c r="AD241" i="33"/>
  <c r="AD245" i="33" s="1"/>
  <c r="AE275" i="33"/>
  <c r="AF275" i="33"/>
  <c r="AG275" i="33"/>
  <c r="AD275" i="33"/>
  <c r="AD202" i="33"/>
  <c r="AD206" i="33" s="1"/>
  <c r="AD171" i="33"/>
  <c r="AD36" i="33"/>
  <c r="AD159" i="6"/>
  <c r="AD160" i="6"/>
  <c r="AD161" i="6" s="1"/>
  <c r="AD121" i="6" s="1"/>
  <c r="AD123" i="6" s="1"/>
  <c r="AC11" i="67"/>
  <c r="AD51" i="68"/>
  <c r="AD59" i="33" l="1"/>
  <c r="AD124" i="6"/>
  <c r="AD122" i="6"/>
  <c r="AD37" i="33"/>
  <c r="AD58" i="33"/>
  <c r="AC14" i="67" l="1"/>
  <c r="AD33" i="6"/>
  <c r="AD13" i="39" s="1"/>
  <c r="AD33" i="39" s="1"/>
  <c r="AD40" i="62"/>
  <c r="AD40" i="46"/>
  <c r="AD69" i="8"/>
  <c r="AD59" i="8" s="1"/>
  <c r="AD58" i="8" s="1"/>
  <c r="AD81" i="8" s="1"/>
  <c r="AD81" i="6" s="1"/>
  <c r="AD39" i="46"/>
  <c r="AD39" i="62"/>
  <c r="AC12" i="67"/>
  <c r="AD35" i="6" l="1"/>
  <c r="AD37" i="6" s="1"/>
  <c r="AD38" i="6" s="1"/>
  <c r="AD34" i="6"/>
  <c r="AD8" i="9" s="1"/>
  <c r="AD5" i="13" s="1"/>
  <c r="AG192" i="6"/>
  <c r="AE192" i="6"/>
  <c r="AD17" i="9"/>
  <c r="AD13" i="13" s="1"/>
  <c r="AI192" i="6"/>
  <c r="AD192" i="6"/>
  <c r="AF192" i="6"/>
  <c r="AD13" i="7"/>
  <c r="AD85" i="6" s="1"/>
  <c r="AD5" i="7" l="1"/>
  <c r="AD86" i="6"/>
  <c r="AD22" i="9" s="1"/>
  <c r="AD18" i="13" s="1"/>
  <c r="AD36" i="6"/>
  <c r="AD21" i="9"/>
  <c r="AD17" i="13" s="1"/>
  <c r="AD17" i="7"/>
  <c r="AD83" i="6"/>
  <c r="AD55" i="6"/>
  <c r="AH192" i="6"/>
  <c r="AJ192" i="6" s="1"/>
  <c r="AD196" i="6"/>
  <c r="AD18" i="7" l="1"/>
  <c r="AD56" i="6"/>
  <c r="AD57" i="6" s="1"/>
  <c r="AD41" i="39"/>
  <c r="AD19" i="9"/>
  <c r="AD15" i="13" s="1"/>
  <c r="AD82" i="6"/>
  <c r="AD15" i="7"/>
  <c r="AD100" i="6" l="1"/>
  <c r="AD18" i="9"/>
  <c r="AD14" i="13" s="1"/>
  <c r="AD14" i="7"/>
  <c r="AD42" i="39"/>
  <c r="AD58" i="6"/>
  <c r="AD171" i="40" l="1"/>
  <c r="AD43" i="39"/>
  <c r="AD152" i="40"/>
  <c r="AD117" i="40"/>
  <c r="AD140" i="40"/>
  <c r="AD141" i="40" s="1"/>
  <c r="AD142" i="40" s="1"/>
  <c r="AD59" i="6"/>
  <c r="AD118" i="40" l="1"/>
  <c r="AD123" i="40" s="1"/>
  <c r="AD119" i="40"/>
  <c r="AD127" i="40" s="1"/>
  <c r="AD163" i="40"/>
  <c r="AD164" i="40"/>
  <c r="AD126" i="40"/>
  <c r="AD143" i="40"/>
  <c r="AD145" i="40" s="1"/>
  <c r="AD144" i="40"/>
  <c r="AD177" i="40"/>
  <c r="AD173" i="40"/>
  <c r="AD175" i="40" s="1"/>
  <c r="AD172" i="40"/>
  <c r="AD174" i="40" s="1"/>
  <c r="AD187" i="40" l="1"/>
  <c r="AD121" i="40"/>
  <c r="AD120" i="40"/>
  <c r="AD122" i="40" s="1"/>
  <c r="AD45" i="39" s="1"/>
  <c r="AD176" i="40"/>
  <c r="AD124" i="40"/>
  <c r="AD125" i="40" s="1"/>
  <c r="AD41" i="33" s="1"/>
  <c r="AD42" i="33" s="1"/>
  <c r="AD147" i="40"/>
  <c r="AD146" i="40"/>
  <c r="AD188" i="40"/>
  <c r="AD189" i="40" s="1"/>
  <c r="AD35" i="39" s="1"/>
  <c r="AD178" i="40"/>
  <c r="AD190" i="40" s="1"/>
  <c r="AD179" i="40"/>
  <c r="AD191" i="40" s="1"/>
  <c r="AD128" i="40"/>
  <c r="AD46" i="39" s="1"/>
  <c r="AD154" i="40"/>
  <c r="AD39" i="6" l="1"/>
  <c r="AD41" i="6" s="1"/>
  <c r="AD42" i="6" s="1"/>
  <c r="AD43" i="6" s="1"/>
  <c r="AD44" i="39"/>
  <c r="AD50" i="39" s="1"/>
  <c r="AD51" i="39" s="1"/>
  <c r="AD53" i="39" s="1"/>
  <c r="AD40" i="33"/>
  <c r="AD47" i="33" s="1"/>
  <c r="AD48" i="33" s="1"/>
  <c r="AD49" i="33" s="1"/>
  <c r="AD51" i="33" s="1"/>
  <c r="AD52" i="33" s="1"/>
  <c r="AD53" i="33" s="1"/>
  <c r="AD54" i="33" s="1"/>
  <c r="AD183" i="40"/>
  <c r="AD192" i="40"/>
  <c r="AD36" i="39" s="1"/>
  <c r="AD180" i="40"/>
  <c r="AD181" i="40"/>
  <c r="AD184" i="40"/>
  <c r="AD153" i="40"/>
  <c r="AD159" i="40"/>
  <c r="AD156" i="40"/>
  <c r="AD182" i="40" l="1"/>
  <c r="AD40" i="6"/>
  <c r="AD14" i="39" s="1"/>
  <c r="AD185" i="40"/>
  <c r="AD43" i="33"/>
  <c r="AD155" i="40"/>
  <c r="AD158" i="40"/>
  <c r="AD157" i="40"/>
  <c r="AD160" i="40"/>
  <c r="AD186" i="40" l="1"/>
  <c r="AD193" i="40" s="1"/>
  <c r="AD161" i="40"/>
  <c r="AD162" i="40" s="1"/>
  <c r="AD44" i="6"/>
  <c r="AD48" i="6" s="1"/>
  <c r="AD50" i="6" s="1"/>
  <c r="AD52" i="39"/>
  <c r="AD16" i="39"/>
  <c r="AD49" i="6" l="1"/>
  <c r="AD51" i="6" s="1"/>
  <c r="AD52" i="6" s="1"/>
  <c r="AD34" i="39"/>
  <c r="AD47" i="39" s="1"/>
  <c r="AD56" i="39" s="1"/>
  <c r="AD17" i="39"/>
  <c r="AD54" i="39"/>
  <c r="AD55" i="39" s="1"/>
  <c r="AD18" i="39"/>
  <c r="AD37" i="39" l="1"/>
  <c r="AD38" i="39"/>
  <c r="AD57" i="39"/>
  <c r="AD19" i="39"/>
  <c r="AD20" i="39" s="1"/>
  <c r="AD21" i="39" l="1"/>
  <c r="AD60" i="6" s="1"/>
  <c r="AD62" i="6" s="1"/>
  <c r="AD61" i="6"/>
  <c r="AD63" i="6" l="1"/>
  <c r="AD6" i="7"/>
  <c r="AD9" i="9"/>
  <c r="AD6" i="13" s="1"/>
  <c r="AD70" i="6"/>
  <c r="AD64" i="6"/>
  <c r="AD75" i="6" l="1"/>
  <c r="AD71" i="6"/>
  <c r="AD65" i="6"/>
  <c r="AD7" i="7" l="1"/>
  <c r="AD99" i="6"/>
  <c r="AD90" i="6" s="1"/>
  <c r="AD11" i="9"/>
  <c r="AD7" i="13" s="1"/>
  <c r="AD78" i="6"/>
  <c r="AD25" i="9" l="1"/>
  <c r="AD21" i="7"/>
  <c r="AD10" i="7"/>
  <c r="AD14" i="9"/>
  <c r="AD95" i="6"/>
  <c r="AD101" i="6" l="1"/>
  <c r="AD103" i="6"/>
  <c r="AD10" i="13"/>
  <c r="AD21" i="13"/>
  <c r="AD102" i="6" l="1"/>
  <c r="AD105" i="6" s="1"/>
  <c r="AD104" i="6"/>
  <c r="AD106" i="6" s="1"/>
  <c r="AD107" i="6" s="1"/>
  <c r="AD91" i="6" s="1"/>
  <c r="AD26" i="9" l="1"/>
  <c r="AD22" i="7"/>
  <c r="AD89" i="6"/>
  <c r="AD28" i="9" l="1"/>
  <c r="AD24" i="13" s="1"/>
  <c r="AD20" i="7"/>
  <c r="AD93" i="6"/>
  <c r="AD22" i="13"/>
  <c r="AD20" i="13" s="1"/>
  <c r="AD24" i="9"/>
  <c r="AD30" i="9" l="1"/>
  <c r="AD25" i="7"/>
  <c r="AD96" i="6"/>
  <c r="AD27" i="7" l="1"/>
  <c r="AE111" i="6"/>
  <c r="AD26" i="13"/>
  <c r="AD32" i="9"/>
  <c r="AD28" i="13" s="1"/>
  <c r="Z30" i="7" l="1"/>
  <c r="AA30" i="7"/>
  <c r="AC30" i="7"/>
  <c r="AB30" i="7"/>
  <c r="AC31" i="13"/>
  <c r="AB31" i="13"/>
  <c r="AE30" i="68"/>
  <c r="AE67" i="68"/>
  <c r="AE52" i="68"/>
  <c r="AE83" i="33"/>
  <c r="AE60" i="68"/>
  <c r="AE138" i="33"/>
  <c r="AE90" i="33"/>
  <c r="AE54" i="68"/>
  <c r="AE61" i="8"/>
  <c r="AE24" i="68"/>
  <c r="AE142" i="33"/>
  <c r="AE65" i="68"/>
  <c r="AE40" i="68"/>
  <c r="AE74" i="6"/>
  <c r="AE10" i="9" s="1"/>
  <c r="AE152" i="33"/>
  <c r="AE48" i="8"/>
  <c r="AE55" i="8" s="1"/>
  <c r="AE17" i="68"/>
  <c r="AE147" i="6"/>
  <c r="AE29" i="68"/>
  <c r="AE184" i="33"/>
  <c r="AE62" i="68"/>
  <c r="AE67" i="8"/>
  <c r="AE183" i="33"/>
  <c r="AE23" i="68"/>
  <c r="AE39" i="8"/>
  <c r="AE27" i="68"/>
  <c r="AE78" i="68"/>
  <c r="AE202" i="33"/>
  <c r="AE66" i="8"/>
  <c r="AE71" i="68"/>
  <c r="AE31" i="68"/>
  <c r="AE194" i="33"/>
  <c r="AE36" i="8"/>
  <c r="AE14" i="68"/>
  <c r="AE32" i="68"/>
  <c r="AE28" i="8"/>
  <c r="AE47" i="8"/>
  <c r="AE70" i="33"/>
  <c r="AE33" i="68"/>
  <c r="AE80" i="33"/>
  <c r="AE84" i="33"/>
  <c r="AE188" i="33"/>
  <c r="AE179" i="33"/>
  <c r="AE64" i="68"/>
  <c r="AE192" i="33"/>
  <c r="AE154" i="33"/>
  <c r="AE28" i="68"/>
  <c r="AE26" i="8"/>
  <c r="AE145" i="33"/>
  <c r="AE38" i="8"/>
  <c r="AE85" i="33"/>
  <c r="AE20" i="68"/>
  <c r="AE35" i="8"/>
  <c r="AE81" i="33"/>
  <c r="AE39" i="68"/>
  <c r="AE193" i="33"/>
  <c r="AE81" i="68"/>
  <c r="AE93" i="33"/>
  <c r="AE155" i="33"/>
  <c r="AE80" i="68"/>
  <c r="AE77" i="6"/>
  <c r="AE59" i="68"/>
  <c r="AE159" i="33"/>
  <c r="AE64" i="8"/>
  <c r="AE69" i="33"/>
  <c r="AE63" i="68"/>
  <c r="AE63" i="8"/>
  <c r="AE146" i="33"/>
  <c r="AE36" i="68"/>
  <c r="AE151" i="33"/>
  <c r="AE69" i="68"/>
  <c r="AE180" i="33"/>
  <c r="AE17" i="8"/>
  <c r="AE187" i="33"/>
  <c r="AE52" i="8"/>
  <c r="AE162" i="33"/>
  <c r="AE73" i="68"/>
  <c r="AE42" i="68"/>
  <c r="AE75" i="68"/>
  <c r="AE16" i="68"/>
  <c r="AE141" i="33"/>
  <c r="AE157" i="33"/>
  <c r="AE18" i="8"/>
  <c r="AE199" i="33"/>
  <c r="AD6" i="67"/>
  <c r="AD9" i="67" s="1"/>
  <c r="AE53" i="68"/>
  <c r="AE66" i="68"/>
  <c r="AE160" i="33"/>
  <c r="AE58" i="68"/>
  <c r="AE21" i="68"/>
  <c r="AE72" i="68"/>
  <c r="AE156" i="33"/>
  <c r="AE181" i="33"/>
  <c r="AE92" i="33"/>
  <c r="AE51" i="8"/>
  <c r="AE196" i="33"/>
  <c r="AE41" i="68"/>
  <c r="AE140" i="33"/>
  <c r="AE76" i="6"/>
  <c r="AE94" i="33"/>
  <c r="AE18" i="68"/>
  <c r="AE150" i="33"/>
  <c r="AE197" i="33"/>
  <c r="AE185" i="33"/>
  <c r="AE16" i="8"/>
  <c r="AE62" i="8"/>
  <c r="AE73" i="33"/>
  <c r="AE137" i="33"/>
  <c r="AE175" i="33"/>
  <c r="AE54" i="8"/>
  <c r="AE186" i="33"/>
  <c r="AE191" i="33"/>
  <c r="AE177" i="33"/>
  <c r="AE87" i="33"/>
  <c r="AE190" i="33"/>
  <c r="AE34" i="68"/>
  <c r="AE88" i="33"/>
  <c r="AE37" i="68"/>
  <c r="AE135" i="6"/>
  <c r="AE148" i="33"/>
  <c r="AE60" i="8"/>
  <c r="AE95" i="33"/>
  <c r="AE158" i="33"/>
  <c r="AE71" i="33"/>
  <c r="AE136" i="33"/>
  <c r="AE163" i="33"/>
  <c r="AE91" i="33"/>
  <c r="AE76" i="68"/>
  <c r="AE61" i="68"/>
  <c r="AE86" i="33"/>
  <c r="AE200" i="33"/>
  <c r="AE89" i="33"/>
  <c r="AE68" i="68"/>
  <c r="AE68" i="33"/>
  <c r="AE153" i="33"/>
  <c r="AE46" i="8"/>
  <c r="AE189" i="33"/>
  <c r="AE115" i="6"/>
  <c r="AD16" i="67" s="1"/>
  <c r="AE74" i="68"/>
  <c r="AE49" i="8"/>
  <c r="AE25" i="68"/>
  <c r="AE15" i="68"/>
  <c r="AE147" i="33"/>
  <c r="AE178" i="33"/>
  <c r="AE84" i="6"/>
  <c r="AE149" i="33"/>
  <c r="AE182" i="33"/>
  <c r="AE79" i="68"/>
  <c r="AE26" i="68"/>
  <c r="AE27" i="8"/>
  <c r="AE22" i="68"/>
  <c r="AE141" i="6"/>
  <c r="AE43" i="68"/>
  <c r="AE176" i="33"/>
  <c r="AE55" i="68"/>
  <c r="AE25" i="8"/>
  <c r="AE70" i="68"/>
  <c r="AE82" i="33"/>
  <c r="AE37" i="8"/>
  <c r="AE143" i="33"/>
  <c r="AE50" i="8"/>
  <c r="AE161" i="33"/>
  <c r="AE195" i="33"/>
  <c r="AE77" i="68"/>
  <c r="AE24" i="8"/>
  <c r="AE19" i="68"/>
  <c r="AE139" i="33"/>
  <c r="AE38" i="68"/>
  <c r="AE198" i="33"/>
  <c r="AE144" i="33"/>
  <c r="AE35" i="68"/>
  <c r="AE57" i="68"/>
  <c r="AE72" i="33"/>
  <c r="AE19" i="8"/>
  <c r="AE56" i="68"/>
  <c r="AE201" i="33"/>
  <c r="AE116" i="6"/>
  <c r="AE77" i="8" s="1"/>
  <c r="AE88" i="6"/>
  <c r="AE112" i="6"/>
  <c r="AD17" i="67" s="1"/>
  <c r="AE12" i="38" l="1"/>
  <c r="AE142" i="6"/>
  <c r="AE23" i="33"/>
  <c r="AD8" i="67"/>
  <c r="AE45" i="8"/>
  <c r="AE44" i="8" s="1"/>
  <c r="AE80" i="8"/>
  <c r="AE92" i="6" s="1"/>
  <c r="AD7" i="67"/>
  <c r="AE19" i="33"/>
  <c r="AE10" i="38"/>
  <c r="AE136" i="6"/>
  <c r="AE8" i="7"/>
  <c r="AE12" i="9"/>
  <c r="AE8" i="13" s="1"/>
  <c r="AE82" i="68"/>
  <c r="AE44" i="68"/>
  <c r="AE27" i="33"/>
  <c r="AD10" i="67"/>
  <c r="AE14" i="38"/>
  <c r="AE148" i="6"/>
  <c r="AE23" i="8"/>
  <c r="AE22" i="8" s="1"/>
  <c r="AE16" i="7"/>
  <c r="AE20" i="9"/>
  <c r="AE16" i="13" s="1"/>
  <c r="AE15" i="8"/>
  <c r="AE14" i="8" s="1"/>
  <c r="AE13" i="9"/>
  <c r="AE9" i="13" s="1"/>
  <c r="AE9" i="7"/>
  <c r="AE34" i="8"/>
  <c r="AE33" i="8" s="1"/>
  <c r="AE16" i="38" l="1"/>
  <c r="AE20" i="38" s="1"/>
  <c r="AE83" i="68"/>
  <c r="AE132" i="6" s="1"/>
  <c r="AE131" i="6"/>
  <c r="AE27" i="9"/>
  <c r="AE23" i="13" s="1"/>
  <c r="AE23" i="7"/>
  <c r="AE128" i="6"/>
  <c r="AE45" i="68"/>
  <c r="AE28" i="33"/>
  <c r="AE15" i="38"/>
  <c r="AE20" i="33"/>
  <c r="AE11" i="38"/>
  <c r="AE13" i="38"/>
  <c r="AE24" i="33"/>
  <c r="AE17" i="38" l="1"/>
  <c r="AE85" i="68"/>
  <c r="AE129" i="6"/>
  <c r="AE31" i="6" s="1"/>
  <c r="AE32" i="6" s="1"/>
  <c r="AE72" i="8" s="1"/>
  <c r="AE73" i="8" s="1"/>
  <c r="AE74" i="8" s="1"/>
  <c r="AE65" i="8" s="1"/>
  <c r="AD13" i="67" s="1"/>
  <c r="AE21" i="38"/>
  <c r="AE90" i="38"/>
  <c r="AE66" i="38"/>
  <c r="AE42" i="38"/>
  <c r="AE22" i="38" l="1"/>
  <c r="AE67" i="38"/>
  <c r="AE43" i="38"/>
  <c r="AE91" i="38"/>
  <c r="AE68" i="38" l="1"/>
  <c r="AE23" i="38"/>
  <c r="AE44" i="38"/>
  <c r="AE92" i="38"/>
  <c r="AE93" i="38" l="1"/>
  <c r="AE45" i="38"/>
  <c r="AE69" i="38"/>
  <c r="AE24" i="38"/>
  <c r="AE94" i="38" l="1"/>
  <c r="AE70" i="38"/>
  <c r="AE46" i="38"/>
  <c r="AE25" i="38"/>
  <c r="AE71" i="38" l="1"/>
  <c r="AE47" i="38"/>
  <c r="AE95" i="38"/>
  <c r="AE26" i="38"/>
  <c r="AE96" i="38" l="1"/>
  <c r="AE72" i="38"/>
  <c r="AE27" i="38"/>
  <c r="AE48" i="38"/>
  <c r="AE28" i="38" l="1"/>
  <c r="AE49" i="38"/>
  <c r="AE97" i="38"/>
  <c r="AE73" i="38"/>
  <c r="AE74" i="38" l="1"/>
  <c r="AE98" i="38"/>
  <c r="AE50" i="38"/>
  <c r="AE29" i="38"/>
  <c r="AE75" i="38" l="1"/>
  <c r="AE30" i="38"/>
  <c r="AE51" i="38"/>
  <c r="AE99" i="38"/>
  <c r="AE52" i="38" l="1"/>
  <c r="AE100" i="38"/>
  <c r="AE76" i="38"/>
  <c r="AE31" i="38"/>
  <c r="AE77" i="38" l="1"/>
  <c r="AE32" i="38"/>
  <c r="AE101" i="38"/>
  <c r="AE53" i="38"/>
  <c r="AE33" i="38" l="1"/>
  <c r="AE102" i="38"/>
  <c r="AE78" i="38"/>
  <c r="AE54" i="38"/>
  <c r="AE103" i="38" l="1"/>
  <c r="AE55" i="38"/>
  <c r="AE34" i="38"/>
  <c r="AE79" i="38"/>
  <c r="AE35" i="38" l="1"/>
  <c r="AE104" i="38"/>
  <c r="AE56" i="38"/>
  <c r="AE80" i="38"/>
  <c r="AE36" i="38" l="1"/>
  <c r="AE105" i="38"/>
  <c r="AE57" i="38"/>
  <c r="AE81" i="38"/>
  <c r="AE106" i="38" l="1"/>
  <c r="AE82" i="38"/>
  <c r="AE37" i="38"/>
  <c r="AE58" i="38"/>
  <c r="AE83" i="38" l="1"/>
  <c r="AE38" i="38"/>
  <c r="AE59" i="38"/>
  <c r="AE107" i="38"/>
  <c r="AE84" i="38" l="1"/>
  <c r="AE108" i="38"/>
  <c r="AE39" i="38"/>
  <c r="AE60" i="38"/>
  <c r="AE85" i="38" l="1"/>
  <c r="AE109" i="38"/>
  <c r="AE61" i="38"/>
  <c r="AE62" i="38" l="1"/>
  <c r="AE63" i="38"/>
  <c r="AE137" i="6" s="1"/>
  <c r="AE110" i="38"/>
  <c r="AE111" i="38"/>
  <c r="AE149" i="6" s="1"/>
  <c r="AE87" i="38"/>
  <c r="AE143" i="6" s="1"/>
  <c r="AE86" i="38"/>
  <c r="AE138" i="6" l="1"/>
  <c r="AE22" i="33" s="1"/>
  <c r="AE21" i="33"/>
  <c r="AE139" i="6"/>
  <c r="AE153" i="6"/>
  <c r="AE29" i="33"/>
  <c r="AE150" i="6"/>
  <c r="AE30" i="33" s="1"/>
  <c r="AE151" i="6"/>
  <c r="AE152" i="6" s="1"/>
  <c r="AE25" i="33"/>
  <c r="AE144" i="6"/>
  <c r="AE26" i="33" s="1"/>
  <c r="AE145" i="6"/>
  <c r="AE146" i="6" s="1"/>
  <c r="AE140" i="6" l="1"/>
  <c r="AE31" i="33"/>
  <c r="AE10" i="68"/>
  <c r="AE13" i="68" s="1"/>
  <c r="AE154" i="6"/>
  <c r="AE130" i="33" l="1"/>
  <c r="AF130" i="33"/>
  <c r="AG130" i="33"/>
  <c r="AE96" i="33"/>
  <c r="AE164" i="33"/>
  <c r="AE167" i="33" s="1"/>
  <c r="AE155" i="6"/>
  <c r="AE11" i="68"/>
  <c r="AE12" i="68" s="1"/>
  <c r="AE127" i="6" s="1"/>
  <c r="AE15" i="39"/>
  <c r="AE32" i="33"/>
  <c r="AE74" i="33" s="1"/>
  <c r="AE108" i="33" s="1"/>
  <c r="AE156" i="6" l="1"/>
  <c r="AE33" i="33"/>
  <c r="AE157" i="6"/>
  <c r="AE49" i="68"/>
  <c r="AE78" i="33"/>
  <c r="AE112" i="33" s="1"/>
  <c r="AE75" i="33"/>
  <c r="AE76" i="33"/>
  <c r="AE110" i="33" s="1"/>
  <c r="AE77" i="33"/>
  <c r="AE111" i="33" s="1"/>
  <c r="AE79" i="33"/>
  <c r="AE113" i="33" s="1"/>
  <c r="AE48" i="68" l="1"/>
  <c r="AE35" i="33"/>
  <c r="AE34" i="33"/>
  <c r="AE70" i="8"/>
  <c r="AE158" i="6"/>
  <c r="AE109" i="33"/>
  <c r="AE99" i="33"/>
  <c r="AE226" i="33"/>
  <c r="AE235" i="33"/>
  <c r="AE227" i="33"/>
  <c r="AE228" i="33"/>
  <c r="AE221" i="33"/>
  <c r="AE255" i="33" s="1"/>
  <c r="AE233" i="33"/>
  <c r="AE223" i="33"/>
  <c r="AE257" i="33" s="1"/>
  <c r="AE219" i="33"/>
  <c r="AE215" i="33"/>
  <c r="AE216" i="33"/>
  <c r="AE232" i="33"/>
  <c r="AE238" i="33"/>
  <c r="AE234" i="33"/>
  <c r="AE225" i="33"/>
  <c r="AE259" i="33" s="1"/>
  <c r="AE237" i="33"/>
  <c r="AE218" i="33"/>
  <c r="AE217" i="33"/>
  <c r="AE224" i="33"/>
  <c r="AE258" i="33" s="1"/>
  <c r="AE230" i="33"/>
  <c r="AE222" i="33"/>
  <c r="AE256" i="33" s="1"/>
  <c r="AE229" i="33"/>
  <c r="AE231" i="33"/>
  <c r="AE236" i="33"/>
  <c r="AE239" i="33"/>
  <c r="AE214" i="33"/>
  <c r="AE241" i="33"/>
  <c r="AE220" i="33"/>
  <c r="AE254" i="33" s="1"/>
  <c r="AE240" i="33"/>
  <c r="AE67" i="6"/>
  <c r="AE66" i="6" s="1"/>
  <c r="AE68" i="6" s="1"/>
  <c r="AE69" i="6" s="1"/>
  <c r="AE50" i="68"/>
  <c r="AE130" i="6" s="1"/>
  <c r="AE87" i="6" s="1"/>
  <c r="AE71" i="8" l="1"/>
  <c r="AE68" i="8"/>
  <c r="AE24" i="7"/>
  <c r="AE29" i="9"/>
  <c r="AE25" i="13" s="1"/>
  <c r="AE23" i="9"/>
  <c r="AE19" i="13" s="1"/>
  <c r="AE19" i="7"/>
  <c r="AE36" i="33"/>
  <c r="AE159" i="6"/>
  <c r="AE160" i="6"/>
  <c r="AE161" i="6" s="1"/>
  <c r="AE121" i="6" s="1"/>
  <c r="AE123" i="6" s="1"/>
  <c r="AE51" i="68"/>
  <c r="AD11" i="67"/>
  <c r="AE171" i="33"/>
  <c r="AE242" i="33"/>
  <c r="AE245" i="33" s="1"/>
  <c r="AF276" i="33"/>
  <c r="AG276" i="33"/>
  <c r="AE276" i="33"/>
  <c r="AE203" i="33"/>
  <c r="AE206" i="33" s="1"/>
  <c r="AE59" i="33" l="1"/>
  <c r="AE124" i="6"/>
  <c r="AE122" i="6"/>
  <c r="AE37" i="33"/>
  <c r="AE58" i="33"/>
  <c r="AD14" i="67" l="1"/>
  <c r="AE33" i="6"/>
  <c r="AE13" i="39" s="1"/>
  <c r="AE33" i="39" s="1"/>
  <c r="AE40" i="62"/>
  <c r="AE40" i="46"/>
  <c r="AE69" i="8"/>
  <c r="AE59" i="8" s="1"/>
  <c r="AE58" i="8" s="1"/>
  <c r="AE81" i="8" s="1"/>
  <c r="AE81" i="6" s="1"/>
  <c r="AE39" i="62"/>
  <c r="AE39" i="46"/>
  <c r="AD12" i="67"/>
  <c r="AE34" i="6" l="1"/>
  <c r="AE8" i="9" s="1"/>
  <c r="AE5" i="13" s="1"/>
  <c r="AE35" i="6"/>
  <c r="AE37" i="6" s="1"/>
  <c r="AE38" i="6" s="1"/>
  <c r="AE36" i="6"/>
  <c r="AE17" i="9"/>
  <c r="AE13" i="13" s="1"/>
  <c r="AE193" i="6"/>
  <c r="AF193" i="6"/>
  <c r="AI193" i="6"/>
  <c r="AG193" i="6"/>
  <c r="AE13" i="7"/>
  <c r="AE85" i="6" s="1"/>
  <c r="AE86" i="6"/>
  <c r="AE5" i="7" l="1"/>
  <c r="AE18" i="7"/>
  <c r="AE22" i="9"/>
  <c r="AE18" i="13" s="1"/>
  <c r="AH193" i="6"/>
  <c r="AJ193" i="6" s="1"/>
  <c r="AE196" i="6"/>
  <c r="AE21" i="9"/>
  <c r="AE17" i="13" s="1"/>
  <c r="AE17" i="7"/>
  <c r="AE83" i="6"/>
  <c r="AE55" i="6"/>
  <c r="AE15" i="7" l="1"/>
  <c r="AE19" i="9"/>
  <c r="AE15" i="13" s="1"/>
  <c r="AE82" i="6"/>
  <c r="AE56" i="6"/>
  <c r="AE57" i="6" s="1"/>
  <c r="AE41" i="39"/>
  <c r="AE42" i="39" l="1"/>
  <c r="AE58" i="6"/>
  <c r="AE14" i="7"/>
  <c r="AE100" i="6"/>
  <c r="AE18" i="9"/>
  <c r="AE14" i="13" s="1"/>
  <c r="AE152" i="40" l="1"/>
  <c r="AE117" i="40"/>
  <c r="AE171" i="40"/>
  <c r="AE140" i="40"/>
  <c r="AE141" i="40" s="1"/>
  <c r="AE142" i="40" s="1"/>
  <c r="AE43" i="39"/>
  <c r="AE59" i="6"/>
  <c r="AE119" i="40" l="1"/>
  <c r="AE127" i="40" s="1"/>
  <c r="AE163" i="40"/>
  <c r="AE164" i="40"/>
  <c r="AE118" i="40"/>
  <c r="AE123" i="40" s="1"/>
  <c r="AE121" i="40"/>
  <c r="AE143" i="40"/>
  <c r="AE144" i="40"/>
  <c r="AE145" i="40"/>
  <c r="AE173" i="40"/>
  <c r="AE175" i="40" s="1"/>
  <c r="AE177" i="40"/>
  <c r="AE172" i="40"/>
  <c r="AE187" i="40" s="1"/>
  <c r="AE188" i="40" l="1"/>
  <c r="AE189" i="40" s="1"/>
  <c r="AE35" i="39" s="1"/>
  <c r="AE124" i="40"/>
  <c r="AE125" i="40" s="1"/>
  <c r="AE120" i="40"/>
  <c r="AE122" i="40" s="1"/>
  <c r="AE126" i="40"/>
  <c r="AE128" i="40" s="1"/>
  <c r="AE46" i="39" s="1"/>
  <c r="AE147" i="40"/>
  <c r="AE146" i="40"/>
  <c r="AE178" i="40"/>
  <c r="AE180" i="40" s="1"/>
  <c r="AE179" i="40"/>
  <c r="AE184" i="40" s="1"/>
  <c r="AE174" i="40"/>
  <c r="AE176" i="40" s="1"/>
  <c r="AE153" i="40"/>
  <c r="AE183" i="40" l="1"/>
  <c r="AE185" i="40" s="1"/>
  <c r="AE190" i="40"/>
  <c r="AE191" i="40"/>
  <c r="AE44" i="39"/>
  <c r="AE50" i="39" s="1"/>
  <c r="AE51" i="39" s="1"/>
  <c r="AE41" i="33"/>
  <c r="AE42" i="33" s="1"/>
  <c r="AE45" i="39"/>
  <c r="AE40" i="33"/>
  <c r="AE39" i="6"/>
  <c r="AE181" i="40"/>
  <c r="AE182" i="40" s="1"/>
  <c r="AE154" i="40"/>
  <c r="AE155" i="40"/>
  <c r="AE158" i="40"/>
  <c r="AE192" i="40" l="1"/>
  <c r="AE36" i="39" s="1"/>
  <c r="AE186" i="40"/>
  <c r="AE34" i="39" s="1"/>
  <c r="AE53" i="39"/>
  <c r="AE41" i="6"/>
  <c r="AE42" i="6" s="1"/>
  <c r="AE43" i="6" s="1"/>
  <c r="AE40" i="6"/>
  <c r="AE43" i="33"/>
  <c r="AE47" i="33"/>
  <c r="AE48" i="33" s="1"/>
  <c r="AE49" i="33" s="1"/>
  <c r="AE51" i="33" s="1"/>
  <c r="AE52" i="33" s="1"/>
  <c r="AE53" i="33" s="1"/>
  <c r="AE54" i="33" s="1"/>
  <c r="AE159" i="40"/>
  <c r="AE156" i="40"/>
  <c r="AE160" i="40"/>
  <c r="AE157" i="40"/>
  <c r="AE37" i="39" l="1"/>
  <c r="AE161" i="40"/>
  <c r="AE162" i="40" s="1"/>
  <c r="AE193" i="40"/>
  <c r="AE47" i="39"/>
  <c r="AE44" i="6"/>
  <c r="AE48" i="6" s="1"/>
  <c r="AE14" i="39"/>
  <c r="AE52" i="39" l="1"/>
  <c r="AE16" i="39"/>
  <c r="AE49" i="6"/>
  <c r="AE51" i="6" s="1"/>
  <c r="AE52" i="6" s="1"/>
  <c r="AE50" i="6"/>
  <c r="AE56" i="39" l="1"/>
  <c r="AE17" i="39"/>
  <c r="AE54" i="39"/>
  <c r="AE55" i="39" s="1"/>
  <c r="AE18" i="39"/>
  <c r="AE38" i="39" l="1"/>
  <c r="AE19" i="39"/>
  <c r="AE20" i="39" s="1"/>
  <c r="AE57" i="39"/>
  <c r="AE21" i="39" l="1"/>
  <c r="AE60" i="6" s="1"/>
  <c r="AE62" i="6" s="1"/>
  <c r="AE61" i="6"/>
  <c r="AE9" i="9" l="1"/>
  <c r="AE6" i="13" s="1"/>
  <c r="AE70" i="6"/>
  <c r="AE63" i="6"/>
  <c r="AE6" i="7"/>
  <c r="AE64" i="6"/>
  <c r="AE75" i="6" l="1"/>
  <c r="AE71" i="6"/>
  <c r="AE65" i="6"/>
  <c r="AE99" i="6" l="1"/>
  <c r="AE90" i="6" s="1"/>
  <c r="AE11" i="9"/>
  <c r="AE7" i="13" s="1"/>
  <c r="AE7" i="7"/>
  <c r="AE78" i="6"/>
  <c r="AE21" i="7" l="1"/>
  <c r="AE25" i="9"/>
  <c r="AE10" i="7"/>
  <c r="AE14" i="9"/>
  <c r="AE95" i="6"/>
  <c r="AE101" i="6" l="1"/>
  <c r="AE103" i="6"/>
  <c r="AE21" i="13"/>
  <c r="AE10" i="13"/>
  <c r="AE102" i="6" l="1"/>
  <c r="AE105" i="6" s="1"/>
  <c r="AE104" i="6"/>
  <c r="AE106" i="6" s="1"/>
  <c r="AE107" i="6" s="1"/>
  <c r="AE91" i="6" s="1"/>
  <c r="AE26" i="9" l="1"/>
  <c r="AE22" i="7"/>
  <c r="AE89" i="6"/>
  <c r="AE20" i="7" l="1"/>
  <c r="AE28" i="9"/>
  <c r="AE24" i="13" s="1"/>
  <c r="AE93" i="6"/>
  <c r="AE22" i="13"/>
  <c r="AE20" i="13" s="1"/>
  <c r="AE24" i="9"/>
  <c r="AE30" i="9" l="1"/>
  <c r="AE25" i="7"/>
  <c r="AE96" i="6"/>
  <c r="AE27" i="7" l="1"/>
  <c r="AF111" i="6"/>
  <c r="AE26" i="13"/>
  <c r="AE32" i="9"/>
  <c r="AE28" i="13" s="1"/>
  <c r="AF77" i="6" l="1"/>
  <c r="AF35" i="8"/>
  <c r="AF95" i="33"/>
  <c r="AF179" i="33"/>
  <c r="AF68" i="33"/>
  <c r="AF60" i="68"/>
  <c r="AF67" i="68"/>
  <c r="AF180" i="33"/>
  <c r="AF34" i="68"/>
  <c r="AF90" i="33"/>
  <c r="AF37" i="8"/>
  <c r="AF62" i="68"/>
  <c r="AF75" i="68"/>
  <c r="AE6" i="67"/>
  <c r="AE9" i="67" s="1"/>
  <c r="AF19" i="68"/>
  <c r="AF30" i="68"/>
  <c r="AF70" i="68"/>
  <c r="AF18" i="68"/>
  <c r="AF15" i="68"/>
  <c r="AF195" i="33"/>
  <c r="AF81" i="68"/>
  <c r="AF53" i="68"/>
  <c r="AF72" i="33"/>
  <c r="AF77" i="68"/>
  <c r="AF41" i="68"/>
  <c r="AF162" i="33"/>
  <c r="AF181" i="33"/>
  <c r="AF19" i="8"/>
  <c r="AF61" i="8"/>
  <c r="AF72" i="68"/>
  <c r="AF196" i="33"/>
  <c r="AF81" i="33"/>
  <c r="AF156" i="33"/>
  <c r="AF139" i="33"/>
  <c r="AF28" i="68"/>
  <c r="AF56" i="68"/>
  <c r="AF14" i="68"/>
  <c r="AF197" i="33"/>
  <c r="AF76" i="6"/>
  <c r="AF202" i="33"/>
  <c r="AF183" i="33"/>
  <c r="AF184" i="33"/>
  <c r="AF47" i="8"/>
  <c r="AF28" i="8"/>
  <c r="AF157" i="33"/>
  <c r="AF36" i="8"/>
  <c r="AF29" i="68"/>
  <c r="AF147" i="33"/>
  <c r="AF40" i="68"/>
  <c r="AF68" i="68"/>
  <c r="AF93" i="33"/>
  <c r="AF92" i="33"/>
  <c r="AF38" i="8"/>
  <c r="AF54" i="8"/>
  <c r="AF193" i="33"/>
  <c r="AF36" i="68"/>
  <c r="AF39" i="68"/>
  <c r="AF84" i="33"/>
  <c r="AF18" i="8"/>
  <c r="AF200" i="33"/>
  <c r="AF58" i="68"/>
  <c r="AF49" i="8"/>
  <c r="AF115" i="6"/>
  <c r="AE16" i="67" s="1"/>
  <c r="AF186" i="33"/>
  <c r="AF149" i="33"/>
  <c r="AF141" i="6"/>
  <c r="AF25" i="8"/>
  <c r="AF136" i="33"/>
  <c r="AF158" i="33"/>
  <c r="AF50" i="8"/>
  <c r="AF153" i="33"/>
  <c r="AF22" i="68"/>
  <c r="AF37" i="68"/>
  <c r="AF69" i="68"/>
  <c r="AF187" i="33"/>
  <c r="AF74" i="6"/>
  <c r="AF10" i="9" s="1"/>
  <c r="AF155" i="33"/>
  <c r="AF191" i="33"/>
  <c r="AF73" i="33"/>
  <c r="AF23" i="68"/>
  <c r="AF140" i="33"/>
  <c r="AF66" i="68"/>
  <c r="AF152" i="33"/>
  <c r="AF21" i="68"/>
  <c r="AF79" i="68"/>
  <c r="AF151" i="33"/>
  <c r="AF54" i="68"/>
  <c r="AF94" i="33"/>
  <c r="AF17" i="68"/>
  <c r="AF87" i="33"/>
  <c r="AF51" i="8"/>
  <c r="AF159" i="33"/>
  <c r="AF83" i="33"/>
  <c r="AF16" i="68"/>
  <c r="AF194" i="33"/>
  <c r="AF146" i="33"/>
  <c r="AF178" i="33"/>
  <c r="AF143" i="33"/>
  <c r="AF201" i="33"/>
  <c r="AF76" i="68"/>
  <c r="AF198" i="33"/>
  <c r="AF63" i="8"/>
  <c r="AF26" i="8"/>
  <c r="AF175" i="33"/>
  <c r="AF62" i="8"/>
  <c r="AF57" i="68"/>
  <c r="AF86" i="33"/>
  <c r="AF188" i="33"/>
  <c r="AF142" i="33"/>
  <c r="AF137" i="33"/>
  <c r="AF135" i="6"/>
  <c r="AF177" i="33"/>
  <c r="AF46" i="8"/>
  <c r="AF25" i="68"/>
  <c r="AF59" i="68"/>
  <c r="AF190" i="33"/>
  <c r="AF80" i="33"/>
  <c r="AF96" i="33"/>
  <c r="AF203" i="33"/>
  <c r="AF32" i="68"/>
  <c r="AF48" i="8"/>
  <c r="AF55" i="8" s="1"/>
  <c r="AF78" i="68"/>
  <c r="AF91" i="33"/>
  <c r="AF182" i="33"/>
  <c r="AF61" i="68"/>
  <c r="AF192" i="33"/>
  <c r="AF63" i="68"/>
  <c r="AF88" i="33"/>
  <c r="AF148" i="33"/>
  <c r="AF64" i="8"/>
  <c r="AF73" i="68"/>
  <c r="AF161" i="33"/>
  <c r="AF26" i="68"/>
  <c r="AF38" i="68"/>
  <c r="AF84" i="6"/>
  <c r="AF42" i="68"/>
  <c r="AF70" i="33"/>
  <c r="AF138" i="33"/>
  <c r="AF31" i="68"/>
  <c r="AF35" i="68"/>
  <c r="AF69" i="33"/>
  <c r="AF16" i="8"/>
  <c r="AF144" i="33"/>
  <c r="AF160" i="33"/>
  <c r="AF80" i="68"/>
  <c r="AF74" i="68"/>
  <c r="AF52" i="8"/>
  <c r="AF71" i="33"/>
  <c r="AF71" i="68"/>
  <c r="AF199" i="33"/>
  <c r="AF66" i="8"/>
  <c r="AF20" i="68"/>
  <c r="AF27" i="68"/>
  <c r="AF141" i="33"/>
  <c r="AF85" i="33"/>
  <c r="AF17" i="8"/>
  <c r="AF67" i="8"/>
  <c r="AF185" i="33"/>
  <c r="AF55" i="68"/>
  <c r="AF24" i="8"/>
  <c r="AF33" i="68"/>
  <c r="AF52" i="68"/>
  <c r="AF43" i="68"/>
  <c r="AF39" i="8"/>
  <c r="AF176" i="33"/>
  <c r="AF189" i="33"/>
  <c r="AF60" i="8"/>
  <c r="AF147" i="6"/>
  <c r="AF145" i="33"/>
  <c r="AF150" i="33"/>
  <c r="AF27" i="8"/>
  <c r="AF65" i="68"/>
  <c r="AF82" i="33"/>
  <c r="AF24" i="68"/>
  <c r="AF64" i="68"/>
  <c r="AF163" i="33"/>
  <c r="AF164" i="33"/>
  <c r="AF89" i="33"/>
  <c r="AF154" i="33"/>
  <c r="AF116" i="6"/>
  <c r="AF77" i="8" s="1"/>
  <c r="AF88" i="6"/>
  <c r="AF112" i="6"/>
  <c r="AE17" i="67" s="1"/>
  <c r="AF14" i="38" l="1"/>
  <c r="AF27" i="33"/>
  <c r="AE10" i="67"/>
  <c r="AF148" i="6"/>
  <c r="AF23" i="8"/>
  <c r="AF22" i="8" s="1"/>
  <c r="AF20" i="9"/>
  <c r="AF16" i="13" s="1"/>
  <c r="AF16" i="7"/>
  <c r="AE7" i="67"/>
  <c r="AF19" i="33"/>
  <c r="AF136" i="6"/>
  <c r="AF10" i="38"/>
  <c r="AF8" i="7"/>
  <c r="AF12" i="9"/>
  <c r="AF8" i="13" s="1"/>
  <c r="AF82" i="68"/>
  <c r="AF15" i="8"/>
  <c r="AF14" i="8" s="1"/>
  <c r="AF80" i="8"/>
  <c r="AF92" i="6" s="1"/>
  <c r="AE8" i="67"/>
  <c r="AF23" i="33"/>
  <c r="AF142" i="6"/>
  <c r="AF12" i="38"/>
  <c r="AF34" i="8"/>
  <c r="AF33" i="8" s="1"/>
  <c r="AF45" i="8"/>
  <c r="AF44" i="8" s="1"/>
  <c r="AF44" i="68"/>
  <c r="AF13" i="9"/>
  <c r="AF9" i="13" s="1"/>
  <c r="AF9" i="7"/>
  <c r="AF23" i="7" l="1"/>
  <c r="AF27" i="9"/>
  <c r="AF23" i="13" s="1"/>
  <c r="AF20" i="33"/>
  <c r="AF11" i="38"/>
  <c r="AF13" i="38"/>
  <c r="AF24" i="33"/>
  <c r="AF128" i="6"/>
  <c r="AF45" i="68"/>
  <c r="AF83" i="68"/>
  <c r="AF132" i="6" s="1"/>
  <c r="AF131" i="6"/>
  <c r="AF16" i="38"/>
  <c r="AF15" i="38"/>
  <c r="AF28" i="33"/>
  <c r="AF20" i="38" l="1"/>
  <c r="AF17" i="38"/>
  <c r="AF85" i="68"/>
  <c r="AF129" i="6"/>
  <c r="AF31" i="6" s="1"/>
  <c r="AF32" i="6" s="1"/>
  <c r="AF72" i="8" s="1"/>
  <c r="AF73" i="8" s="1"/>
  <c r="AF74" i="8" s="1"/>
  <c r="AF65" i="8" s="1"/>
  <c r="AE13" i="67" s="1"/>
  <c r="AF90" i="38" l="1"/>
  <c r="AF66" i="38"/>
  <c r="AF21" i="38"/>
  <c r="AF42" i="38"/>
  <c r="AF22" i="38" l="1"/>
  <c r="AF67" i="38"/>
  <c r="AF91" i="38"/>
  <c r="AF43" i="38"/>
  <c r="AF23" i="38" l="1"/>
  <c r="AF92" i="38"/>
  <c r="AF68" i="38"/>
  <c r="AF44" i="38"/>
  <c r="AF45" i="38" l="1"/>
  <c r="AF93" i="38"/>
  <c r="AF24" i="38"/>
  <c r="AF69" i="38"/>
  <c r="AF25" i="38" l="1"/>
  <c r="AF94" i="38"/>
  <c r="AF70" i="38"/>
  <c r="AF46" i="38"/>
  <c r="AF95" i="38" l="1"/>
  <c r="AF26" i="38"/>
  <c r="AF47" i="38"/>
  <c r="AF71" i="38"/>
  <c r="AF96" i="38" l="1"/>
  <c r="AF27" i="38"/>
  <c r="AF72" i="38"/>
  <c r="AF48" i="38"/>
  <c r="AF28" i="38" l="1"/>
  <c r="AF49" i="38"/>
  <c r="AF73" i="38"/>
  <c r="AF97" i="38"/>
  <c r="AF29" i="38" l="1"/>
  <c r="AF98" i="38"/>
  <c r="AF50" i="38"/>
  <c r="AF74" i="38"/>
  <c r="AF30" i="38" l="1"/>
  <c r="AF75" i="38"/>
  <c r="AF51" i="38"/>
  <c r="AF99" i="38"/>
  <c r="AF100" i="38" l="1"/>
  <c r="AF31" i="38"/>
  <c r="AF52" i="38"/>
  <c r="AF76" i="38"/>
  <c r="AF101" i="38" l="1"/>
  <c r="AF32" i="38"/>
  <c r="AF77" i="38"/>
  <c r="AF53" i="38"/>
  <c r="AF33" i="38" l="1"/>
  <c r="AF102" i="38"/>
  <c r="AF54" i="38"/>
  <c r="AF78" i="38"/>
  <c r="AF103" i="38" l="1"/>
  <c r="AF79" i="38"/>
  <c r="AF55" i="38"/>
  <c r="AF34" i="38"/>
  <c r="AF80" i="38" l="1"/>
  <c r="AF56" i="38"/>
  <c r="AF104" i="38"/>
  <c r="AF35" i="38"/>
  <c r="AF36" i="38" l="1"/>
  <c r="AF105" i="38"/>
  <c r="AF57" i="38"/>
  <c r="AF81" i="38"/>
  <c r="AF37" i="38" l="1"/>
  <c r="AF58" i="38"/>
  <c r="AF106" i="38"/>
  <c r="AF82" i="38"/>
  <c r="AF59" i="38" l="1"/>
  <c r="AF83" i="38"/>
  <c r="AF38" i="38"/>
  <c r="AF107" i="38"/>
  <c r="AF39" i="38" l="1"/>
  <c r="AF84" i="38"/>
  <c r="AF108" i="38"/>
  <c r="AF60" i="38"/>
  <c r="AF61" i="38" l="1"/>
  <c r="AF109" i="38"/>
  <c r="AF85" i="38"/>
  <c r="AF86" i="38" l="1"/>
  <c r="AF87" i="38"/>
  <c r="AF143" i="6" s="1"/>
  <c r="AF110" i="38"/>
  <c r="AF111" i="38"/>
  <c r="AF149" i="6" s="1"/>
  <c r="AF63" i="38"/>
  <c r="AF137" i="6" s="1"/>
  <c r="AF62" i="38"/>
  <c r="AF25" i="33" l="1"/>
  <c r="AF144" i="6"/>
  <c r="AF26" i="33" s="1"/>
  <c r="AF145" i="6"/>
  <c r="AF146" i="6" s="1"/>
  <c r="AF29" i="33"/>
  <c r="AF150" i="6"/>
  <c r="AF30" i="33" s="1"/>
  <c r="AF153" i="6"/>
  <c r="AF151" i="6"/>
  <c r="AF152" i="6" s="1"/>
  <c r="AF138" i="6"/>
  <c r="AF22" i="33" s="1"/>
  <c r="AF21" i="33"/>
  <c r="AF139" i="6"/>
  <c r="AF140" i="6" l="1"/>
  <c r="AF10" i="68"/>
  <c r="AF13" i="68" s="1"/>
  <c r="AF31" i="33"/>
  <c r="AF154" i="6"/>
  <c r="AF131" i="33" l="1"/>
  <c r="AG131" i="33"/>
  <c r="AF165" i="33"/>
  <c r="AF167" i="33" s="1"/>
  <c r="AF97" i="33"/>
  <c r="AF15" i="39"/>
  <c r="AF155" i="6"/>
  <c r="AF32" i="33"/>
  <c r="AF74" i="33" s="1"/>
  <c r="AF108" i="33" s="1"/>
  <c r="AF11" i="68"/>
  <c r="AF12" i="68" s="1"/>
  <c r="AF127" i="6" s="1"/>
  <c r="AF76" i="33" l="1"/>
  <c r="AF110" i="33" s="1"/>
  <c r="AF77" i="33"/>
  <c r="AF111" i="33" s="1"/>
  <c r="AF78" i="33"/>
  <c r="AF112" i="33" s="1"/>
  <c r="AF75" i="33"/>
  <c r="AF79" i="33"/>
  <c r="AF113" i="33" s="1"/>
  <c r="AF156" i="6"/>
  <c r="AF157" i="6"/>
  <c r="AF49" i="68"/>
  <c r="AF33" i="33"/>
  <c r="AF50" i="68" l="1"/>
  <c r="AF130" i="6" s="1"/>
  <c r="AF87" i="6" s="1"/>
  <c r="AF67" i="6"/>
  <c r="AF66" i="6" s="1"/>
  <c r="AF68" i="6" s="1"/>
  <c r="AF69" i="6" s="1"/>
  <c r="AF34" i="33"/>
  <c r="AF70" i="8"/>
  <c r="AF158" i="6"/>
  <c r="AF109" i="33"/>
  <c r="AF99" i="33"/>
  <c r="AF171" i="33" s="1"/>
  <c r="AF48" i="68"/>
  <c r="AF35" i="33"/>
  <c r="AF243" i="33" s="1"/>
  <c r="AF227" i="33"/>
  <c r="AF221" i="33"/>
  <c r="AF255" i="33" s="1"/>
  <c r="AF222" i="33"/>
  <c r="AF256" i="33" s="1"/>
  <c r="AF232" i="33"/>
  <c r="AF236" i="33"/>
  <c r="AF223" i="33"/>
  <c r="AF257" i="33" s="1"/>
  <c r="AF224" i="33"/>
  <c r="AF258" i="33" s="1"/>
  <c r="AF217" i="33"/>
  <c r="AF226" i="33"/>
  <c r="AF216" i="33"/>
  <c r="AF225" i="33"/>
  <c r="AF259" i="33" s="1"/>
  <c r="AF214" i="33"/>
  <c r="AF238" i="33"/>
  <c r="AF242" i="33"/>
  <c r="AF234" i="33"/>
  <c r="AF218" i="33"/>
  <c r="AF228" i="33"/>
  <c r="AF240" i="33"/>
  <c r="AF235" i="33"/>
  <c r="AF220" i="33"/>
  <c r="AF254" i="33" s="1"/>
  <c r="AF233" i="33"/>
  <c r="AF237" i="33"/>
  <c r="AF241" i="33"/>
  <c r="AF230" i="33"/>
  <c r="AF219" i="33"/>
  <c r="AF231" i="33"/>
  <c r="AF229" i="33"/>
  <c r="AF215" i="33"/>
  <c r="AF239" i="33"/>
  <c r="AE11" i="67" l="1"/>
  <c r="AF51" i="68"/>
  <c r="AF71" i="8"/>
  <c r="AF68" i="8"/>
  <c r="AF245" i="33"/>
  <c r="AF277" i="33"/>
  <c r="AG277" i="33"/>
  <c r="AF204" i="33"/>
  <c r="AF206" i="33" s="1"/>
  <c r="AF36" i="33"/>
  <c r="AF159" i="6"/>
  <c r="AF160" i="6"/>
  <c r="AF161" i="6" s="1"/>
  <c r="AF121" i="6" s="1"/>
  <c r="AF123" i="6" s="1"/>
  <c r="AF24" i="7"/>
  <c r="AF23" i="9"/>
  <c r="AF19" i="13" s="1"/>
  <c r="AF29" i="9"/>
  <c r="AF25" i="13" s="1"/>
  <c r="AF19" i="7"/>
  <c r="AF59" i="33" l="1"/>
  <c r="AF124" i="6"/>
  <c r="AF122" i="6"/>
  <c r="AF37" i="33"/>
  <c r="AF58" i="33"/>
  <c r="AE14" i="67" l="1"/>
  <c r="AF33" i="6"/>
  <c r="AF35" i="6" s="1"/>
  <c r="AF37" i="6" s="1"/>
  <c r="AF69" i="8"/>
  <c r="AF59" i="8" s="1"/>
  <c r="AF58" i="8" s="1"/>
  <c r="AF81" i="8" s="1"/>
  <c r="AF81" i="6" s="1"/>
  <c r="AF40" i="62"/>
  <c r="AF40" i="46"/>
  <c r="AE12" i="67"/>
  <c r="AF39" i="62"/>
  <c r="AF39" i="46"/>
  <c r="AF34" i="6" l="1"/>
  <c r="AF13" i="39"/>
  <c r="AF33" i="39" s="1"/>
  <c r="AF8" i="9"/>
  <c r="AF5" i="13" s="1"/>
  <c r="AF5" i="7"/>
  <c r="AF36" i="6"/>
  <c r="AG194" i="6"/>
  <c r="AF194" i="6"/>
  <c r="AF17" i="9"/>
  <c r="AF13" i="13" s="1"/>
  <c r="AI194" i="6"/>
  <c r="AF13" i="7"/>
  <c r="AF85" i="6" s="1"/>
  <c r="AF86" i="6"/>
  <c r="AF38" i="6"/>
  <c r="AH194" i="6" l="1"/>
  <c r="AJ194" i="6" s="1"/>
  <c r="AF196" i="6"/>
  <c r="AF55" i="6"/>
  <c r="AF22" i="9"/>
  <c r="AF18" i="13" s="1"/>
  <c r="AF18" i="7"/>
  <c r="AF17" i="7"/>
  <c r="AF21" i="9"/>
  <c r="AF17" i="13" s="1"/>
  <c r="AF83" i="6"/>
  <c r="AF41" i="39" l="1"/>
  <c r="AF56" i="6"/>
  <c r="AF57" i="6" s="1"/>
  <c r="AF19" i="9"/>
  <c r="AF15" i="13" s="1"/>
  <c r="AF15" i="7"/>
  <c r="AF82" i="6"/>
  <c r="AF42" i="39" l="1"/>
  <c r="AF58" i="6"/>
  <c r="AF18" i="9"/>
  <c r="AF14" i="13" s="1"/>
  <c r="AF100" i="6"/>
  <c r="AF14" i="7"/>
  <c r="AF152" i="40" l="1"/>
  <c r="AF43" i="39"/>
  <c r="AF140" i="40"/>
  <c r="AF141" i="40" s="1"/>
  <c r="AF142" i="40" s="1"/>
  <c r="AF117" i="40"/>
  <c r="AF171" i="40"/>
  <c r="AF59" i="6"/>
  <c r="AF143" i="40" l="1"/>
  <c r="AF144" i="40"/>
  <c r="AF145" i="40" s="1"/>
  <c r="AF177" i="40"/>
  <c r="AF173" i="40"/>
  <c r="AF188" i="40" s="1"/>
  <c r="AF172" i="40"/>
  <c r="AF174" i="40" s="1"/>
  <c r="AF163" i="40"/>
  <c r="AF164" i="40"/>
  <c r="AF119" i="40"/>
  <c r="AF124" i="40" s="1"/>
  <c r="AF118" i="40"/>
  <c r="AF126" i="40" s="1"/>
  <c r="AF187" i="40" l="1"/>
  <c r="AF121" i="40"/>
  <c r="AF189" i="40"/>
  <c r="AF35" i="39" s="1"/>
  <c r="AF178" i="40"/>
  <c r="AF180" i="40" s="1"/>
  <c r="AF179" i="40"/>
  <c r="AF181" i="40" s="1"/>
  <c r="AF147" i="40"/>
  <c r="AF146" i="40"/>
  <c r="AF120" i="40"/>
  <c r="AF122" i="40" s="1"/>
  <c r="AF127" i="40"/>
  <c r="AF128" i="40" s="1"/>
  <c r="AF46" i="39" s="1"/>
  <c r="AF175" i="40"/>
  <c r="AF176" i="40" s="1"/>
  <c r="AF123" i="40"/>
  <c r="AF125" i="40" s="1"/>
  <c r="AF154" i="40"/>
  <c r="AF184" i="40" l="1"/>
  <c r="AF182" i="40"/>
  <c r="AF190" i="40"/>
  <c r="AF41" i="33"/>
  <c r="AF42" i="33" s="1"/>
  <c r="AF44" i="39"/>
  <c r="AF50" i="39" s="1"/>
  <c r="AF51" i="39" s="1"/>
  <c r="AF183" i="40"/>
  <c r="AF45" i="39"/>
  <c r="AF39" i="6"/>
  <c r="AF40" i="33"/>
  <c r="AF191" i="40"/>
  <c r="AF153" i="40"/>
  <c r="AF156" i="40"/>
  <c r="AF159" i="40"/>
  <c r="AF192" i="40" l="1"/>
  <c r="AF36" i="39" s="1"/>
  <c r="AF185" i="40"/>
  <c r="AF186" i="40" s="1"/>
  <c r="AF193" i="40" s="1"/>
  <c r="AF47" i="33"/>
  <c r="AF48" i="33" s="1"/>
  <c r="AF49" i="33" s="1"/>
  <c r="AF51" i="33" s="1"/>
  <c r="AF52" i="33" s="1"/>
  <c r="AF53" i="33" s="1"/>
  <c r="AF54" i="33" s="1"/>
  <c r="AF43" i="33"/>
  <c r="AF41" i="6"/>
  <c r="AF42" i="6" s="1"/>
  <c r="AF43" i="6" s="1"/>
  <c r="AF40" i="6"/>
  <c r="AF53" i="39"/>
  <c r="AF158" i="40"/>
  <c r="AF155" i="40"/>
  <c r="AF157" i="40" s="1"/>
  <c r="AF160" i="40"/>
  <c r="AF161" i="40" l="1"/>
  <c r="AF162" i="40" s="1"/>
  <c r="AF34" i="39"/>
  <c r="AF37" i="39" s="1"/>
  <c r="AF47" i="39"/>
  <c r="AF44" i="6"/>
  <c r="AF48" i="6" s="1"/>
  <c r="AF14" i="39"/>
  <c r="AF52" i="39" l="1"/>
  <c r="AF16" i="39"/>
  <c r="AF49" i="6"/>
  <c r="AF51" i="6" s="1"/>
  <c r="AF52" i="6" s="1"/>
  <c r="AF50" i="6"/>
  <c r="AF56" i="39" l="1"/>
  <c r="AF18" i="39"/>
  <c r="AF54" i="39"/>
  <c r="AF55" i="39" s="1"/>
  <c r="AF17" i="39"/>
  <c r="AF19" i="39" s="1"/>
  <c r="AF20" i="39" s="1"/>
  <c r="AF21" i="39" l="1"/>
  <c r="AF60" i="6" s="1"/>
  <c r="AF62" i="6" s="1"/>
  <c r="AF61" i="6"/>
  <c r="AF57" i="39"/>
  <c r="AF38" i="39"/>
  <c r="AF63" i="6" l="1"/>
  <c r="AF9" i="9"/>
  <c r="AF6" i="13" s="1"/>
  <c r="AF70" i="6"/>
  <c r="AF6" i="7"/>
  <c r="AF64" i="6"/>
  <c r="AF75" i="6" l="1"/>
  <c r="AF71" i="6"/>
  <c r="AF65" i="6"/>
  <c r="AF7" i="7" l="1"/>
  <c r="AF99" i="6"/>
  <c r="AF90" i="6" s="1"/>
  <c r="AF11" i="9"/>
  <c r="AF7" i="13" s="1"/>
  <c r="AF78" i="6"/>
  <c r="AF25" i="9" l="1"/>
  <c r="AF21" i="7"/>
  <c r="AF14" i="9"/>
  <c r="AF10" i="7"/>
  <c r="AF95" i="6"/>
  <c r="AF10" i="13" l="1"/>
  <c r="AF101" i="6"/>
  <c r="AF103" i="6"/>
  <c r="AF21" i="13"/>
  <c r="AF102" i="6" l="1"/>
  <c r="AF105" i="6" s="1"/>
  <c r="AF104" i="6"/>
  <c r="AF106" i="6" s="1"/>
  <c r="AF107" i="6" s="1"/>
  <c r="AF91" i="6" s="1"/>
  <c r="AF26" i="9" l="1"/>
  <c r="AF22" i="7"/>
  <c r="AF89" i="6"/>
  <c r="AF28" i="9" l="1"/>
  <c r="AF24" i="13" s="1"/>
  <c r="AF20" i="7"/>
  <c r="AF93" i="6"/>
  <c r="AF22" i="13"/>
  <c r="AF20" i="13" s="1"/>
  <c r="AF24" i="9"/>
  <c r="AF25" i="7" l="1"/>
  <c r="AF30" i="9"/>
  <c r="AF96" i="6"/>
  <c r="AF27" i="7" l="1"/>
  <c r="AD30" i="7" s="1"/>
  <c r="AG111" i="6"/>
  <c r="AF26" i="13"/>
  <c r="AF32" i="9"/>
  <c r="AF28" i="13" s="1"/>
  <c r="AD31" i="13" s="1"/>
  <c r="AE31" i="13" l="1"/>
  <c r="AG22" i="68"/>
  <c r="AG147" i="33"/>
  <c r="AG179" i="33"/>
  <c r="AG138" i="33"/>
  <c r="AG77" i="6"/>
  <c r="AG157" i="33"/>
  <c r="AG43" i="68"/>
  <c r="AG97" i="33"/>
  <c r="AG135" i="6"/>
  <c r="AG141" i="33"/>
  <c r="AG67" i="8"/>
  <c r="AG72" i="33"/>
  <c r="AG165" i="33"/>
  <c r="AG202" i="33"/>
  <c r="AG64" i="8"/>
  <c r="AG26" i="8"/>
  <c r="AG28" i="68"/>
  <c r="A35" i="48"/>
  <c r="AG159" i="33"/>
  <c r="AG152" i="33"/>
  <c r="AG145" i="33"/>
  <c r="AG76" i="68"/>
  <c r="AG85" i="33"/>
  <c r="AG68" i="68"/>
  <c r="AG49" i="8"/>
  <c r="AG18" i="8"/>
  <c r="AG31" i="68"/>
  <c r="AG74" i="68"/>
  <c r="AG81" i="68"/>
  <c r="AG70" i="68"/>
  <c r="AG64" i="68"/>
  <c r="AG198" i="33"/>
  <c r="AG20" i="68"/>
  <c r="AG62" i="8"/>
  <c r="AG191" i="33"/>
  <c r="AG164" i="33"/>
  <c r="AG48" i="8"/>
  <c r="AG55" i="8" s="1"/>
  <c r="AG18" i="68"/>
  <c r="AG35" i="68"/>
  <c r="AG178" i="33"/>
  <c r="AG19" i="8"/>
  <c r="AG70" i="33"/>
  <c r="AG182" i="33"/>
  <c r="AG36" i="8"/>
  <c r="AG54" i="8"/>
  <c r="A35" i="50"/>
  <c r="AG60" i="68"/>
  <c r="AG160" i="33"/>
  <c r="AG189" i="33"/>
  <c r="AG38" i="68"/>
  <c r="AG194" i="33"/>
  <c r="AG197" i="33"/>
  <c r="AG95" i="33"/>
  <c r="AG82" i="33"/>
  <c r="AG42" i="68"/>
  <c r="AG91" i="33"/>
  <c r="AG204" i="33"/>
  <c r="AG196" i="33"/>
  <c r="AG52" i="68"/>
  <c r="AG78" i="68"/>
  <c r="AG71" i="68"/>
  <c r="AG94" i="33"/>
  <c r="AG151" i="33"/>
  <c r="AG188" i="33"/>
  <c r="AG19" i="68"/>
  <c r="AG60" i="8"/>
  <c r="AG175" i="33"/>
  <c r="AG90" i="33"/>
  <c r="AG27" i="8"/>
  <c r="AG47" i="8"/>
  <c r="AG183" i="33"/>
  <c r="AG39" i="8"/>
  <c r="AG29" i="68"/>
  <c r="AG149" i="33"/>
  <c r="AG89" i="33"/>
  <c r="AG61" i="8"/>
  <c r="AG26" i="68"/>
  <c r="AG74" i="6"/>
  <c r="AG10" i="9" s="1"/>
  <c r="AH10" i="9" s="1"/>
  <c r="AG24" i="68"/>
  <c r="AG69" i="68"/>
  <c r="AG83" i="33"/>
  <c r="AG14" i="68"/>
  <c r="AG158" i="33"/>
  <c r="AG136" i="33"/>
  <c r="AG84" i="6"/>
  <c r="AG143" i="33"/>
  <c r="AG51" i="8"/>
  <c r="AG73" i="33"/>
  <c r="AG180" i="33"/>
  <c r="AG156" i="33"/>
  <c r="AG153" i="33"/>
  <c r="AG63" i="8"/>
  <c r="AG176" i="33"/>
  <c r="AG81" i="33"/>
  <c r="AG17" i="8"/>
  <c r="AG75" i="68"/>
  <c r="AG80" i="68"/>
  <c r="AG187" i="33"/>
  <c r="AG163" i="33"/>
  <c r="AG201" i="33"/>
  <c r="AG56" i="68"/>
  <c r="AG161" i="33"/>
  <c r="AG142" i="33"/>
  <c r="AG144" i="33"/>
  <c r="AG200" i="33"/>
  <c r="AG79" i="68"/>
  <c r="AG84" i="33"/>
  <c r="AG154" i="33"/>
  <c r="AG63" i="68"/>
  <c r="AG33" i="68"/>
  <c r="AG147" i="6"/>
  <c r="AF6" i="67"/>
  <c r="AF9" i="67" s="1"/>
  <c r="AG185" i="33"/>
  <c r="AG199" i="33"/>
  <c r="AG141" i="6"/>
  <c r="AG92" i="33"/>
  <c r="AG25" i="8"/>
  <c r="AG137" i="33"/>
  <c r="AG86" i="33"/>
  <c r="AG192" i="33"/>
  <c r="AG46" i="8"/>
  <c r="AG23" i="68"/>
  <c r="AG155" i="33"/>
  <c r="AG77" i="68"/>
  <c r="AG54" i="68"/>
  <c r="AG41" i="68"/>
  <c r="AG66" i="8"/>
  <c r="AG71" i="33"/>
  <c r="AG58" i="68"/>
  <c r="AG186" i="33"/>
  <c r="AG195" i="33"/>
  <c r="AG87" i="33"/>
  <c r="AG53" i="68"/>
  <c r="AG80" i="33"/>
  <c r="AG37" i="68"/>
  <c r="AG148" i="33"/>
  <c r="AG55" i="68"/>
  <c r="AG177" i="33"/>
  <c r="AG32" i="68"/>
  <c r="AG146" i="33"/>
  <c r="AG17" i="68"/>
  <c r="AG190" i="33"/>
  <c r="AG27" i="68"/>
  <c r="AG93" i="33"/>
  <c r="AG38" i="8"/>
  <c r="AG39" i="68"/>
  <c r="AG69" i="33"/>
  <c r="AG66" i="68"/>
  <c r="AG181" i="33"/>
  <c r="AG57" i="68"/>
  <c r="AG65" i="68"/>
  <c r="AG68" i="33"/>
  <c r="AG203" i="33"/>
  <c r="AG59" i="68"/>
  <c r="AG21" i="68"/>
  <c r="AG28" i="8"/>
  <c r="AG67" i="68"/>
  <c r="AG73" i="68"/>
  <c r="AG88" i="33"/>
  <c r="AG40" i="68"/>
  <c r="AG24" i="8"/>
  <c r="AG193" i="33"/>
  <c r="AG36" i="68"/>
  <c r="AG16" i="68"/>
  <c r="AG115" i="6"/>
  <c r="AG61" i="68"/>
  <c r="AG139" i="33"/>
  <c r="AG50" i="8"/>
  <c r="AG25" i="68"/>
  <c r="AG184" i="33"/>
  <c r="AG34" i="68"/>
  <c r="AG96" i="33"/>
  <c r="AG140" i="33"/>
  <c r="AG35" i="8"/>
  <c r="AG162" i="33"/>
  <c r="AG62" i="68"/>
  <c r="AG15" i="68"/>
  <c r="AG37" i="8"/>
  <c r="AG72" i="68"/>
  <c r="AG30" i="68"/>
  <c r="AG16" i="8"/>
  <c r="AG52" i="8"/>
  <c r="AG76" i="6"/>
  <c r="AG150" i="33"/>
  <c r="AG116" i="6"/>
  <c r="AG77" i="8" s="1"/>
  <c r="AH77" i="8" s="1"/>
  <c r="AG88" i="6"/>
  <c r="AH88" i="6" s="1"/>
  <c r="AG112" i="6"/>
  <c r="AE30" i="7"/>
  <c r="AG23" i="8" l="1"/>
  <c r="AG22" i="8" s="1"/>
  <c r="AG34" i="8"/>
  <c r="AG33" i="8" s="1"/>
  <c r="AG15" i="8"/>
  <c r="AG14" i="8" s="1"/>
  <c r="AG44" i="68"/>
  <c r="AF16" i="67"/>
  <c r="C117" i="6"/>
  <c r="AG45" i="8"/>
  <c r="AG44" i="8" s="1"/>
  <c r="AG20" i="9"/>
  <c r="AG16" i="7"/>
  <c r="AH84" i="6"/>
  <c r="AG19" i="33"/>
  <c r="AF7" i="67"/>
  <c r="AG10" i="38"/>
  <c r="AG136" i="6"/>
  <c r="AG9" i="7"/>
  <c r="AG13" i="9"/>
  <c r="AH77" i="6"/>
  <c r="AH112" i="6"/>
  <c r="AF17" i="67"/>
  <c r="AG8" i="7"/>
  <c r="AG12" i="9"/>
  <c r="AH76" i="6"/>
  <c r="AG23" i="33"/>
  <c r="AF8" i="67"/>
  <c r="AG12" i="38"/>
  <c r="AG142" i="6"/>
  <c r="AG14" i="38"/>
  <c r="AG27" i="33"/>
  <c r="AF10" i="67"/>
  <c r="AG148" i="6"/>
  <c r="AG82" i="68"/>
  <c r="AG80" i="8"/>
  <c r="AG92" i="6" s="1"/>
  <c r="AG16" i="38" l="1"/>
  <c r="AG20" i="38" s="1"/>
  <c r="AG9" i="13"/>
  <c r="AH13" i="9"/>
  <c r="AG23" i="7"/>
  <c r="AG27" i="9"/>
  <c r="AH92" i="6"/>
  <c r="AG13" i="38"/>
  <c r="AG24" i="33"/>
  <c r="AH142" i="6"/>
  <c r="B18" i="67"/>
  <c r="C118" i="6"/>
  <c r="B19" i="67" s="1"/>
  <c r="D32" i="12"/>
  <c r="B32" i="12"/>
  <c r="AG8" i="13"/>
  <c r="AH12" i="9"/>
  <c r="AG16" i="13"/>
  <c r="AH20" i="9"/>
  <c r="AG131" i="6"/>
  <c r="AG83" i="68"/>
  <c r="AG132" i="6" s="1"/>
  <c r="AG15" i="38"/>
  <c r="AH148" i="6"/>
  <c r="AG28" i="33"/>
  <c r="AG20" i="33"/>
  <c r="AH136" i="6"/>
  <c r="AG11" i="38"/>
  <c r="AG45" i="68"/>
  <c r="AG128" i="6"/>
  <c r="AG17" i="38" l="1"/>
  <c r="A36" i="56" s="1"/>
  <c r="AG23" i="13"/>
  <c r="AH27" i="9"/>
  <c r="AG85" i="68"/>
  <c r="B31" i="12" s="1"/>
  <c r="D31" i="12" s="1"/>
  <c r="AG129" i="6"/>
  <c r="AG31" i="6" s="1"/>
  <c r="B24" i="12"/>
  <c r="AG90" i="38"/>
  <c r="AG66" i="38"/>
  <c r="AG21" i="38"/>
  <c r="AG42" i="38"/>
  <c r="B36" i="56" l="1"/>
  <c r="AH17" i="38"/>
  <c r="N4" i="38" s="1"/>
  <c r="D36" i="56" s="1"/>
  <c r="AG32" i="6"/>
  <c r="AH31" i="6"/>
  <c r="AG43" i="38"/>
  <c r="AG22" i="38"/>
  <c r="AG67" i="38"/>
  <c r="AG91" i="38"/>
  <c r="AG68" i="38" l="1"/>
  <c r="AG23" i="38"/>
  <c r="AG92" i="38"/>
  <c r="AG44" i="38"/>
  <c r="AG72" i="8"/>
  <c r="AG73" i="8" s="1"/>
  <c r="AG74" i="8" s="1"/>
  <c r="AG65" i="8" s="1"/>
  <c r="AF13" i="67" s="1"/>
  <c r="AH32" i="6"/>
  <c r="AG24" i="38" l="1"/>
  <c r="AG69" i="38"/>
  <c r="AG93" i="38"/>
  <c r="AG45" i="38"/>
  <c r="AG70" i="38" l="1"/>
  <c r="AG25" i="38"/>
  <c r="AG94" i="38"/>
  <c r="AG46" i="38"/>
  <c r="AG95" i="38" l="1"/>
  <c r="AG47" i="38"/>
  <c r="AG71" i="38"/>
  <c r="AG26" i="38"/>
  <c r="AG27" i="38" l="1"/>
  <c r="AG96" i="38"/>
  <c r="AG48" i="38"/>
  <c r="AG72" i="38"/>
  <c r="AG49" i="38" l="1"/>
  <c r="AG73" i="38"/>
  <c r="AG28" i="38"/>
  <c r="AG97" i="38"/>
  <c r="AG50" i="38" l="1"/>
  <c r="AG74" i="38"/>
  <c r="AG98" i="38"/>
  <c r="AG29" i="38"/>
  <c r="AG51" i="38" l="1"/>
  <c r="AG99" i="38"/>
  <c r="AG75" i="38"/>
  <c r="AG30" i="38"/>
  <c r="AG76" i="38" l="1"/>
  <c r="AG100" i="38"/>
  <c r="AG31" i="38"/>
  <c r="AG52" i="38"/>
  <c r="AG53" i="38" l="1"/>
  <c r="AG101" i="38"/>
  <c r="AG77" i="38"/>
  <c r="AG32" i="38"/>
  <c r="AG54" i="38" l="1"/>
  <c r="AG33" i="38"/>
  <c r="AG78" i="38"/>
  <c r="AG102" i="38"/>
  <c r="AG55" i="38" l="1"/>
  <c r="AG103" i="38"/>
  <c r="AG79" i="38"/>
  <c r="AG34" i="38"/>
  <c r="AG56" i="38" l="1"/>
  <c r="AG35" i="38"/>
  <c r="AG80" i="38"/>
  <c r="AG104" i="38"/>
  <c r="AG105" i="38" l="1"/>
  <c r="AG36" i="38"/>
  <c r="AG57" i="38"/>
  <c r="AG81" i="38"/>
  <c r="AG106" i="38" l="1"/>
  <c r="AG58" i="38"/>
  <c r="AG82" i="38"/>
  <c r="AG37" i="38"/>
  <c r="AG83" i="38" l="1"/>
  <c r="AG107" i="38"/>
  <c r="AG59" i="38"/>
  <c r="AG38" i="38"/>
  <c r="AG60" i="38" l="1"/>
  <c r="AG84" i="38"/>
  <c r="AG39" i="38"/>
  <c r="AG108" i="38"/>
  <c r="AG109" i="38" l="1"/>
  <c r="AG85" i="38"/>
  <c r="AG61" i="38"/>
  <c r="AG63" i="38" l="1"/>
  <c r="AG62" i="38"/>
  <c r="AH62" i="38" s="1"/>
  <c r="AG87" i="38"/>
  <c r="AG86" i="38"/>
  <c r="AH86" i="38" s="1"/>
  <c r="AG110" i="38"/>
  <c r="AH110" i="38" s="1"/>
  <c r="AG111" i="38"/>
  <c r="N5" i="38" l="1"/>
  <c r="F36" i="56" s="1"/>
  <c r="AG143" i="6"/>
  <c r="AH87" i="38"/>
  <c r="AG149" i="6"/>
  <c r="AH111" i="38"/>
  <c r="AG137" i="6"/>
  <c r="AH63" i="38"/>
  <c r="AG153" i="6" l="1"/>
  <c r="AG29" i="33"/>
  <c r="AG150" i="6"/>
  <c r="AG151" i="6"/>
  <c r="AG152" i="6" s="1"/>
  <c r="AH152" i="6" s="1"/>
  <c r="N6" i="38"/>
  <c r="E36" i="56" s="1"/>
  <c r="H35" i="56" s="1"/>
  <c r="AG138" i="6"/>
  <c r="AG21" i="33"/>
  <c r="AG139" i="6"/>
  <c r="AG25" i="33"/>
  <c r="AG144" i="6"/>
  <c r="AG145" i="6"/>
  <c r="AG146" i="6" s="1"/>
  <c r="AH146" i="6" s="1"/>
  <c r="AH144" i="6" l="1"/>
  <c r="AG26" i="33"/>
  <c r="AG30" i="33"/>
  <c r="AH150" i="6"/>
  <c r="AH138" i="6"/>
  <c r="AG22" i="33"/>
  <c r="AG140" i="6"/>
  <c r="AH140" i="6" s="1"/>
  <c r="D28" i="12" s="1"/>
  <c r="AG10" i="68"/>
  <c r="AG13" i="68" s="1"/>
  <c r="AG31" i="33"/>
  <c r="AG154" i="6"/>
  <c r="AG15" i="39" l="1"/>
  <c r="AH154" i="6"/>
  <c r="AG32" i="33"/>
  <c r="AG74" i="33" s="1"/>
  <c r="AG108" i="33" s="1"/>
  <c r="AG155" i="6"/>
  <c r="AG11" i="68"/>
  <c r="AG132" i="33"/>
  <c r="AG98" i="33"/>
  <c r="AG166" i="33"/>
  <c r="AG167" i="33" s="1"/>
  <c r="B27" i="12"/>
  <c r="D27" i="12"/>
  <c r="AH155" i="6" l="1"/>
  <c r="AG157" i="6"/>
  <c r="AG49" i="68"/>
  <c r="AG33" i="33"/>
  <c r="AG156" i="6"/>
  <c r="AG76" i="33"/>
  <c r="AG110" i="33" s="1"/>
  <c r="AG79" i="33"/>
  <c r="AG113" i="33" s="1"/>
  <c r="AG77" i="33"/>
  <c r="AG111" i="33" s="1"/>
  <c r="AG75" i="33"/>
  <c r="AG78" i="33"/>
  <c r="AG112" i="33" s="1"/>
  <c r="B29" i="12"/>
  <c r="B28" i="12"/>
  <c r="G2" i="64"/>
  <c r="AG12" i="68"/>
  <c r="AG127" i="6" s="1"/>
  <c r="Y2" i="64" l="1"/>
  <c r="AG67" i="6"/>
  <c r="AG50" i="68"/>
  <c r="AG130" i="6" s="1"/>
  <c r="AG87" i="6" s="1"/>
  <c r="AG35" i="33"/>
  <c r="AG48" i="68"/>
  <c r="AG232" i="33"/>
  <c r="AG216" i="33"/>
  <c r="AG228" i="33"/>
  <c r="AG219" i="33"/>
  <c r="AG218" i="33"/>
  <c r="AG226" i="33"/>
  <c r="AG229" i="33"/>
  <c r="AG234" i="33"/>
  <c r="AG217" i="33"/>
  <c r="AG233" i="33"/>
  <c r="AG230" i="33"/>
  <c r="AG239" i="33"/>
  <c r="AG237" i="33"/>
  <c r="AG222" i="33"/>
  <c r="AG256" i="33" s="1"/>
  <c r="AG243" i="33"/>
  <c r="AG238" i="33"/>
  <c r="AG223" i="33"/>
  <c r="AG257" i="33" s="1"/>
  <c r="AG240" i="33"/>
  <c r="AG224" i="33"/>
  <c r="AG258" i="33" s="1"/>
  <c r="AG242" i="33"/>
  <c r="AG221" i="33"/>
  <c r="AG255" i="33" s="1"/>
  <c r="AG236" i="33"/>
  <c r="AG227" i="33"/>
  <c r="AG241" i="33"/>
  <c r="AG215" i="33"/>
  <c r="AG220" i="33"/>
  <c r="AG254" i="33" s="1"/>
  <c r="AG231" i="33"/>
  <c r="AG225" i="33"/>
  <c r="AG259" i="33" s="1"/>
  <c r="AG235" i="33"/>
  <c r="AG214" i="33"/>
  <c r="AG109" i="33"/>
  <c r="AG99" i="33"/>
  <c r="AG70" i="8"/>
  <c r="AG34" i="33"/>
  <c r="AH156" i="6"/>
  <c r="AG158" i="6"/>
  <c r="AG244" i="33" l="1"/>
  <c r="AG245" i="33" s="1"/>
  <c r="AG278" i="33"/>
  <c r="AG205" i="33"/>
  <c r="AG206" i="33" s="1"/>
  <c r="AG29" i="9"/>
  <c r="AG23" i="9"/>
  <c r="AG19" i="7"/>
  <c r="AG24" i="7"/>
  <c r="AH87" i="6"/>
  <c r="B25" i="12"/>
  <c r="B26" i="12" s="1"/>
  <c r="D26" i="12"/>
  <c r="AG66" i="6"/>
  <c r="AH67" i="6"/>
  <c r="AG71" i="8"/>
  <c r="AG68" i="8"/>
  <c r="AH68" i="8" s="1"/>
  <c r="AG36" i="33"/>
  <c r="AH36" i="33" s="1"/>
  <c r="AG159" i="6"/>
  <c r="AG160" i="6"/>
  <c r="AG161" i="6" s="1"/>
  <c r="AG171" i="33"/>
  <c r="AF11" i="67"/>
  <c r="AG51" i="68"/>
  <c r="AG59" i="33" l="1"/>
  <c r="AG25" i="13"/>
  <c r="AH29" i="9"/>
  <c r="AG121" i="6"/>
  <c r="AH161" i="6"/>
  <c r="AG68" i="6"/>
  <c r="AH66" i="6"/>
  <c r="AH159" i="6"/>
  <c r="AG37" i="33"/>
  <c r="AH37" i="33" s="1"/>
  <c r="AG19" i="13"/>
  <c r="AH23" i="9"/>
  <c r="AG58" i="33"/>
  <c r="AF14" i="67" l="1"/>
  <c r="AG33" i="6"/>
  <c r="AH33" i="6" s="1"/>
  <c r="AG69" i="6"/>
  <c r="AH68" i="6"/>
  <c r="AG13" i="39"/>
  <c r="AG33" i="39" s="1"/>
  <c r="AG35" i="6"/>
  <c r="B30" i="12"/>
  <c r="AG123" i="6"/>
  <c r="AG34" i="6" l="1"/>
  <c r="AG8" i="9" s="1"/>
  <c r="AH34" i="6"/>
  <c r="A2" i="12" s="1"/>
  <c r="AG124" i="6"/>
  <c r="AG122" i="6"/>
  <c r="AG37" i="6"/>
  <c r="AH35" i="6"/>
  <c r="AG36" i="6" l="1"/>
  <c r="AH36" i="6" s="1"/>
  <c r="D24" i="12" s="1"/>
  <c r="AG5" i="7"/>
  <c r="AG38" i="6"/>
  <c r="AG86" i="6"/>
  <c r="AH37" i="6"/>
  <c r="AF12" i="67"/>
  <c r="AG39" i="46"/>
  <c r="AG39" i="62"/>
  <c r="AG69" i="8"/>
  <c r="AG59" i="8" s="1"/>
  <c r="AG58" i="8" s="1"/>
  <c r="AG81" i="8" s="1"/>
  <c r="AG81" i="6" s="1"/>
  <c r="AG40" i="46"/>
  <c r="AG40" i="62"/>
  <c r="AG5" i="13"/>
  <c r="AH8" i="9"/>
  <c r="AG13" i="7" l="1"/>
  <c r="AG195" i="6"/>
  <c r="AI195" i="6"/>
  <c r="AI196" i="6" s="1"/>
  <c r="AG17" i="9"/>
  <c r="AH81" i="6"/>
  <c r="AG22" i="9"/>
  <c r="AG18" i="7"/>
  <c r="AH86" i="6"/>
  <c r="AG55" i="6"/>
  <c r="AH38" i="6"/>
  <c r="AG18" i="13" l="1"/>
  <c r="AH22" i="9"/>
  <c r="AG13" i="13"/>
  <c r="AH17" i="9"/>
  <c r="AG56" i="6"/>
  <c r="AG57" i="6" s="1"/>
  <c r="AG41" i="39"/>
  <c r="AH195" i="6"/>
  <c r="AJ195" i="6" s="1"/>
  <c r="AG196" i="6"/>
  <c r="AH196" i="6" s="1"/>
  <c r="AJ196" i="6" s="1"/>
  <c r="AG85" i="6"/>
  <c r="AG21" i="9" l="1"/>
  <c r="AG17" i="7"/>
  <c r="AH85" i="6"/>
  <c r="AG83" i="6"/>
  <c r="AG42" i="39"/>
  <c r="AG58" i="6"/>
  <c r="AG15" i="7" l="1"/>
  <c r="AG19" i="9"/>
  <c r="AG82" i="6"/>
  <c r="AH83" i="6"/>
  <c r="AG171" i="40"/>
  <c r="AG117" i="40"/>
  <c r="AG43" i="39"/>
  <c r="AG140" i="40"/>
  <c r="AG141" i="40" s="1"/>
  <c r="AG142" i="40" s="1"/>
  <c r="AG152" i="40"/>
  <c r="AG59" i="6"/>
  <c r="AG17" i="13"/>
  <c r="AH21" i="9"/>
  <c r="AG143" i="40" l="1"/>
  <c r="AG144" i="40"/>
  <c r="AG100" i="6"/>
  <c r="AG18" i="9"/>
  <c r="AG14" i="7"/>
  <c r="AH82" i="6"/>
  <c r="AG163" i="40"/>
  <c r="AG118" i="40"/>
  <c r="AG120" i="40" s="1"/>
  <c r="AG119" i="40"/>
  <c r="AG124" i="40" s="1"/>
  <c r="AG164" i="40"/>
  <c r="AG15" i="13"/>
  <c r="AH19" i="9"/>
  <c r="AG173" i="40"/>
  <c r="AG188" i="40" s="1"/>
  <c r="AG177" i="40"/>
  <c r="AG172" i="40"/>
  <c r="AG187" i="40" s="1"/>
  <c r="AG121" i="40" l="1"/>
  <c r="AG145" i="40"/>
  <c r="AG146" i="40" s="1"/>
  <c r="AG127" i="40"/>
  <c r="AG175" i="40"/>
  <c r="AG123" i="40"/>
  <c r="AG125" i="40" s="1"/>
  <c r="AG44" i="39" s="1"/>
  <c r="AG50" i="39" s="1"/>
  <c r="AG51" i="39" s="1"/>
  <c r="AG189" i="40"/>
  <c r="AG35" i="39" s="1"/>
  <c r="AG126" i="40"/>
  <c r="AG128" i="40" s="1"/>
  <c r="AG46" i="39" s="1"/>
  <c r="AG122" i="40"/>
  <c r="AG40" i="33" s="1"/>
  <c r="AG174" i="40"/>
  <c r="AG176" i="40" s="1"/>
  <c r="AG14" i="13"/>
  <c r="AH18" i="9"/>
  <c r="AG178" i="40"/>
  <c r="AG183" i="40" s="1"/>
  <c r="AG179" i="40"/>
  <c r="AG191" i="40" s="1"/>
  <c r="AH100" i="6"/>
  <c r="AG45" i="39" l="1"/>
  <c r="AG53" i="39" s="1"/>
  <c r="AG147" i="40"/>
  <c r="AG39" i="6"/>
  <c r="AG41" i="6" s="1"/>
  <c r="AG41" i="33"/>
  <c r="AG42" i="33" s="1"/>
  <c r="AG180" i="40"/>
  <c r="AG43" i="33"/>
  <c r="AG190" i="40"/>
  <c r="AG192" i="40" s="1"/>
  <c r="AG36" i="39" s="1"/>
  <c r="AG184" i="40"/>
  <c r="AG185" i="40" s="1"/>
  <c r="AG181" i="40"/>
  <c r="AG153" i="40"/>
  <c r="AG154" i="40"/>
  <c r="AH39" i="6" l="1"/>
  <c r="AG182" i="40"/>
  <c r="AG186" i="40" s="1"/>
  <c r="AG193" i="40" s="1"/>
  <c r="AG40" i="6"/>
  <c r="AG44" i="6" s="1"/>
  <c r="AG47" i="33"/>
  <c r="AG48" i="33" s="1"/>
  <c r="AG49" i="33" s="1"/>
  <c r="AG51" i="33" s="1"/>
  <c r="AG52" i="33" s="1"/>
  <c r="AG53" i="33" s="1"/>
  <c r="AG54" i="33" s="1"/>
  <c r="AG42" i="6"/>
  <c r="AH41" i="6"/>
  <c r="AG159" i="40"/>
  <c r="AG156" i="40"/>
  <c r="AG158" i="40"/>
  <c r="AG160" i="40"/>
  <c r="AG155" i="40"/>
  <c r="AG157" i="40" s="1"/>
  <c r="AG14" i="39" l="1"/>
  <c r="AG16" i="39" s="1"/>
  <c r="AG161" i="40"/>
  <c r="AG162" i="40" s="1"/>
  <c r="AG34" i="39"/>
  <c r="AG37" i="39" s="1"/>
  <c r="AH40" i="6"/>
  <c r="AG43" i="6"/>
  <c r="AH43" i="6" s="1"/>
  <c r="AH42" i="6"/>
  <c r="AG48" i="6"/>
  <c r="AH44" i="6"/>
  <c r="AG52" i="39"/>
  <c r="AG47" i="39" l="1"/>
  <c r="AG56" i="39" s="1"/>
  <c r="AG54" i="39"/>
  <c r="AG55" i="39" s="1"/>
  <c r="AG17" i="39"/>
  <c r="AG18" i="39"/>
  <c r="AG50" i="6"/>
  <c r="AH50" i="6" s="1"/>
  <c r="AG49" i="6"/>
  <c r="AH48" i="6"/>
  <c r="AG51" i="6" l="1"/>
  <c r="AH49" i="6"/>
  <c r="AG19" i="39"/>
  <c r="AG20" i="39" s="1"/>
  <c r="AG57" i="39"/>
  <c r="AG38" i="39"/>
  <c r="AG61" i="6" l="1"/>
  <c r="AH61" i="6" s="1"/>
  <c r="AG21" i="39"/>
  <c r="AG60" i="6" s="1"/>
  <c r="AG52" i="6"/>
  <c r="AH52" i="6" s="1"/>
  <c r="AH51" i="6"/>
  <c r="AG62" i="6" l="1"/>
  <c r="AH60" i="6"/>
  <c r="B16" i="12" s="1"/>
  <c r="AG6" i="7" l="1"/>
  <c r="AG9" i="9"/>
  <c r="AG70" i="6"/>
  <c r="AG63" i="6"/>
  <c r="AH63" i="6" s="1"/>
  <c r="AH62" i="6"/>
  <c r="AG64" i="6"/>
  <c r="AG75" i="6" l="1"/>
  <c r="AH70" i="6"/>
  <c r="AG71" i="6"/>
  <c r="AG65" i="6"/>
  <c r="AH64" i="6"/>
  <c r="B17" i="12"/>
  <c r="B18" i="12"/>
  <c r="AG6" i="13"/>
  <c r="B19" i="12" s="1"/>
  <c r="AH9" i="9"/>
  <c r="AH71" i="6" l="1"/>
  <c r="A38" i="48"/>
  <c r="A37" i="48"/>
  <c r="AH65" i="6"/>
  <c r="B5" i="12"/>
  <c r="AG11" i="9"/>
  <c r="AG7" i="7"/>
  <c r="AG99" i="6"/>
  <c r="AH75" i="6"/>
  <c r="AG78" i="6"/>
  <c r="AG95" i="6" l="1"/>
  <c r="AG10" i="7"/>
  <c r="AG14" i="9"/>
  <c r="AH78" i="6"/>
  <c r="AG7" i="13"/>
  <c r="B6" i="12" s="1"/>
  <c r="AH11" i="9"/>
  <c r="B23" i="12"/>
  <c r="E5" i="12"/>
  <c r="D5" i="12" s="1"/>
  <c r="AG90" i="6"/>
  <c r="AH99" i="6"/>
  <c r="B34" i="12"/>
  <c r="B36" i="12" s="1"/>
  <c r="D36" i="12" s="1"/>
  <c r="B33" i="12"/>
  <c r="D33" i="12" s="1"/>
  <c r="AG10" i="13" l="1"/>
  <c r="AH14" i="9"/>
  <c r="AG25" i="9"/>
  <c r="AG21" i="7"/>
  <c r="AH90" i="6"/>
  <c r="AG103" i="6"/>
  <c r="AG101" i="6"/>
  <c r="AG21" i="13" l="1"/>
  <c r="AH25" i="9"/>
  <c r="AG102" i="6"/>
  <c r="AH101" i="6"/>
  <c r="AG104" i="6"/>
  <c r="AH102" i="6" l="1"/>
  <c r="AG105" i="6"/>
  <c r="AH105" i="6" s="1"/>
  <c r="AH104" i="6"/>
  <c r="AG106" i="6"/>
  <c r="AG107" i="6" l="1"/>
  <c r="AH106" i="6"/>
  <c r="AG91" i="6" l="1"/>
  <c r="AH107" i="6"/>
  <c r="AG22" i="7" l="1"/>
  <c r="AG26" i="9"/>
  <c r="AH91" i="6"/>
  <c r="AG89" i="6"/>
  <c r="AG28" i="9" l="1"/>
  <c r="AG20" i="7"/>
  <c r="AH89" i="6"/>
  <c r="AG93" i="6"/>
  <c r="AG22" i="13"/>
  <c r="AG20" i="13" s="1"/>
  <c r="B8" i="12" s="1"/>
  <c r="AH26" i="9"/>
  <c r="AG24" i="9"/>
  <c r="AH24" i="9" s="1"/>
  <c r="AG30" i="9" l="1"/>
  <c r="AG25" i="7"/>
  <c r="AH93" i="6"/>
  <c r="AG96" i="6"/>
  <c r="AG24" i="13"/>
  <c r="AH28" i="9"/>
  <c r="B7" i="12" s="1"/>
  <c r="AG27" i="7" l="1"/>
  <c r="AH96" i="6"/>
  <c r="AG26" i="13"/>
  <c r="AH30" i="9"/>
  <c r="AG32" i="9"/>
  <c r="AG28" i="13" l="1"/>
  <c r="AH32" i="9"/>
  <c r="AG30" i="7"/>
  <c r="B14" i="12"/>
  <c r="B12" i="12"/>
  <c r="D12" i="12" s="1"/>
  <c r="AF30" i="7"/>
  <c r="C31" i="7" l="1"/>
  <c r="B21" i="12" s="1"/>
  <c r="D21" i="12" s="1"/>
  <c r="B9" i="12"/>
  <c r="B15" i="12"/>
  <c r="AG31" i="13"/>
  <c r="B13" i="12"/>
  <c r="D13" i="12" s="1"/>
  <c r="AF31" i="13"/>
  <c r="C32" i="13" l="1"/>
  <c r="B22" i="12" s="1"/>
  <c r="D22" i="12" s="1"/>
  <c r="B11" i="12"/>
  <c r="D11" i="12" s="1"/>
  <c r="B10" i="12"/>
</calcChain>
</file>

<file path=xl/comments1.xml><?xml version="1.0" encoding="utf-8"?>
<comments xmlns="http://schemas.openxmlformats.org/spreadsheetml/2006/main">
  <authors>
    <author>Brunner, L.G. (Logan)</author>
    <author>L.G. Brunner BSc</author>
    <author>Christian C.F.M. Bos</author>
    <author>bos</author>
    <author>Logan Brunner</author>
    <author>Christian Bos</author>
  </authors>
  <commentList>
    <comment ref="S3" authorId="0" shapeId="0">
      <text>
        <r>
          <rPr>
            <sz val="9"/>
            <color indexed="81"/>
            <rFont val="Tahoma"/>
            <family val="2"/>
          </rPr>
          <t>Warning will be listed here if inconsistent input.</t>
        </r>
      </text>
    </comment>
    <comment ref="H5" authorId="1" shapeId="0">
      <text>
        <r>
          <rPr>
            <sz val="9"/>
            <color indexed="81"/>
            <rFont val="Tahoma"/>
            <family val="2"/>
          </rPr>
          <t>This is the area which contains the geothermal fluid.
This is used to calculate the area that drains to the production wells, as well as the total potential heat-in-place of the geothermal field.</t>
        </r>
      </text>
    </comment>
    <comment ref="P5" authorId="0" shapeId="0">
      <text>
        <r>
          <rPr>
            <sz val="9"/>
            <color indexed="81"/>
            <rFont val="Tahoma"/>
            <family val="2"/>
          </rPr>
          <t xml:space="preserve">Units for the uptime. This value should </t>
        </r>
        <r>
          <rPr>
            <b/>
            <sz val="9"/>
            <color indexed="81"/>
            <rFont val="Tahoma"/>
            <family val="2"/>
          </rPr>
          <t>not</t>
        </r>
        <r>
          <rPr>
            <sz val="9"/>
            <color indexed="81"/>
            <rFont val="Tahoma"/>
            <family val="2"/>
          </rPr>
          <t xml:space="preserve"> include downtime for workovers. Can select "</t>
        </r>
        <r>
          <rPr>
            <b/>
            <sz val="9"/>
            <color indexed="81"/>
            <rFont val="Tahoma"/>
            <family val="2"/>
          </rPr>
          <t>Fraction</t>
        </r>
        <r>
          <rPr>
            <sz val="9"/>
            <color indexed="81"/>
            <rFont val="Tahoma"/>
            <family val="2"/>
          </rPr>
          <t>" or "</t>
        </r>
        <r>
          <rPr>
            <b/>
            <sz val="9"/>
            <color indexed="81"/>
            <rFont val="Tahoma"/>
            <family val="2"/>
          </rPr>
          <t>Hours</t>
        </r>
        <r>
          <rPr>
            <sz val="9"/>
            <color indexed="81"/>
            <rFont val="Tahoma"/>
            <family val="2"/>
          </rPr>
          <t>".
Fraction is how much of the year is the plant running (max of 1) at full capacity.
Hours means how many hours out of one year is the plant running (max of 8760 hrs).</t>
        </r>
      </text>
    </comment>
    <comment ref="U5" authorId="2" shapeId="0">
      <text>
        <r>
          <rPr>
            <b/>
            <sz val="9"/>
            <color indexed="81"/>
            <rFont val="Tahoma"/>
            <charset val="1"/>
          </rPr>
          <t>This sets the first year of the time-series.</t>
        </r>
      </text>
    </comment>
    <comment ref="Z5" authorId="0" shapeId="0">
      <text>
        <r>
          <rPr>
            <sz val="9"/>
            <color indexed="81"/>
            <rFont val="Tahoma"/>
            <family val="2"/>
          </rPr>
          <t>Variable operating cost of the produced water on a m3 basis. Enter as a positive value. Can leave as zero.
Includes the cost of treatment of water before re-injection. This does not include the lifting costs associated with pumping the water.</t>
        </r>
      </text>
    </comment>
    <comment ref="AB5" authorId="1" shapeId="0">
      <text>
        <r>
          <rPr>
            <sz val="9"/>
            <color indexed="81"/>
            <rFont val="Tahoma"/>
            <family val="2"/>
          </rPr>
          <t>Warning will be listed here if inconsistent input.</t>
        </r>
      </text>
    </comment>
    <comment ref="AF5" authorId="3" shapeId="0">
      <text>
        <r>
          <rPr>
            <sz val="9"/>
            <color indexed="81"/>
            <rFont val="Tahoma"/>
            <family val="2"/>
          </rPr>
          <t xml:space="preserve">This input variable is used to automatically include the capex of cell AG6 in the year(s) that the cumulative number of wells exceeds (a multiple of) this value. </t>
        </r>
        <r>
          <rPr>
            <b/>
            <sz val="9"/>
            <color indexed="81"/>
            <rFont val="Tahoma"/>
            <family val="2"/>
          </rPr>
          <t xml:space="preserve">
</t>
        </r>
        <r>
          <rPr>
            <b/>
            <sz val="9"/>
            <color indexed="10"/>
            <rFont val="Tahoma"/>
            <family val="2"/>
          </rPr>
          <t xml:space="preserve">
- </t>
        </r>
        <r>
          <rPr>
            <sz val="9"/>
            <color indexed="10"/>
            <rFont val="Tahoma"/>
            <family val="2"/>
          </rPr>
          <t xml:space="preserve">Several new welll clusters may be constructed. </t>
        </r>
        <r>
          <rPr>
            <b/>
            <sz val="9"/>
            <color indexed="10"/>
            <rFont val="Tahoma"/>
            <family val="2"/>
          </rPr>
          <t xml:space="preserve">
- </t>
        </r>
        <r>
          <rPr>
            <sz val="9"/>
            <color indexed="10"/>
            <rFont val="Tahoma"/>
            <family val="2"/>
          </rPr>
          <t>In the current version, this number does not act as a   
    production constraint.
-  If cell is empty, this condition is ignored.</t>
        </r>
      </text>
    </comment>
    <comment ref="AG5" authorId="3" shapeId="0">
      <text>
        <r>
          <rPr>
            <b/>
            <sz val="9"/>
            <color indexed="81"/>
            <rFont val="Tahoma"/>
            <family val="2"/>
          </rPr>
          <t xml:space="preserve">THIS IS A DECISION
</t>
        </r>
        <r>
          <rPr>
            <sz val="9"/>
            <color indexed="10"/>
            <rFont val="Tahoma"/>
            <family val="2"/>
          </rPr>
          <t>When this number is changed, the input capex in the time-series rows and/or in cell AG6 should be changed accordingly.</t>
        </r>
        <r>
          <rPr>
            <b/>
            <sz val="9"/>
            <color indexed="81"/>
            <rFont val="Tahoma"/>
            <family val="2"/>
          </rPr>
          <t xml:space="preserve">
</t>
        </r>
      </text>
    </comment>
    <comment ref="H6" authorId="2" shapeId="0">
      <text>
        <r>
          <rPr>
            <sz val="9"/>
            <color indexed="81"/>
            <rFont val="Tahoma"/>
            <family val="2"/>
          </rPr>
          <t>This formation thickness is used to calculate the heat-in-place. All rock volume is assumed to contribute to heat flow. The rock volume (area x thickness) that contributes to the fluid flow is defined through the "Completion interval of the well", or 'h', under production variables.</t>
        </r>
      </text>
    </comment>
    <comment ref="P6" authorId="1" shapeId="0">
      <text>
        <r>
          <rPr>
            <sz val="9"/>
            <color indexed="81"/>
            <rFont val="Tahoma"/>
            <family val="2"/>
          </rPr>
          <t xml:space="preserve">This is how much the geothermal plant is working per year. This value should </t>
        </r>
        <r>
          <rPr>
            <u/>
            <sz val="9"/>
            <color indexed="81"/>
            <rFont val="Tahoma"/>
            <family val="2"/>
          </rPr>
          <t>not</t>
        </r>
        <r>
          <rPr>
            <sz val="9"/>
            <color indexed="81"/>
            <rFont val="Tahoma"/>
            <family val="2"/>
          </rPr>
          <t xml:space="preserve"> include downtime for workovers.
Fraction is how much of the year is the plant running (max of 1).
Hours means how many hours out of one year is the plant running (max of 8760 hrs).
</t>
        </r>
        <r>
          <rPr>
            <b/>
            <sz val="9"/>
            <color indexed="10"/>
            <rFont val="Tahoma"/>
            <family val="2"/>
          </rPr>
          <t>Error note:</t>
        </r>
        <r>
          <rPr>
            <sz val="9"/>
            <color indexed="10"/>
            <rFont val="Tahoma"/>
            <family val="2"/>
          </rPr>
          <t xml:space="preserve"> an error will appear next to this input either if "Fraction" is selected and the value is not between 0 and 1, or if "Hours" is selected and the value is not between 0 and 8760.</t>
        </r>
      </text>
    </comment>
    <comment ref="R6" authorId="0" shapeId="0">
      <text>
        <r>
          <rPr>
            <sz val="9"/>
            <color indexed="81"/>
            <rFont val="Tahoma"/>
            <family val="2"/>
          </rPr>
          <t>Warning will be listed here if inconsistent input.</t>
        </r>
      </text>
    </comment>
    <comment ref="U6" authorId="3" shapeId="0">
      <text>
        <r>
          <rPr>
            <b/>
            <sz val="9"/>
            <color indexed="81"/>
            <rFont val="Tahoma"/>
            <family val="2"/>
          </rPr>
          <t xml:space="preserve">Commercial Operation Date
Beware that this date must be later than the date of first development capex, and later than the first year of evaluation.
</t>
        </r>
        <r>
          <rPr>
            <sz val="9"/>
            <color indexed="81"/>
            <rFont val="Tahoma"/>
            <family val="2"/>
          </rPr>
          <t>If defined stochastically, beware that minimum of the pdf-range is not less than 1st year of evaluation.</t>
        </r>
      </text>
    </comment>
    <comment ref="W6" authorId="1" shapeId="0">
      <text>
        <r>
          <rPr>
            <sz val="9"/>
            <color indexed="81"/>
            <rFont val="Tahoma"/>
            <family val="2"/>
          </rPr>
          <t>Warning will be listed here if inconsistent input.</t>
        </r>
      </text>
    </comment>
    <comment ref="Z6" authorId="0" shapeId="0">
      <text>
        <r>
          <rPr>
            <b/>
            <sz val="9"/>
            <color indexed="81"/>
            <rFont val="Tahoma"/>
            <family val="2"/>
          </rPr>
          <t>Suggested default value</t>
        </r>
        <r>
          <rPr>
            <sz val="9"/>
            <color indexed="81"/>
            <rFont val="Tahoma"/>
            <family val="2"/>
          </rPr>
          <t xml:space="preserve"> for Indonesia is 2.5%.
See "Lit. examples" worksheet to see references to geothermal royalties.</t>
        </r>
      </text>
    </comment>
    <comment ref="AF6" authorId="3" shapeId="0">
      <text>
        <r>
          <rPr>
            <sz val="9"/>
            <color indexed="81"/>
            <rFont val="Tahoma"/>
            <family val="2"/>
          </rPr>
          <t>This allows the automatic inclusion of e.g. a new platform / well cluster to be added to the capex when the available well slots of the earlier platform(s) / clusters are all in use.</t>
        </r>
        <r>
          <rPr>
            <b/>
            <sz val="9"/>
            <color indexed="81"/>
            <rFont val="Tahoma"/>
            <family val="2"/>
          </rPr>
          <t xml:space="preserve">
</t>
        </r>
        <r>
          <rPr>
            <sz val="9"/>
            <color indexed="10"/>
            <rFont val="Tahoma"/>
            <family val="2"/>
          </rPr>
          <t>The capex will be spent in the year that the new well cluster becomes operational.
If cell AG5 is left blank, it is meaningless to specify a value here.
Note: the capex multiplier of cell AA12 is NOT active on the amount input in cell AG6 The two can however be correlated stochastically.</t>
        </r>
      </text>
    </comment>
    <comment ref="AH6" authorId="0" shapeId="0">
      <text>
        <r>
          <rPr>
            <sz val="9"/>
            <color indexed="81"/>
            <rFont val="Tahoma"/>
            <family val="2"/>
          </rPr>
          <t>Warning will be listed here if inconsistent input.</t>
        </r>
      </text>
    </comment>
    <comment ref="H7" authorId="2" shapeId="0">
      <text>
        <r>
          <rPr>
            <sz val="9"/>
            <color indexed="81"/>
            <rFont val="Tahoma"/>
            <family val="2"/>
          </rPr>
          <t>In the heat-in-place calculation, the porosoty determines the volumetric recovery factor of the field.</t>
        </r>
        <r>
          <rPr>
            <sz val="8"/>
            <color indexed="10"/>
            <rFont val="Tahoma"/>
            <family val="2"/>
          </rPr>
          <t xml:space="preserve">
</t>
        </r>
        <r>
          <rPr>
            <sz val="10"/>
            <color indexed="81"/>
            <rFont val="Tahoma"/>
            <family val="2"/>
          </rPr>
          <t xml:space="preserve">
</t>
        </r>
        <r>
          <rPr>
            <b/>
            <sz val="10"/>
            <color indexed="81"/>
            <rFont val="Tahoma"/>
            <family val="2"/>
          </rPr>
          <t>Porosity of select rocks, see Rock-props worksheet:</t>
        </r>
        <r>
          <rPr>
            <sz val="10"/>
            <color indexed="81"/>
            <rFont val="Tahoma"/>
            <family val="2"/>
          </rPr>
          <t xml:space="preserve">
Granite: 0.5 - 1.5 %
Dolerite: 0.1 - 0.5 %
Sandstone: 5.0 - 25.0 %
Shale: 10.0 - 30.0 %
Limestone: 5.0 - 20.0 %
Dolomite: 1.0 - 5.0 %
Quartzite: 0.1 - 0.5 %</t>
        </r>
      </text>
    </comment>
    <comment ref="P7" authorId="1" shapeId="0">
      <text>
        <r>
          <rPr>
            <sz val="9"/>
            <color indexed="81"/>
            <rFont val="Tahoma"/>
            <family val="2"/>
          </rPr>
          <t>'Success' for expl and appr wells normally means that they have provided the targeted information and that this information tends to lead to a development decision. In this version, 'success' means that these wells can be re-used as injector. In this version the choice has been made that expl/appr wells will never be re-used as producer. 
If yes is selected, then the "successful" exploration and appraisal wells will be re-used as injection wells, incurring no new drilling costs for injectors, as specified by the producer/injector ratio. New injection wells will only be drilled after all successful exploration and appraisal well have been re-used as injector. 
If no is selected, then every injection well will be drilled as they are needed (as per user-defined producer/injector ratio), incurring drilling costs as specified in the "Well-related costs" worksheet.</t>
        </r>
      </text>
    </comment>
    <comment ref="U7" authorId="2" shapeId="0">
      <text>
        <r>
          <rPr>
            <sz val="9"/>
            <color indexed="81"/>
            <rFont val="Tahoma"/>
            <family val="2"/>
          </rPr>
          <t xml:space="preserve">This period defines the mandatory </t>
        </r>
        <r>
          <rPr>
            <b/>
            <sz val="9"/>
            <color indexed="81"/>
            <rFont val="Tahoma"/>
            <family val="2"/>
          </rPr>
          <t>monitoring period</t>
        </r>
        <r>
          <rPr>
            <sz val="9"/>
            <color indexed="81"/>
            <rFont val="Tahoma"/>
            <family val="2"/>
          </rPr>
          <t xml:space="preserve"> following field closure and before facilities can be removed, wells plugged and abandoned, and the liability transferred to the aurthorities. </t>
        </r>
      </text>
    </comment>
    <comment ref="AF7" authorId="3" shapeId="0">
      <text>
        <r>
          <rPr>
            <sz val="9"/>
            <color indexed="81"/>
            <rFont val="Tahoma"/>
            <family val="2"/>
          </rPr>
          <t xml:space="preserve">Following start of production, the number of </t>
        </r>
        <r>
          <rPr>
            <i/>
            <u/>
            <sz val="9"/>
            <color indexed="81"/>
            <rFont val="Tahoma"/>
            <family val="2"/>
          </rPr>
          <t>consecutive</t>
        </r>
        <r>
          <rPr>
            <sz val="9"/>
            <color indexed="81"/>
            <rFont val="Tahoma"/>
            <family val="2"/>
          </rPr>
          <t xml:space="preserve"> years the field will be allowed to sustain a yearly negative net cashflow. 
</t>
        </r>
        <r>
          <rPr>
            <sz val="8"/>
            <color indexed="10"/>
            <rFont val="Tahoma"/>
            <family val="2"/>
          </rPr>
          <t>If this condition is satisfied, the field will be automatically shut-in, and abandoned following the mandatory observation period (see cell V7).</t>
        </r>
      </text>
    </comment>
    <comment ref="H8" authorId="1" shapeId="0">
      <text>
        <r>
          <rPr>
            <sz val="9"/>
            <color indexed="81"/>
            <rFont val="Tahoma"/>
            <family val="2"/>
          </rPr>
          <t>This value is used to calculate the heat-in-place of the geothermal field.</t>
        </r>
        <r>
          <rPr>
            <b/>
            <sz val="9"/>
            <color indexed="81"/>
            <rFont val="Tahoma"/>
            <family val="2"/>
          </rPr>
          <t xml:space="preserve">
Density of select rocks, see Rock-props worksheet:</t>
        </r>
        <r>
          <rPr>
            <sz val="9"/>
            <color indexed="81"/>
            <rFont val="Tahoma"/>
            <family val="2"/>
          </rPr>
          <t xml:space="preserve">
Andesite: 2500 – 2800 kg/m3
Basalt/Traprock: 2800 – 3000 kg/m3
Coal – Anthracite: 1300 kg/m3
Coal – Bituminous: 1100 – 1400 kg/m3
Copper Ore: 2000 kg/m3
Diabase: 2600 – 3000 kg/m3
Diorite: 2800 – 3000 kg/m3
Dolomite: 2800 – 2900 kg/m3
Earth (dry): 1600 – 1800 kg/m3
Earth (wet): 2000 kg/m3
Gneiss: 2600 – 2900 kg/m3
Granite: 2600 – 2700 kg/m3
Gypsum: 2300 – 2800 kg/m3
Iron Ore: 4500 – 5300 kg/m3
Lead Ore (Galena): 7500 kg/m3
Limestone: 2300 – 2700 kg/m3
Marble: 2400 – 2700 kg/m3
Mica, schist: 2500 – 2900 kg/m3
Quartzite: 2600 – 2800 kg/m3
Rhyolite: 2400 – 2600 kg/m3
Rock Salt: 2500 – 2600 kg/m3
Sandstone: 2200 – 2800 kg/m3
Shale: 2400 – 2800 kg/m3
Slate: 2700 – 2800 kg/m3
Talc: 2600 – 2800 kg/m3
</t>
        </r>
      </text>
    </comment>
    <comment ref="P8" authorId="3" shapeId="0">
      <text>
        <r>
          <rPr>
            <sz val="9"/>
            <color indexed="81"/>
            <rFont val="Tahoma"/>
            <family val="2"/>
          </rPr>
          <t xml:space="preserve">Injectors will be automatically included in the drillex. Given the number of producers defined in the timeseries below, the required number of injectors is calculated and assumed to be drilled in the same year. This drilling scheme will be plotted in graph "Fig. Rig".
Note: in this version, it is assumed that all injectors drilled to match the given producer/injector ratio are successful, i.e. they cannot fail. 
For this ratio, a default value of 1 may be suggested, although many other development schemes may apply. A ratio of 1 will apply in case of a development using the 'geothermal doublet' concept (one producer + one injector, to sweep the hot water from the injector to the producer). However, in volcanic rock the doublet development concept may not apply. Also, in geothermal fields often the injectivity of the injectors is the main production constraint. It may therefore be advantageous to increase the nr of injectors. 
</t>
        </r>
        <r>
          <rPr>
            <b/>
            <sz val="9"/>
            <color indexed="10"/>
            <rFont val="Tahoma"/>
            <family val="2"/>
          </rPr>
          <t>Error note:</t>
        </r>
        <r>
          <rPr>
            <sz val="9"/>
            <color indexed="10"/>
            <rFont val="Tahoma"/>
            <family val="2"/>
          </rPr>
          <t xml:space="preserve"> an error will appear next to this input either if the projector/injector ratio is less than 0.</t>
        </r>
      </text>
    </comment>
    <comment ref="Q8" authorId="3" shapeId="0">
      <text>
        <r>
          <rPr>
            <b/>
            <sz val="9"/>
            <color indexed="81"/>
            <rFont val="Tahoma"/>
            <family val="2"/>
          </rPr>
          <t xml:space="preserve">THIS IS A DECISION and may be based on a reservoir simulation study. 
</t>
        </r>
        <r>
          <rPr>
            <sz val="9"/>
            <color indexed="81"/>
            <rFont val="Tahoma"/>
            <family val="2"/>
          </rPr>
          <t>If new production wells are drilled, then new injectors will be automatically added to the total well count according to the indicated ratio. 
These wells will be accrued to the capex/drillex, and be automatically depreciated.</t>
        </r>
      </text>
    </comment>
    <comment ref="R8" authorId="0" shapeId="0">
      <text>
        <r>
          <rPr>
            <sz val="9"/>
            <color indexed="81"/>
            <rFont val="Tahoma"/>
            <family val="2"/>
          </rPr>
          <t>Warning will be listed here if inconsistent input.</t>
        </r>
      </text>
    </comment>
    <comment ref="U8" authorId="3" shapeId="0">
      <text>
        <r>
          <rPr>
            <sz val="9"/>
            <color indexed="81"/>
            <rFont val="Tahoma"/>
            <family val="2"/>
          </rPr>
          <t xml:space="preserve">A warning will be given in the KPIs worksheet if this number is exceeded. It will however not act as a constraint.
</t>
        </r>
        <r>
          <rPr>
            <sz val="9"/>
            <color indexed="10"/>
            <rFont val="Tahoma"/>
            <family val="2"/>
          </rPr>
          <t xml:space="preserve">
If cell is empty, this condition is ignored.</t>
        </r>
      </text>
    </comment>
    <comment ref="Z8" authorId="2" shapeId="0">
      <text>
        <r>
          <rPr>
            <b/>
            <sz val="9"/>
            <color indexed="81"/>
            <rFont val="Tahoma"/>
            <family val="2"/>
          </rPr>
          <t>Suggested default tax rate</t>
        </r>
        <r>
          <rPr>
            <sz val="9"/>
            <color indexed="81"/>
            <rFont val="Tahoma"/>
            <family val="2"/>
          </rPr>
          <t xml:space="preserve"> for Indonesia: 25% (this was the value for the 2015 fiscal year). 
Note: this value is 20% for public companies who trade over 40% of their shares in Indonesia. Also, if gross income is over 50 billion rupiah, then this value is lowered to 12.5%
The project is assumed to be ringfenced, i.e. the project is treated fiscally as an independent venture: income and costs from other ventures of the same company cannot be offset against the income and costs of this project. </t>
        </r>
      </text>
    </comment>
    <comment ref="AF8" authorId="3" shapeId="0">
      <text>
        <r>
          <rPr>
            <sz val="9"/>
            <color indexed="81"/>
            <rFont val="Tahoma"/>
            <family val="2"/>
          </rPr>
          <t xml:space="preserve">When closing-in the field, either due to too low a FTHT or due to NCF&lt;0 for more than the specified number of consecutive years (AG7), the field needs to be monitored over the specified period (V7) prior to decommissioning / abandonment. 
</t>
        </r>
        <r>
          <rPr>
            <sz val="8"/>
            <color indexed="10"/>
            <rFont val="Tahoma"/>
            <family val="2"/>
          </rPr>
          <t>Enter here the opex applicable during this monitoring period ($ MM/yr)
Note that in this version of the GEOCAP tool this opex is not tax-deductible, as the LCB tax facility (Loss Carry Back) has not yet been implemented.</t>
        </r>
      </text>
    </comment>
    <comment ref="AH8" authorId="0" shapeId="0">
      <text>
        <r>
          <rPr>
            <sz val="9"/>
            <color indexed="81"/>
            <rFont val="Tahoma"/>
            <family val="2"/>
          </rPr>
          <t>Warning will be listed here if inconsistent input.</t>
        </r>
      </text>
    </comment>
    <comment ref="H9" authorId="2" shapeId="0">
      <text>
        <r>
          <rPr>
            <sz val="9"/>
            <color indexed="81"/>
            <rFont val="Tahoma"/>
            <family val="2"/>
          </rPr>
          <t xml:space="preserve">This value is used to calculate the heat-in-place of the geothermal field.
</t>
        </r>
        <r>
          <rPr>
            <b/>
            <sz val="9"/>
            <color indexed="81"/>
            <rFont val="Tahoma"/>
            <family val="2"/>
          </rPr>
          <t xml:space="preserve">SPECIFIC HEAT CAPACITIES OF ROCKS
Ref. Schärli and Rybach (2001):  
</t>
        </r>
        <r>
          <rPr>
            <sz val="9"/>
            <color indexed="81"/>
            <rFont val="Tahoma"/>
            <family val="2"/>
          </rPr>
          <t>granodiorite 0.752 kJ/kgK
diorite  0.720 kJ/kgK
peridotite 0.827 kJ/kgK
peridotite 0.855 kJ/kgK</t>
        </r>
        <r>
          <rPr>
            <b/>
            <sz val="9"/>
            <color indexed="81"/>
            <rFont val="Tahoma"/>
            <family val="2"/>
          </rPr>
          <t xml:space="preserve">
Ref. ETB (2011):
</t>
        </r>
        <r>
          <rPr>
            <sz val="9"/>
            <color indexed="81"/>
            <rFont val="Tahoma"/>
            <family val="2"/>
          </rPr>
          <t>Augite  0.8 kJ/kgK
Basalt rock 0.84 kJ/kgK
Dolomite rock 0.92 kJ/kgK
Garnet  0.75 kJ/kgK
Granite  0.79 kJ/kgK
Hornblende 0.84 kJ/kgK
Hypersthene 0.8 kJ/kgK
Labradorite 0.8 kJ/kgK
Lava  0.84 kJ/kgK
Limestone 0.84 kJ/kgK
Sand  0.8 kJ/kgK
Sandstone 0.92 kJ/kgK
Serpentine 1.09 kJ/kgK</t>
        </r>
        <r>
          <rPr>
            <b/>
            <sz val="9"/>
            <color indexed="81"/>
            <rFont val="Tahoma"/>
            <family val="2"/>
          </rPr>
          <t xml:space="preserve">
</t>
        </r>
      </text>
    </comment>
    <comment ref="P9" authorId="2" shapeId="0">
      <text>
        <r>
          <rPr>
            <sz val="9"/>
            <color indexed="81"/>
            <rFont val="Tahoma"/>
            <family val="2"/>
          </rPr>
          <t>In very thick formations, production wells may not be completed over the full length. To compute the well's inflow, assuming radially symmetric flow, the representative 'h' should be specified here.</t>
        </r>
        <r>
          <rPr>
            <sz val="9"/>
            <color indexed="10"/>
            <rFont val="Tahoma"/>
            <family val="2"/>
          </rPr>
          <t xml:space="preserve">
</t>
        </r>
        <r>
          <rPr>
            <b/>
            <sz val="9"/>
            <color indexed="10"/>
            <rFont val="Tahoma"/>
            <family val="2"/>
          </rPr>
          <t>Error note:</t>
        </r>
        <r>
          <rPr>
            <sz val="9"/>
            <color indexed="10"/>
            <rFont val="Tahoma"/>
            <family val="2"/>
          </rPr>
          <t xml:space="preserve"> an error will appear next to this input if the completion interval of the well is larger than the formation thickness in the geological and flow variables table.</t>
        </r>
      </text>
    </comment>
    <comment ref="R9" authorId="0" shapeId="0">
      <text>
        <r>
          <rPr>
            <sz val="9"/>
            <color indexed="81"/>
            <rFont val="Tahoma"/>
            <family val="2"/>
          </rPr>
          <t>Warning will be listed here if inconsistent input.</t>
        </r>
      </text>
    </comment>
    <comment ref="U9" authorId="0" shapeId="0">
      <text>
        <r>
          <rPr>
            <sz val="9"/>
            <color indexed="81"/>
            <rFont val="Tahoma"/>
            <family val="2"/>
          </rPr>
          <t>How long the workover lasts. This will reduce the uptime capacity.
Workovers occur simultaneously and not consecutively.</t>
        </r>
      </text>
    </comment>
    <comment ref="Z9" authorId="0" shapeId="0">
      <text>
        <r>
          <rPr>
            <sz val="9"/>
            <color indexed="81"/>
            <rFont val="Tahoma"/>
            <family val="2"/>
          </rPr>
          <t xml:space="preserve">To enable the calculation of taxable income, specify how the capex will depreciate over time:
</t>
        </r>
        <r>
          <rPr>
            <b/>
            <sz val="9"/>
            <color indexed="81"/>
            <rFont val="Tahoma"/>
            <family val="2"/>
          </rPr>
          <t>SLN</t>
        </r>
        <r>
          <rPr>
            <sz val="9"/>
            <color indexed="81"/>
            <rFont val="Tahoma"/>
            <family val="2"/>
          </rPr>
          <t xml:space="preserve"> - Straight line depreciation
Constant decrease in value each year.
</t>
        </r>
        <r>
          <rPr>
            <b/>
            <sz val="9"/>
            <color indexed="81"/>
            <rFont val="Tahoma"/>
            <family val="2"/>
          </rPr>
          <t>DB</t>
        </r>
        <r>
          <rPr>
            <sz val="9"/>
            <color indexed="81"/>
            <rFont val="Tahoma"/>
            <family val="2"/>
          </rPr>
          <t xml:space="preserve"> - Declining balance depreciation
Decrease at a fixed rate each year. Depreciation is higher at the beginning than at the end.
</t>
        </r>
        <r>
          <rPr>
            <b/>
            <sz val="9"/>
            <color indexed="81"/>
            <rFont val="Tahoma"/>
            <family val="2"/>
          </rPr>
          <t>DDB</t>
        </r>
        <r>
          <rPr>
            <sz val="9"/>
            <color indexed="81"/>
            <rFont val="Tahoma"/>
            <family val="2"/>
          </rPr>
          <t xml:space="preserve"> - Double declining balance depreciation
Decrease at an accelerated rate each year. Depreciation is higher at the beginning than at the end.</t>
        </r>
      </text>
    </comment>
    <comment ref="AF9" authorId="0" shapeId="0">
      <text>
        <r>
          <rPr>
            <sz val="9"/>
            <color indexed="81"/>
            <rFont val="Tahoma"/>
            <family val="2"/>
          </rPr>
          <t xml:space="preserve">The abd cost can be entered either directly in cell AG10 (as a positive number), or can be entered as a % of the cumulative capex in cell AG11. 
</t>
        </r>
        <r>
          <rPr>
            <sz val="9"/>
            <color indexed="10"/>
            <rFont val="Tahoma"/>
            <family val="2"/>
          </rPr>
          <t xml:space="preserve">Cum capex includes the capex entered in row xx (multiplied by the multiplier of cell AA12), and the calculated drillex for the total number of wells drilled and capex for the total number of additional platforms constructed (which is output of the model). </t>
        </r>
        <r>
          <rPr>
            <sz val="9"/>
            <color indexed="81"/>
            <rFont val="Tahoma"/>
            <family val="2"/>
          </rPr>
          <t xml:space="preserve">
</t>
        </r>
        <r>
          <rPr>
            <sz val="9"/>
            <color indexed="10"/>
            <rFont val="Tahoma"/>
            <family val="2"/>
          </rPr>
          <t xml:space="preserve">
If a value is entered in cell AG10, the value entered in cell AG11 will be ignored.</t>
        </r>
      </text>
    </comment>
    <comment ref="B10" authorId="2" shapeId="0">
      <text>
        <r>
          <rPr>
            <b/>
            <sz val="9"/>
            <color indexed="81"/>
            <rFont val="Tahoma"/>
            <family val="2"/>
          </rPr>
          <t xml:space="preserve">See hyperlink to the table in this workbook.
</t>
        </r>
        <r>
          <rPr>
            <sz val="9"/>
            <color indexed="81"/>
            <rFont val="Tahoma"/>
            <family val="2"/>
          </rPr>
          <t xml:space="preserve">
1 = Granitic/higher‐grade metamorphic
2 = Tertiary and older volcanic/volcaniclastic (large‐scale volcanic structures absent)
3 = Younger volcanic/volcaniclastic (large‐scale volcanic structures (volcanoes, calderas) preserved)
4 = Sedimentary basin (clastic, drilled above basement)
5 = Sedimentary basin (clastic, wells drilled into basement)
</t>
        </r>
        <r>
          <rPr>
            <sz val="9"/>
            <color indexed="10"/>
            <rFont val="Tahoma"/>
            <family val="2"/>
          </rPr>
          <t xml:space="preserve">Note that this geological code does not influence any calculation in this workbook. 
 </t>
        </r>
        <r>
          <rPr>
            <sz val="9"/>
            <color indexed="81"/>
            <rFont val="Tahoma"/>
            <family val="2"/>
          </rPr>
          <t xml:space="preserve">
Ref. S.K. Sanyal, “Classification of Geothermal Systems – A Possible Scheme” (paper presented at the 30th Workshop on Geothermal Reservoir Engineering, Stanford University, Stanford, California, January 31–February 2, 2005). SGP –TR-176.
International Finance Corporation, Success of Geothermal Wells: A Global Study (June 2013) </t>
        </r>
      </text>
    </comment>
    <comment ref="H10" authorId="2" shapeId="0">
      <text>
        <r>
          <rPr>
            <sz val="9"/>
            <color indexed="81"/>
            <rFont val="Tahoma"/>
            <family val="2"/>
          </rPr>
          <t xml:space="preserve">The reservoir permeability is used to compute a well's flow potential based on Darcy's law and assuming steady-state inflow conditions. Ultimately, this determines a production well's geothermal capacity in MWe. </t>
        </r>
      </text>
    </comment>
    <comment ref="P10" authorId="0" shapeId="0">
      <text>
        <r>
          <rPr>
            <sz val="9"/>
            <color indexed="81"/>
            <rFont val="Tahoma"/>
            <family val="2"/>
          </rPr>
          <t>Specify how much power is used for the pumps to reinject the fluid into the subsurface.
Pumps are used to raise the pressure head of the water before reinjecting it into the reservoir. It is assumed that each injector has a pump at the wellhead and that each pump uses this amount of power.
In Indonesia, GTE wells are in principle free-flowing, i.e. no pumps are used for production, thus this is assumed in this worksheet.
The electricity used by the pumps is shown in the plot Fig. Electricity.
As a potential future work, the power needed to lower the water column and provide the user-specified FBHP will be calculated for GTE wells that are not free-flowing.</t>
        </r>
      </text>
    </comment>
    <comment ref="U10" authorId="3" shapeId="0">
      <text>
        <r>
          <rPr>
            <sz val="9"/>
            <color indexed="81"/>
            <rFont val="Tahoma"/>
            <family val="2"/>
          </rPr>
          <t xml:space="preserve">Enter how frequently a </t>
        </r>
        <r>
          <rPr>
            <b/>
            <sz val="9"/>
            <color indexed="81"/>
            <rFont val="Tahoma"/>
            <family val="2"/>
          </rPr>
          <t>production</t>
        </r>
        <r>
          <rPr>
            <sz val="9"/>
            <color indexed="81"/>
            <rFont val="Tahoma"/>
            <family val="2"/>
          </rPr>
          <t xml:space="preserve"> well on average is to be worked-over.</t>
        </r>
      </text>
    </comment>
    <comment ref="Z10" authorId="1" shapeId="0">
      <text>
        <r>
          <rPr>
            <sz val="9"/>
            <color indexed="81"/>
            <rFont val="Tahoma"/>
            <family val="2"/>
          </rPr>
          <t>The number of years you want the captial expenditures to depreciate over.</t>
        </r>
      </text>
    </comment>
    <comment ref="AH10" authorId="1" shapeId="0">
      <text>
        <r>
          <rPr>
            <sz val="9"/>
            <color indexed="81"/>
            <rFont val="Tahoma"/>
            <family val="2"/>
          </rPr>
          <t>Warning will be listed here if inconsistent input.</t>
        </r>
      </text>
    </comment>
    <comment ref="B11" authorId="2" shapeId="0">
      <text>
        <r>
          <rPr>
            <b/>
            <sz val="9"/>
            <color indexed="81"/>
            <rFont val="Tahoma"/>
            <family val="2"/>
          </rPr>
          <t xml:space="preserve">Resource Codes
</t>
        </r>
        <r>
          <rPr>
            <sz val="9"/>
            <color indexed="81"/>
            <rFont val="Tahoma"/>
            <family val="2"/>
          </rPr>
          <t xml:space="preserve">Geothermal resources can be allocated a “Resource Code,” ranging from one to seven, indicating the approximate enthalpy of the fluid produced from a well. In this workbook, the calculated FTHT is taken for this temperature. This resource code follows the classification scheme for geothermal reservoirs proposed by Sanyal (2005): </t>
        </r>
        <r>
          <rPr>
            <b/>
            <sz val="9"/>
            <color indexed="81"/>
            <rFont val="Tahoma"/>
            <family val="2"/>
          </rPr>
          <t xml:space="preserve">
1) non-electrical grade (&lt;100</t>
        </r>
        <r>
          <rPr>
            <b/>
            <vertAlign val="superscript"/>
            <sz val="9"/>
            <color indexed="81"/>
            <rFont val="Tahoma"/>
            <family val="2"/>
          </rPr>
          <t>o</t>
        </r>
        <r>
          <rPr>
            <b/>
            <sz val="9"/>
            <color indexed="81"/>
            <rFont val="Tahoma"/>
            <family val="2"/>
          </rPr>
          <t>C);
2) very low temperature (100</t>
        </r>
        <r>
          <rPr>
            <b/>
            <vertAlign val="superscript"/>
            <sz val="9"/>
            <color indexed="81"/>
            <rFont val="Tahoma"/>
            <family val="2"/>
          </rPr>
          <t>o</t>
        </r>
        <r>
          <rPr>
            <b/>
            <sz val="9"/>
            <color indexed="81"/>
            <rFont val="Tahoma"/>
            <family val="2"/>
          </rPr>
          <t>C to &lt;150</t>
        </r>
        <r>
          <rPr>
            <b/>
            <vertAlign val="superscript"/>
            <sz val="9"/>
            <color indexed="81"/>
            <rFont val="Tahoma"/>
            <family val="2"/>
          </rPr>
          <t>o</t>
        </r>
        <r>
          <rPr>
            <b/>
            <sz val="9"/>
            <color indexed="81"/>
            <rFont val="Tahoma"/>
            <family val="2"/>
          </rPr>
          <t>C);
3) low temperature (150</t>
        </r>
        <r>
          <rPr>
            <b/>
            <vertAlign val="superscript"/>
            <sz val="9"/>
            <color indexed="81"/>
            <rFont val="Tahoma"/>
            <family val="2"/>
          </rPr>
          <t>o</t>
        </r>
        <r>
          <rPr>
            <b/>
            <sz val="9"/>
            <color indexed="81"/>
            <rFont val="Tahoma"/>
            <family val="2"/>
          </rPr>
          <t>C to &lt;190</t>
        </r>
        <r>
          <rPr>
            <b/>
            <vertAlign val="superscript"/>
            <sz val="9"/>
            <color indexed="81"/>
            <rFont val="Tahoma"/>
            <family val="2"/>
          </rPr>
          <t>o</t>
        </r>
        <r>
          <rPr>
            <b/>
            <sz val="9"/>
            <color indexed="81"/>
            <rFont val="Tahoma"/>
            <family val="2"/>
          </rPr>
          <t>C);
4) moderate temperature (190</t>
        </r>
        <r>
          <rPr>
            <b/>
            <vertAlign val="superscript"/>
            <sz val="9"/>
            <color indexed="81"/>
            <rFont val="Tahoma"/>
            <family val="2"/>
          </rPr>
          <t>o</t>
        </r>
        <r>
          <rPr>
            <b/>
            <sz val="9"/>
            <color indexed="81"/>
            <rFont val="Tahoma"/>
            <family val="2"/>
          </rPr>
          <t>C to &lt;230</t>
        </r>
        <r>
          <rPr>
            <b/>
            <vertAlign val="superscript"/>
            <sz val="9"/>
            <color indexed="81"/>
            <rFont val="Tahoma"/>
            <family val="2"/>
          </rPr>
          <t>o</t>
        </r>
        <r>
          <rPr>
            <b/>
            <sz val="9"/>
            <color indexed="81"/>
            <rFont val="Tahoma"/>
            <family val="2"/>
          </rPr>
          <t>C);
5) high temperature (230</t>
        </r>
        <r>
          <rPr>
            <b/>
            <vertAlign val="superscript"/>
            <sz val="9"/>
            <color indexed="81"/>
            <rFont val="Tahoma"/>
            <family val="2"/>
          </rPr>
          <t>o</t>
        </r>
        <r>
          <rPr>
            <b/>
            <sz val="9"/>
            <color indexed="81"/>
            <rFont val="Tahoma"/>
            <family val="2"/>
          </rPr>
          <t>C to &lt;300</t>
        </r>
        <r>
          <rPr>
            <b/>
            <vertAlign val="superscript"/>
            <sz val="9"/>
            <color indexed="81"/>
            <rFont val="Tahoma"/>
            <family val="2"/>
          </rPr>
          <t>o</t>
        </r>
        <r>
          <rPr>
            <b/>
            <sz val="9"/>
            <color indexed="81"/>
            <rFont val="Tahoma"/>
            <family val="2"/>
          </rPr>
          <t>C);
6) ultra-high temperature (&gt;300</t>
        </r>
        <r>
          <rPr>
            <b/>
            <vertAlign val="superscript"/>
            <sz val="9"/>
            <color indexed="81"/>
            <rFont val="Tahoma"/>
            <family val="2"/>
          </rPr>
          <t>o</t>
        </r>
        <r>
          <rPr>
            <b/>
            <sz val="9"/>
            <color indexed="81"/>
            <rFont val="Tahoma"/>
            <family val="2"/>
          </rPr>
          <t>C); and
7) steam field (230</t>
        </r>
        <r>
          <rPr>
            <b/>
            <vertAlign val="superscript"/>
            <sz val="9"/>
            <color indexed="81"/>
            <rFont val="Tahoma"/>
            <family val="2"/>
          </rPr>
          <t>o</t>
        </r>
        <r>
          <rPr>
            <b/>
            <sz val="9"/>
            <color indexed="81"/>
            <rFont val="Tahoma"/>
            <family val="2"/>
          </rPr>
          <t>C to 240</t>
        </r>
        <r>
          <rPr>
            <b/>
            <vertAlign val="superscript"/>
            <sz val="9"/>
            <color indexed="81"/>
            <rFont val="Tahoma"/>
            <family val="2"/>
          </rPr>
          <t>o</t>
        </r>
        <r>
          <rPr>
            <b/>
            <sz val="9"/>
            <color indexed="81"/>
            <rFont val="Tahoma"/>
            <family val="2"/>
          </rPr>
          <t xml:space="preserve">C).
</t>
        </r>
        <r>
          <rPr>
            <sz val="9"/>
            <color indexed="81"/>
            <rFont val="Tahoma"/>
            <family val="2"/>
          </rPr>
          <t xml:space="preserve">
The Resource Code is useful in checking the correlation between the enthalpy and the capacity of a well and, therefore, the success rate of drilling. While the Geology Code indirectly reflects the hydrological properties of a well, the Resource Code reflects the reservoir fluid enthalpy. As such, the combination of the Geology Code and Resource Code should result in an approximate representation of the production potential (MWe) of a well.
Ref. S.K. Sanyal, “Classification of Geothermal Systems – A Possible Scheme” (paper presented at the 30th
Workshop on Geothermal Reservoir Engineering, Stanford University, Stanford, California, January 31–February 2,
2005). SGP –TR-176.
Ref.  International Finance Corporation, Success of Geothermal Wells: A Global Study (June 2013) </t>
        </r>
      </text>
    </comment>
    <comment ref="H11" authorId="1" shapeId="0">
      <text>
        <r>
          <rPr>
            <sz val="9"/>
            <color indexed="81"/>
            <rFont val="Tahoma"/>
            <family val="2"/>
          </rPr>
          <t>This is the initial temperature of the reservoir. We assume the geothermal fluid to be the same temperature as the reservoir.</t>
        </r>
      </text>
    </comment>
    <comment ref="P11" authorId="4" shapeId="0">
      <text>
        <r>
          <rPr>
            <sz val="9"/>
            <color indexed="81"/>
            <rFont val="Tahoma"/>
            <family val="2"/>
          </rPr>
          <t xml:space="preserve">This chooses the method to determine the conversion efficiency of going from energy in the geothermal fluid to electricity via a steam turbine.
The conversion efficiency is used to determine the heat-in-place of the geothermal field.
The heat-in-place (power potential) is calculated from total thermal energy, recovery factor, conversion efficiency, plant factor, and economic life of the plant in years.
</t>
        </r>
        <r>
          <rPr>
            <b/>
            <sz val="9"/>
            <color indexed="81"/>
            <rFont val="Tahoma"/>
            <family val="2"/>
          </rPr>
          <t xml:space="preserve">
Sarmiento:
</t>
        </r>
        <r>
          <rPr>
            <sz val="9"/>
            <color indexed="81"/>
            <rFont val="Tahoma"/>
            <family val="2"/>
          </rPr>
          <t>This value is determined by interpolation of the graphs of Nathenson (1975) and Bodvarsson (1974). This can be seen in the "Volumetrics" worksheet.</t>
        </r>
        <r>
          <rPr>
            <b/>
            <sz val="9"/>
            <color indexed="81"/>
            <rFont val="Tahoma"/>
            <family val="2"/>
          </rPr>
          <t xml:space="preserve">
van Wees:
</t>
        </r>
        <r>
          <rPr>
            <sz val="9"/>
            <color indexed="81"/>
            <rFont val="Tahoma"/>
            <family val="2"/>
          </rPr>
          <t xml:space="preserve">Value that is dependent on the flow rate, water specific heat, water density, production temperature, injection temperature, and conversion efficiency (that was selected above).
</t>
        </r>
        <r>
          <rPr>
            <b/>
            <sz val="9"/>
            <color indexed="81"/>
            <rFont val="Tahoma"/>
            <family val="2"/>
          </rPr>
          <t xml:space="preserve">
</t>
        </r>
        <r>
          <rPr>
            <sz val="9"/>
            <color indexed="81"/>
            <rFont val="Tahoma"/>
            <family val="2"/>
          </rPr>
          <t xml:space="preserve">Equation from TNO geothermal spreadsheet of calculation of LCOE of renewable heat and electricity.
Conversion efficiency = (production temp - surface temp) / (production temp + surface temp + 2 * 273.15) * relative efficiency
</t>
        </r>
        <r>
          <rPr>
            <b/>
            <sz val="9"/>
            <color indexed="81"/>
            <rFont val="Tahoma"/>
            <family val="2"/>
          </rPr>
          <t>MIT:</t>
        </r>
        <r>
          <rPr>
            <sz val="9"/>
            <color indexed="81"/>
            <rFont val="Tahoma"/>
            <family val="2"/>
          </rPr>
          <t xml:space="preserve">
Value that is dependent on the flow rate, water specific heat, water density, production temperature, injection temperature, and binary plant efficiency (sourced from MIT paper).
Conversion efficiency = 0.0935 * (ΔT) - 2.3266</t>
        </r>
      </text>
    </comment>
    <comment ref="U11" authorId="3" shapeId="0">
      <text>
        <r>
          <rPr>
            <sz val="9"/>
            <color indexed="81"/>
            <rFont val="Tahoma"/>
            <family val="2"/>
          </rPr>
          <t xml:space="preserve">Enter how frequently an </t>
        </r>
        <r>
          <rPr>
            <b/>
            <sz val="9"/>
            <color indexed="81"/>
            <rFont val="Tahoma"/>
            <family val="2"/>
          </rPr>
          <t>injection</t>
        </r>
        <r>
          <rPr>
            <sz val="9"/>
            <color indexed="81"/>
            <rFont val="Tahoma"/>
            <family val="2"/>
          </rPr>
          <t xml:space="preserve"> well on average is to be worked-over.</t>
        </r>
      </text>
    </comment>
    <comment ref="Z11" authorId="1" shapeId="0">
      <text>
        <r>
          <rPr>
            <sz val="9"/>
            <color indexed="81"/>
            <rFont val="Tahoma"/>
            <family val="2"/>
          </rPr>
          <t>Value of the capex at the end of the depreciation period. This is a percentage of the initial capex value.</t>
        </r>
      </text>
    </comment>
    <comment ref="AF11" authorId="0" shapeId="0">
      <text>
        <r>
          <rPr>
            <sz val="9"/>
            <color indexed="81"/>
            <rFont val="Tahoma"/>
            <family val="2"/>
          </rPr>
          <t xml:space="preserve">The abd cost can be entered either directly in cell AG10 (as a positive number), or can be entered as a % of the cumulative capex in cell AG11. 
</t>
        </r>
        <r>
          <rPr>
            <sz val="9"/>
            <color indexed="10"/>
            <rFont val="Tahoma"/>
            <family val="2"/>
          </rPr>
          <t xml:space="preserve">Cum capex includes the capex entered in row xx (multiplied by the multiplier of cell AA12), and the calculated drillex for the total number of wells drilled and capex for the total number of additional platforms constructed (which is output of the model). </t>
        </r>
        <r>
          <rPr>
            <sz val="9"/>
            <color indexed="81"/>
            <rFont val="Tahoma"/>
            <family val="2"/>
          </rPr>
          <t xml:space="preserve">
</t>
        </r>
        <r>
          <rPr>
            <sz val="9"/>
            <color indexed="10"/>
            <rFont val="Tahoma"/>
            <family val="2"/>
          </rPr>
          <t xml:space="preserve">
If a value is entered in cell AG10, the value entered in cell AG11 will be ignored.</t>
        </r>
      </text>
    </comment>
    <comment ref="AH11" authorId="1" shapeId="0">
      <text>
        <r>
          <rPr>
            <sz val="9"/>
            <color indexed="81"/>
            <rFont val="Tahoma"/>
            <family val="2"/>
          </rPr>
          <t>Warning will be listed here if inconsistent input.</t>
        </r>
      </text>
    </comment>
    <comment ref="H12" authorId="1" shapeId="0">
      <text>
        <r>
          <rPr>
            <sz val="9"/>
            <color indexed="81"/>
            <rFont val="Tahoma"/>
            <family val="2"/>
          </rPr>
          <t xml:space="preserve">This is the pressure of the reservoir not influenced by the well.
This is used to calculate the drawdown and the inflow of geothermal fluid into the well.
</t>
        </r>
        <r>
          <rPr>
            <b/>
            <sz val="9"/>
            <color indexed="10"/>
            <rFont val="Tahoma"/>
            <family val="2"/>
          </rPr>
          <t>Error note:</t>
        </r>
        <r>
          <rPr>
            <sz val="9"/>
            <color indexed="10"/>
            <rFont val="Tahoma"/>
            <family val="2"/>
          </rPr>
          <t xml:space="preserve"> an error will appear next to this input if the reservoir pressure is lower than the flowing bottomhole pressure.</t>
        </r>
      </text>
    </comment>
    <comment ref="K12" authorId="0" shapeId="0">
      <text>
        <r>
          <rPr>
            <sz val="9"/>
            <color indexed="81"/>
            <rFont val="Tahoma"/>
            <family val="2"/>
          </rPr>
          <t>Warning will be listed here if inconsistent input.</t>
        </r>
      </text>
    </comment>
    <comment ref="P12" authorId="0" shapeId="0">
      <text>
        <r>
          <rPr>
            <sz val="9"/>
            <color indexed="81"/>
            <rFont val="Tahoma"/>
            <family val="2"/>
          </rPr>
          <t xml:space="preserve">Value adjusting the conversion efficiency if the conversion efficiency "van Wees" is selected. This value is the efficiency relative to the Carnot cycle.
Relates to the actual thermal efficiency and the maximum triangle cycle thermal efficiency (DiPippo, 2007). The equation for relative efficiency is:
n_rel = n_thermal_actual / n^triangle_thermal_max
where n^triangle_thermal_max = (T_H - T_0)/(T_H + T_0),
T_H is the absolute temperature of the heat source
 and T_0 is the absolute dead-state temperature (i.e. the lowest sink temperature).
</t>
        </r>
        <r>
          <rPr>
            <b/>
            <sz val="9"/>
            <color indexed="10"/>
            <rFont val="Tahoma"/>
            <family val="2"/>
          </rPr>
          <t>Error note:</t>
        </r>
        <r>
          <rPr>
            <sz val="9"/>
            <color indexed="10"/>
            <rFont val="Tahoma"/>
            <family val="2"/>
          </rPr>
          <t xml:space="preserve"> an error will appear next to this input either if the relative efficiency is not between 0 and 1.</t>
        </r>
      </text>
    </comment>
    <comment ref="R12" authorId="0" shapeId="0">
      <text>
        <r>
          <rPr>
            <sz val="9"/>
            <color indexed="81"/>
            <rFont val="Tahoma"/>
            <family val="2"/>
          </rPr>
          <t>Warning will be listed here if inconsistent input.</t>
        </r>
      </text>
    </comment>
    <comment ref="Z12" authorId="3" shapeId="0">
      <text>
        <r>
          <rPr>
            <sz val="9"/>
            <color indexed="81"/>
            <rFont val="Tahoma"/>
            <family val="2"/>
          </rPr>
          <t xml:space="preserve">The Capex multiplier can be used to model early-capex uncertainty. 
</t>
        </r>
        <r>
          <rPr>
            <b/>
            <sz val="9"/>
            <color indexed="81"/>
            <rFont val="Tahoma"/>
            <family val="2"/>
          </rPr>
          <t xml:space="preserve">
</t>
        </r>
        <r>
          <rPr>
            <sz val="9"/>
            <color indexed="10"/>
            <rFont val="Tahoma"/>
            <family val="2"/>
          </rPr>
          <t xml:space="preserve">The multiplier is active on early capex only (pre-production capex of expl-appr-init.devt phases).
The multiplier is </t>
        </r>
        <r>
          <rPr>
            <b/>
            <sz val="9"/>
            <color indexed="10"/>
            <rFont val="Tahoma"/>
            <family val="2"/>
          </rPr>
          <t>NOT active on drillex</t>
        </r>
        <r>
          <rPr>
            <sz val="9"/>
            <color indexed="10"/>
            <rFont val="Tahoma"/>
            <family val="2"/>
          </rPr>
          <t>, NOR on new platform capex, NOR on abandonment capex, as these can be specified stochastically if necessary.</t>
        </r>
        <r>
          <rPr>
            <sz val="9"/>
            <color indexed="10"/>
            <rFont val="Tahoma"/>
            <family val="2"/>
          </rPr>
          <t xml:space="preserve">
If the early capex is related to later capex, a stochastic correlation coefficient can be specified between the capex multiplier and the later capex items.</t>
        </r>
      </text>
    </comment>
    <comment ref="H13" authorId="1" shapeId="0">
      <text>
        <r>
          <rPr>
            <sz val="9"/>
            <color indexed="81"/>
            <rFont val="Tahoma"/>
            <family val="2"/>
          </rPr>
          <t xml:space="preserve">This is the pressure at the bottom of the well when it is producing.
This value is used to calculate the drawdown pressure of the production well. In this version of the GEOCAP tool, the FBHP is assumed to be fixed / constant in time. In a later version, this will be improved to balance inflow rate, FBHP and FTHP. 
</t>
        </r>
        <r>
          <rPr>
            <b/>
            <sz val="9"/>
            <color indexed="81"/>
            <rFont val="Tahoma"/>
            <family val="2"/>
          </rPr>
          <t>Abbreviation:</t>
        </r>
        <r>
          <rPr>
            <sz val="9"/>
            <color indexed="81"/>
            <rFont val="Tahoma"/>
            <family val="2"/>
          </rPr>
          <t xml:space="preserve"> FBHP (flowing bottomhole pressure)
</t>
        </r>
        <r>
          <rPr>
            <b/>
            <sz val="9"/>
            <color indexed="10"/>
            <rFont val="Tahoma"/>
            <family val="2"/>
          </rPr>
          <t>Error note:</t>
        </r>
        <r>
          <rPr>
            <sz val="9"/>
            <color indexed="10"/>
            <rFont val="Tahoma"/>
            <family val="2"/>
          </rPr>
          <t xml:space="preserve"> an error will appear next to this input if the flowing bottomhole pressure is higher than the reservoir pressure.
Also, when defining these pressure cells stochastically, always ensure that non-physical pressure sequences cannot occur, e.g. the minimum value of the FBHP range should not be 
</t>
        </r>
        <r>
          <rPr>
            <sz val="9"/>
            <color indexed="81"/>
            <rFont val="Tahoma"/>
            <family val="2"/>
          </rPr>
          <t xml:space="preserve">Note that in principle the FBHP should be calculated and not be user input. It should be calculated from the Inflow Performance Relationship (IPR curve) and the Vertical Flow Performance (VFP curve), given the specified FTHP. This is planned for a later version of this XL tool. </t>
        </r>
      </text>
    </comment>
    <comment ref="K13" authorId="0" shapeId="0">
      <text>
        <r>
          <rPr>
            <sz val="9"/>
            <color indexed="81"/>
            <rFont val="Tahoma"/>
            <family val="2"/>
          </rPr>
          <t>Warning will be listed here if inconsistent input.</t>
        </r>
      </text>
    </comment>
    <comment ref="P13" authorId="1" shapeId="0">
      <text>
        <r>
          <rPr>
            <sz val="9"/>
            <color indexed="81"/>
            <rFont val="Tahoma"/>
            <family val="2"/>
          </rPr>
          <t xml:space="preserve">This is only necessary if "User-defined" is selected for the conversion efficiency.
Barbier (2002) suggests an efficiency between 10 and 17%. The worldwide average is around 12%, and the highest reported conversion efficiency is at the Darajat system with 20.7%.
</t>
        </r>
        <r>
          <rPr>
            <b/>
            <sz val="9"/>
            <color indexed="10"/>
            <rFont val="Tahoma"/>
            <family val="2"/>
          </rPr>
          <t>Error note:</t>
        </r>
        <r>
          <rPr>
            <sz val="9"/>
            <color indexed="10"/>
            <rFont val="Tahoma"/>
            <family val="2"/>
          </rPr>
          <t xml:space="preserve"> an error will appear next to this input either if the conversion efficiency is not between 0 and 1.</t>
        </r>
      </text>
    </comment>
    <comment ref="R13" authorId="0" shapeId="0">
      <text>
        <r>
          <rPr>
            <sz val="9"/>
            <color indexed="81"/>
            <rFont val="Tahoma"/>
            <family val="2"/>
          </rPr>
          <t>Warning will be listed here if inconsistent input.</t>
        </r>
      </text>
    </comment>
    <comment ref="U13" authorId="2" shapeId="0">
      <text>
        <r>
          <rPr>
            <sz val="9"/>
            <color indexed="81"/>
            <rFont val="Tahoma"/>
            <family val="2"/>
          </rPr>
          <t xml:space="preserve">All cost items specified in a case study must be expressed in the same reference-year values. To convert the various capex and opex items from a source's reference year to the case study's reference year, one may use the indices given in the worksheet 'Cost-indices'. Note however that these values may not apply to Indonesia. </t>
        </r>
        <r>
          <rPr>
            <b/>
            <sz val="9"/>
            <color indexed="81"/>
            <rFont val="Tahoma"/>
            <family val="2"/>
          </rPr>
          <t xml:space="preserve">
</t>
        </r>
      </text>
    </comment>
    <comment ref="Z13" authorId="3" shapeId="0">
      <text>
        <r>
          <rPr>
            <sz val="9"/>
            <color indexed="81"/>
            <rFont val="Tahoma"/>
            <family val="2"/>
          </rPr>
          <t xml:space="preserve">The Fixed opex multiplier can be used to model fixed opex uncertainty. </t>
        </r>
        <r>
          <rPr>
            <b/>
            <sz val="9"/>
            <color indexed="81"/>
            <rFont val="Tahoma"/>
            <family val="2"/>
          </rPr>
          <t xml:space="preserve">
</t>
        </r>
        <r>
          <rPr>
            <sz val="9"/>
            <color indexed="10"/>
            <rFont val="Tahoma"/>
            <family val="2"/>
          </rPr>
          <t>The multiplier is active on fixed opex only. If the variable opex is related to the fixed opex, it is advised to specify a stochastic correlation between the var opex and the fixed opex multiplier.</t>
        </r>
      </text>
    </comment>
    <comment ref="C14" authorId="1" shapeId="0">
      <text>
        <r>
          <rPr>
            <sz val="9"/>
            <color indexed="81"/>
            <rFont val="Tahoma"/>
            <family val="2"/>
          </rPr>
          <t>These cells should be input by the user as accurately as possible about the user's geothermal field.
Sometimes the cells offer comments which intend to offer some clarification on the meanings of the cells, as well as some example inputs.</t>
        </r>
      </text>
    </comment>
    <comment ref="H14" authorId="1" shapeId="0">
      <text>
        <r>
          <rPr>
            <sz val="9"/>
            <color indexed="81"/>
            <rFont val="Tahoma"/>
            <family val="2"/>
          </rPr>
          <t xml:space="preserve">This is the pressure difference between the bottomhole of the production well and the wellhead / tubinghead. This value should be given as a </t>
        </r>
        <r>
          <rPr>
            <u/>
            <sz val="9"/>
            <color indexed="81"/>
            <rFont val="Tahoma"/>
            <family val="2"/>
          </rPr>
          <t>positive</t>
        </r>
        <r>
          <rPr>
            <sz val="9"/>
            <color indexed="81"/>
            <rFont val="Tahoma"/>
            <family val="2"/>
          </rPr>
          <t xml:space="preserve"> value. This value is used to calculate the tubing head pressure of the production well, given the value of the FBHP.
</t>
        </r>
        <r>
          <rPr>
            <b/>
            <sz val="9"/>
            <color indexed="10"/>
            <rFont val="Tahoma"/>
            <family val="2"/>
          </rPr>
          <t>Error note:</t>
        </r>
        <r>
          <rPr>
            <sz val="9"/>
            <color indexed="10"/>
            <rFont val="Tahoma"/>
            <family val="2"/>
          </rPr>
          <t xml:space="preserve"> an error will appear next to this input if the input value is negative.</t>
        </r>
        <r>
          <rPr>
            <sz val="9"/>
            <color indexed="81"/>
            <rFont val="Tahoma"/>
            <family val="2"/>
          </rPr>
          <t xml:space="preserve">
Note that this calculation scheme is planned to be improved. The VFP (VFP = Vertical Flow Performance) is defined as </t>
        </r>
        <r>
          <rPr>
            <sz val="9"/>
            <color indexed="81"/>
            <rFont val="Symbol"/>
            <family val="1"/>
            <charset val="2"/>
          </rPr>
          <t>D</t>
        </r>
        <r>
          <rPr>
            <sz val="9"/>
            <color indexed="81"/>
            <rFont val="Tahoma"/>
            <family val="2"/>
          </rPr>
          <t xml:space="preserve">P(VFP) = FBHP-FTHP = </t>
        </r>
        <r>
          <rPr>
            <sz val="9"/>
            <color indexed="81"/>
            <rFont val="Symbol"/>
            <family val="1"/>
            <charset val="2"/>
          </rPr>
          <t>D</t>
        </r>
        <r>
          <rPr>
            <sz val="9"/>
            <color indexed="81"/>
            <rFont val="Tahoma"/>
            <family val="2"/>
          </rPr>
          <t xml:space="preserve">P(hydr head) + </t>
        </r>
        <r>
          <rPr>
            <sz val="9"/>
            <color indexed="81"/>
            <rFont val="Symbol"/>
            <family val="1"/>
            <charset val="2"/>
          </rPr>
          <t>D</t>
        </r>
        <r>
          <rPr>
            <sz val="9"/>
            <color indexed="81"/>
            <rFont val="Tahoma"/>
            <family val="2"/>
          </rPr>
          <t xml:space="preserve">P(friction in tbg):
• this requires in principle an iterative calculation to solve for the inflow rate q at a minimum required FTHP (user-input), or to solve for the FTHP at a given FBHP, or to solve for FTHP and FBHP at a given inflow rate q. 
• In the prod well, the following equation holds: FTHP = FBHP – </t>
        </r>
        <r>
          <rPr>
            <sz val="9"/>
            <color indexed="81"/>
            <rFont val="Symbol"/>
            <family val="1"/>
            <charset val="2"/>
          </rPr>
          <t>D</t>
        </r>
        <r>
          <rPr>
            <sz val="9"/>
            <color indexed="81"/>
            <rFont val="Tahoma"/>
            <family val="2"/>
          </rPr>
          <t>P(hydr head) –</t>
        </r>
        <r>
          <rPr>
            <sz val="9"/>
            <color indexed="81"/>
            <rFont val="Symbol"/>
            <family val="1"/>
            <charset val="2"/>
          </rPr>
          <t>D</t>
        </r>
        <r>
          <rPr>
            <sz val="9"/>
            <color indexed="81"/>
            <rFont val="Tahoma"/>
            <family val="2"/>
          </rPr>
          <t xml:space="preserve">P(friction in tbg), with </t>
        </r>
        <r>
          <rPr>
            <sz val="9"/>
            <color indexed="81"/>
            <rFont val="Symbol"/>
            <family val="1"/>
            <charset val="2"/>
          </rPr>
          <t>D</t>
        </r>
        <r>
          <rPr>
            <sz val="9"/>
            <color indexed="81"/>
            <rFont val="Tahoma"/>
            <family val="2"/>
          </rPr>
          <t xml:space="preserve">P(friction) = f(Reynolds nr, alonghole length of well), and thus of the inflow rate q and of the FBHP).  
• Moreover, the user-defined </t>
        </r>
        <r>
          <rPr>
            <sz val="9"/>
            <color indexed="81"/>
            <rFont val="Symbol"/>
            <family val="1"/>
            <charset val="2"/>
          </rPr>
          <t>D</t>
        </r>
        <r>
          <rPr>
            <sz val="9"/>
            <color indexed="81"/>
            <rFont val="Tahoma"/>
            <family val="2"/>
          </rPr>
          <t xml:space="preserve">T = FBHT-FTHT could be used to improve the FBHP-FTHP calculation, as the density and viscosity of the fluid will depend on T. 
In summary, the calculation of the wellhead pressures, bottomhole pressures and fluid rates need improvement. </t>
        </r>
      </text>
    </comment>
    <comment ref="K14" authorId="0" shapeId="0">
      <text>
        <r>
          <rPr>
            <sz val="9"/>
            <color indexed="81"/>
            <rFont val="Tahoma"/>
            <family val="2"/>
          </rPr>
          <t>Warning will be listed here if inconsistent input.</t>
        </r>
      </text>
    </comment>
    <comment ref="P14" authorId="0" shapeId="0">
      <text>
        <r>
          <rPr>
            <b/>
            <sz val="9"/>
            <color indexed="81"/>
            <rFont val="Tahoma"/>
            <family val="2"/>
          </rPr>
          <t>Do not edit this value.</t>
        </r>
        <r>
          <rPr>
            <sz val="9"/>
            <color indexed="81"/>
            <rFont val="Tahoma"/>
            <family val="2"/>
          </rPr>
          <t xml:space="preserve"> 
This is the calculated conversion efficiency associated with the selection made for "Conversion efficiency" above.</t>
        </r>
      </text>
    </comment>
    <comment ref="U14" authorId="2" shapeId="0">
      <text>
        <r>
          <rPr>
            <sz val="9"/>
            <color indexed="81"/>
            <rFont val="Tahoma"/>
            <family val="2"/>
          </rPr>
          <t xml:space="preserve">The Along Hole Depth (AHD) is used to compute a suggested well cost, which can be used in the 'Drill &amp; compl. cost per well' (below). 
</t>
        </r>
        <r>
          <rPr>
            <i/>
            <sz val="9"/>
            <color indexed="81"/>
            <rFont val="Tahoma"/>
            <family val="2"/>
          </rPr>
          <t xml:space="preserve">
Later, it may also be used to compute the pressure losses due to friction as part of the Vertical Flow Performance of the production and injection wells (not in this version). </t>
        </r>
        <r>
          <rPr>
            <sz val="9"/>
            <color indexed="81"/>
            <rFont val="Tahoma"/>
            <family val="2"/>
          </rPr>
          <t xml:space="preserve">
</t>
        </r>
        <r>
          <rPr>
            <sz val="9"/>
            <color indexed="10"/>
            <rFont val="Tahoma"/>
            <family val="2"/>
          </rPr>
          <t xml:space="preserve">For the estimation of the well drillex, it is suggested to use the the along hole distance from the well's TD (Target Depth, or Total Depth) to surface. 
</t>
        </r>
        <r>
          <rPr>
            <i/>
            <sz val="9"/>
            <color indexed="10"/>
            <rFont val="Tahoma"/>
            <family val="2"/>
          </rPr>
          <t xml:space="preserve">
For the calculation of the friction losses (in later version), it is suggested to use the the along hole distance from top completion interval / bottom of tubing to surface. In that case, a new input parameter may be defined (for later version).  </t>
        </r>
      </text>
    </comment>
    <comment ref="Z14" authorId="0" shapeId="0">
      <text>
        <r>
          <rPr>
            <sz val="9"/>
            <color indexed="81"/>
            <rFont val="Tahoma"/>
            <family val="2"/>
          </rPr>
          <t xml:space="preserve">Operation and maintenance costs.
</t>
        </r>
        <r>
          <rPr>
            <sz val="9"/>
            <color indexed="10"/>
            <rFont val="Tahoma"/>
            <family val="2"/>
          </rPr>
          <t xml:space="preserve">Note: this does </t>
        </r>
        <r>
          <rPr>
            <u/>
            <sz val="9"/>
            <color indexed="10"/>
            <rFont val="Tahoma"/>
            <family val="2"/>
          </rPr>
          <t>NOT</t>
        </r>
        <r>
          <rPr>
            <sz val="9"/>
            <color indexed="10"/>
            <rFont val="Tahoma"/>
            <family val="2"/>
          </rPr>
          <t xml:space="preserve"> include costs associated with wells.</t>
        </r>
        <r>
          <rPr>
            <b/>
            <sz val="9"/>
            <color indexed="81"/>
            <rFont val="Tahoma"/>
            <family val="2"/>
          </rPr>
          <t xml:space="preserve">
Percent:</t>
        </r>
        <r>
          <rPr>
            <sz val="9"/>
            <color indexed="81"/>
            <rFont val="Tahoma"/>
            <family val="2"/>
          </rPr>
          <t xml:space="preserve">
O&amp;M is calculated by using a percentage of installed capex.
</t>
        </r>
        <r>
          <rPr>
            <b/>
            <sz val="9"/>
            <color indexed="81"/>
            <rFont val="Tahoma"/>
            <family val="2"/>
          </rPr>
          <t>Constant:</t>
        </r>
        <r>
          <rPr>
            <sz val="9"/>
            <color indexed="81"/>
            <rFont val="Tahoma"/>
            <family val="2"/>
          </rPr>
          <t xml:space="preserve">
O&amp;M is a constant yearly cost defined below ($ MM)
</t>
        </r>
        <r>
          <rPr>
            <b/>
            <sz val="9"/>
            <color indexed="81"/>
            <rFont val="Tahoma"/>
            <family val="2"/>
          </rPr>
          <t>Time series:</t>
        </r>
        <r>
          <rPr>
            <sz val="9"/>
            <color indexed="81"/>
            <rFont val="Tahoma"/>
            <family val="2"/>
          </rPr>
          <t xml:space="preserve">
O&amp;M is defined by the time series starting in cell C60</t>
        </r>
      </text>
    </comment>
    <comment ref="AF14" authorId="3" shapeId="0">
      <text>
        <r>
          <rPr>
            <sz val="9"/>
            <color indexed="81"/>
            <rFont val="Tahoma"/>
            <family val="2"/>
          </rPr>
          <t xml:space="preserve">This is a lump value for the maximum flow through the surface facilities, from between the producer wellhead and the injector wellhead.
It may act as a constraint when computing, per time-step, the flow from the reservoir into the bottom of the well, along the vertical tubing of the production well, through the surface facilities, the turbine, in the vertical injection wells, and from the bottom of the injector into the reservoir. The lowest flow capacity in any section determines the flow rate through the total system.  </t>
        </r>
      </text>
    </comment>
    <comment ref="C15" authorId="3" shapeId="0">
      <text>
        <r>
          <rPr>
            <sz val="9"/>
            <color indexed="81"/>
            <rFont val="Tahoma"/>
            <family val="2"/>
          </rPr>
          <t>All stochastic input variables can obviously also be selected as deterministic variables (light yellow cells), i.e. if a deterministic approach is preferred. In that case, all CB assumptions should be deleted.</t>
        </r>
      </text>
    </comment>
    <comment ref="H15" authorId="1" shapeId="0">
      <text>
        <r>
          <rPr>
            <sz val="9"/>
            <color indexed="81"/>
            <rFont val="Tahoma"/>
            <family val="2"/>
          </rPr>
          <t xml:space="preserve">If the temperature at the wellhead drops so much that the fluid falls in the subcooled liquid phase (where it will not automatically flash), then this value is the amount that the pressure will </t>
        </r>
        <r>
          <rPr>
            <u/>
            <sz val="9"/>
            <color indexed="81"/>
            <rFont val="Tahoma"/>
            <family val="2"/>
          </rPr>
          <t>decrease</t>
        </r>
        <r>
          <rPr>
            <sz val="9"/>
            <color indexed="81"/>
            <rFont val="Tahoma"/>
            <family val="2"/>
          </rPr>
          <t xml:space="preserve"> in order to flash the liquid into a vapor.
If the temperature drops so that the produced fluid falls in the subcooled liquid phase (where it will not automatically flash) </t>
        </r>
        <r>
          <rPr>
            <i/>
            <sz val="9"/>
            <color indexed="81"/>
            <rFont val="Tahoma"/>
            <family val="2"/>
          </rPr>
          <t>a second time</t>
        </r>
        <r>
          <rPr>
            <sz val="9"/>
            <color indexed="81"/>
            <rFont val="Tahoma"/>
            <family val="2"/>
          </rPr>
          <t xml:space="preserve">, then this value will be used again to decrease the pressure, and flash the liquid again into a vapor.
</t>
        </r>
        <r>
          <rPr>
            <b/>
            <sz val="9"/>
            <color indexed="10"/>
            <rFont val="Tahoma"/>
            <family val="2"/>
          </rPr>
          <t>Error note:</t>
        </r>
        <r>
          <rPr>
            <sz val="9"/>
            <color indexed="10"/>
            <rFont val="Tahoma"/>
            <family val="2"/>
          </rPr>
          <t xml:space="preserve"> an error will appear next to this input if the input value is negative.</t>
        </r>
      </text>
    </comment>
    <comment ref="K15" authorId="0" shapeId="0">
      <text>
        <r>
          <rPr>
            <sz val="9"/>
            <color indexed="81"/>
            <rFont val="Tahoma"/>
            <family val="2"/>
          </rPr>
          <t>Warning will be listed here if inconsistent input.</t>
        </r>
      </text>
    </comment>
    <comment ref="P15" authorId="1" shapeId="0">
      <text>
        <r>
          <rPr>
            <sz val="9"/>
            <color indexed="81"/>
            <rFont val="Tahoma"/>
            <family val="2"/>
          </rPr>
          <t>This is the volume of water produced at which the injected water has started to reach the production wells, resulting in a lower temperature of the produced water.
There is a change requested to change this element to pore volume.</t>
        </r>
      </text>
    </comment>
    <comment ref="U15" authorId="1" shapeId="0">
      <text>
        <r>
          <rPr>
            <sz val="9"/>
            <color indexed="81"/>
            <rFont val="Tahoma"/>
            <family val="2"/>
          </rPr>
          <t xml:space="preserve">This is the true vertical depth (TVD) of the well. In case of a deviated well, this value should be less than the along hole depth listed above. In case of a vertical well, this value should be equal to the along hole depth listed above.
The TVD is used to compute the hydrostatic head of the fluid in the well end, hence, the tubinghead pressure given a known bottomhole pressure.
</t>
        </r>
        <r>
          <rPr>
            <sz val="9"/>
            <color indexed="10"/>
            <rFont val="Tahoma"/>
            <family val="2"/>
          </rPr>
          <t xml:space="preserve">For the TVD, it is suggested to use the the vertical distance from mid-perforations/completion interval to surface. </t>
        </r>
      </text>
    </comment>
    <comment ref="W15" authorId="1" shapeId="0">
      <text>
        <r>
          <rPr>
            <sz val="9"/>
            <color indexed="81"/>
            <rFont val="Tahoma"/>
            <family val="2"/>
          </rPr>
          <t>Warning will be listed here if inconsistent input.</t>
        </r>
      </text>
    </comment>
    <comment ref="AB15" authorId="1" shapeId="0">
      <text>
        <r>
          <rPr>
            <sz val="9"/>
            <color indexed="81"/>
            <rFont val="Tahoma"/>
            <family val="2"/>
          </rPr>
          <t>Warning will be listed here if inconsistent input.</t>
        </r>
      </text>
    </comment>
    <comment ref="AF15" authorId="1" shapeId="0">
      <text>
        <r>
          <rPr>
            <sz val="9"/>
            <color indexed="81"/>
            <rFont val="Tahoma"/>
            <family val="2"/>
          </rPr>
          <t>Select "Constant" if you want the turbines to be replaced after a certain number of hours, or "Time series" if you want to input their costs in the time series below.</t>
        </r>
      </text>
    </comment>
    <comment ref="C16" authorId="2" shapeId="0">
      <text>
        <r>
          <rPr>
            <b/>
            <sz val="9"/>
            <color indexed="81"/>
            <rFont val="Tahoma"/>
            <charset val="1"/>
          </rPr>
          <t xml:space="preserve">Comment from Crystal Ball: 
</t>
        </r>
        <r>
          <rPr>
            <sz val="9"/>
            <color indexed="81"/>
            <rFont val="Tahoma"/>
            <family val="2"/>
          </rPr>
          <t>"Decision variables are values that you can control, such as how much to charge for a product or how many wells to drill. But, in situations with uncertainty, it is not always obvious what effect changing a decision variable can have on the forecast results. Crystal Ball decision variables cells enable you to define these variables in spreadsheet models.
The Decision Table tool runs multiple simulations to test different values for one or two decision variables. The tool tests values across the range of the decision variables and puts the results in a table that you can analyze using Crystal Ball forecast, trend, or overlay charts. 
The Decision Table tool is useful for investigating how changes in the values of a few decision variable affect the forecast results. For models that contain more than a handful of decision variables, or where you are trying to optimize the forecast results, use OptQuest, available in Crystal Ball Decision Optimizer."</t>
        </r>
      </text>
    </comment>
    <comment ref="H16" authorId="1" shapeId="0">
      <text>
        <r>
          <rPr>
            <sz val="9"/>
            <color indexed="81"/>
            <rFont val="Tahoma"/>
            <family val="2"/>
          </rPr>
          <t xml:space="preserve">This is the pressure at the outlet of the turbine. This value will be used to find the enthalpy of the exiting steam to determine how much electricity was generated.
</t>
        </r>
        <r>
          <rPr>
            <b/>
            <sz val="9"/>
            <color indexed="10"/>
            <rFont val="Tahoma"/>
            <family val="2"/>
          </rPr>
          <t>Error note:</t>
        </r>
        <r>
          <rPr>
            <sz val="9"/>
            <color indexed="10"/>
            <rFont val="Tahoma"/>
            <family val="2"/>
          </rPr>
          <t xml:space="preserve"> an error will appear next to this input if the pressure after the turbine is higher than the FTHP of the production well.</t>
        </r>
      </text>
    </comment>
    <comment ref="K16" authorId="0" shapeId="0">
      <text>
        <r>
          <rPr>
            <sz val="9"/>
            <color indexed="81"/>
            <rFont val="Tahoma"/>
            <family val="2"/>
          </rPr>
          <t>Warning will be listed here if inconsistent input.</t>
        </r>
      </text>
    </comment>
    <comment ref="P16" authorId="1" shapeId="0">
      <text>
        <r>
          <rPr>
            <sz val="9"/>
            <color indexed="81"/>
            <rFont val="Tahoma"/>
            <family val="2"/>
          </rPr>
          <t>This is the rate at which the temperature decreases, once the injected water has broken through into the production wells (</t>
        </r>
        <r>
          <rPr>
            <sz val="9"/>
            <color indexed="10"/>
            <rFont val="Tahoma"/>
            <family val="2"/>
          </rPr>
          <t>Unit: °C / E+06m3 of total field produced liquids</t>
        </r>
        <r>
          <rPr>
            <sz val="9"/>
            <color indexed="81"/>
            <rFont val="Tahoma"/>
            <family val="2"/>
          </rPr>
          <t xml:space="preserve">). Note that values to be specified are case-specific and depend on the geometry and pore-volume of the drainage area of te field. If too high values are specified, this may cause the calculations to crash, as the temperature drop after breakthrough will be unrealistically high.
Note also that this temperature decline rate in principle is to be obtained from a reservoir simulation study, or from analogue fields. If from analogue fields, then the produced volume can be normalized to the Pore-Volume of the flooded reservoir between the injectors and the producers, and upscaled or downscaled to the field under study. </t>
        </r>
      </text>
    </comment>
    <comment ref="U16" authorId="4" shapeId="0">
      <text>
        <r>
          <rPr>
            <sz val="9"/>
            <color indexed="81"/>
            <rFont val="Tahoma"/>
            <family val="2"/>
          </rPr>
          <t xml:space="preserve">See </t>
        </r>
        <r>
          <rPr>
            <i/>
            <sz val="9"/>
            <color indexed="81"/>
            <rFont val="Tahoma"/>
            <family val="2"/>
          </rPr>
          <t>Suggested values for well cost</t>
        </r>
        <r>
          <rPr>
            <sz val="9"/>
            <color indexed="81"/>
            <rFont val="Tahoma"/>
            <family val="2"/>
          </rPr>
          <t xml:space="preserve"> in the cells V20 and V21 below.
This does </t>
        </r>
        <r>
          <rPr>
            <b/>
            <sz val="9"/>
            <color indexed="81"/>
            <rFont val="Tahoma"/>
            <family val="2"/>
          </rPr>
          <t>NOT</t>
        </r>
        <r>
          <rPr>
            <sz val="9"/>
            <color indexed="81"/>
            <rFont val="Tahoma"/>
            <family val="2"/>
          </rPr>
          <t xml:space="preserve"> include the cost of stimulation, which is defined below, but </t>
        </r>
        <r>
          <rPr>
            <b/>
            <sz val="9"/>
            <color indexed="81"/>
            <rFont val="Tahoma"/>
            <family val="2"/>
          </rPr>
          <t>DOES</t>
        </r>
        <r>
          <rPr>
            <sz val="9"/>
            <color indexed="81"/>
            <rFont val="Tahoma"/>
            <family val="2"/>
          </rPr>
          <t xml:space="preserve"> include hook-up costs in case of a successful well.
Note that the </t>
        </r>
        <r>
          <rPr>
            <u/>
            <sz val="9"/>
            <color indexed="81"/>
            <rFont val="Tahoma"/>
            <family val="2"/>
          </rPr>
          <t>number</t>
        </r>
        <r>
          <rPr>
            <sz val="9"/>
            <color indexed="81"/>
            <rFont val="Tahoma"/>
            <family val="2"/>
          </rPr>
          <t xml:space="preserve"> of </t>
        </r>
        <r>
          <rPr>
            <i/>
            <sz val="9"/>
            <color indexed="81"/>
            <rFont val="Tahoma"/>
            <family val="2"/>
          </rPr>
          <t>exploration,</t>
        </r>
        <r>
          <rPr>
            <sz val="9"/>
            <color indexed="81"/>
            <rFont val="Tahoma"/>
            <family val="2"/>
          </rPr>
          <t xml:space="preserve"> </t>
        </r>
        <r>
          <rPr>
            <i/>
            <sz val="9"/>
            <color indexed="81"/>
            <rFont val="Tahoma"/>
            <family val="2"/>
          </rPr>
          <t>appraisal,</t>
        </r>
        <r>
          <rPr>
            <sz val="9"/>
            <color indexed="81"/>
            <rFont val="Tahoma"/>
            <family val="2"/>
          </rPr>
          <t xml:space="preserve"> </t>
        </r>
        <r>
          <rPr>
            <i/>
            <sz val="9"/>
            <color indexed="81"/>
            <rFont val="Tahoma"/>
            <family val="2"/>
          </rPr>
          <t xml:space="preserve">initial development, </t>
        </r>
        <r>
          <rPr>
            <sz val="9"/>
            <color indexed="81"/>
            <rFont val="Tahoma"/>
            <family val="2"/>
          </rPr>
          <t xml:space="preserve">and </t>
        </r>
        <r>
          <rPr>
            <i/>
            <sz val="9"/>
            <color indexed="81"/>
            <rFont val="Tahoma"/>
            <family val="2"/>
          </rPr>
          <t xml:space="preserve">incremental development </t>
        </r>
        <r>
          <rPr>
            <sz val="9"/>
            <color indexed="81"/>
            <rFont val="Tahoma"/>
            <family val="2"/>
          </rPr>
          <t>wells per year has to be input manually in the pertinent time-series rows.</t>
        </r>
      </text>
    </comment>
    <comment ref="W16" authorId="1" shapeId="0">
      <text>
        <r>
          <rPr>
            <sz val="9"/>
            <color indexed="81"/>
            <rFont val="Tahoma"/>
            <family val="2"/>
          </rPr>
          <t>Warning will be listed here if inconsistent input.</t>
        </r>
      </text>
    </comment>
    <comment ref="Z16" authorId="3" shapeId="0">
      <text>
        <r>
          <rPr>
            <sz val="10"/>
            <color indexed="81"/>
            <rFont val="Tahoma"/>
            <family val="2"/>
          </rPr>
          <t xml:space="preserve">The discount rate is used to account for the time value of money and for general market risks.
Normally, the WACC (Weighted Average Cost of Capital) is used for the discount rate. The WACC accounts for risks that are not project-specific (i.e., exogenous risks, such as electricity price, capex volatility, political risk, etc). Endogenous risks (i.e. project-specific risks, such as in place volumes, permeability, initial well rate, etc.) should not be accounted for in the discount rate. </t>
        </r>
        <r>
          <rPr>
            <b/>
            <sz val="10"/>
            <color indexed="81"/>
            <rFont val="Tahoma"/>
            <family val="2"/>
          </rPr>
          <t xml:space="preserve">
</t>
        </r>
      </text>
    </comment>
    <comment ref="H17" authorId="1" shapeId="0">
      <text>
        <r>
          <rPr>
            <sz val="9"/>
            <color indexed="81"/>
            <rFont val="Tahoma"/>
            <family val="2"/>
          </rPr>
          <t xml:space="preserve">This is the pressure at the top of the injection well after the pump.
This value is used to calculate the bottomhole pressure of the injection well.
In this version of the GEOCAP tool, this FBHP(inj) is not used to compute the injection rate. This is planned for a later version. </t>
        </r>
      </text>
    </comment>
    <comment ref="P17" authorId="1" shapeId="0">
      <text>
        <r>
          <rPr>
            <sz val="9"/>
            <color indexed="81"/>
            <rFont val="Tahoma"/>
            <family val="2"/>
          </rPr>
          <t xml:space="preserve">More to be added about typical turbine efficiencies.
</t>
        </r>
        <r>
          <rPr>
            <b/>
            <sz val="9"/>
            <color indexed="10"/>
            <rFont val="Tahoma"/>
            <family val="2"/>
          </rPr>
          <t>Error note:</t>
        </r>
        <r>
          <rPr>
            <sz val="9"/>
            <color indexed="10"/>
            <rFont val="Tahoma"/>
            <family val="2"/>
          </rPr>
          <t xml:space="preserve"> an error will appear next to this input either if the isentropic turbine efficiency is not between 0 and 1.</t>
        </r>
      </text>
    </comment>
    <comment ref="R17" authorId="0" shapeId="0">
      <text>
        <r>
          <rPr>
            <sz val="9"/>
            <color indexed="81"/>
            <rFont val="Tahoma"/>
            <family val="2"/>
          </rPr>
          <t>Warning will be listed here if inconsistent input.</t>
        </r>
      </text>
    </comment>
    <comment ref="U17" authorId="4" shapeId="0">
      <text>
        <r>
          <rPr>
            <sz val="9"/>
            <color indexed="81"/>
            <rFont val="Tahoma"/>
            <family val="2"/>
          </rPr>
          <t xml:space="preserve">See </t>
        </r>
        <r>
          <rPr>
            <i/>
            <sz val="9"/>
            <color indexed="81"/>
            <rFont val="Tahoma"/>
            <family val="2"/>
          </rPr>
          <t>Suggested values for well cost</t>
        </r>
        <r>
          <rPr>
            <sz val="9"/>
            <color indexed="81"/>
            <rFont val="Tahoma"/>
            <family val="2"/>
          </rPr>
          <t xml:space="preserve"> in the cells V20 and V21 below.
This does </t>
        </r>
        <r>
          <rPr>
            <b/>
            <sz val="9"/>
            <color indexed="81"/>
            <rFont val="Tahoma"/>
            <family val="2"/>
          </rPr>
          <t>NOT</t>
        </r>
        <r>
          <rPr>
            <sz val="9"/>
            <color indexed="81"/>
            <rFont val="Tahoma"/>
            <family val="2"/>
          </rPr>
          <t xml:space="preserve"> include the cost of stimulation, which is defined below, but </t>
        </r>
        <r>
          <rPr>
            <b/>
            <sz val="9"/>
            <color indexed="81"/>
            <rFont val="Tahoma"/>
            <family val="2"/>
          </rPr>
          <t>DOES</t>
        </r>
        <r>
          <rPr>
            <sz val="9"/>
            <color indexed="81"/>
            <rFont val="Tahoma"/>
            <family val="2"/>
          </rPr>
          <t xml:space="preserve"> include hook-up costs in case of a successful well.
Note that the </t>
        </r>
        <r>
          <rPr>
            <u/>
            <sz val="9"/>
            <color indexed="81"/>
            <rFont val="Tahoma"/>
            <family val="2"/>
          </rPr>
          <t>number</t>
        </r>
        <r>
          <rPr>
            <sz val="9"/>
            <color indexed="81"/>
            <rFont val="Tahoma"/>
            <family val="2"/>
          </rPr>
          <t xml:space="preserve"> of </t>
        </r>
        <r>
          <rPr>
            <i/>
            <sz val="9"/>
            <color indexed="81"/>
            <rFont val="Tahoma"/>
            <family val="2"/>
          </rPr>
          <t>exploration,</t>
        </r>
        <r>
          <rPr>
            <sz val="9"/>
            <color indexed="81"/>
            <rFont val="Tahoma"/>
            <family val="2"/>
          </rPr>
          <t xml:space="preserve"> </t>
        </r>
        <r>
          <rPr>
            <i/>
            <sz val="9"/>
            <color indexed="81"/>
            <rFont val="Tahoma"/>
            <family val="2"/>
          </rPr>
          <t>appraisal,</t>
        </r>
        <r>
          <rPr>
            <sz val="9"/>
            <color indexed="81"/>
            <rFont val="Tahoma"/>
            <family val="2"/>
          </rPr>
          <t xml:space="preserve"> </t>
        </r>
        <r>
          <rPr>
            <i/>
            <sz val="9"/>
            <color indexed="81"/>
            <rFont val="Tahoma"/>
            <family val="2"/>
          </rPr>
          <t xml:space="preserve">initial development, </t>
        </r>
        <r>
          <rPr>
            <sz val="9"/>
            <color indexed="81"/>
            <rFont val="Tahoma"/>
            <family val="2"/>
          </rPr>
          <t xml:space="preserve">and </t>
        </r>
        <r>
          <rPr>
            <i/>
            <sz val="9"/>
            <color indexed="81"/>
            <rFont val="Tahoma"/>
            <family val="2"/>
          </rPr>
          <t xml:space="preserve">incremental development </t>
        </r>
        <r>
          <rPr>
            <sz val="9"/>
            <color indexed="81"/>
            <rFont val="Tahoma"/>
            <family val="2"/>
          </rPr>
          <t>wells per year has to be input manually in the pertinent time-series rows.</t>
        </r>
      </text>
    </comment>
    <comment ref="W17" authorId="1" shapeId="0">
      <text>
        <r>
          <rPr>
            <sz val="9"/>
            <color indexed="81"/>
            <rFont val="Tahoma"/>
            <family val="2"/>
          </rPr>
          <t>Warning will be listed here if inconsistent input.</t>
        </r>
      </text>
    </comment>
    <comment ref="Z17" authorId="3" shapeId="0">
      <text>
        <r>
          <rPr>
            <sz val="10"/>
            <color indexed="81"/>
            <rFont val="Tahoma"/>
            <family val="2"/>
          </rPr>
          <t xml:space="preserve">The discount rate is used to account for the time value of money and for general market risks.
For private / stock-listed companies, the WACC (Weighted Average Cost of Capital) is normally used for the discount rate (see cell above). For governments, however, the WACC does not apply. Whether discounting for government cashflows applies at all, is a matter of debate. The user can specify here the discount rate applicable to government cashflows. If unknown, it is suggested to use 0%. </t>
        </r>
      </text>
    </comment>
    <comment ref="H18" authorId="1" shapeId="0">
      <text>
        <r>
          <rPr>
            <sz val="9"/>
            <color indexed="81"/>
            <rFont val="Tahoma"/>
            <family val="2"/>
          </rPr>
          <t xml:space="preserve">This value divided by 2 (i.e. the radius of the wellbore) is used to compute the steady-state inflow equation. Normally, the size of the bit used to drill the pay-zone would be used here.
</t>
        </r>
        <r>
          <rPr>
            <b/>
            <sz val="9"/>
            <color indexed="10"/>
            <rFont val="Tahoma"/>
            <family val="2"/>
          </rPr>
          <t>Error note:</t>
        </r>
        <r>
          <rPr>
            <sz val="9"/>
            <color indexed="10"/>
            <rFont val="Tahoma"/>
            <family val="2"/>
          </rPr>
          <t xml:space="preserve"> an error will appear next to this input if the wellbore diameter is smaller than the tubing inner diameter.</t>
        </r>
      </text>
    </comment>
    <comment ref="K18" authorId="0" shapeId="0">
      <text>
        <r>
          <rPr>
            <sz val="9"/>
            <color indexed="81"/>
            <rFont val="Tahoma"/>
            <family val="2"/>
          </rPr>
          <t>Warning will be listed here if inconsistent input.</t>
        </r>
      </text>
    </comment>
    <comment ref="U18" authorId="4" shapeId="0">
      <text>
        <r>
          <rPr>
            <sz val="9"/>
            <color indexed="81"/>
            <rFont val="Tahoma"/>
            <family val="2"/>
          </rPr>
          <t xml:space="preserve">See  </t>
        </r>
        <r>
          <rPr>
            <i/>
            <sz val="9"/>
            <color indexed="81"/>
            <rFont val="Tahoma"/>
            <family val="2"/>
          </rPr>
          <t>Suggested values for well cost</t>
        </r>
        <r>
          <rPr>
            <sz val="9"/>
            <color indexed="81"/>
            <rFont val="Tahoma"/>
            <family val="2"/>
          </rPr>
          <t xml:space="preserve"> in the cells V20 and V21 below.
This does </t>
        </r>
        <r>
          <rPr>
            <b/>
            <sz val="9"/>
            <color indexed="81"/>
            <rFont val="Tahoma"/>
            <family val="2"/>
          </rPr>
          <t>NOT</t>
        </r>
        <r>
          <rPr>
            <sz val="9"/>
            <color indexed="81"/>
            <rFont val="Tahoma"/>
            <family val="2"/>
          </rPr>
          <t xml:space="preserve"> include the cost of stimulation, which is defined below, but </t>
        </r>
        <r>
          <rPr>
            <b/>
            <sz val="9"/>
            <color indexed="81"/>
            <rFont val="Tahoma"/>
            <family val="2"/>
          </rPr>
          <t>DOES</t>
        </r>
        <r>
          <rPr>
            <sz val="9"/>
            <color indexed="81"/>
            <rFont val="Tahoma"/>
            <family val="2"/>
          </rPr>
          <t xml:space="preserve"> include hook-up costs in case of a successful well.
Note that the </t>
        </r>
        <r>
          <rPr>
            <u/>
            <sz val="9"/>
            <color indexed="81"/>
            <rFont val="Tahoma"/>
            <family val="2"/>
          </rPr>
          <t>number</t>
        </r>
        <r>
          <rPr>
            <sz val="9"/>
            <color indexed="81"/>
            <rFont val="Tahoma"/>
            <family val="2"/>
          </rPr>
          <t xml:space="preserve"> of </t>
        </r>
        <r>
          <rPr>
            <i/>
            <sz val="9"/>
            <color indexed="81"/>
            <rFont val="Tahoma"/>
            <family val="2"/>
          </rPr>
          <t>exploration,</t>
        </r>
        <r>
          <rPr>
            <sz val="9"/>
            <color indexed="81"/>
            <rFont val="Tahoma"/>
            <family val="2"/>
          </rPr>
          <t xml:space="preserve"> </t>
        </r>
        <r>
          <rPr>
            <i/>
            <sz val="9"/>
            <color indexed="81"/>
            <rFont val="Tahoma"/>
            <family val="2"/>
          </rPr>
          <t>appraisal,</t>
        </r>
        <r>
          <rPr>
            <sz val="9"/>
            <color indexed="81"/>
            <rFont val="Tahoma"/>
            <family val="2"/>
          </rPr>
          <t xml:space="preserve"> </t>
        </r>
        <r>
          <rPr>
            <i/>
            <sz val="9"/>
            <color indexed="81"/>
            <rFont val="Tahoma"/>
            <family val="2"/>
          </rPr>
          <t xml:space="preserve">initial development, </t>
        </r>
        <r>
          <rPr>
            <sz val="9"/>
            <color indexed="81"/>
            <rFont val="Tahoma"/>
            <family val="2"/>
          </rPr>
          <t xml:space="preserve">and </t>
        </r>
        <r>
          <rPr>
            <i/>
            <sz val="9"/>
            <color indexed="81"/>
            <rFont val="Tahoma"/>
            <family val="2"/>
          </rPr>
          <t xml:space="preserve">incremental development </t>
        </r>
        <r>
          <rPr>
            <sz val="9"/>
            <color indexed="81"/>
            <rFont val="Tahoma"/>
            <family val="2"/>
          </rPr>
          <t>wells per year has to be input manually in the pertinent time-series rows.</t>
        </r>
      </text>
    </comment>
    <comment ref="W18" authorId="1" shapeId="0">
      <text>
        <r>
          <rPr>
            <sz val="9"/>
            <color indexed="81"/>
            <rFont val="Tahoma"/>
            <family val="2"/>
          </rPr>
          <t>Warning will be listed here if inconsistent input.</t>
        </r>
      </text>
    </comment>
    <comment ref="Z18" authorId="5" shapeId="0">
      <text>
        <r>
          <rPr>
            <sz val="9"/>
            <color indexed="81"/>
            <rFont val="Tahoma"/>
            <family val="2"/>
          </rPr>
          <t>This should in principle be the same year as the first year of evaluation</t>
        </r>
      </text>
    </comment>
    <comment ref="H19" authorId="1" shapeId="0">
      <text>
        <r>
          <rPr>
            <sz val="9"/>
            <color indexed="81"/>
            <rFont val="Tahoma"/>
            <family val="2"/>
          </rPr>
          <t xml:space="preserve">This is the inner diameter of the production tubing.
This is used to calculate the maximum flow rate through the tubing.
</t>
        </r>
        <r>
          <rPr>
            <b/>
            <sz val="9"/>
            <color indexed="10"/>
            <rFont val="Tahoma"/>
            <family val="2"/>
          </rPr>
          <t>Error note:</t>
        </r>
        <r>
          <rPr>
            <sz val="9"/>
            <color indexed="10"/>
            <rFont val="Tahoma"/>
            <family val="2"/>
          </rPr>
          <t xml:space="preserve"> an error will appear next to this input if the tubing inner diameter is larger than the wellbore diameter.</t>
        </r>
      </text>
    </comment>
    <comment ref="K19" authorId="0" shapeId="0">
      <text>
        <r>
          <rPr>
            <sz val="9"/>
            <color indexed="81"/>
            <rFont val="Tahoma"/>
            <family val="2"/>
          </rPr>
          <t>Warning will be listed here if inconsistent input.</t>
        </r>
      </text>
    </comment>
    <comment ref="P19" authorId="2" shapeId="0">
      <text>
        <r>
          <rPr>
            <b/>
            <sz val="9"/>
            <color indexed="81"/>
            <rFont val="Tahoma"/>
            <family val="2"/>
          </rPr>
          <t>Note on using the drilling learning curve</t>
        </r>
        <r>
          <rPr>
            <sz val="9"/>
            <color indexed="81"/>
            <rFont val="Tahoma"/>
            <family val="2"/>
          </rPr>
          <t xml:space="preserve">
We have done two things here:
1. Within XL, a random number generator (RNG) determines, given a learning curve, whether a programmed and drilled exploration, appraisal or production well (from the user-defined input sheet) is a success or a failure. All wells that are failures do not produce, nor can they be used as injector. This influences everything else in the production forecast and in the cashflows. It also influences the number of injectors to be drilled, and therefore also the cashflow. If you select 'Variable' in cell Q23 and press the F9 key on your pc (Calculate), you will see that the RNG sampling results each time in a new forecast. 
2. Within Crystal Ball (CB), the learning curve itself can be made uncertain. Then within CB, the shape and position of the drilling learning curve will be different for each Monte Carlo simulation. This influences again the success/failure rate of point 1 above, and therefore also all production and cashflow forecasts. When using CB, each simulation will be affected both by the XL-RNG, and by the CB MonteCarlo sampling. 
Note also:
• If you do not want the RNG of #1 to work, you can switch it off in the input sheet (Select: Fixed). In that case one specific realization of the RNG will be used, resulting in the following wells being failures (sequence number): 1-3-9-13-16-19-24-26-32-35-42-45-46-50-etc. (i.e. 14 out of 50 = 28% failures).
• If you do not want the learning curve to vary, you can delete the CB assumptions for the learning curve input variables in the input sheet and make these variables deterministic. 
• </t>
        </r>
        <r>
          <rPr>
            <sz val="9"/>
            <color indexed="10"/>
            <rFont val="Tahoma"/>
            <family val="2"/>
          </rPr>
          <t>If you want all programmed wells, as input in the time-series below, to be a success</t>
        </r>
        <r>
          <rPr>
            <sz val="9"/>
            <color indexed="81"/>
            <rFont val="Tahoma"/>
            <family val="2"/>
          </rPr>
          <t xml:space="preserve">, then you can define the learning curve as follows, with m and b factors </t>
        </r>
        <r>
          <rPr>
            <sz val="9"/>
            <color indexed="10"/>
            <rFont val="Tahoma"/>
            <family val="2"/>
          </rPr>
          <t>deterministic</t>
        </r>
        <r>
          <rPr>
            <sz val="9"/>
            <color indexed="81"/>
            <rFont val="Tahoma"/>
            <family val="2"/>
          </rPr>
          <t xml:space="preserve"> (ie not a CB assumption):
           - Select linear learning curve: y=m*x+b in (cell Q20)
           - b-factor = 100% (cell Q21)
           - m-factor = 0 (cell Q22)
           - Realization of RNG: Fixed (cell Q23)</t>
        </r>
        <r>
          <rPr>
            <b/>
            <sz val="9"/>
            <color indexed="81"/>
            <rFont val="Tahoma"/>
            <charset val="1"/>
          </rPr>
          <t xml:space="preserve">
</t>
        </r>
      </text>
    </comment>
    <comment ref="U19" authorId="4" shapeId="0">
      <text>
        <r>
          <rPr>
            <sz val="9"/>
            <color indexed="81"/>
            <rFont val="Tahoma"/>
            <family val="2"/>
          </rPr>
          <t xml:space="preserve">See  </t>
        </r>
        <r>
          <rPr>
            <i/>
            <sz val="9"/>
            <color indexed="81"/>
            <rFont val="Tahoma"/>
            <family val="2"/>
          </rPr>
          <t>Suggested values for well cost</t>
        </r>
        <r>
          <rPr>
            <sz val="9"/>
            <color indexed="81"/>
            <rFont val="Tahoma"/>
            <family val="2"/>
          </rPr>
          <t xml:space="preserve"> in the cells V20 and V21 below.
</t>
        </r>
        <r>
          <rPr>
            <b/>
            <sz val="9"/>
            <color indexed="81"/>
            <rFont val="Tahoma"/>
            <family val="2"/>
          </rPr>
          <t xml:space="preserve">
</t>
        </r>
        <r>
          <rPr>
            <sz val="9"/>
            <color indexed="81"/>
            <rFont val="Tahoma"/>
            <family val="2"/>
          </rPr>
          <t xml:space="preserve">This </t>
        </r>
        <r>
          <rPr>
            <b/>
            <sz val="9"/>
            <color indexed="81"/>
            <rFont val="Tahoma"/>
            <family val="2"/>
          </rPr>
          <t>DOES</t>
        </r>
        <r>
          <rPr>
            <sz val="9"/>
            <color indexed="81"/>
            <rFont val="Tahoma"/>
            <family val="2"/>
          </rPr>
          <t xml:space="preserve"> include both stimulation costs and hook-up costs for the injection well.
Note that the </t>
        </r>
        <r>
          <rPr>
            <u/>
            <sz val="9"/>
            <color indexed="81"/>
            <rFont val="Tahoma"/>
            <family val="2"/>
          </rPr>
          <t>number</t>
        </r>
        <r>
          <rPr>
            <sz val="9"/>
            <color indexed="81"/>
            <rFont val="Tahoma"/>
            <family val="2"/>
          </rPr>
          <t xml:space="preserve"> of </t>
        </r>
        <r>
          <rPr>
            <i/>
            <sz val="9"/>
            <color indexed="81"/>
            <rFont val="Tahoma"/>
            <family val="2"/>
          </rPr>
          <t>exploration,</t>
        </r>
        <r>
          <rPr>
            <sz val="9"/>
            <color indexed="81"/>
            <rFont val="Tahoma"/>
            <family val="2"/>
          </rPr>
          <t xml:space="preserve"> </t>
        </r>
        <r>
          <rPr>
            <i/>
            <sz val="9"/>
            <color indexed="81"/>
            <rFont val="Tahoma"/>
            <family val="2"/>
          </rPr>
          <t>appraisal,</t>
        </r>
        <r>
          <rPr>
            <sz val="9"/>
            <color indexed="81"/>
            <rFont val="Tahoma"/>
            <family val="2"/>
          </rPr>
          <t xml:space="preserve"> </t>
        </r>
        <r>
          <rPr>
            <i/>
            <sz val="9"/>
            <color indexed="81"/>
            <rFont val="Tahoma"/>
            <family val="2"/>
          </rPr>
          <t xml:space="preserve">initial development, </t>
        </r>
        <r>
          <rPr>
            <sz val="9"/>
            <color indexed="81"/>
            <rFont val="Tahoma"/>
            <family val="2"/>
          </rPr>
          <t xml:space="preserve">and </t>
        </r>
        <r>
          <rPr>
            <i/>
            <sz val="9"/>
            <color indexed="81"/>
            <rFont val="Tahoma"/>
            <family val="2"/>
          </rPr>
          <t xml:space="preserve">incremental development </t>
        </r>
        <r>
          <rPr>
            <sz val="9"/>
            <color indexed="81"/>
            <rFont val="Tahoma"/>
            <family val="2"/>
          </rPr>
          <t>wells per year has to be input manually in the pertinent time-series rows.</t>
        </r>
      </text>
    </comment>
    <comment ref="W19" authorId="1" shapeId="0">
      <text>
        <r>
          <rPr>
            <sz val="9"/>
            <color indexed="81"/>
            <rFont val="Tahoma"/>
            <family val="2"/>
          </rPr>
          <t>Warning will be listed here if inconsistent input.</t>
        </r>
      </text>
    </comment>
    <comment ref="Z19" authorId="0" shapeId="0">
      <text>
        <r>
          <rPr>
            <sz val="9"/>
            <color indexed="81"/>
            <rFont val="Tahoma"/>
            <family val="2"/>
          </rPr>
          <t>Select if the Transmission System Operator or the plant operator pays for the grid connection.</t>
        </r>
      </text>
    </comment>
    <comment ref="H20" authorId="1" shapeId="0">
      <text>
        <r>
          <rPr>
            <sz val="9"/>
            <color indexed="81"/>
            <rFont val="Tahoma"/>
            <family val="2"/>
          </rPr>
          <t xml:space="preserve">This is the absolute pipe roughness for the tubing. It is used to calculate the maximum flow capacity through the tubing of producers and injectors. This maximum flow capacity may constrain the total system flow. 
</t>
        </r>
        <r>
          <rPr>
            <i/>
            <sz val="9"/>
            <color indexed="81"/>
            <rFont val="Tahoma"/>
            <family val="2"/>
          </rPr>
          <t xml:space="preserve">
In the current version, the roughness is not yet used for calculating the VFP (Vertical Flow Performance) in the wells. </t>
        </r>
        <r>
          <rPr>
            <sz val="9"/>
            <color indexed="81"/>
            <rFont val="Tahoma"/>
            <family val="2"/>
          </rPr>
          <t xml:space="preserve">
As examples, stainless steel has a roughness of about 0.015, while galvanized steel has a roughness of about 0.15. Steel commercial pipe has a roughness of around 0.045 - 0.09. DiPippo mentions that commercial steel casing has a surface roughness of 0.0457 mm.</t>
        </r>
      </text>
    </comment>
    <comment ref="P20" authorId="1" shapeId="0">
      <text>
        <r>
          <rPr>
            <sz val="9"/>
            <color indexed="81"/>
            <rFont val="Tahoma"/>
            <family val="2"/>
          </rPr>
          <t xml:space="preserve">This is the equation that influences the success rate when drilling wells. As you drill more wells, the success rate increases according to this equation. The success rate exploration, appraisal, and development wells, but </t>
        </r>
        <r>
          <rPr>
            <u/>
            <sz val="9"/>
            <color indexed="81"/>
            <rFont val="Tahoma"/>
            <family val="2"/>
          </rPr>
          <t>not</t>
        </r>
        <r>
          <rPr>
            <sz val="9"/>
            <color indexed="81"/>
            <rFont val="Tahoma"/>
            <family val="2"/>
          </rPr>
          <t xml:space="preserve"> injection wells.
As a suggestion, the International Finance Corporation in their publication </t>
        </r>
        <r>
          <rPr>
            <i/>
            <sz val="9"/>
            <color indexed="81"/>
            <rFont val="Tahoma"/>
            <family val="2"/>
          </rPr>
          <t>Success of Geothermal Wells: A Global Study (June 2013)</t>
        </r>
        <r>
          <rPr>
            <sz val="9"/>
            <color indexed="81"/>
            <rFont val="Tahoma"/>
            <family val="2"/>
          </rPr>
          <t xml:space="preserve"> concluded a relationship of 
y = 0.07 * ln(x) + 0.48
where x is the number of wells drilled and y is the success rate.
The other option is to use a linear equation, where again, x is the number of wells drilled and y is the success rate.</t>
        </r>
      </text>
    </comment>
    <comment ref="U20" authorId="4" shapeId="0">
      <text>
        <r>
          <rPr>
            <sz val="9"/>
            <color indexed="81"/>
            <rFont val="Tahoma"/>
            <family val="2"/>
          </rPr>
          <t xml:space="preserve">These are costs associated with initiating flow into the well.
This value is applied to all attempted drilled exploration, appraisal, and development wells, but </t>
        </r>
        <r>
          <rPr>
            <b/>
            <sz val="9"/>
            <color indexed="81"/>
            <rFont val="Tahoma"/>
            <family val="2"/>
          </rPr>
          <t>NOT</t>
        </r>
        <r>
          <rPr>
            <sz val="9"/>
            <color indexed="81"/>
            <rFont val="Tahoma"/>
            <family val="2"/>
          </rPr>
          <t xml:space="preserve"> applied to injection wells.
In the case where the user selects that exploration and appraisal wells should be reused as injection wells, then the stimulation cost is used only </t>
        </r>
        <r>
          <rPr>
            <u/>
            <sz val="9"/>
            <color indexed="81"/>
            <rFont val="Tahoma"/>
            <family val="2"/>
          </rPr>
          <t>once</t>
        </r>
        <r>
          <rPr>
            <sz val="9"/>
            <color indexed="81"/>
            <rFont val="Tahoma"/>
            <family val="2"/>
          </rPr>
          <t>, during the years that the exploration and appraisal wells were drilled.</t>
        </r>
      </text>
    </comment>
    <comment ref="W20" authorId="1" shapeId="0">
      <text>
        <r>
          <rPr>
            <sz val="9"/>
            <color indexed="81"/>
            <rFont val="Tahoma"/>
            <family val="2"/>
          </rPr>
          <t>Warning will be listed here if inconsistent input.</t>
        </r>
      </text>
    </comment>
    <comment ref="Z20" authorId="2" shapeId="0">
      <text>
        <r>
          <rPr>
            <sz val="9"/>
            <color indexed="81"/>
            <rFont val="Tahoma"/>
            <family val="2"/>
          </rPr>
          <t>This value is used to estimate the CO2 emissions to the atmosphere avoided due to the geothermal power plant. 
The simplifying assumption is made that over the production life time / evaluation period of the geothermal asset modelled, an average "grid-mix" applies for all energy sources feeding into the power grid. This grid-mix is to be expressed as average Mt CO</t>
        </r>
        <r>
          <rPr>
            <vertAlign val="subscript"/>
            <sz val="9"/>
            <color indexed="81"/>
            <rFont val="Tahoma"/>
            <family val="2"/>
          </rPr>
          <t>2</t>
        </r>
        <r>
          <rPr>
            <sz val="9"/>
            <color indexed="81"/>
            <rFont val="Tahoma"/>
            <family val="2"/>
          </rPr>
          <t xml:space="preserve"> emitted per TWh electrical energy produced and transported in the grid. </t>
        </r>
      </text>
    </comment>
    <comment ref="H21" authorId="4" shapeId="0">
      <text>
        <r>
          <rPr>
            <sz val="9"/>
            <color indexed="81"/>
            <rFont val="Tahoma"/>
            <family val="2"/>
          </rPr>
          <t xml:space="preserve">In the well inflow equation, the skin factor expresses the near-wellbore permeability </t>
        </r>
        <r>
          <rPr>
            <i/>
            <sz val="9"/>
            <color indexed="81"/>
            <rFont val="Tahoma"/>
            <family val="2"/>
          </rPr>
          <t>impairment</t>
        </r>
        <r>
          <rPr>
            <sz val="9"/>
            <color indexed="81"/>
            <rFont val="Tahoma"/>
            <family val="2"/>
          </rPr>
          <t xml:space="preserve"> due to drilling / completing the well, or expresses the near-wellbore permeability </t>
        </r>
        <r>
          <rPr>
            <i/>
            <sz val="9"/>
            <color indexed="81"/>
            <rFont val="Tahoma"/>
            <family val="2"/>
          </rPr>
          <t>enhancement</t>
        </r>
        <r>
          <rPr>
            <sz val="9"/>
            <color indexed="81"/>
            <rFont val="Tahoma"/>
            <family val="2"/>
          </rPr>
          <t xml:space="preserve"> due to well stimulation.  
</t>
        </r>
        <r>
          <rPr>
            <sz val="9"/>
            <color indexed="10"/>
            <rFont val="Tahoma"/>
            <family val="2"/>
          </rPr>
          <t xml:space="preserve">
</t>
        </r>
        <r>
          <rPr>
            <sz val="8"/>
            <color indexed="10"/>
            <rFont val="Tahoma"/>
            <family val="2"/>
          </rPr>
          <t>A skin factor &gt;0 will reduce the well's productivity. Conversely, a skin factor &lt;0 will enhance the well's productivity. 
Skin factors of a properly constructed, unstimulated well can typically range between 0-5.
Skin factors of a properly stimulated well can typically range between -5 to say 0.</t>
        </r>
      </text>
    </comment>
    <comment ref="P21" authorId="1" shapeId="0">
      <text>
        <r>
          <rPr>
            <sz val="9"/>
            <color indexed="81"/>
            <rFont val="Tahoma"/>
            <family val="2"/>
          </rPr>
          <t xml:space="preserve">This is the success rate of the first well drilled. The following wells will increase the probability of success, starting from this value.
</t>
        </r>
        <r>
          <rPr>
            <b/>
            <sz val="9"/>
            <color indexed="10"/>
            <rFont val="Tahoma"/>
            <family val="2"/>
          </rPr>
          <t>Error note:</t>
        </r>
        <r>
          <rPr>
            <sz val="9"/>
            <color indexed="10"/>
            <rFont val="Tahoma"/>
            <family val="2"/>
          </rPr>
          <t xml:space="preserve"> an error will appear next to this input either if the isentropic turbine efficiency is not between 0 and 1.</t>
        </r>
      </text>
    </comment>
    <comment ref="R21" authorId="0" shapeId="0">
      <text>
        <r>
          <rPr>
            <sz val="9"/>
            <color indexed="81"/>
            <rFont val="Tahoma"/>
            <family val="2"/>
          </rPr>
          <t>Warning will be listed here if inconsistent input.</t>
        </r>
      </text>
    </comment>
    <comment ref="U21" authorId="0" shapeId="0">
      <text>
        <r>
          <rPr>
            <sz val="9"/>
            <color indexed="81"/>
            <rFont val="Tahoma"/>
            <family val="2"/>
          </rPr>
          <t xml:space="preserve">These are costs associated with re-stimulating existing wells to improve productivity and flow.
This cost is applied to </t>
        </r>
        <r>
          <rPr>
            <b/>
            <sz val="9"/>
            <color indexed="81"/>
            <rFont val="Tahoma"/>
            <family val="2"/>
          </rPr>
          <t>BOTH</t>
        </r>
        <r>
          <rPr>
            <sz val="9"/>
            <color indexed="81"/>
            <rFont val="Tahoma"/>
            <family val="2"/>
          </rPr>
          <t xml:space="preserve"> production and injection wells every </t>
        </r>
        <r>
          <rPr>
            <i/>
            <sz val="9"/>
            <color indexed="81"/>
            <rFont val="Tahoma"/>
            <family val="2"/>
          </rPr>
          <t>n</t>
        </r>
        <r>
          <rPr>
            <sz val="9"/>
            <color indexed="81"/>
            <rFont val="Tahoma"/>
            <family val="2"/>
          </rPr>
          <t xml:space="preserve"> years, where </t>
        </r>
        <r>
          <rPr>
            <i/>
            <sz val="9"/>
            <color indexed="81"/>
            <rFont val="Tahoma"/>
            <family val="2"/>
          </rPr>
          <t>n</t>
        </r>
        <r>
          <rPr>
            <sz val="9"/>
            <color indexed="81"/>
            <rFont val="Tahoma"/>
            <family val="2"/>
          </rPr>
          <t xml:space="preserve"> is specified by the user separately for production and injection wells.</t>
        </r>
      </text>
    </comment>
    <comment ref="W21" authorId="1" shapeId="0">
      <text>
        <r>
          <rPr>
            <sz val="9"/>
            <color indexed="81"/>
            <rFont val="Tahoma"/>
            <family val="2"/>
          </rPr>
          <t>Warning will be listed here if inconsistent input.</t>
        </r>
      </text>
    </comment>
    <comment ref="Z21" authorId="2" shapeId="0">
      <text>
        <r>
          <rPr>
            <sz val="9"/>
            <color indexed="81"/>
            <rFont val="Tahoma"/>
            <family val="2"/>
          </rPr>
          <t xml:space="preserve">This is used to calculate the theoretical plant capacity (MWe) based on the volumetric Heat-In-Place calculation. It has no further impact on the other calculations. 
</t>
        </r>
        <r>
          <rPr>
            <sz val="8"/>
            <color indexed="10"/>
            <rFont val="Tahoma"/>
            <family val="2"/>
          </rPr>
          <t xml:space="preserve">Given the HIP, the conversion efficiency of HIP to MWe, and given the targeted economic life, the theoretical field capacity (MWe) is calculated. </t>
        </r>
      </text>
    </comment>
    <comment ref="H22" authorId="4" shapeId="0">
      <text>
        <r>
          <rPr>
            <sz val="9"/>
            <color indexed="81"/>
            <rFont val="Tahoma"/>
            <family val="2"/>
          </rPr>
          <t xml:space="preserve">In the well inflow equation, the skin factor expresses the near-wellbore permeability </t>
        </r>
        <r>
          <rPr>
            <i/>
            <sz val="9"/>
            <color indexed="81"/>
            <rFont val="Tahoma"/>
            <family val="2"/>
          </rPr>
          <t>impairment</t>
        </r>
        <r>
          <rPr>
            <sz val="9"/>
            <color indexed="81"/>
            <rFont val="Tahoma"/>
            <family val="2"/>
          </rPr>
          <t xml:space="preserve"> due to drilling / completing the well, or expresses the near-wellbore permeability </t>
        </r>
        <r>
          <rPr>
            <i/>
            <sz val="9"/>
            <color indexed="81"/>
            <rFont val="Tahoma"/>
            <family val="2"/>
          </rPr>
          <t>enhancement</t>
        </r>
        <r>
          <rPr>
            <sz val="9"/>
            <color indexed="81"/>
            <rFont val="Tahoma"/>
            <family val="2"/>
          </rPr>
          <t xml:space="preserve"> due to well stimulation.  
</t>
        </r>
        <r>
          <rPr>
            <sz val="9"/>
            <color indexed="10"/>
            <rFont val="Tahoma"/>
            <family val="2"/>
          </rPr>
          <t xml:space="preserve">
</t>
        </r>
        <r>
          <rPr>
            <sz val="8"/>
            <color indexed="10"/>
            <rFont val="Tahoma"/>
            <family val="2"/>
          </rPr>
          <t>A skin factor &gt;0 will reduce the well's productivity. Conversely, a skin factor &lt;0 will enhance the well's productivity. 
Skin factors of a properly constructed, unstimulated well can typically range between 0-5.
Skin factors of a properly stimulated well can typically range between -5 to say 0.</t>
        </r>
      </text>
    </comment>
    <comment ref="P22" authorId="1" shapeId="0">
      <text>
        <r>
          <rPr>
            <sz val="9"/>
            <color indexed="81"/>
            <rFont val="Tahoma"/>
            <family val="2"/>
          </rPr>
          <t>This is the growth rate of the success learning curve. The success of the first well starts with the initial success rate, and grows according to this value.</t>
        </r>
      </text>
    </comment>
    <comment ref="U22" authorId="0" shapeId="0">
      <text>
        <r>
          <rPr>
            <sz val="9"/>
            <color indexed="81"/>
            <rFont val="Tahoma"/>
            <family val="2"/>
          </rPr>
          <t xml:space="preserve">Includes regular maintenance of wells and comes </t>
        </r>
        <r>
          <rPr>
            <i/>
            <sz val="9"/>
            <color indexed="10"/>
            <rFont val="Tahoma"/>
            <family val="2"/>
          </rPr>
          <t>on top of</t>
        </r>
        <r>
          <rPr>
            <sz val="9"/>
            <color indexed="81"/>
            <rFont val="Tahoma"/>
            <family val="2"/>
          </rPr>
          <t xml:space="preserve"> well stimulation workovers, fixed opex and variable opex. </t>
        </r>
      </text>
    </comment>
    <comment ref="W22" authorId="1" shapeId="0">
      <text>
        <r>
          <rPr>
            <sz val="9"/>
            <color indexed="81"/>
            <rFont val="Tahoma"/>
            <family val="2"/>
          </rPr>
          <t>Warning will be listed here if inconsistent input.</t>
        </r>
      </text>
    </comment>
    <comment ref="Z22" authorId="5" shapeId="0">
      <text>
        <r>
          <rPr>
            <sz val="9"/>
            <color indexed="81"/>
            <rFont val="Tahoma"/>
            <family val="2"/>
          </rPr>
          <t>If the e-tariff is not constant in time, then fill VAR and fill in row 26.</t>
        </r>
      </text>
    </comment>
    <comment ref="H23" authorId="0" shapeId="0">
      <text>
        <r>
          <rPr>
            <sz val="9"/>
            <color indexed="81"/>
            <rFont val="Tahoma"/>
            <family val="2"/>
          </rPr>
          <t>Due to scaling, fines migration or other well damage, each year the skin will increase by a constant amount. Define here by how much you want it to increase per year. This will apply to all production wells equally.</t>
        </r>
      </text>
    </comment>
    <comment ref="P23" authorId="1" shapeId="0">
      <text>
        <r>
          <rPr>
            <sz val="9"/>
            <color indexed="81"/>
            <rFont val="Tahoma"/>
            <family val="2"/>
          </rPr>
          <t xml:space="preserve">The probability of a well succeeding is given by the equation above. The probability is compared to a randomly generated number. If the </t>
        </r>
        <r>
          <rPr>
            <i/>
            <sz val="9"/>
            <color indexed="81"/>
            <rFont val="Tahoma"/>
            <family val="2"/>
          </rPr>
          <t>y</t>
        </r>
        <r>
          <rPr>
            <sz val="9"/>
            <color indexed="81"/>
            <rFont val="Tahoma"/>
            <family val="2"/>
          </rPr>
          <t xml:space="preserve"> value is larger than the randomly generated number, then the well is a success, and if not, then the well is a failure.
Select "Fixed" if you would like to use fixed numbers for probabilities, which will </t>
        </r>
        <r>
          <rPr>
            <u/>
            <sz val="9"/>
            <color indexed="81"/>
            <rFont val="Tahoma"/>
            <family val="2"/>
          </rPr>
          <t>not</t>
        </r>
        <r>
          <rPr>
            <sz val="9"/>
            <color indexed="81"/>
            <rFont val="Tahoma"/>
            <family val="2"/>
          </rPr>
          <t xml:space="preserve"> change every time you edit the document. Select "Variable" if you want the probabilities to change every time you edit any of the cells on any worksheet (due to Excel's re-rendering for the function RAND() ), or when pressing the F9 key (calculate). 
If 'Fixed' is selected, one specific realization of the RNG will be used, resulting in the following wells being failures (sequence number): 1-3-9-13-16-19-24-26-32-35-42-45-46-50-etc. (i.e. 14 out of 50 = 28% failures).
After setting RNG=variable, it is suggested to open Worksheet 'Fig Rig' and press the F9 key (calculate) to inspect how this works. </t>
        </r>
      </text>
    </comment>
    <comment ref="Z23" authorId="1" shapeId="0">
      <text>
        <r>
          <rPr>
            <sz val="9"/>
            <color indexed="81"/>
            <rFont val="Tahoma"/>
            <family val="2"/>
          </rPr>
          <t>If the e-tariff is constant in time, then specify FIX in cell H19 and fill in cell H20.</t>
        </r>
      </text>
    </comment>
    <comment ref="H24" authorId="0" shapeId="0">
      <text>
        <r>
          <rPr>
            <sz val="9"/>
            <color indexed="81"/>
            <rFont val="Tahoma"/>
            <family val="2"/>
          </rPr>
          <t>Due to scaling, fines migration or other well damage, each year the skin will increase by a constant amount. Define here by how much you want it to increase per year. This will apply to all injection wells equally.</t>
        </r>
      </text>
    </comment>
    <comment ref="U24" authorId="2" shapeId="0">
      <text>
        <r>
          <rPr>
            <sz val="9"/>
            <color indexed="81"/>
            <rFont val="Tahoma"/>
            <family val="2"/>
          </rPr>
          <t xml:space="preserve">All cost items specified in a case study must be expressed in the same reference-year values. To convert the various capex and opex items from a source's reference year to the case study's reference year, one may use the indices given in the worksheet 'Cost-indices'. Note however that these values may not apply to Indonesia. </t>
        </r>
        <r>
          <rPr>
            <b/>
            <sz val="9"/>
            <color indexed="81"/>
            <rFont val="Tahoma"/>
            <family val="2"/>
          </rPr>
          <t xml:space="preserve">
</t>
        </r>
      </text>
    </comment>
    <comment ref="H25" authorId="0" shapeId="0">
      <text>
        <r>
          <rPr>
            <sz val="9"/>
            <color indexed="81"/>
            <rFont val="Tahoma"/>
            <family val="2"/>
          </rPr>
          <t xml:space="preserve">This is the difference between the reservoir temperature and the flowing tubing head temperature. This value should be a </t>
        </r>
        <r>
          <rPr>
            <u/>
            <sz val="9"/>
            <color indexed="81"/>
            <rFont val="Tahoma"/>
            <family val="2"/>
          </rPr>
          <t>positive</t>
        </r>
        <r>
          <rPr>
            <sz val="9"/>
            <color indexed="81"/>
            <rFont val="Tahoma"/>
            <family val="2"/>
          </rPr>
          <t xml:space="preserve"> value for the calculations to work properly.
This is the production temperature, which is the reservoir temperature, corrected for temperature losses along the well.
</t>
        </r>
        <r>
          <rPr>
            <b/>
            <sz val="9"/>
            <color indexed="81"/>
            <rFont val="Tahoma"/>
            <family val="2"/>
          </rPr>
          <t>Abbreviation:</t>
        </r>
        <r>
          <rPr>
            <sz val="9"/>
            <color indexed="81"/>
            <rFont val="Tahoma"/>
            <family val="2"/>
          </rPr>
          <t xml:space="preserve"> FTHT (Flowing Tubing Head Temperature)
</t>
        </r>
        <r>
          <rPr>
            <b/>
            <sz val="9"/>
            <color indexed="10"/>
            <rFont val="Tahoma"/>
            <family val="2"/>
          </rPr>
          <t>Error note:</t>
        </r>
        <r>
          <rPr>
            <sz val="9"/>
            <color indexed="10"/>
            <rFont val="Tahoma"/>
            <family val="2"/>
          </rPr>
          <t xml:space="preserve"> an error will appear next to this input if the input value is negative.</t>
        </r>
      </text>
    </comment>
    <comment ref="K25" authorId="0" shapeId="0">
      <text>
        <r>
          <rPr>
            <sz val="9"/>
            <color indexed="81"/>
            <rFont val="Tahoma"/>
            <family val="2"/>
          </rPr>
          <t>Warning will be listed here if inconsistent input.</t>
        </r>
      </text>
    </comment>
    <comment ref="U25" authorId="4" shapeId="0">
      <text>
        <r>
          <rPr>
            <sz val="9"/>
            <color indexed="81"/>
            <rFont val="Tahoma"/>
            <family val="2"/>
          </rPr>
          <t xml:space="preserve">Calculation from van Wees' Levelized Cost of Electricity spreadsheet. 
The indicated cost should still be converted to the reference year specified for this case study. </t>
        </r>
      </text>
    </comment>
    <comment ref="H26" authorId="0" shapeId="0">
      <text>
        <r>
          <rPr>
            <sz val="9"/>
            <color indexed="81"/>
            <rFont val="Tahoma"/>
            <family val="2"/>
          </rPr>
          <t xml:space="preserve">This is the temperature at which production will stop if the produced fluid reaches this temperature.
As temperature decreases due to breakthrough, this value could be achieved.
</t>
        </r>
        <r>
          <rPr>
            <b/>
            <sz val="9"/>
            <color indexed="10"/>
            <rFont val="Tahoma"/>
            <family val="2"/>
          </rPr>
          <t>Error note:</t>
        </r>
        <r>
          <rPr>
            <sz val="9"/>
            <color indexed="10"/>
            <rFont val="Tahoma"/>
            <family val="2"/>
          </rPr>
          <t xml:space="preserve"> an error will appear next to this input if the minimum allowable temperature at the tubing head is higher than the flowing tubing head temperature.</t>
        </r>
      </text>
    </comment>
    <comment ref="K26" authorId="0" shapeId="0">
      <text>
        <r>
          <rPr>
            <sz val="9"/>
            <color indexed="81"/>
            <rFont val="Tahoma"/>
            <family val="2"/>
          </rPr>
          <t>Warning will be listed here if inconsistent input.</t>
        </r>
      </text>
    </comment>
    <comment ref="U26" authorId="4" shapeId="0">
      <text>
        <r>
          <rPr>
            <sz val="9"/>
            <color indexed="81"/>
            <rFont val="Tahoma"/>
            <family val="2"/>
          </rPr>
          <t xml:space="preserve">From DOE paper - Factors affecting cost of geothermal power development and from GeothermEx paper - New Geothermal Site Identification and Qualification (pg 17).
The indicated cost should still be converted to the reference year specified for this case study. </t>
        </r>
      </text>
    </comment>
    <comment ref="H27" authorId="0" shapeId="0">
      <text>
        <r>
          <rPr>
            <sz val="9"/>
            <color indexed="81"/>
            <rFont val="Tahoma"/>
            <family val="2"/>
          </rPr>
          <t>Average yearly ambient temperature used to calculate conversion efficiency based on Van Wees formula.</t>
        </r>
      </text>
    </comment>
    <comment ref="C30" authorId="0" shapeId="0">
      <text>
        <r>
          <rPr>
            <sz val="9"/>
            <color indexed="81"/>
            <rFont val="Tahoma"/>
            <family val="2"/>
          </rPr>
          <t>Warning will be listed here if inconsistent input.</t>
        </r>
      </text>
    </comment>
    <comment ref="D30" authorId="0" shapeId="0">
      <text>
        <r>
          <rPr>
            <sz val="9"/>
            <color indexed="81"/>
            <rFont val="Tahoma"/>
            <family val="2"/>
          </rPr>
          <t>Warning will be listed here if inconsistent input.</t>
        </r>
      </text>
    </comment>
    <comment ref="E30" authorId="0" shapeId="0">
      <text>
        <r>
          <rPr>
            <sz val="9"/>
            <color indexed="81"/>
            <rFont val="Tahoma"/>
            <family val="2"/>
          </rPr>
          <t>Warning will be listed here if inconsistent input.</t>
        </r>
      </text>
    </comment>
    <comment ref="F30" authorId="0" shapeId="0">
      <text>
        <r>
          <rPr>
            <sz val="9"/>
            <color indexed="81"/>
            <rFont val="Tahoma"/>
            <family val="2"/>
          </rPr>
          <t>Warning will be listed here if inconsistent input.</t>
        </r>
      </text>
    </comment>
    <comment ref="G30" authorId="0" shapeId="0">
      <text>
        <r>
          <rPr>
            <sz val="9"/>
            <color indexed="81"/>
            <rFont val="Tahoma"/>
            <family val="2"/>
          </rPr>
          <t>Warning will be listed here if inconsistent input.</t>
        </r>
      </text>
    </comment>
    <comment ref="H30" authorId="0" shapeId="0">
      <text>
        <r>
          <rPr>
            <sz val="9"/>
            <color indexed="81"/>
            <rFont val="Tahoma"/>
            <family val="2"/>
          </rPr>
          <t>Warning will be listed here if inconsistent input.</t>
        </r>
      </text>
    </comment>
    <comment ref="I30" authorId="0" shapeId="0">
      <text>
        <r>
          <rPr>
            <sz val="9"/>
            <color indexed="81"/>
            <rFont val="Tahoma"/>
            <family val="2"/>
          </rPr>
          <t>Warning will be listed here if inconsistent input.</t>
        </r>
      </text>
    </comment>
    <comment ref="J30" authorId="0" shapeId="0">
      <text>
        <r>
          <rPr>
            <sz val="9"/>
            <color indexed="81"/>
            <rFont val="Tahoma"/>
            <family val="2"/>
          </rPr>
          <t>Warning will be listed here if inconsistent input.</t>
        </r>
      </text>
    </comment>
    <comment ref="K30" authorId="0" shapeId="0">
      <text>
        <r>
          <rPr>
            <sz val="9"/>
            <color indexed="81"/>
            <rFont val="Tahoma"/>
            <family val="2"/>
          </rPr>
          <t>Warning will be listed here if inconsistent input.</t>
        </r>
      </text>
    </comment>
    <comment ref="L30" authorId="0" shapeId="0">
      <text>
        <r>
          <rPr>
            <sz val="9"/>
            <color indexed="81"/>
            <rFont val="Tahoma"/>
            <family val="2"/>
          </rPr>
          <t>Warning will be listed here if inconsistent input.</t>
        </r>
      </text>
    </comment>
    <comment ref="M30" authorId="0" shapeId="0">
      <text>
        <r>
          <rPr>
            <sz val="9"/>
            <color indexed="81"/>
            <rFont val="Tahoma"/>
            <family val="2"/>
          </rPr>
          <t>Warning will be listed here if inconsistent input.</t>
        </r>
      </text>
    </comment>
    <comment ref="N30" authorId="0" shapeId="0">
      <text>
        <r>
          <rPr>
            <sz val="9"/>
            <color indexed="81"/>
            <rFont val="Tahoma"/>
            <family val="2"/>
          </rPr>
          <t>Warning will be listed here if inconsistent input.</t>
        </r>
      </text>
    </comment>
    <comment ref="O30" authorId="0" shapeId="0">
      <text>
        <r>
          <rPr>
            <sz val="9"/>
            <color indexed="81"/>
            <rFont val="Tahoma"/>
            <family val="2"/>
          </rPr>
          <t>Warning will be listed here if inconsistent input.</t>
        </r>
      </text>
    </comment>
    <comment ref="P30" authorId="0" shapeId="0">
      <text>
        <r>
          <rPr>
            <sz val="9"/>
            <color indexed="81"/>
            <rFont val="Tahoma"/>
            <family val="2"/>
          </rPr>
          <t>Warning will be listed here if inconsistent input.</t>
        </r>
      </text>
    </comment>
    <comment ref="Q30" authorId="0" shapeId="0">
      <text>
        <r>
          <rPr>
            <sz val="9"/>
            <color indexed="81"/>
            <rFont val="Tahoma"/>
            <family val="2"/>
          </rPr>
          <t>Warning will be listed here if inconsistent input.</t>
        </r>
      </text>
    </comment>
    <comment ref="R30" authorId="0" shapeId="0">
      <text>
        <r>
          <rPr>
            <sz val="9"/>
            <color indexed="81"/>
            <rFont val="Tahoma"/>
            <family val="2"/>
          </rPr>
          <t>Warning will be listed here if inconsistent input.</t>
        </r>
      </text>
    </comment>
    <comment ref="S30" authorId="0" shapeId="0">
      <text>
        <r>
          <rPr>
            <sz val="9"/>
            <color indexed="81"/>
            <rFont val="Tahoma"/>
            <family val="2"/>
          </rPr>
          <t>Warning will be listed here if inconsistent input.</t>
        </r>
      </text>
    </comment>
    <comment ref="T30" authorId="0" shapeId="0">
      <text>
        <r>
          <rPr>
            <sz val="9"/>
            <color indexed="81"/>
            <rFont val="Tahoma"/>
            <family val="2"/>
          </rPr>
          <t>Warning will be listed here if inconsistent input.</t>
        </r>
      </text>
    </comment>
    <comment ref="U30" authorId="0" shapeId="0">
      <text>
        <r>
          <rPr>
            <sz val="9"/>
            <color indexed="81"/>
            <rFont val="Tahoma"/>
            <family val="2"/>
          </rPr>
          <t>Warning will be listed here if inconsistent input.</t>
        </r>
      </text>
    </comment>
    <comment ref="V30" authorId="0" shapeId="0">
      <text>
        <r>
          <rPr>
            <sz val="9"/>
            <color indexed="81"/>
            <rFont val="Tahoma"/>
            <family val="2"/>
          </rPr>
          <t>Warning will be listed here if inconsistent input.</t>
        </r>
      </text>
    </comment>
    <comment ref="W30" authorId="0" shapeId="0">
      <text>
        <r>
          <rPr>
            <sz val="9"/>
            <color indexed="81"/>
            <rFont val="Tahoma"/>
            <family val="2"/>
          </rPr>
          <t>Warning will be listed here if inconsistent input.</t>
        </r>
      </text>
    </comment>
    <comment ref="X30" authorId="0" shapeId="0">
      <text>
        <r>
          <rPr>
            <sz val="9"/>
            <color indexed="81"/>
            <rFont val="Tahoma"/>
            <family val="2"/>
          </rPr>
          <t>Warning will be listed here if inconsistent input.</t>
        </r>
      </text>
    </comment>
    <comment ref="Y30" authorId="0" shapeId="0">
      <text>
        <r>
          <rPr>
            <sz val="9"/>
            <color indexed="81"/>
            <rFont val="Tahoma"/>
            <family val="2"/>
          </rPr>
          <t>Warning will be listed here if inconsistent input.</t>
        </r>
      </text>
    </comment>
    <comment ref="Z30" authorId="0" shapeId="0">
      <text>
        <r>
          <rPr>
            <sz val="9"/>
            <color indexed="81"/>
            <rFont val="Tahoma"/>
            <family val="2"/>
          </rPr>
          <t>Warning will be listed here if inconsistent input.</t>
        </r>
      </text>
    </comment>
    <comment ref="AA30" authorId="0" shapeId="0">
      <text>
        <r>
          <rPr>
            <sz val="9"/>
            <color indexed="81"/>
            <rFont val="Tahoma"/>
            <family val="2"/>
          </rPr>
          <t>Warning will be listed here if inconsistent input.</t>
        </r>
      </text>
    </comment>
    <comment ref="AB30" authorId="0" shapeId="0">
      <text>
        <r>
          <rPr>
            <sz val="9"/>
            <color indexed="81"/>
            <rFont val="Tahoma"/>
            <family val="2"/>
          </rPr>
          <t>Warning will be listed here if inconsistent input.</t>
        </r>
      </text>
    </comment>
    <comment ref="AC30" authorId="0" shapeId="0">
      <text>
        <r>
          <rPr>
            <sz val="9"/>
            <color indexed="81"/>
            <rFont val="Tahoma"/>
            <family val="2"/>
          </rPr>
          <t>Warning will be listed here if inconsistent input.</t>
        </r>
      </text>
    </comment>
    <comment ref="AD30" authorId="0" shapeId="0">
      <text>
        <r>
          <rPr>
            <sz val="9"/>
            <color indexed="81"/>
            <rFont val="Tahoma"/>
            <family val="2"/>
          </rPr>
          <t>Warning will be listed here if inconsistent input.</t>
        </r>
      </text>
    </comment>
    <comment ref="AE30" authorId="0" shapeId="0">
      <text>
        <r>
          <rPr>
            <sz val="9"/>
            <color indexed="81"/>
            <rFont val="Tahoma"/>
            <family val="2"/>
          </rPr>
          <t>Warning will be listed here if inconsistent input.</t>
        </r>
      </text>
    </comment>
    <comment ref="AF30" authorId="0" shapeId="0">
      <text>
        <r>
          <rPr>
            <sz val="9"/>
            <color indexed="81"/>
            <rFont val="Tahoma"/>
            <family val="2"/>
          </rPr>
          <t>Warning will be listed here if inconsistent input.</t>
        </r>
      </text>
    </comment>
    <comment ref="AG30" authorId="0" shapeId="0">
      <text>
        <r>
          <rPr>
            <sz val="9"/>
            <color indexed="81"/>
            <rFont val="Tahoma"/>
            <family val="2"/>
          </rPr>
          <t>Warning will be listed here if inconsistent input.</t>
        </r>
      </text>
    </comment>
    <comment ref="B33" authorId="4" shapeId="0">
      <text>
        <r>
          <rPr>
            <b/>
            <sz val="9"/>
            <color indexed="81"/>
            <rFont val="Tahoma"/>
            <family val="2"/>
          </rPr>
          <t xml:space="preserve">Fill in e-price as agreed with govt / state monopolist, or as assumed from the market. </t>
        </r>
        <r>
          <rPr>
            <sz val="9"/>
            <color indexed="81"/>
            <rFont val="Tahoma"/>
            <family val="2"/>
          </rPr>
          <t xml:space="preserve">
Government-set maximum is $97 / MWh (WWF Report 2012, Annex C)
Example electricity price from WWF Report (Annex C) is around ~$60-$80 / MWh, see:
http://awsassets.wwf.or.id/downloads/geothermal_report.pdf
Example electricity price from Wikipedia is $110 / MWh, see: https://en.wikipedia.org/wiki/Electricity_pricing</t>
        </r>
      </text>
    </comment>
    <comment ref="C33" authorId="1" shapeId="0">
      <text>
        <r>
          <rPr>
            <sz val="9"/>
            <color indexed="81"/>
            <rFont val="Tahoma"/>
            <family val="2"/>
          </rPr>
          <t xml:space="preserve">To be input as </t>
        </r>
        <r>
          <rPr>
            <b/>
            <sz val="9"/>
            <color indexed="81"/>
            <rFont val="Tahoma"/>
            <family val="2"/>
          </rPr>
          <t>(positive)</t>
        </r>
        <r>
          <rPr>
            <sz val="9"/>
            <color indexed="81"/>
            <rFont val="Tahoma"/>
            <family val="2"/>
          </rPr>
          <t xml:space="preserve"> value</t>
        </r>
      </text>
    </comment>
    <comment ref="C34" authorId="3" shapeId="0">
      <text>
        <r>
          <rPr>
            <sz val="9"/>
            <color indexed="81"/>
            <rFont val="Tahoma"/>
            <family val="2"/>
          </rPr>
          <t xml:space="preserve">To be input as </t>
        </r>
        <r>
          <rPr>
            <b/>
            <sz val="9"/>
            <color indexed="81"/>
            <rFont val="Tahoma"/>
            <family val="2"/>
          </rPr>
          <t>(positive)</t>
        </r>
        <r>
          <rPr>
            <sz val="9"/>
            <color indexed="81"/>
            <rFont val="Tahoma"/>
            <family val="2"/>
          </rPr>
          <t xml:space="preserve"> value</t>
        </r>
      </text>
    </comment>
    <comment ref="C35" authorId="3" shapeId="0">
      <text>
        <r>
          <rPr>
            <sz val="9"/>
            <color indexed="81"/>
            <rFont val="Tahoma"/>
            <family val="2"/>
          </rPr>
          <t xml:space="preserve">To be input as </t>
        </r>
        <r>
          <rPr>
            <b/>
            <sz val="9"/>
            <color indexed="81"/>
            <rFont val="Tahoma"/>
            <family val="2"/>
          </rPr>
          <t>(positive)</t>
        </r>
        <r>
          <rPr>
            <sz val="9"/>
            <color indexed="81"/>
            <rFont val="Tahoma"/>
            <family val="2"/>
          </rPr>
          <t xml:space="preserve"> value</t>
        </r>
      </text>
    </comment>
    <comment ref="B38" authorId="5" shapeId="0">
      <text>
        <r>
          <rPr>
            <b/>
            <sz val="9"/>
            <color indexed="81"/>
            <rFont val="Tahoma"/>
            <family val="2"/>
          </rPr>
          <t xml:space="preserve">CAVEAT
The user of this spreadsheet should carefully assess which costs apply to his / her analysis. Economic analyses are typically done based on </t>
        </r>
        <r>
          <rPr>
            <b/>
            <i/>
            <sz val="9"/>
            <color indexed="81"/>
            <rFont val="Tahoma"/>
            <family val="2"/>
          </rPr>
          <t>incremental</t>
        </r>
        <r>
          <rPr>
            <b/>
            <sz val="9"/>
            <color indexed="81"/>
            <rFont val="Tahoma"/>
            <family val="2"/>
          </rPr>
          <t xml:space="preserve"> economics, i.e. incremental costs on top of the historical costs ("sunk costs"). Historical costs are normally </t>
        </r>
        <r>
          <rPr>
            <b/>
            <i/>
            <sz val="9"/>
            <color indexed="81"/>
            <rFont val="Tahoma"/>
            <family val="2"/>
          </rPr>
          <t>not</t>
        </r>
        <r>
          <rPr>
            <b/>
            <sz val="9"/>
            <color indexed="81"/>
            <rFont val="Tahoma"/>
            <family val="2"/>
          </rPr>
          <t xml:space="preserve"> taken into account.
Moreover, some costs may be borne by the government, e.g. as direct payments. In those cases the user should choose whether to omit these costs, or whether to include them as cost to the developer whilst adding a cash-in item at "Other cash-in"). Important are considerations of depreciation, risk, uncertainty analysis, etc. 
The user is cautioned to ascertain consistency between all cost items, and further processing. 
</t>
        </r>
        <r>
          <rPr>
            <b/>
            <sz val="9"/>
            <color indexed="10"/>
            <rFont val="Tahoma"/>
            <family val="2"/>
          </rPr>
          <t xml:space="preserve">
NOTE ALSO: all costs to be input as negative values!
Note that this is a </t>
        </r>
        <r>
          <rPr>
            <b/>
            <i/>
            <sz val="9"/>
            <color indexed="10"/>
            <rFont val="Tahoma"/>
            <family val="2"/>
          </rPr>
          <t>nominal</t>
        </r>
        <r>
          <rPr>
            <b/>
            <sz val="9"/>
            <color indexed="10"/>
            <rFont val="Tahoma"/>
            <family val="2"/>
          </rPr>
          <t xml:space="preserve"> time-series that may be corrected for a multiplication factor (cell AA12) to simulate uncertainty. 
Finally, all costs should in principle be referred to the same base-year or reference-year. The XL workbook does not model indexation / cost escalation / inflation over the years. It assumes that all costs specified refer to the same base-year. The user should verify the validity of the base-year referral and, if nececssary, apply a cost escalator to ascertain that all costs are expressed as base-year costs. 
</t>
        </r>
        <r>
          <rPr>
            <sz val="9"/>
            <color indexed="10"/>
            <rFont val="Tahoma"/>
            <family val="2"/>
          </rPr>
          <t xml:space="preserve">To convert the various capex and opex items from a source's reference year to the case study's reference year, one may use the indices given in the worksheet 'Cost-indices'. Note however that these values may not apply to Indonesia. </t>
        </r>
      </text>
    </comment>
    <comment ref="B39" authorId="1" shapeId="0">
      <text>
        <r>
          <rPr>
            <sz val="9"/>
            <color indexed="81"/>
            <rFont val="Tahoma"/>
            <family val="2"/>
          </rPr>
          <t>Suggested duration: 1 year plus possibly a 1-year extension.
Suggested costs:
- 1st yr: 3.75 $/km2
- 2nd yr: 7.5 $/km2</t>
        </r>
      </text>
    </comment>
    <comment ref="C40" authorId="3" shapeId="0">
      <text>
        <r>
          <rPr>
            <sz val="9"/>
            <color indexed="81"/>
            <rFont val="Tahoma"/>
            <family val="2"/>
          </rPr>
          <t xml:space="preserve">Capex to be input as </t>
        </r>
        <r>
          <rPr>
            <sz val="9"/>
            <color indexed="10"/>
            <rFont val="Tahoma"/>
            <family val="2"/>
          </rPr>
          <t>(negative)</t>
        </r>
        <r>
          <rPr>
            <sz val="9"/>
            <color indexed="81"/>
            <rFont val="Tahoma"/>
            <family val="2"/>
          </rPr>
          <t xml:space="preserve"> value</t>
        </r>
      </text>
    </comment>
    <comment ref="C41" authorId="3" shapeId="0">
      <text>
        <r>
          <rPr>
            <sz val="9"/>
            <color indexed="81"/>
            <rFont val="Tahoma"/>
            <family val="2"/>
          </rPr>
          <t xml:space="preserve">Capex to be input as </t>
        </r>
        <r>
          <rPr>
            <sz val="9"/>
            <color indexed="10"/>
            <rFont val="Tahoma"/>
            <family val="2"/>
          </rPr>
          <t>(negative)</t>
        </r>
        <r>
          <rPr>
            <sz val="9"/>
            <color indexed="81"/>
            <rFont val="Tahoma"/>
            <family val="2"/>
          </rPr>
          <t xml:space="preserve"> value</t>
        </r>
      </text>
    </comment>
    <comment ref="B42" authorId="1" shapeId="0">
      <text>
        <r>
          <rPr>
            <sz val="9"/>
            <color indexed="81"/>
            <rFont val="Tahoma"/>
            <family val="2"/>
          </rPr>
          <t xml:space="preserve">This is payment to the government </t>
        </r>
        <r>
          <rPr>
            <b/>
            <sz val="9"/>
            <color indexed="81"/>
            <rFont val="Tahoma"/>
            <family val="2"/>
          </rPr>
          <t>NOT including</t>
        </r>
        <r>
          <rPr>
            <sz val="9"/>
            <color indexed="81"/>
            <rFont val="Tahoma"/>
            <family val="2"/>
          </rPr>
          <t xml:space="preserve"> tax and royalty, but rather other variables such as levies, duties, signature bonuses, permits, etc.
This will be added to the capex costs.</t>
        </r>
      </text>
    </comment>
    <comment ref="C42" authorId="3" shapeId="0">
      <text>
        <r>
          <rPr>
            <sz val="9"/>
            <color indexed="81"/>
            <rFont val="Tahoma"/>
            <family val="2"/>
          </rPr>
          <t xml:space="preserve">Capex to be input as </t>
        </r>
        <r>
          <rPr>
            <sz val="9"/>
            <color indexed="10"/>
            <rFont val="Tahoma"/>
            <family val="2"/>
          </rPr>
          <t>(negative)</t>
        </r>
        <r>
          <rPr>
            <sz val="9"/>
            <color indexed="81"/>
            <rFont val="Tahoma"/>
            <family val="2"/>
          </rPr>
          <t xml:space="preserve"> value</t>
        </r>
      </text>
    </comment>
    <comment ref="C43" authorId="3" shapeId="0">
      <text>
        <r>
          <rPr>
            <sz val="9"/>
            <color indexed="81"/>
            <rFont val="Tahoma"/>
            <family val="2"/>
          </rPr>
          <t xml:space="preserve">Capex to be input as </t>
        </r>
        <r>
          <rPr>
            <sz val="9"/>
            <color indexed="10"/>
            <rFont val="Tahoma"/>
            <family val="2"/>
          </rPr>
          <t>(negative)</t>
        </r>
        <r>
          <rPr>
            <sz val="9"/>
            <color indexed="81"/>
            <rFont val="Tahoma"/>
            <family val="2"/>
          </rPr>
          <t xml:space="preserve"> value</t>
        </r>
      </text>
    </comment>
    <comment ref="B45" authorId="1" shapeId="0">
      <text>
        <r>
          <rPr>
            <sz val="9"/>
            <color indexed="81"/>
            <rFont val="Tahoma"/>
            <family val="2"/>
          </rPr>
          <t>Suggested duration: 3 years plus possibly two 1-year extensions.
Suggested costs:
- 1st yr: 15 $/km2
- 2nd yr: 18.75 $/km2
- 3rd yr: 22.5 $/km2</t>
        </r>
      </text>
    </comment>
    <comment ref="C46" authorId="3" shapeId="0">
      <text>
        <r>
          <rPr>
            <sz val="9"/>
            <color indexed="81"/>
            <rFont val="Tahoma"/>
            <family val="2"/>
          </rPr>
          <t xml:space="preserve">Capex to be input as </t>
        </r>
        <r>
          <rPr>
            <sz val="9"/>
            <color indexed="10"/>
            <rFont val="Tahoma"/>
            <family val="2"/>
          </rPr>
          <t>(negative)</t>
        </r>
        <r>
          <rPr>
            <sz val="9"/>
            <color indexed="81"/>
            <rFont val="Tahoma"/>
            <family val="2"/>
          </rPr>
          <t xml:space="preserve"> value</t>
        </r>
      </text>
    </comment>
    <comment ref="B47" authorId="5" shapeId="0">
      <text>
        <r>
          <rPr>
            <sz val="9"/>
            <color indexed="81"/>
            <rFont val="Tahoma"/>
            <family val="2"/>
          </rPr>
          <t xml:space="preserve">Specify for a given year the number of exploration wells drilled. This will be added to the total well count, which determines the total well opex, number of workovers etc. </t>
        </r>
      </text>
    </comment>
    <comment ref="C47" authorId="3" shapeId="0">
      <text>
        <r>
          <rPr>
            <sz val="9"/>
            <color indexed="81"/>
            <rFont val="Tahoma"/>
            <family val="2"/>
          </rPr>
          <t>Insert positive integer number</t>
        </r>
      </text>
    </comment>
    <comment ref="B48" authorId="5" shapeId="0">
      <text>
        <r>
          <rPr>
            <sz val="9"/>
            <color indexed="81"/>
            <rFont val="Tahoma"/>
            <family val="2"/>
          </rPr>
          <t>This is related to the number of exploration wells drilled.</t>
        </r>
        <r>
          <rPr>
            <b/>
            <sz val="9"/>
            <color indexed="81"/>
            <rFont val="Tahoma"/>
            <family val="2"/>
          </rPr>
          <t xml:space="preserve"> </t>
        </r>
      </text>
    </comment>
    <comment ref="B49" authorId="1" shapeId="0">
      <text>
        <r>
          <rPr>
            <sz val="9"/>
            <color indexed="81"/>
            <rFont val="Tahoma"/>
            <family val="2"/>
          </rPr>
          <t xml:space="preserve">This is payment to the government </t>
        </r>
        <r>
          <rPr>
            <b/>
            <sz val="9"/>
            <color indexed="81"/>
            <rFont val="Tahoma"/>
            <family val="2"/>
          </rPr>
          <t>NOT including</t>
        </r>
        <r>
          <rPr>
            <sz val="9"/>
            <color indexed="81"/>
            <rFont val="Tahoma"/>
            <family val="2"/>
          </rPr>
          <t xml:space="preserve"> tax and royalty, but rather other variables such as levies, duties, signature bonuses, permits, etc.
This will be added to the capex costs.</t>
        </r>
      </text>
    </comment>
    <comment ref="C49" authorId="3" shapeId="0">
      <text>
        <r>
          <rPr>
            <sz val="9"/>
            <color indexed="81"/>
            <rFont val="Tahoma"/>
            <family val="2"/>
          </rPr>
          <t xml:space="preserve">Capex to be input as </t>
        </r>
        <r>
          <rPr>
            <sz val="9"/>
            <color indexed="10"/>
            <rFont val="Tahoma"/>
            <family val="2"/>
          </rPr>
          <t>(negative)</t>
        </r>
        <r>
          <rPr>
            <sz val="9"/>
            <color indexed="81"/>
            <rFont val="Tahoma"/>
            <family val="2"/>
          </rPr>
          <t xml:space="preserve"> value</t>
        </r>
      </text>
    </comment>
    <comment ref="C50" authorId="3" shapeId="0">
      <text>
        <r>
          <rPr>
            <sz val="9"/>
            <color indexed="81"/>
            <rFont val="Tahoma"/>
            <family val="2"/>
          </rPr>
          <t xml:space="preserve">Capex to be input as </t>
        </r>
        <r>
          <rPr>
            <sz val="9"/>
            <color indexed="10"/>
            <rFont val="Tahoma"/>
            <family val="2"/>
          </rPr>
          <t>(negative)</t>
        </r>
        <r>
          <rPr>
            <sz val="9"/>
            <color indexed="81"/>
            <rFont val="Tahoma"/>
            <family val="2"/>
          </rPr>
          <t xml:space="preserve"> value</t>
        </r>
      </text>
    </comment>
    <comment ref="B52" authorId="1" shapeId="0">
      <text>
        <r>
          <rPr>
            <sz val="9"/>
            <color indexed="81"/>
            <rFont val="Tahoma"/>
            <family val="2"/>
          </rPr>
          <t>Suggested duration: 1 year plus possibly a 1-year extension.
Suggested costs:
- 1st yr: 37.5 $/km2
- 2nd yr: 52.5 $/km2</t>
        </r>
      </text>
    </comment>
    <comment ref="C53" authorId="3" shapeId="0">
      <text>
        <r>
          <rPr>
            <sz val="9"/>
            <color indexed="81"/>
            <rFont val="Tahoma"/>
            <family val="2"/>
          </rPr>
          <t xml:space="preserve">Capex to be input as </t>
        </r>
        <r>
          <rPr>
            <sz val="9"/>
            <color indexed="10"/>
            <rFont val="Tahoma"/>
            <family val="2"/>
          </rPr>
          <t>(negative)</t>
        </r>
        <r>
          <rPr>
            <sz val="9"/>
            <color indexed="81"/>
            <rFont val="Tahoma"/>
            <family val="2"/>
          </rPr>
          <t xml:space="preserve"> value</t>
        </r>
      </text>
    </comment>
    <comment ref="B54" authorId="5" shapeId="0">
      <text>
        <r>
          <rPr>
            <sz val="9"/>
            <color indexed="81"/>
            <rFont val="Tahoma"/>
            <family val="2"/>
          </rPr>
          <t xml:space="preserve">Specify for a given year the number of appraisal wells drilled. This will be added to the total well count, which determines the total well opex, number of workovers etc. </t>
        </r>
      </text>
    </comment>
    <comment ref="C54" authorId="3" shapeId="0">
      <text>
        <r>
          <rPr>
            <sz val="9"/>
            <color indexed="81"/>
            <rFont val="Tahoma"/>
            <family val="2"/>
          </rPr>
          <t>Insert positive integer number</t>
        </r>
      </text>
    </comment>
    <comment ref="B55" authorId="5" shapeId="0">
      <text>
        <r>
          <rPr>
            <sz val="9"/>
            <color indexed="81"/>
            <rFont val="Tahoma"/>
            <family val="2"/>
          </rPr>
          <t xml:space="preserve">This is related to the nr of appraisal wells drilled. </t>
        </r>
      </text>
    </comment>
    <comment ref="B56" authorId="1" shapeId="0">
      <text>
        <r>
          <rPr>
            <sz val="9"/>
            <color indexed="81"/>
            <rFont val="Tahoma"/>
            <family val="2"/>
          </rPr>
          <t xml:space="preserve">This is payment to the government </t>
        </r>
        <r>
          <rPr>
            <b/>
            <sz val="9"/>
            <color indexed="81"/>
            <rFont val="Tahoma"/>
            <family val="2"/>
          </rPr>
          <t>NOT including</t>
        </r>
        <r>
          <rPr>
            <sz val="9"/>
            <color indexed="81"/>
            <rFont val="Tahoma"/>
            <family val="2"/>
          </rPr>
          <t xml:space="preserve"> tax and royalty, but rather other variables such as levies, duties, signature bonuses, permits, etc.
This will be added to the capex costs.</t>
        </r>
      </text>
    </comment>
    <comment ref="C56" authorId="3" shapeId="0">
      <text>
        <r>
          <rPr>
            <sz val="9"/>
            <color indexed="81"/>
            <rFont val="Tahoma"/>
            <family val="2"/>
          </rPr>
          <t xml:space="preserve">Capex to be input as </t>
        </r>
        <r>
          <rPr>
            <sz val="9"/>
            <color indexed="10"/>
            <rFont val="Tahoma"/>
            <family val="2"/>
          </rPr>
          <t>(negative)</t>
        </r>
        <r>
          <rPr>
            <sz val="9"/>
            <color indexed="81"/>
            <rFont val="Tahoma"/>
            <family val="2"/>
          </rPr>
          <t xml:space="preserve"> value</t>
        </r>
      </text>
    </comment>
    <comment ref="C57" authorId="3" shapeId="0">
      <text>
        <r>
          <rPr>
            <sz val="9"/>
            <color indexed="81"/>
            <rFont val="Tahoma"/>
            <family val="2"/>
          </rPr>
          <t xml:space="preserve">Capex to be input as </t>
        </r>
        <r>
          <rPr>
            <sz val="9"/>
            <color indexed="10"/>
            <rFont val="Tahoma"/>
            <family val="2"/>
          </rPr>
          <t>(negative)</t>
        </r>
        <r>
          <rPr>
            <sz val="9"/>
            <color indexed="81"/>
            <rFont val="Tahoma"/>
            <family val="2"/>
          </rPr>
          <t xml:space="preserve"> value</t>
        </r>
      </text>
    </comment>
    <comment ref="B59" authorId="1" shapeId="0">
      <text>
        <r>
          <rPr>
            <sz val="9"/>
            <color indexed="81"/>
            <rFont val="Tahoma"/>
            <family val="2"/>
          </rPr>
          <t>Suggested duration: 3 years
Suggested costs:
- 1st yr: 60 $/km2
- 2nd yr: 60 $/km2
- 3rd yr: 60 $/km2</t>
        </r>
      </text>
    </comment>
    <comment ref="B60" authorId="5" shapeId="0">
      <text>
        <r>
          <rPr>
            <sz val="9"/>
            <color indexed="81"/>
            <rFont val="Tahoma"/>
            <family val="2"/>
          </rPr>
          <t xml:space="preserve">Decide whether to include all FEED costs here, or whether to list part of these costs as fixed opex. </t>
        </r>
        <r>
          <rPr>
            <b/>
            <sz val="9"/>
            <color indexed="81"/>
            <rFont val="Tahoma"/>
            <family val="2"/>
          </rPr>
          <t xml:space="preserve">
Note that if fixed opex is already specified in the same years, double counting should be avoided. </t>
        </r>
      </text>
    </comment>
    <comment ref="C60" authorId="3" shapeId="0">
      <text>
        <r>
          <rPr>
            <sz val="9"/>
            <color indexed="81"/>
            <rFont val="Tahoma"/>
            <family val="2"/>
          </rPr>
          <t xml:space="preserve">Capex to be input as </t>
        </r>
        <r>
          <rPr>
            <sz val="9"/>
            <color indexed="10"/>
            <rFont val="Tahoma"/>
            <family val="2"/>
          </rPr>
          <t>(negative)</t>
        </r>
        <r>
          <rPr>
            <sz val="9"/>
            <color indexed="81"/>
            <rFont val="Tahoma"/>
            <family val="2"/>
          </rPr>
          <t xml:space="preserve"> value</t>
        </r>
      </text>
    </comment>
    <comment ref="C61" authorId="3" shapeId="0">
      <text>
        <r>
          <rPr>
            <sz val="9"/>
            <color indexed="81"/>
            <rFont val="Tahoma"/>
            <family val="2"/>
          </rPr>
          <t xml:space="preserve">Capex to be input as </t>
        </r>
        <r>
          <rPr>
            <sz val="9"/>
            <color indexed="10"/>
            <rFont val="Tahoma"/>
            <family val="2"/>
          </rPr>
          <t>(negative)</t>
        </r>
        <r>
          <rPr>
            <sz val="9"/>
            <color indexed="81"/>
            <rFont val="Tahoma"/>
            <family val="2"/>
          </rPr>
          <t xml:space="preserve"> value</t>
        </r>
      </text>
    </comment>
    <comment ref="B62" authorId="5" shapeId="0">
      <text>
        <r>
          <rPr>
            <sz val="9"/>
            <color indexed="81"/>
            <rFont val="Tahoma"/>
            <family val="2"/>
          </rPr>
          <t xml:space="preserve">Specify for a given year the number of initial development wells drilled. This will be added to the total well count, which determines the total well opex, number of workovers etc. </t>
        </r>
      </text>
    </comment>
    <comment ref="C62" authorId="3" shapeId="0">
      <text>
        <r>
          <rPr>
            <sz val="9"/>
            <color indexed="81"/>
            <rFont val="Tahoma"/>
            <family val="2"/>
          </rPr>
          <t>Insert positive integer number</t>
        </r>
      </text>
    </comment>
    <comment ref="B63" authorId="5" shapeId="0">
      <text>
        <r>
          <rPr>
            <sz val="9"/>
            <color indexed="81"/>
            <rFont val="Tahoma"/>
            <family val="2"/>
          </rPr>
          <t xml:space="preserve">This is related to the nr of devt. wells drilled. </t>
        </r>
      </text>
    </comment>
    <comment ref="B64" authorId="1" shapeId="0">
      <text>
        <r>
          <rPr>
            <sz val="9"/>
            <color indexed="81"/>
            <rFont val="Tahoma"/>
            <family val="2"/>
          </rPr>
          <t xml:space="preserve">This is payment to the government </t>
        </r>
        <r>
          <rPr>
            <b/>
            <sz val="9"/>
            <color indexed="81"/>
            <rFont val="Tahoma"/>
            <family val="2"/>
          </rPr>
          <t>NOT including</t>
        </r>
        <r>
          <rPr>
            <sz val="9"/>
            <color indexed="81"/>
            <rFont val="Tahoma"/>
            <family val="2"/>
          </rPr>
          <t xml:space="preserve"> tax and royalty, but rather other variables such as levies, duties, signature bonuses, permits, etc.
This will be added to the capex costs.</t>
        </r>
      </text>
    </comment>
    <comment ref="C64" authorId="3" shapeId="0">
      <text>
        <r>
          <rPr>
            <sz val="9"/>
            <color indexed="81"/>
            <rFont val="Tahoma"/>
            <family val="2"/>
          </rPr>
          <t xml:space="preserve">Capex to be input as </t>
        </r>
        <r>
          <rPr>
            <sz val="9"/>
            <color indexed="10"/>
            <rFont val="Tahoma"/>
            <family val="2"/>
          </rPr>
          <t>(negative)</t>
        </r>
        <r>
          <rPr>
            <sz val="9"/>
            <color indexed="81"/>
            <rFont val="Tahoma"/>
            <family val="2"/>
          </rPr>
          <t xml:space="preserve"> value</t>
        </r>
      </text>
    </comment>
    <comment ref="B65" authorId="1" shapeId="0">
      <text>
        <r>
          <rPr>
            <sz val="9"/>
            <color indexed="81"/>
            <rFont val="Tahoma"/>
            <family val="2"/>
          </rPr>
          <t>Engineering, Procurement, and Construction</t>
        </r>
      </text>
    </comment>
    <comment ref="C65" authorId="3" shapeId="0">
      <text>
        <r>
          <rPr>
            <sz val="9"/>
            <color indexed="81"/>
            <rFont val="Tahoma"/>
            <family val="2"/>
          </rPr>
          <t xml:space="preserve">Capex to be input as </t>
        </r>
        <r>
          <rPr>
            <sz val="9"/>
            <color indexed="10"/>
            <rFont val="Tahoma"/>
            <family val="2"/>
          </rPr>
          <t>(negative)</t>
        </r>
        <r>
          <rPr>
            <sz val="9"/>
            <color indexed="81"/>
            <rFont val="Tahoma"/>
            <family val="2"/>
          </rPr>
          <t xml:space="preserve"> value</t>
        </r>
      </text>
    </comment>
    <comment ref="B66" authorId="1" shapeId="0">
      <text>
        <r>
          <rPr>
            <sz val="9"/>
            <color indexed="81"/>
            <rFont val="Tahoma"/>
            <family val="2"/>
          </rPr>
          <t>This is paid for either by the Transmission System Operator, or the Plant Operator. Choose an option above to clarify who pays for this capex.
If TSO is selected, it is unneccesary to enter values here.</t>
        </r>
      </text>
    </comment>
    <comment ref="C66" authorId="3" shapeId="0">
      <text>
        <r>
          <rPr>
            <sz val="9"/>
            <color indexed="81"/>
            <rFont val="Tahoma"/>
            <family val="2"/>
          </rPr>
          <t xml:space="preserve">Capex to be input as </t>
        </r>
        <r>
          <rPr>
            <sz val="9"/>
            <color indexed="10"/>
            <rFont val="Tahoma"/>
            <family val="2"/>
          </rPr>
          <t>(negative)</t>
        </r>
        <r>
          <rPr>
            <sz val="9"/>
            <color indexed="81"/>
            <rFont val="Tahoma"/>
            <family val="2"/>
          </rPr>
          <t xml:space="preserve"> value</t>
        </r>
      </text>
    </comment>
    <comment ref="C67" authorId="3" shapeId="0">
      <text>
        <r>
          <rPr>
            <sz val="9"/>
            <color indexed="81"/>
            <rFont val="Tahoma"/>
            <family val="2"/>
          </rPr>
          <t xml:space="preserve">Capex to be input as </t>
        </r>
        <r>
          <rPr>
            <sz val="9"/>
            <color indexed="10"/>
            <rFont val="Tahoma"/>
            <family val="2"/>
          </rPr>
          <t>(negative)</t>
        </r>
        <r>
          <rPr>
            <sz val="9"/>
            <color indexed="81"/>
            <rFont val="Tahoma"/>
            <family val="2"/>
          </rPr>
          <t xml:space="preserve"> value</t>
        </r>
      </text>
    </comment>
    <comment ref="B69" authorId="1" shapeId="0">
      <text>
        <r>
          <rPr>
            <sz val="9"/>
            <color indexed="81"/>
            <rFont val="Tahoma"/>
            <family val="2"/>
          </rPr>
          <t>Suggested duration: 30 years plus possibly two 10-year extensions.
Suggested costs:
- Laterite paving material: 112.5 $/km2/yr
- Primary, eluvial, and alluvial paving material: 187.5 $/km2/yr</t>
        </r>
      </text>
    </comment>
    <comment ref="B70" authorId="5" shapeId="0">
      <text>
        <r>
          <rPr>
            <sz val="9"/>
            <color indexed="81"/>
            <rFont val="Tahoma"/>
            <family val="2"/>
          </rPr>
          <t xml:space="preserve">Decide whether to include all FEED costs here, or whether to list part of these costs as fixed opex. </t>
        </r>
        <r>
          <rPr>
            <b/>
            <sz val="9"/>
            <color indexed="81"/>
            <rFont val="Tahoma"/>
            <family val="2"/>
          </rPr>
          <t xml:space="preserve">
Note that if fixed opex is already specified in the same years, double counting should be avoided. </t>
        </r>
      </text>
    </comment>
    <comment ref="C70" authorId="3" shapeId="0">
      <text>
        <r>
          <rPr>
            <sz val="9"/>
            <color indexed="81"/>
            <rFont val="Tahoma"/>
            <family val="2"/>
          </rPr>
          <t xml:space="preserve">Capex to be input as </t>
        </r>
        <r>
          <rPr>
            <sz val="9"/>
            <color indexed="10"/>
            <rFont val="Tahoma"/>
            <family val="2"/>
          </rPr>
          <t>(negative)</t>
        </r>
        <r>
          <rPr>
            <sz val="9"/>
            <color indexed="81"/>
            <rFont val="Tahoma"/>
            <family val="2"/>
          </rPr>
          <t xml:space="preserve"> value</t>
        </r>
      </text>
    </comment>
    <comment ref="C71" authorId="3" shapeId="0">
      <text>
        <r>
          <rPr>
            <sz val="9"/>
            <color indexed="81"/>
            <rFont val="Tahoma"/>
            <family val="2"/>
          </rPr>
          <t xml:space="preserve">Capex to be input as </t>
        </r>
        <r>
          <rPr>
            <sz val="9"/>
            <color indexed="10"/>
            <rFont val="Tahoma"/>
            <family val="2"/>
          </rPr>
          <t>(negative)</t>
        </r>
        <r>
          <rPr>
            <sz val="9"/>
            <color indexed="81"/>
            <rFont val="Tahoma"/>
            <family val="2"/>
          </rPr>
          <t xml:space="preserve"> value</t>
        </r>
      </text>
    </comment>
    <comment ref="B72" authorId="5" shapeId="0">
      <text>
        <r>
          <rPr>
            <sz val="9"/>
            <color indexed="81"/>
            <rFont val="Tahoma"/>
            <family val="2"/>
          </rPr>
          <t xml:space="preserve">Specify for a given year the number of incremental development wells drilled. This will be added to the total well count, which determines the total well opex, number of workovers etc. </t>
        </r>
      </text>
    </comment>
    <comment ref="C72" authorId="3" shapeId="0">
      <text>
        <r>
          <rPr>
            <sz val="9"/>
            <color indexed="81"/>
            <rFont val="Tahoma"/>
            <family val="2"/>
          </rPr>
          <t>Insert positive integer number</t>
        </r>
      </text>
    </comment>
    <comment ref="B73" authorId="5" shapeId="0">
      <text>
        <r>
          <rPr>
            <sz val="9"/>
            <color indexed="81"/>
            <rFont val="Tahoma"/>
            <family val="2"/>
          </rPr>
          <t xml:space="preserve">This is related to the nr of devt. wells drilled. </t>
        </r>
      </text>
    </comment>
    <comment ref="B74" authorId="1" shapeId="0">
      <text>
        <r>
          <rPr>
            <sz val="9"/>
            <color indexed="81"/>
            <rFont val="Tahoma"/>
            <family val="2"/>
          </rPr>
          <t xml:space="preserve">This is payment to the government </t>
        </r>
        <r>
          <rPr>
            <b/>
            <sz val="9"/>
            <color indexed="81"/>
            <rFont val="Tahoma"/>
            <family val="2"/>
          </rPr>
          <t>NOT including</t>
        </r>
        <r>
          <rPr>
            <sz val="9"/>
            <color indexed="81"/>
            <rFont val="Tahoma"/>
            <family val="2"/>
          </rPr>
          <t xml:space="preserve"> tax and royalty, but rather other variables such as levies, duties, signature bonuses, permits, etc.
This will be added to the capex costs.</t>
        </r>
      </text>
    </comment>
    <comment ref="C74" authorId="3" shapeId="0">
      <text>
        <r>
          <rPr>
            <sz val="9"/>
            <color indexed="81"/>
            <rFont val="Tahoma"/>
            <family val="2"/>
          </rPr>
          <t xml:space="preserve">Capex to be input as </t>
        </r>
        <r>
          <rPr>
            <sz val="9"/>
            <color indexed="10"/>
            <rFont val="Tahoma"/>
            <family val="2"/>
          </rPr>
          <t>(negative)</t>
        </r>
        <r>
          <rPr>
            <sz val="9"/>
            <color indexed="81"/>
            <rFont val="Tahoma"/>
            <family val="2"/>
          </rPr>
          <t xml:space="preserve"> value</t>
        </r>
      </text>
    </comment>
    <comment ref="B75" authorId="1" shapeId="0">
      <text>
        <r>
          <rPr>
            <sz val="9"/>
            <color indexed="81"/>
            <rFont val="Tahoma"/>
            <family val="2"/>
          </rPr>
          <t>This is the costs of the turbine replacement. This will be depreciated.</t>
        </r>
      </text>
    </comment>
    <comment ref="C75" authorId="3" shapeId="0">
      <text>
        <r>
          <rPr>
            <sz val="9"/>
            <color indexed="81"/>
            <rFont val="Tahoma"/>
            <family val="2"/>
          </rPr>
          <t xml:space="preserve">Capex to be input as </t>
        </r>
        <r>
          <rPr>
            <sz val="9"/>
            <color indexed="10"/>
            <rFont val="Tahoma"/>
            <family val="2"/>
          </rPr>
          <t>(negative)</t>
        </r>
        <r>
          <rPr>
            <sz val="9"/>
            <color indexed="81"/>
            <rFont val="Tahoma"/>
            <family val="2"/>
          </rPr>
          <t xml:space="preserve"> value</t>
        </r>
      </text>
    </comment>
    <comment ref="B76" authorId="1" shapeId="0">
      <text>
        <r>
          <rPr>
            <sz val="9"/>
            <color indexed="81"/>
            <rFont val="Tahoma"/>
            <family val="2"/>
          </rPr>
          <t>Engineering, Procurement, and Construction</t>
        </r>
      </text>
    </comment>
    <comment ref="C76" authorId="3" shapeId="0">
      <text>
        <r>
          <rPr>
            <sz val="9"/>
            <color indexed="81"/>
            <rFont val="Tahoma"/>
            <family val="2"/>
          </rPr>
          <t xml:space="preserve">Capex to be input as </t>
        </r>
        <r>
          <rPr>
            <sz val="9"/>
            <color indexed="10"/>
            <rFont val="Tahoma"/>
            <family val="2"/>
          </rPr>
          <t>(negative)</t>
        </r>
        <r>
          <rPr>
            <sz val="9"/>
            <color indexed="81"/>
            <rFont val="Tahoma"/>
            <family val="2"/>
          </rPr>
          <t xml:space="preserve"> value</t>
        </r>
      </text>
    </comment>
    <comment ref="C77" authorId="3" shapeId="0">
      <text>
        <r>
          <rPr>
            <sz val="9"/>
            <color indexed="81"/>
            <rFont val="Tahoma"/>
            <family val="2"/>
          </rPr>
          <t xml:space="preserve">Capex to be input as </t>
        </r>
        <r>
          <rPr>
            <sz val="9"/>
            <color indexed="10"/>
            <rFont val="Tahoma"/>
            <family val="2"/>
          </rPr>
          <t>(negative)</t>
        </r>
        <r>
          <rPr>
            <sz val="9"/>
            <color indexed="81"/>
            <rFont val="Tahoma"/>
            <family val="2"/>
          </rPr>
          <t xml:space="preserve"> value</t>
        </r>
      </text>
    </comment>
    <comment ref="B79" authorId="2" shapeId="0">
      <text>
        <r>
          <rPr>
            <b/>
            <sz val="9"/>
            <color indexed="81"/>
            <rFont val="Tahoma"/>
            <family val="2"/>
          </rPr>
          <t>As input in this worksheet, i.e. without effect of multiplier</t>
        </r>
      </text>
    </comment>
    <comment ref="B81" authorId="5" shapeId="0">
      <text>
        <r>
          <rPr>
            <sz val="9"/>
            <color indexed="81"/>
            <rFont val="Tahoma"/>
            <family val="2"/>
          </rPr>
          <t xml:space="preserve">Variable opex is calculated in the Cashflow Worksheet, and then added to the total cash-out. 
All cost items specified in a case study must be expressed in the same reference-year values. To convert the various capex and opex items from a source's reference year to the case study's reference year, one may use the indices given in the worksheet 'Cost-indices'. Note however that these values may not apply to Indonesia. 
For opex, one may use the UOCI, as given in the worksheet 'Cost-indices'. </t>
        </r>
      </text>
    </comment>
    <comment ref="B82" authorId="3" shapeId="0">
      <text>
        <r>
          <rPr>
            <sz val="9"/>
            <color indexed="81"/>
            <rFont val="Tahoma"/>
            <family val="2"/>
          </rPr>
          <t xml:space="preserve">Opex to be input as </t>
        </r>
        <r>
          <rPr>
            <sz val="9"/>
            <color indexed="10"/>
            <rFont val="Tahoma"/>
            <family val="2"/>
          </rPr>
          <t>(negative)</t>
        </r>
        <r>
          <rPr>
            <sz val="9"/>
            <color indexed="81"/>
            <rFont val="Tahoma"/>
            <family val="2"/>
          </rPr>
          <t xml:space="preserve"> value. Includes yearly recurring expenses, such as salaries, levies, and insurance premiums.
</t>
        </r>
        <r>
          <rPr>
            <b/>
            <sz val="9"/>
            <color indexed="81"/>
            <rFont val="Tahoma"/>
            <family val="2"/>
          </rPr>
          <t>Note that this is a nominal time-series that may be corrected for a multiplication factor (cell M13) and that may be set to zero if the field has been abandoned</t>
        </r>
        <r>
          <rPr>
            <sz val="9"/>
            <color indexed="81"/>
            <rFont val="Tahoma"/>
            <family val="2"/>
          </rPr>
          <t>.</t>
        </r>
      </text>
    </comment>
    <comment ref="C82" authorId="3" shapeId="0">
      <text>
        <r>
          <rPr>
            <sz val="9"/>
            <color indexed="81"/>
            <rFont val="Tahoma"/>
            <family val="2"/>
          </rPr>
          <t xml:space="preserve">Opex to be input as </t>
        </r>
        <r>
          <rPr>
            <sz val="9"/>
            <color indexed="10"/>
            <rFont val="Tahoma"/>
            <family val="2"/>
          </rPr>
          <t>(negative)</t>
        </r>
        <r>
          <rPr>
            <sz val="9"/>
            <color indexed="81"/>
            <rFont val="Tahoma"/>
            <family val="2"/>
          </rPr>
          <t xml:space="preserve"> value</t>
        </r>
      </text>
    </comment>
    <comment ref="B83" authorId="3" shapeId="0">
      <text>
        <r>
          <rPr>
            <sz val="9"/>
            <color indexed="81"/>
            <rFont val="Tahoma"/>
            <family val="2"/>
          </rPr>
          <t xml:space="preserve">Operation and maintenance costs. Only edit if cells are yellow.
</t>
        </r>
        <r>
          <rPr>
            <b/>
            <sz val="9"/>
            <color indexed="81"/>
            <rFont val="Tahoma"/>
            <family val="2"/>
          </rPr>
          <t>Note</t>
        </r>
        <r>
          <rPr>
            <sz val="9"/>
            <color indexed="81"/>
            <rFont val="Tahoma"/>
            <family val="2"/>
          </rPr>
          <t xml:space="preserve">: this does </t>
        </r>
        <r>
          <rPr>
            <u/>
            <sz val="9"/>
            <color indexed="81"/>
            <rFont val="Tahoma"/>
            <family val="2"/>
          </rPr>
          <t>NOT</t>
        </r>
        <r>
          <rPr>
            <sz val="9"/>
            <color indexed="81"/>
            <rFont val="Tahoma"/>
            <family val="2"/>
          </rPr>
          <t xml:space="preserve"> include costs associated with wells.</t>
        </r>
      </text>
    </comment>
    <comment ref="C83" authorId="3" shapeId="0">
      <text>
        <r>
          <rPr>
            <sz val="9"/>
            <color indexed="81"/>
            <rFont val="Tahoma"/>
            <family val="2"/>
          </rPr>
          <t xml:space="preserve">Opex to be input as </t>
        </r>
        <r>
          <rPr>
            <sz val="9"/>
            <color indexed="10"/>
            <rFont val="Tahoma"/>
            <family val="2"/>
          </rPr>
          <t>(negative)</t>
        </r>
        <r>
          <rPr>
            <sz val="9"/>
            <color indexed="81"/>
            <rFont val="Tahoma"/>
            <family val="2"/>
          </rPr>
          <t xml:space="preserve"> value</t>
        </r>
      </text>
    </comment>
  </commentList>
</comments>
</file>

<file path=xl/comments10.xml><?xml version="1.0" encoding="utf-8"?>
<comments xmlns="http://schemas.openxmlformats.org/spreadsheetml/2006/main">
  <authors>
    <author>L.G. Brunner BSc</author>
    <author>Christian Bos</author>
  </authors>
  <commentList>
    <comment ref="B14" authorId="0" shapeId="0">
      <text>
        <r>
          <rPr>
            <sz val="9"/>
            <color indexed="81"/>
            <rFont val="Tahoma"/>
            <family val="2"/>
          </rPr>
          <t>Drillex is NOT multiplied by the capex multiplier, but it is still included within this total capex.</t>
        </r>
      </text>
    </comment>
    <comment ref="B17" authorId="1" shapeId="0">
      <text>
        <r>
          <rPr>
            <sz val="9"/>
            <color indexed="81"/>
            <rFont val="Tahoma"/>
            <family val="2"/>
          </rPr>
          <t>This should be related to the nr of exploration wells drilled.</t>
        </r>
        <r>
          <rPr>
            <b/>
            <sz val="9"/>
            <color indexed="81"/>
            <rFont val="Tahoma"/>
            <family val="2"/>
          </rPr>
          <t xml:space="preserve"> </t>
        </r>
      </text>
    </comment>
    <comment ref="B22" authorId="0" shapeId="0">
      <text>
        <r>
          <rPr>
            <sz val="9"/>
            <color indexed="81"/>
            <rFont val="Tahoma"/>
            <family val="2"/>
          </rPr>
          <t>Drillex is NOT multiplied by the capex multiplier, but it is still included within this total capex.</t>
        </r>
      </text>
    </comment>
    <comment ref="B29" authorId="0" shapeId="0">
      <text>
        <r>
          <rPr>
            <sz val="9"/>
            <color indexed="81"/>
            <rFont val="Tahoma"/>
            <family val="2"/>
          </rPr>
          <t>This sums the stimulation costs until the first year of production.</t>
        </r>
      </text>
    </comment>
    <comment ref="B30" authorId="0" shapeId="0">
      <text>
        <r>
          <rPr>
            <sz val="9"/>
            <color indexed="81"/>
            <rFont val="Tahoma"/>
            <family val="2"/>
          </rPr>
          <t>Stimulation costs are postponed until the first year of production.</t>
        </r>
      </text>
    </comment>
    <comment ref="B33" authorId="0" shapeId="0">
      <text>
        <r>
          <rPr>
            <sz val="9"/>
            <color indexed="81"/>
            <rFont val="Tahoma"/>
            <family val="2"/>
          </rPr>
          <t>Drillex is NOT multiplied by the capex multiplier, but it is still included within this total capex.</t>
        </r>
      </text>
    </comment>
    <comment ref="B40" authorId="0" shapeId="0">
      <text>
        <r>
          <rPr>
            <sz val="9"/>
            <color indexed="81"/>
            <rFont val="Tahoma"/>
            <family val="2"/>
          </rPr>
          <t>This sums the stimulation costs until the first year of production.</t>
        </r>
      </text>
    </comment>
    <comment ref="B41" authorId="0" shapeId="0">
      <text>
        <r>
          <rPr>
            <sz val="9"/>
            <color indexed="81"/>
            <rFont val="Tahoma"/>
            <family val="2"/>
          </rPr>
          <t>Stimulation costs are postponed until the first year of production.</t>
        </r>
      </text>
    </comment>
    <comment ref="B44" authorId="0" shapeId="0">
      <text>
        <r>
          <rPr>
            <sz val="9"/>
            <color indexed="81"/>
            <rFont val="Tahoma"/>
            <family val="2"/>
          </rPr>
          <t>Drillex is NOT multiplied by the capex multiplier, but it is still included within this total capex.</t>
        </r>
      </text>
    </comment>
    <comment ref="B58" authorId="0" shapeId="0">
      <text>
        <r>
          <rPr>
            <sz val="9"/>
            <color indexed="81"/>
            <rFont val="Tahoma"/>
            <family val="2"/>
          </rPr>
          <t>Drillex is NOT multiplied by the capex multiplier, but it is still included within this total capex.</t>
        </r>
      </text>
    </comment>
    <comment ref="B68" authorId="0" shapeId="0">
      <text>
        <r>
          <rPr>
            <sz val="9"/>
            <color indexed="81"/>
            <rFont val="Tahoma"/>
            <family val="2"/>
          </rPr>
          <t>This is the stimulation costs for both development wells and injection wells.</t>
        </r>
      </text>
    </comment>
  </commentList>
</comments>
</file>

<file path=xl/comments11.xml><?xml version="1.0" encoding="utf-8"?>
<comments xmlns="http://schemas.openxmlformats.org/spreadsheetml/2006/main">
  <authors>
    <author>bos</author>
  </authors>
  <commentList>
    <comment ref="B14" authorId="0" shapeId="0">
      <text>
        <r>
          <rPr>
            <b/>
            <sz val="8"/>
            <color indexed="81"/>
            <rFont val="Tahoma"/>
            <family val="2"/>
          </rPr>
          <t>Including opex multiplier, including test to check whether field has been abandoned. If so, opex=0, even if a value has been specified in the yellow input rows for fixed opex (i.e. in the Cashflow worksheet r45:46).</t>
        </r>
      </text>
    </comment>
  </commentList>
</comments>
</file>

<file path=xl/comments12.xml><?xml version="1.0" encoding="utf-8"?>
<comments xmlns="http://schemas.openxmlformats.org/spreadsheetml/2006/main">
  <authors>
    <author>Christian C.F.M. Bos</author>
  </authors>
  <commentList>
    <comment ref="B35" authorId="0" shapeId="0">
      <text>
        <r>
          <rPr>
            <sz val="9"/>
            <color indexed="81"/>
            <rFont val="Tahoma"/>
            <family val="2"/>
          </rPr>
          <t>Using company discount rate (e.g. WACC)</t>
        </r>
      </text>
    </comment>
    <comment ref="B36" authorId="0" shapeId="0">
      <text>
        <r>
          <rPr>
            <sz val="9"/>
            <color indexed="81"/>
            <rFont val="Tahoma"/>
            <family val="2"/>
          </rPr>
          <t>Using government discount rate</t>
        </r>
      </text>
    </comment>
  </commentList>
</comments>
</file>

<file path=xl/comments13.xml><?xml version="1.0" encoding="utf-8"?>
<comments xmlns="http://schemas.openxmlformats.org/spreadsheetml/2006/main">
  <authors>
    <author>Christian Bos</author>
    <author>L.G. Brunner BSc</author>
    <author>Christian C.F.M. Bos</author>
  </authors>
  <commentList>
    <comment ref="A8" authorId="0" shapeId="0">
      <text>
        <r>
          <rPr>
            <b/>
            <sz val="9"/>
            <color indexed="81"/>
            <rFont val="Tahoma"/>
            <family val="2"/>
          </rPr>
          <t>If the reservoir has a two-phase zone existing at the top of the liquid zone it would theoretically be prudent to calculate the heat component of both the liquid and the two-phase or steam dominated zone of the reservoir. 
However, a comparison made by Sanyal and Sarmiento (2007) indicates that if merely water were to be produced from the reservoir, only 3.9 percent of the heat is contained in the fluids (i.e. liquid + steam); whereas, if merely steam were to be produced from the reservoir, only 9.6 percent of the heat is contained in the fluids. If both water and steam were produced from the reservoir, the heat content in the fluids is somewhere between 3.9 and 9.6 percent of total heat in place. Conclusively, most of the heat (90 to 96%) is in the rock and the error when one does not distinguish the stored heat in water and steam independently is acceptable. 
The volumetric approach of distinguishing liquid and steam is illustrated by the following set of equations that separately accounts for the liquid and steam components in the reservoir: (see equations for Qs and Qw).</t>
        </r>
      </text>
    </comment>
    <comment ref="A12" authorId="0" shapeId="0">
      <text>
        <r>
          <rPr>
            <b/>
            <sz val="9"/>
            <color indexed="81"/>
            <rFont val="Tahoma"/>
            <family val="2"/>
          </rPr>
          <t xml:space="preserve">Liquid zone + 500m (see Sarmiento paper: zone underneath reservoir should be added in Philippines case study described in paper)
</t>
        </r>
      </text>
    </comment>
    <comment ref="A15" authorId="0" shapeId="0">
      <text>
        <r>
          <rPr>
            <b/>
            <sz val="9"/>
            <color indexed="81"/>
            <rFont val="Tahoma"/>
            <family val="2"/>
          </rPr>
          <t xml:space="preserve">See FIGURE 2 below: Correlation between recovery factor and porosity (After Muffler, 1978).
</t>
        </r>
        <r>
          <rPr>
            <sz val="9"/>
            <color indexed="81"/>
            <rFont val="Tahoma"/>
            <family val="2"/>
          </rPr>
          <t xml:space="preserve">This implies vertical lift opex, i.e. FBHP required to achieve desired well rates, and is a function of, inter alia, permeability (and in situ water viscosity). Since permeability is usually correlated to porosity, the recovery factor can often be described as a function of porosity. </t>
        </r>
      </text>
    </comment>
    <comment ref="A17" authorId="0" shapeId="0">
      <text>
        <r>
          <rPr>
            <b/>
            <sz val="9"/>
            <color indexed="81"/>
            <rFont val="Tahoma"/>
            <family val="2"/>
          </rPr>
          <t>Temperature of the rock and water at reservoir depth.</t>
        </r>
      </text>
    </comment>
    <comment ref="A18" authorId="0" shapeId="0">
      <text>
        <r>
          <rPr>
            <b/>
            <sz val="9"/>
            <color indexed="81"/>
            <rFont val="Tahoma"/>
            <family val="2"/>
          </rPr>
          <t>See Worksheet 'Water-props'</t>
        </r>
      </text>
    </comment>
    <comment ref="A19" authorId="0" shapeId="0">
      <text>
        <r>
          <rPr>
            <b/>
            <sz val="9"/>
            <color indexed="81"/>
            <rFont val="Tahoma"/>
            <family val="2"/>
          </rPr>
          <t xml:space="preserve">See Figure 3 below.
</t>
        </r>
        <r>
          <rPr>
            <sz val="9"/>
            <color indexed="81"/>
            <rFont val="Tahoma"/>
            <family val="2"/>
          </rPr>
          <t xml:space="preserve">Ce is due to thermodynamic inefficiencies when converting heat to power (Cournot losses).
The two correlations in Fig 3 have been approximated by one linear function. The reservoir fluid temperature is then used to estimate Ce. It is advised to define this C19 variable stochastically and give it a range. A range is suggested in the three cells to the right. This range brackets the values from the two relationships by Bodvarsson and Nathenson. </t>
        </r>
      </text>
    </comment>
    <comment ref="C19" authorId="1" shapeId="0">
      <text>
        <r>
          <rPr>
            <sz val="9"/>
            <color indexed="81"/>
            <rFont val="Tahoma"/>
            <family val="2"/>
          </rPr>
          <t>The calculation method for this value is chosen by the user between Sarmiento's, van Wees', Kujbus', or a user-defined conversion efficiency.</t>
        </r>
      </text>
    </comment>
    <comment ref="D19" authorId="0" shapeId="0">
      <text>
        <r>
          <rPr>
            <b/>
            <sz val="9"/>
            <color indexed="81"/>
            <rFont val="Tahoma"/>
            <family val="2"/>
          </rPr>
          <t>Possible L-M-H values of Triangular distribution</t>
        </r>
      </text>
    </comment>
    <comment ref="E19" authorId="0" shapeId="0">
      <text>
        <r>
          <rPr>
            <b/>
            <sz val="9"/>
            <color indexed="81"/>
            <rFont val="Tahoma"/>
            <family val="2"/>
          </rPr>
          <t>Possible L-M-H values of Triangular distribution</t>
        </r>
      </text>
    </comment>
    <comment ref="F19" authorId="0" shapeId="0">
      <text>
        <r>
          <rPr>
            <b/>
            <sz val="9"/>
            <color indexed="81"/>
            <rFont val="Tahoma"/>
            <family val="2"/>
          </rPr>
          <t>Possible L-M-H values of Triangular distribution</t>
        </r>
      </text>
    </comment>
    <comment ref="A20" authorId="0" shapeId="0">
      <text>
        <r>
          <rPr>
            <b/>
            <sz val="9"/>
            <color indexed="81"/>
            <rFont val="Tahoma"/>
            <family val="2"/>
          </rPr>
          <t>Value obtained from polynomial regression, see Worksheet 'Water-props'</t>
        </r>
      </text>
    </comment>
    <comment ref="A21" authorId="0" shapeId="0">
      <text>
        <r>
          <rPr>
            <b/>
            <sz val="9"/>
            <color indexed="81"/>
            <rFont val="Tahoma"/>
            <family val="2"/>
          </rPr>
          <t>Used to compute theoretical power plant capacity (see eqn (7) in text box at the right).</t>
        </r>
      </text>
    </comment>
    <comment ref="A23" authorId="0" shapeId="0">
      <text>
        <r>
          <rPr>
            <b/>
            <sz val="9"/>
            <color indexed="81"/>
            <rFont val="Tahoma"/>
            <family val="2"/>
          </rPr>
          <t xml:space="preserve">Final or abandonment temperature of the water. This is the minimum temperature required to run the GT plant. 
</t>
        </r>
        <r>
          <rPr>
            <sz val="9"/>
            <color indexed="81"/>
            <rFont val="Tahoma"/>
            <family val="2"/>
          </rPr>
          <t xml:space="preserve">The heat contained in water to bring that water up to Tc is discounted. </t>
        </r>
      </text>
    </comment>
    <comment ref="A25" authorId="0" shapeId="0">
      <text>
        <r>
          <rPr>
            <b/>
            <sz val="9"/>
            <color indexed="81"/>
            <rFont val="Tahoma"/>
            <family val="2"/>
          </rPr>
          <t xml:space="preserve">This is the power capacity required to produce all available thermal energy during the specified GT-plant's life time.
</t>
        </r>
        <r>
          <rPr>
            <sz val="9"/>
            <color indexed="81"/>
            <rFont val="Tahoma"/>
            <family val="2"/>
          </rPr>
          <t xml:space="preserve">Note: this is a purely theoretical maximum value. The real power capacity will be determined by the wells, the surface installations , and will be conditional on economic profitability. </t>
        </r>
      </text>
    </comment>
    <comment ref="B45" authorId="2" shapeId="0">
      <text>
        <r>
          <rPr>
            <sz val="9"/>
            <color indexed="81"/>
            <rFont val="Tahoma"/>
            <family val="2"/>
          </rPr>
          <t xml:space="preserve">Note that this correlation is rather simplistic and that its validity for the reservoir under study should be verified. 
</t>
        </r>
        <r>
          <rPr>
            <i/>
            <sz val="9"/>
            <color indexed="81"/>
            <rFont val="Tahoma"/>
            <family val="2"/>
          </rPr>
          <t>There are many, many more variables than the average reservoir porosity that influence the RF!</t>
        </r>
      </text>
    </comment>
  </commentList>
</comments>
</file>

<file path=xl/comments14.xml><?xml version="1.0" encoding="utf-8"?>
<comments xmlns="http://schemas.openxmlformats.org/spreadsheetml/2006/main">
  <authors>
    <author>Christian C.F.M. Bos</author>
  </authors>
  <commentList>
    <comment ref="C3" authorId="0" shapeId="0">
      <text>
        <r>
          <rPr>
            <sz val="9"/>
            <color indexed="81"/>
            <rFont val="Tahoma"/>
            <family val="2"/>
          </rPr>
          <t>Ref: Ref. S.K. Sanyal, “Classification of Geothermal Systems – A Possible Scheme” (paper presented at the 30th Workshop on Geothermal Reservoir Engineering, Stanford University, Stanford, California, January 31–February 2, 2005). SGP –TR-176.</t>
        </r>
      </text>
    </comment>
  </commentList>
</comments>
</file>

<file path=xl/comments15.xml><?xml version="1.0" encoding="utf-8"?>
<comments xmlns="http://schemas.openxmlformats.org/spreadsheetml/2006/main">
  <authors>
    <author>Christian Bos</author>
    <author>Christian C.F.M. Bos</author>
  </authors>
  <commentList>
    <comment ref="A8" authorId="0" shapeId="0">
      <text>
        <r>
          <rPr>
            <b/>
            <sz val="9"/>
            <color indexed="81"/>
            <rFont val="Tahoma"/>
            <family val="2"/>
          </rPr>
          <t xml:space="preserve">Values copied from table below.
</t>
        </r>
        <r>
          <rPr>
            <sz val="9"/>
            <color indexed="81"/>
            <rFont val="Tahoma"/>
            <family val="2"/>
          </rPr>
          <t>Ref. engineering toolbox</t>
        </r>
      </text>
    </comment>
    <comment ref="A9" authorId="0" shapeId="0">
      <text>
        <r>
          <rPr>
            <b/>
            <sz val="9"/>
            <color indexed="81"/>
            <rFont val="Tahoma"/>
            <family val="2"/>
          </rPr>
          <t xml:space="preserve">Values copied from table below.
</t>
        </r>
        <r>
          <rPr>
            <sz val="9"/>
            <color indexed="81"/>
            <rFont val="Tahoma"/>
            <family val="2"/>
          </rPr>
          <t>Ref. engineering toolbox</t>
        </r>
      </text>
    </comment>
    <comment ref="A10" authorId="0" shapeId="0">
      <text>
        <r>
          <rPr>
            <b/>
            <sz val="9"/>
            <color indexed="81"/>
            <rFont val="Tahoma"/>
            <family val="2"/>
          </rPr>
          <t xml:space="preserve">Values copied from table below.
</t>
        </r>
        <r>
          <rPr>
            <sz val="9"/>
            <color indexed="81"/>
            <rFont val="Tahoma"/>
            <family val="2"/>
          </rPr>
          <t>Ref. engineering toolbox</t>
        </r>
      </text>
    </comment>
    <comment ref="A11" authorId="0" shapeId="0">
      <text>
        <r>
          <rPr>
            <b/>
            <sz val="9"/>
            <color indexed="81"/>
            <rFont val="Tahoma"/>
            <family val="2"/>
          </rPr>
          <t xml:space="preserve">See graph below, data by Chesnut.
</t>
        </r>
        <r>
          <rPr>
            <sz val="9"/>
            <color indexed="81"/>
            <rFont val="Tahoma"/>
            <family val="2"/>
          </rPr>
          <t xml:space="preserve">
Above T=400F, it is assumed that the water viscosity declines very slowly, and that the the pressure has hardly any effect. </t>
        </r>
      </text>
    </comment>
    <comment ref="A12" authorId="0" shapeId="0">
      <text>
        <r>
          <rPr>
            <b/>
            <sz val="9"/>
            <color indexed="81"/>
            <rFont val="Tahoma"/>
            <family val="2"/>
          </rPr>
          <t xml:space="preserve">See graph below, data by Chesnut.
</t>
        </r>
        <r>
          <rPr>
            <sz val="9"/>
            <color indexed="81"/>
            <rFont val="Tahoma"/>
            <family val="2"/>
          </rPr>
          <t xml:space="preserve">
Above T=400F, it is assumed that the water viscosity declines very slowly, and that the the pressure has hardly any effect. </t>
        </r>
      </text>
    </comment>
    <comment ref="A13" authorId="0" shapeId="0">
      <text>
        <r>
          <rPr>
            <b/>
            <sz val="9"/>
            <color indexed="81"/>
            <rFont val="Tahoma"/>
            <family val="2"/>
          </rPr>
          <t xml:space="preserve">See graph below, data by Chesnut.
</t>
        </r>
        <r>
          <rPr>
            <sz val="9"/>
            <color indexed="81"/>
            <rFont val="Tahoma"/>
            <family val="2"/>
          </rPr>
          <t xml:space="preserve">
Above T=400F, it is assumed that the water viscosity declines very slowly, and that the the pressure has hardly any effect. </t>
        </r>
      </text>
    </comment>
    <comment ref="A14" authorId="0" shapeId="0">
      <text>
        <r>
          <rPr>
            <b/>
            <sz val="9"/>
            <color indexed="81"/>
            <rFont val="Tahoma"/>
            <family val="2"/>
          </rPr>
          <t xml:space="preserve">See graph below, data by Chesnut.
</t>
        </r>
        <r>
          <rPr>
            <sz val="9"/>
            <color indexed="81"/>
            <rFont val="Tahoma"/>
            <family val="2"/>
          </rPr>
          <t xml:space="preserve">
Above T=400F, it is assumed that the water viscosity declines very slowly, and that the the pressure has hardly any effect. </t>
        </r>
      </text>
    </comment>
    <comment ref="A20" authorId="0" shapeId="0">
      <text>
        <r>
          <rPr>
            <b/>
            <sz val="9"/>
            <color indexed="81"/>
            <rFont val="Tahoma"/>
            <family val="2"/>
          </rPr>
          <t xml:space="preserve">Mineralization is normally not taken into account for correcting Specific heat of water. Cw refers to pure water, error is negligible. 
</t>
        </r>
        <r>
          <rPr>
            <sz val="9"/>
            <color indexed="81"/>
            <rFont val="Tahoma"/>
            <family val="2"/>
          </rPr>
          <t>Q: but Density? Effect of mineralization / dissolved solids will have a non-negligible effect on Density …..</t>
        </r>
      </text>
    </comment>
    <comment ref="Z42" authorId="1" shapeId="0">
      <text>
        <r>
          <rPr>
            <b/>
            <sz val="9"/>
            <color indexed="81"/>
            <rFont val="Tahoma"/>
            <family val="2"/>
          </rPr>
          <t xml:space="preserve">The graph applies to NaCl salinity. 
</t>
        </r>
        <r>
          <rPr>
            <sz val="9"/>
            <color indexed="81"/>
            <rFont val="Tahoma"/>
            <family val="2"/>
          </rPr>
          <t xml:space="preserve">Whether  this is much different for the dissolved solids in volcanic rock water has not yet been researched. </t>
        </r>
      </text>
    </comment>
    <comment ref="O45" authorId="0" shapeId="0">
      <text>
        <r>
          <rPr>
            <b/>
            <sz val="9"/>
            <color indexed="81"/>
            <rFont val="Tahoma"/>
            <family val="2"/>
          </rPr>
          <t>Temperature of the rock and water at reservoir depth.</t>
        </r>
      </text>
    </comment>
  </commentList>
</comments>
</file>

<file path=xl/comments16.xml><?xml version="1.0" encoding="utf-8"?>
<comments xmlns="http://schemas.openxmlformats.org/spreadsheetml/2006/main">
  <authors>
    <author>Christian C.F.M. Bos</author>
  </authors>
  <commentList>
    <comment ref="A6" authorId="0" shapeId="0">
      <text>
        <r>
          <rPr>
            <b/>
            <sz val="9"/>
            <color indexed="81"/>
            <rFont val="Tahoma"/>
            <family val="2"/>
          </rPr>
          <t xml:space="preserve">IHS Upstream Capital Costs Index (UCCI) 
</t>
        </r>
        <r>
          <rPr>
            <sz val="9"/>
            <color indexed="81"/>
            <rFont val="Tahoma"/>
            <family val="2"/>
          </rPr>
          <t>The IHS UCCI tracks the costs of equipment, facilities, materials and personnel (both skilled and unskilled) used in the construction of a geographically diversified portfolio of 28 onshore, offshore, pipeline and LNG projects. It is similar to the consumer price index (CPI) in that it provides a clear, transparent benchmark tool for tracking and forecasting a complex and dynamic environment. The UCCI is a work product of the IHS Upstream Capital Costs Service. For information on the IHS Upstream Capital Costs Service, contact Pritesh Patel.</t>
        </r>
        <r>
          <rPr>
            <b/>
            <sz val="9"/>
            <color indexed="81"/>
            <rFont val="Tahoma"/>
            <family val="2"/>
          </rPr>
          <t xml:space="preserve">
</t>
        </r>
      </text>
    </comment>
    <comment ref="A7" authorId="0" shapeId="0">
      <text>
        <r>
          <rPr>
            <b/>
            <sz val="9"/>
            <color indexed="81"/>
            <rFont val="Tahoma"/>
            <family val="2"/>
          </rPr>
          <t xml:space="preserve">IHS Upstream Operating Costs Index (UOCI) 
</t>
        </r>
        <r>
          <rPr>
            <sz val="9"/>
            <color indexed="81"/>
            <rFont val="Tahoma"/>
            <family val="2"/>
          </rPr>
          <t>The IHS UOCI measures cost changes in the oil and gas field operations arena. It is similar to the consumer price index (CPI) in that it provides a clear, transparent benchmark tool for tracking and forecasting a complex and dynamic environment. The UOCI is a work product of the IHS Upstream Operating Costs Service. For information on the Upstream Operating Costs Service, contact Kate Ashcroft.
(ref. IHS/CERA website 2017)</t>
        </r>
        <r>
          <rPr>
            <b/>
            <sz val="9"/>
            <color indexed="81"/>
            <rFont val="Tahoma"/>
            <family val="2"/>
          </rPr>
          <t xml:space="preserve">
</t>
        </r>
      </text>
    </comment>
    <comment ref="A8" authorId="0" shapeId="0">
      <text>
        <r>
          <rPr>
            <b/>
            <sz val="9"/>
            <color indexed="81"/>
            <rFont val="Tahoma"/>
            <family val="2"/>
          </rPr>
          <t xml:space="preserve">IHS Downstream Capital Costs Index (DCCI) 
</t>
        </r>
        <r>
          <rPr>
            <sz val="9"/>
            <color indexed="81"/>
            <rFont val="Tahoma"/>
            <family val="2"/>
          </rPr>
          <t>The IHS DCCI tracks the costs of equipment, facilities, materials and personnel (both skilled and unskilled) used in the construction of a geographically diversified portfolio of 40 refining and petrochemical construction projects. It is similar to the consumer price index (CPI) in that it provides a clear, transparent benchmark tool for tracking and forecasting a complex and dynamic environment. The DCCI is a work product of the IHS Downstream Capital Costs Service. For information on the IHS Downstream Capital Costs Service, contact Pritesh Patel.</t>
        </r>
        <r>
          <rPr>
            <b/>
            <sz val="9"/>
            <color indexed="81"/>
            <rFont val="Tahoma"/>
            <family val="2"/>
          </rPr>
          <t xml:space="preserve">
</t>
        </r>
        <r>
          <rPr>
            <sz val="9"/>
            <color indexed="81"/>
            <rFont val="Tahoma"/>
            <family val="2"/>
          </rPr>
          <t xml:space="preserve">
(ref. IHS/CERA website 2017)</t>
        </r>
        <r>
          <rPr>
            <b/>
            <sz val="9"/>
            <color indexed="81"/>
            <rFont val="Tahoma"/>
            <family val="2"/>
          </rPr>
          <t xml:space="preserve">
</t>
        </r>
      </text>
    </comment>
    <comment ref="A9" authorId="0" shapeId="0">
      <text>
        <r>
          <rPr>
            <b/>
            <sz val="9"/>
            <color indexed="81"/>
            <rFont val="Tahoma"/>
            <family val="2"/>
          </rPr>
          <t xml:space="preserve">The IHS North American Power Capital Costs Index (NAPCCI) 
</t>
        </r>
        <r>
          <rPr>
            <sz val="9"/>
            <color indexed="81"/>
            <rFont val="Tahoma"/>
            <family val="2"/>
          </rPr>
          <t xml:space="preserve">Leveraging the IHS Index + Scenarios methodology, the NAPCCI tracks and forecasts the costs associated with the construction of a portfolio of 30 different power generation plants in North America. The NAPCCI tracks the costs of building coal, gas, wind and nuclear power plants, indexed to year 2000. The NAPCCI is a work product of the IHS North American Power Capital Costs Service, an annual renewable service managed by IHS. For further information on the NAPCCI, please contact Roger Kranenburg.
</t>
        </r>
      </text>
    </comment>
    <comment ref="A10" authorId="0" shapeId="0">
      <text>
        <r>
          <rPr>
            <b/>
            <sz val="9"/>
            <color indexed="81"/>
            <rFont val="Tahoma"/>
            <family val="2"/>
          </rPr>
          <t xml:space="preserve">The IHS North American Power Capital Costs Index (NAPCCI) 
</t>
        </r>
        <r>
          <rPr>
            <sz val="9"/>
            <color indexed="81"/>
            <rFont val="Tahoma"/>
            <family val="2"/>
          </rPr>
          <t xml:space="preserve">Leveraging the IHS Index + Scenarios methodology, the NAPCCI tracks and forecasts the costs associated with the construction of a portfolio of 30 different power generation plants in North America. The NAPCCI tracks the costs of building coal, gas, wind and nuclear power plants, indexed to year 2000. The NAPCCI is a work product of the IHS North American Power Capital Costs Service, an annual renewable service managed by IHS. For further information on the NAPCCI, please contact Roger Kranenburg.
</t>
        </r>
      </text>
    </comment>
    <comment ref="A11" authorId="0" shapeId="0">
      <text>
        <r>
          <rPr>
            <b/>
            <sz val="9"/>
            <color indexed="81"/>
            <rFont val="Tahoma"/>
            <family val="2"/>
          </rPr>
          <t xml:space="preserve">The IHS European Power Capital Costs Index (EPCCI) 
</t>
        </r>
        <r>
          <rPr>
            <sz val="9"/>
            <color indexed="81"/>
            <rFont val="Tahoma"/>
            <family val="2"/>
          </rPr>
          <t xml:space="preserve">Leveraging the IHS Index + Scenarios methodology, the EPCCI tracks and forecasts the costs associated with the construction of a portfolio of power generation plants in Europe. The EPCCI tracks the costs of building coal, gas, wind and nuclear power plants, indexed to year 2000. The EPCCI is a work product of the European Power Capital Costs service, an annual renewable service managed by IHS. For further information on the EPCCI, please contact Roger Kranenburg.
</t>
        </r>
      </text>
    </comment>
    <comment ref="A12" authorId="0" shapeId="0">
      <text>
        <r>
          <rPr>
            <b/>
            <sz val="9"/>
            <color indexed="81"/>
            <rFont val="Tahoma"/>
            <family val="2"/>
          </rPr>
          <t xml:space="preserve">The IHS European Power Capital Costs Index (EPCCI) 
</t>
        </r>
        <r>
          <rPr>
            <sz val="9"/>
            <color indexed="81"/>
            <rFont val="Tahoma"/>
            <family val="2"/>
          </rPr>
          <t xml:space="preserve">Leveraging the IHS Index + Scenarios methodology, the EPCCI tracks and forecasts the costs associated with the construction of a portfolio of power generation plants in Europe. The EPCCI tracks the costs of building coal, gas, wind and nuclear power plants, indexed to year 2000. The EPCCI is a work product of the European Power Capital Costs service, an annual renewable service managed by IHS. For further information on the EPCCI, please contact Roger Kranenburg.
</t>
        </r>
      </text>
    </comment>
  </commentList>
</comments>
</file>

<file path=xl/comments17.xml><?xml version="1.0" encoding="utf-8"?>
<comments xmlns="http://schemas.openxmlformats.org/spreadsheetml/2006/main">
  <authors>
    <author>Christian C.F.M. Bos</author>
  </authors>
  <commentList>
    <comment ref="E1" authorId="0" shapeId="0">
      <text>
        <r>
          <rPr>
            <b/>
            <sz val="9"/>
            <color indexed="81"/>
            <rFont val="Tahoma"/>
            <family val="2"/>
          </rPr>
          <t>Listed by Logan</t>
        </r>
        <r>
          <rPr>
            <sz val="9"/>
            <color indexed="81"/>
            <rFont val="Tahoma"/>
            <family val="2"/>
          </rPr>
          <t xml:space="preserve">
</t>
        </r>
      </text>
    </comment>
  </commentList>
</comments>
</file>

<file path=xl/comments2.xml><?xml version="1.0" encoding="utf-8"?>
<comments xmlns="http://schemas.openxmlformats.org/spreadsheetml/2006/main">
  <authors>
    <author>Christian C.F.M. Bos</author>
    <author>L.G. Brunner BSc</author>
    <author>bos</author>
  </authors>
  <commentList>
    <comment ref="A4" authorId="0" shapeId="0">
      <text>
        <r>
          <rPr>
            <sz val="9"/>
            <color indexed="81"/>
            <rFont val="Tahoma"/>
            <family val="2"/>
          </rPr>
          <t>KPI = Key Performance Indicator (a decision metric)
Cum. = cumulative (i.e. the integral over time)
PV = Present Value (the value of a KPI after discounting using the DCF method)
DCF = Discounted Cash Flow 
NPV = Net Present Value (the PV of the cumulative cash surplus)
IRR = Internal Rate of Return (the discount rate at which NPV = 0)
Maximum exposure = the most negative value in the cumulative net cash flow
PIR = Profit Investment Ratio (profit divided by capex)
Capex = Capital expenditure (capital that is to be depreciated for tax purposes)
Opex = Operating expenditure (fully tax-deductible working capital, not to be depreciated)
MWe = MegaWatt electrical
UTC = Unit Technical Cost = (capex+opex) / (cum electricity production over evaluation period)
LCOE = Levelized Cost of Electricity (the PV break-even tariff for one MWh</t>
        </r>
        <r>
          <rPr>
            <vertAlign val="subscript"/>
            <sz val="9"/>
            <color indexed="81"/>
            <rFont val="Tahoma"/>
            <family val="2"/>
          </rPr>
          <t>e</t>
        </r>
        <r>
          <rPr>
            <sz val="9"/>
            <color indexed="81"/>
            <rFont val="Tahoma"/>
            <family val="2"/>
          </rPr>
          <t>, i.e. the tariff at which NPV=0)
W/O = Work-over of a production or injection well (e.g. for a stimulation job, tubing replacement, etc.)</t>
        </r>
      </text>
    </comment>
    <comment ref="C4" authorId="0" shapeId="0">
      <text>
        <r>
          <rPr>
            <sz val="9"/>
            <color indexed="81"/>
            <rFont val="Tahoma"/>
            <family val="2"/>
          </rPr>
          <t xml:space="preserve">Note that in the USA it is customary to denote million US dollars as '$ MM'.
</t>
        </r>
        <r>
          <rPr>
            <sz val="9"/>
            <color indexed="10"/>
            <rFont val="Tahoma"/>
            <family val="2"/>
          </rPr>
          <t xml:space="preserve">This </t>
        </r>
        <r>
          <rPr>
            <i/>
            <sz val="9"/>
            <color indexed="10"/>
            <rFont val="Tahoma"/>
            <family val="2"/>
          </rPr>
          <t>'MM to denote million' -</t>
        </r>
        <r>
          <rPr>
            <sz val="9"/>
            <color indexed="10"/>
            <rFont val="Tahoma"/>
            <family val="2"/>
          </rPr>
          <t xml:space="preserve">convention is used throughout this spreadsheet, however only in case of US-dollars.
In all other cases, M denotes the SI-prefix Mega, i.e. one million. </t>
        </r>
      </text>
    </comment>
    <comment ref="G5" authorId="1" shapeId="0">
      <text>
        <r>
          <rPr>
            <sz val="9"/>
            <color indexed="81"/>
            <rFont val="Tahoma"/>
            <family val="2"/>
          </rPr>
          <t xml:space="preserve">In this KPI sheet only one input celll exists (i.e. for the LCOE), as the user should manually input this value following Goal Seek. See comment in cell A20.
</t>
        </r>
      </text>
    </comment>
    <comment ref="A6" authorId="2" shapeId="0">
      <text>
        <r>
          <rPr>
            <b/>
            <sz val="8"/>
            <color indexed="81"/>
            <rFont val="Tahoma"/>
            <family val="2"/>
          </rPr>
          <t>i.e., at end of 30 year evaluation period (or earlier), and constrained by economic conditions / limits</t>
        </r>
      </text>
    </comment>
    <comment ref="D7" authorId="0" shapeId="0">
      <text>
        <r>
          <rPr>
            <b/>
            <sz val="9"/>
            <color indexed="81"/>
            <rFont val="Tahoma"/>
            <family val="2"/>
          </rPr>
          <t xml:space="preserve">'Note: the tax facility "Loss Carry Back" has not been  implemented yet. 
</t>
        </r>
        <r>
          <rPr>
            <sz val="9"/>
            <color indexed="81"/>
            <rFont val="Tahoma"/>
            <family val="2"/>
          </rPr>
          <t xml:space="preserve">This is to allow future costs that are cn no longer be offset by revenue (such as decommissioning costs when there is no longer production) to be deducted in from the revenue during earlier periods when there is still a revenue. </t>
        </r>
        <r>
          <rPr>
            <b/>
            <sz val="9"/>
            <color indexed="81"/>
            <rFont val="Tahoma"/>
            <family val="2"/>
          </rPr>
          <t xml:space="preserve">
</t>
        </r>
      </text>
    </comment>
    <comment ref="D8" authorId="0" shapeId="0">
      <text>
        <r>
          <rPr>
            <b/>
            <sz val="9"/>
            <color indexed="81"/>
            <rFont val="Tahoma"/>
            <family val="2"/>
          </rPr>
          <t xml:space="preserve">'Note: the tax facility "Loss Carry Back" has not been  implemented yet. 
</t>
        </r>
        <r>
          <rPr>
            <sz val="9"/>
            <color indexed="81"/>
            <rFont val="Tahoma"/>
            <family val="2"/>
          </rPr>
          <t xml:space="preserve">This is to allow future costs that are cn no longer be offset by revenue (such as decommissioning costs when there is no longer production) to be deducted in from the revenue during earlier periods when there is still a revenue. </t>
        </r>
        <r>
          <rPr>
            <b/>
            <sz val="9"/>
            <color indexed="81"/>
            <rFont val="Tahoma"/>
            <family val="2"/>
          </rPr>
          <t xml:space="preserve">
</t>
        </r>
      </text>
    </comment>
    <comment ref="A11" authorId="2" shapeId="0">
      <text>
        <r>
          <rPr>
            <b/>
            <sz val="8"/>
            <color indexed="81"/>
            <rFont val="Tahoma"/>
            <family val="2"/>
          </rPr>
          <t xml:space="preserve">Note that the IRR is set to zero if NPV&lt;0. This will give a distortion of the IRR-histogram as computed by Crystal Ball. </t>
        </r>
      </text>
    </comment>
    <comment ref="B11" authorId="2" shapeId="0">
      <text>
        <r>
          <rPr>
            <b/>
            <sz val="8"/>
            <color indexed="10"/>
            <rFont val="Tahoma"/>
            <family val="2"/>
          </rPr>
          <t>Note</t>
        </r>
        <r>
          <rPr>
            <sz val="8"/>
            <color indexed="10"/>
            <rFont val="Tahoma"/>
            <family val="2"/>
          </rPr>
          <t>: check whether 
1) at NPV&gt;0, IRR&lt;discount rate (which is wrong)
2) at a high positive NPV value, the calculated IRR is only slightly higher than the discount rate used. 
If so, test the accuracy of the IRR calculation by applying the resulting IRR to the discount rate: the NPV should be (close to) zero. If not, adjust the "initial guess" in the IRR formula (see XL-Help-IRR). 
Also check whether the post-tax cumulative Net Cash Flow has more than one sign change over the evaluation period. If so, the IRR is ill-defined and may give erroneous results. In that case, reassess the phasing of your cash-in and cash-out items in the time-series of the ‘Project-definition’ worksheet. For the IRR calculation to work, the cumulative net cashflow should start negative and at some time-step change to permanently positive.</t>
        </r>
      </text>
    </comment>
    <comment ref="A14" authorId="0" shapeId="0">
      <text>
        <r>
          <rPr>
            <b/>
            <sz val="9"/>
            <color indexed="81"/>
            <rFont val="Tahoma"/>
            <charset val="1"/>
          </rPr>
          <t xml:space="preserve">PIR = Profit: Investment Ratio
</t>
        </r>
        <r>
          <rPr>
            <sz val="9"/>
            <color indexed="81"/>
            <rFont val="Tahoma"/>
            <family val="2"/>
          </rPr>
          <t>When undiscounted, this is the Cumulative Cash Surplus / Cumulative Capex.</t>
        </r>
        <r>
          <rPr>
            <b/>
            <sz val="9"/>
            <color indexed="81"/>
            <rFont val="Tahoma"/>
            <charset val="1"/>
          </rPr>
          <t xml:space="preserve">
</t>
        </r>
        <r>
          <rPr>
            <sz val="9"/>
            <color indexed="81"/>
            <rFont val="Tahoma"/>
            <family val="2"/>
          </rPr>
          <t>When discounted, this is the NPV / PV(Cum. Capex)</t>
        </r>
      </text>
    </comment>
    <comment ref="A15" authorId="0" shapeId="0">
      <text>
        <r>
          <rPr>
            <b/>
            <sz val="9"/>
            <color indexed="81"/>
            <rFont val="Tahoma"/>
            <charset val="1"/>
          </rPr>
          <t xml:space="preserve">PIR = Profit: Investment Ratio
</t>
        </r>
        <r>
          <rPr>
            <sz val="9"/>
            <color indexed="81"/>
            <rFont val="Tahoma"/>
            <family val="2"/>
          </rPr>
          <t>When undiscounted, this is the Cumulative Cash Surplus / Cumulative Capex.</t>
        </r>
        <r>
          <rPr>
            <b/>
            <sz val="9"/>
            <color indexed="81"/>
            <rFont val="Tahoma"/>
            <charset val="1"/>
          </rPr>
          <t xml:space="preserve">
</t>
        </r>
        <r>
          <rPr>
            <sz val="9"/>
            <color indexed="81"/>
            <rFont val="Tahoma"/>
            <family val="2"/>
          </rPr>
          <t>When discounted, this is the NPV / PV(Cum. Capex)</t>
        </r>
      </text>
    </comment>
    <comment ref="A16" authorId="1" shapeId="0">
      <text>
        <r>
          <rPr>
            <sz val="9"/>
            <color indexed="81"/>
            <rFont val="Tahoma"/>
            <family val="2"/>
          </rPr>
          <t>This is the discounted cum. Capex divided by the realised maximum MWe output in any year.</t>
        </r>
      </text>
    </comment>
    <comment ref="A17" authorId="2" shapeId="0">
      <text>
        <r>
          <rPr>
            <sz val="9"/>
            <color indexed="81"/>
            <rFont val="Tahoma"/>
            <family val="2"/>
          </rPr>
          <t xml:space="preserve">Cum. (Capex+opex) </t>
        </r>
        <r>
          <rPr>
            <sz val="9"/>
            <color indexed="10"/>
            <rFont val="Tahoma"/>
            <family val="2"/>
          </rPr>
          <t>not</t>
        </r>
        <r>
          <rPr>
            <sz val="9"/>
            <color indexed="81"/>
            <rFont val="Tahoma"/>
            <family val="2"/>
          </rPr>
          <t xml:space="preserve"> discounted, divided by the cum. MWhe </t>
        </r>
        <r>
          <rPr>
            <sz val="9"/>
            <color indexed="10"/>
            <rFont val="Tahoma"/>
            <family val="2"/>
          </rPr>
          <t xml:space="preserve">not </t>
        </r>
        <r>
          <rPr>
            <sz val="9"/>
            <color indexed="81"/>
            <rFont val="Tahoma"/>
            <family val="2"/>
          </rPr>
          <t xml:space="preserve">discounted
</t>
        </r>
      </text>
    </comment>
    <comment ref="A18" authorId="2" shapeId="0">
      <text>
        <r>
          <rPr>
            <sz val="9"/>
            <color indexed="81"/>
            <rFont val="Tahoma"/>
            <family val="2"/>
          </rPr>
          <t xml:space="preserve">Cum. discounted (capex+opex) divided by the cum. MWhe </t>
        </r>
        <r>
          <rPr>
            <sz val="9"/>
            <color indexed="10"/>
            <rFont val="Tahoma"/>
            <family val="2"/>
          </rPr>
          <t xml:space="preserve">not </t>
        </r>
        <r>
          <rPr>
            <sz val="9"/>
            <color indexed="81"/>
            <rFont val="Tahoma"/>
            <family val="2"/>
          </rPr>
          <t>discounted</t>
        </r>
        <r>
          <rPr>
            <b/>
            <sz val="8"/>
            <color indexed="81"/>
            <rFont val="Tahoma"/>
            <family val="2"/>
          </rPr>
          <t xml:space="preserve">
</t>
        </r>
      </text>
    </comment>
    <comment ref="A19" authorId="2" shapeId="0">
      <text>
        <r>
          <rPr>
            <sz val="9"/>
            <color indexed="81"/>
            <rFont val="Tahoma"/>
            <family val="2"/>
          </rPr>
          <t>Cum. discounted (capex+opex) divided by the cum. MWhe also discounted.</t>
        </r>
      </text>
    </comment>
    <comment ref="A20" authorId="0" shapeId="0">
      <text>
        <r>
          <rPr>
            <b/>
            <sz val="9"/>
            <color indexed="81"/>
            <rFont val="Tahoma"/>
            <charset val="1"/>
          </rPr>
          <t xml:space="preserve">There are two common definitions for LCOE (ref Wikipedia):
</t>
        </r>
        <r>
          <rPr>
            <sz val="9"/>
            <color indexed="81"/>
            <rFont val="Tahoma"/>
            <family val="2"/>
          </rPr>
          <t>1) The levelized cost of electricity (LCOE) is a measure of a power source which attempts to compare different methods of electricity generation on a consistent basis. It is an economic assessment of the average total cost to build and operate a power-generating asset over its lifetime divided by the total energy output of the asset over that lifetime. 
2) The LCOE can also be regarded as the average minimum cost at which electricity must be sold in order to break-even over the lifetime of the project.</t>
        </r>
        <r>
          <rPr>
            <b/>
            <sz val="9"/>
            <color indexed="81"/>
            <rFont val="Tahoma"/>
            <charset val="1"/>
          </rPr>
          <t xml:space="preserve">
</t>
        </r>
        <r>
          <rPr>
            <b/>
            <sz val="9"/>
            <color indexed="10"/>
            <rFont val="Tahoma"/>
            <family val="2"/>
          </rPr>
          <t xml:space="preserve">
In this spreadsheet the second definition is used</t>
        </r>
        <r>
          <rPr>
            <b/>
            <sz val="9"/>
            <color indexed="81"/>
            <rFont val="Tahoma"/>
            <charset val="1"/>
          </rPr>
          <t xml:space="preserve"> (i.e. the break-even sales price). 
For the first definition, the UTC may be used of cells B17:B19, depending on the precise definition:
</t>
        </r>
        <r>
          <rPr>
            <sz val="9"/>
            <color indexed="81"/>
            <rFont val="Tahoma"/>
            <family val="2"/>
          </rPr>
          <t>Ref. Wikipedia: "Note: Some caution must be taken when using formulas for the levelized cost, as they often embody unseen assumptions, neglect effects like taxes, and may be specified in real or nominal levelized cost. For example, other versions of the above formula do not discount the electricity stream."</t>
        </r>
      </text>
    </comment>
    <comment ref="D20" authorId="2" shapeId="0">
      <text>
        <r>
          <rPr>
            <b/>
            <u/>
            <sz val="8"/>
            <color indexed="10"/>
            <rFont val="Tahoma"/>
            <family val="2"/>
          </rPr>
          <t xml:space="preserve">Note: the LCOE (PV break-even price) can only be calculated </t>
        </r>
        <r>
          <rPr>
            <b/>
            <i/>
            <u/>
            <sz val="8"/>
            <color indexed="10"/>
            <rFont val="Tahoma"/>
            <family val="2"/>
          </rPr>
          <t>manually</t>
        </r>
        <r>
          <rPr>
            <b/>
            <u/>
            <sz val="8"/>
            <color indexed="10"/>
            <rFont val="Tahoma"/>
            <family val="2"/>
          </rPr>
          <t xml:space="preserve">, as macros are not allowed when using Crystal Ball (CB)
</t>
        </r>
        <r>
          <rPr>
            <sz val="8"/>
            <color indexed="10"/>
            <rFont val="Tahoma"/>
            <family val="2"/>
          </rPr>
          <t xml:space="preserve">Therefore, the LCOE unfortunately cannot be specified as a CB 'Forecast" and will not be computed as a KPI histogram. However, when running the XL model determinisitically, the LCOE can be computed as follows:
</t>
        </r>
        <r>
          <rPr>
            <b/>
            <u/>
            <sz val="8"/>
            <color indexed="10"/>
            <rFont val="Tahoma"/>
            <family val="2"/>
          </rPr>
          <t xml:space="preserve">
</t>
        </r>
        <r>
          <rPr>
            <b/>
            <sz val="8"/>
            <color indexed="81"/>
            <rFont val="Tahoma"/>
            <family val="2"/>
          </rPr>
          <t xml:space="preserve">1) Set Project-definition!$AA$21 = FIXED (Fixed sales tariff)
2) Set Project-definition!$Q$23 = FIXED (Fixed realization of the Random Number Generator)
3) Calculate LCOE using Data - What If Analysis - Goal Seek </t>
        </r>
        <r>
          <rPr>
            <sz val="8"/>
            <color indexed="81"/>
            <rFont val="Tahoma"/>
            <family val="2"/>
          </rPr>
          <t xml:space="preserve">(see XL-Ribbon at top) </t>
        </r>
        <r>
          <rPr>
            <b/>
            <sz val="8"/>
            <color indexed="81"/>
            <rFont val="Tahoma"/>
            <family val="2"/>
          </rPr>
          <t xml:space="preserve">by doing: 
a) set cell B9 (NPV) to 0, by changing cell:
b) Project-definition!$AA$21
c) Then copy the value of this cell manually into cell B19
</t>
        </r>
        <r>
          <rPr>
            <sz val="8"/>
            <color indexed="10"/>
            <rFont val="Tahoma"/>
            <family val="2"/>
          </rPr>
          <t xml:space="preserve">Sometimes XL does not seem to be able to converge to a solution. In such cases, finding the LCOE manually may be easier. Also note that the selected starting value in the cell with the fixed price is important to obtain convergence: the closer to the solution, the easier the iteration will be. </t>
        </r>
      </text>
    </comment>
    <comment ref="A21" authorId="2" shapeId="0">
      <text>
        <r>
          <rPr>
            <b/>
            <sz val="8"/>
            <color indexed="81"/>
            <rFont val="Tahoma"/>
            <family val="2"/>
          </rPr>
          <t>Calculated as first year when cumulative undiscounted cashflow changes sign from negative to positive</t>
        </r>
      </text>
    </comment>
    <comment ref="A22" authorId="2" shapeId="0">
      <text>
        <r>
          <rPr>
            <b/>
            <sz val="8"/>
            <color indexed="81"/>
            <rFont val="Tahoma"/>
            <family val="2"/>
          </rPr>
          <t>Calculated as first year when cumulative discounted cashflow changes sign from negative to positive</t>
        </r>
      </text>
    </comment>
    <comment ref="A24" authorId="2" shapeId="0">
      <text>
        <r>
          <rPr>
            <b/>
            <sz val="8"/>
            <color indexed="81"/>
            <rFont val="Tahoma"/>
            <family val="2"/>
          </rPr>
          <t xml:space="preserve">Nr of E+A+D wells is input. The nr of injectors required to match the user-defined producer-injector ratio is </t>
        </r>
        <r>
          <rPr>
            <b/>
            <i/>
            <sz val="8"/>
            <color indexed="81"/>
            <rFont val="Tahoma"/>
            <family val="2"/>
          </rPr>
          <t>excluded.</t>
        </r>
        <r>
          <rPr>
            <b/>
            <sz val="8"/>
            <color indexed="81"/>
            <rFont val="Tahoma"/>
            <family val="2"/>
          </rPr>
          <t xml:space="preserve"> 
This number includes both successful and failed wells.
</t>
        </r>
        <r>
          <rPr>
            <sz val="8"/>
            <color indexed="10"/>
            <rFont val="Tahoma"/>
            <family val="2"/>
          </rPr>
          <t>If the total number of prod+inj wells exceeds the available number of well slots per platform, a new platform will be constructed.</t>
        </r>
      </text>
    </comment>
    <comment ref="A25" authorId="2" shapeId="0">
      <text>
        <r>
          <rPr>
            <b/>
            <sz val="8"/>
            <color indexed="81"/>
            <rFont val="Tahoma"/>
            <family val="2"/>
          </rPr>
          <t xml:space="preserve">Nr of E+A+D wells is input. The nr of injectors required to match the user-defined producer-injector ratio is </t>
        </r>
        <r>
          <rPr>
            <b/>
            <i/>
            <sz val="8"/>
            <color indexed="81"/>
            <rFont val="Tahoma"/>
            <family val="2"/>
          </rPr>
          <t>included.</t>
        </r>
        <r>
          <rPr>
            <b/>
            <sz val="8"/>
            <color indexed="81"/>
            <rFont val="Tahoma"/>
            <family val="2"/>
          </rPr>
          <t xml:space="preserve"> 
</t>
        </r>
        <r>
          <rPr>
            <sz val="8"/>
            <color indexed="81"/>
            <rFont val="Tahoma"/>
            <family val="2"/>
          </rPr>
          <t>This number depends on the drilling success of the exploration and appraisal wells: if these are successful they will be re-used as injector.</t>
        </r>
        <r>
          <rPr>
            <b/>
            <sz val="8"/>
            <color indexed="81"/>
            <rFont val="Tahoma"/>
            <family val="2"/>
          </rPr>
          <t xml:space="preserve">
</t>
        </r>
        <r>
          <rPr>
            <sz val="8"/>
            <color indexed="10"/>
            <rFont val="Tahoma"/>
            <family val="2"/>
          </rPr>
          <t>If the total number of prod+inj wells exceeds the available number of well slots per platform, a new platform will be constructed.</t>
        </r>
      </text>
    </comment>
    <comment ref="A26" authorId="0" shapeId="0">
      <text>
        <r>
          <rPr>
            <b/>
            <sz val="9"/>
            <color indexed="81"/>
            <rFont val="Tahoma"/>
            <family val="2"/>
          </rPr>
          <t>This includes the development wells for production, as well as the injectors drilled automatically to match the specified producer:injector ratio.
If the user specified that exploration and appraisal wells be re-used as injectors, then successful expl and appr wells are included in this count.</t>
        </r>
      </text>
    </comment>
    <comment ref="A27" authorId="1" shapeId="0">
      <text>
        <r>
          <rPr>
            <b/>
            <sz val="9"/>
            <color indexed="81"/>
            <rFont val="Tahoma"/>
            <family val="2"/>
          </rPr>
          <t>This includes the successful expl, appr, and devt wells drilled, regardless of whether or not the expl and appr wells were re-used as injectors.</t>
        </r>
      </text>
    </comment>
    <comment ref="A28" authorId="0" shapeId="0">
      <text>
        <r>
          <rPr>
            <sz val="9"/>
            <color indexed="81"/>
            <rFont val="Tahoma"/>
            <family val="2"/>
          </rPr>
          <t xml:space="preserve">P&amp;A = Plugged and Abandoned
</t>
        </r>
        <r>
          <rPr>
            <b/>
            <sz val="9"/>
            <color indexed="81"/>
            <rFont val="Tahoma"/>
            <family val="2"/>
          </rPr>
          <t>This includes failed expl, appr, and devt wells.</t>
        </r>
      </text>
    </comment>
    <comment ref="A29" authorId="0" shapeId="0">
      <text>
        <r>
          <rPr>
            <sz val="9"/>
            <color indexed="81"/>
            <rFont val="Tahoma"/>
            <family val="2"/>
          </rPr>
          <t xml:space="preserve">All matching injectors (i.e. injectors automatically calculated and capitalized so as to fulfill the user-defined producer/injector ratio, given the user-defined development well sequence) are assumed to be successful (i.e. completed and hooked-up). </t>
        </r>
      </text>
    </comment>
    <comment ref="A30" authorId="2" shapeId="0">
      <text>
        <r>
          <rPr>
            <b/>
            <sz val="8"/>
            <color indexed="81"/>
            <rFont val="Tahoma"/>
            <family val="2"/>
          </rPr>
          <t xml:space="preserve">Well cluster capex should not be specified in the time-series input. Given the max nr of well slots per cluster the well clusters will be constructed to allow the req'd nr of wells to be drilled. This additional capex is automatically included in the cashflow. Only the successful wells (producers and injectors) are taken into account. 
</t>
        </r>
        <r>
          <rPr>
            <b/>
            <sz val="8"/>
            <color indexed="81"/>
            <rFont val="Tahoma"/>
            <family val="2"/>
          </rPr>
          <t xml:space="preserve">
</t>
        </r>
        <r>
          <rPr>
            <sz val="8"/>
            <color indexed="10"/>
            <rFont val="Tahoma"/>
            <family val="2"/>
          </rPr>
          <t>Note: 1. all platforms are assumed to be identical; 2. a new platform will be constructed, even if only one add'l well is req'd.</t>
        </r>
      </text>
    </comment>
    <comment ref="A31" authorId="2" shapeId="0">
      <text>
        <r>
          <rPr>
            <b/>
            <sz val="8"/>
            <color indexed="81"/>
            <rFont val="Tahoma"/>
            <family val="2"/>
          </rPr>
          <t xml:space="preserve">If exceeded, the year with the maximum nr of wells will be printed. 
</t>
        </r>
        <r>
          <rPr>
            <sz val="8"/>
            <color indexed="81"/>
            <rFont val="Tahoma"/>
            <family val="2"/>
          </rPr>
          <t xml:space="preserve">Note that the specified rig capacity will not act as a constraint: the user-defined workover frequency will be honoured. If the specified rig capacity is exceeded, a warning will be merely flagged. </t>
        </r>
      </text>
    </comment>
    <comment ref="A32" authorId="0" shapeId="0">
      <text>
        <r>
          <rPr>
            <sz val="9"/>
            <color indexed="81"/>
            <rFont val="Tahoma"/>
            <family val="2"/>
          </rPr>
          <t xml:space="preserve">The field produces from start of production (the COD = Commercial Operation Date) until permanently closing-in the field. 
</t>
        </r>
        <r>
          <rPr>
            <sz val="8"/>
            <color indexed="81"/>
            <rFont val="Tahoma"/>
            <family val="2"/>
          </rPr>
          <t xml:space="preserve">
</t>
        </r>
        <r>
          <rPr>
            <sz val="8"/>
            <color indexed="10"/>
            <rFont val="Tahoma"/>
            <family val="2"/>
          </rPr>
          <t xml:space="preserve">Reasons for closing-in the field are either 1) the temperature of the produced fluids at the wellhead of the producers has declined to below a minimum required (user-defined) value; 2) the Net Cash Flow (NCF) has been negative for </t>
        </r>
        <r>
          <rPr>
            <i/>
            <sz val="8"/>
            <color indexed="10"/>
            <rFont val="Tahoma"/>
            <family val="2"/>
          </rPr>
          <t>n</t>
        </r>
        <r>
          <rPr>
            <sz val="8"/>
            <color indexed="10"/>
            <rFont val="Tahoma"/>
            <family val="2"/>
          </rPr>
          <t xml:space="preserve"> consecutive years (</t>
        </r>
        <r>
          <rPr>
            <i/>
            <sz val="8"/>
            <color indexed="10"/>
            <rFont val="Tahoma"/>
            <family val="2"/>
          </rPr>
          <t>n</t>
        </r>
        <r>
          <rPr>
            <sz val="8"/>
            <color indexed="10"/>
            <rFont val="Tahoma"/>
            <family val="2"/>
          </rPr>
          <t xml:space="preserve"> is user-defined), which effectively means that the opex has become &gt; revenue, and that the field has become uneconomic. 
After closing in the field, a mandatory (user-defined) observation period starts, after which the field is decommissioned and abandoned, with the liability transferred from the Operator to the Government.</t>
        </r>
      </text>
    </comment>
    <comment ref="A33" authorId="0" shapeId="0">
      <text>
        <r>
          <rPr>
            <sz val="9"/>
            <color indexed="81"/>
            <rFont val="Tahoma"/>
            <family val="2"/>
          </rPr>
          <t xml:space="preserve">Calculated as the cumulative amount of energy produced over the field's full productive evaluation period, divided by the nr of seconds during which production took place (i.e. corrected for downtime), divided by the number of active production wells (i.e. excluding failed development wells). </t>
        </r>
      </text>
    </comment>
    <comment ref="D33" authorId="0" shapeId="0">
      <text>
        <r>
          <rPr>
            <sz val="9"/>
            <color indexed="81"/>
            <rFont val="Tahoma"/>
            <family val="2"/>
          </rPr>
          <t xml:space="preserve">The world-wide statistical distribution of geothermal well capacities resembles more or less a triangular distribution with L-M-H points of 0-3-15to20 (ref. International Finance Corporation, June 2013 report "Success of Geothermal Wells: A global study").
A warning will be given here if the calculated well capacity exceeds 15 MWe. 
</t>
        </r>
        <r>
          <rPr>
            <sz val="8"/>
            <color indexed="10"/>
            <rFont val="Tahoma"/>
            <family val="2"/>
          </rPr>
          <t xml:space="preserve">Unrealistically high well capacities may well be due to an incomplete modelling of the Vertical Flow Performance of both producers and injectors, resulting in too high flow rates. More programming effort is planned to improve this. </t>
        </r>
      </text>
    </comment>
    <comment ref="A34" authorId="0" shapeId="0">
      <text>
        <r>
          <rPr>
            <sz val="9"/>
            <color indexed="81"/>
            <rFont val="Tahoma"/>
            <family val="2"/>
          </rPr>
          <t>Calculated as the cumulative amount of energy produced over the field's full productive evaluation period, divided by the nr of seconds during which production took place (i.e. corrected for downtime).</t>
        </r>
      </text>
    </comment>
    <comment ref="A35" authorId="0" shapeId="0">
      <text>
        <r>
          <rPr>
            <sz val="9"/>
            <color indexed="81"/>
            <rFont val="Tahoma"/>
            <family val="2"/>
          </rPr>
          <t>In a paper by Sarmiento et al. (</t>
        </r>
        <r>
          <rPr>
            <i/>
            <sz val="9"/>
            <color indexed="81"/>
            <rFont val="Tahoma"/>
            <family val="2"/>
          </rPr>
          <t>ref. Zosimo F. Sarmiento and Benedikt Steingrímsson, Paper UNU-GTP-SC-04-13; see also in this XL workbook the worksheet/tab "</t>
        </r>
        <r>
          <rPr>
            <b/>
            <i/>
            <sz val="9"/>
            <color indexed="81"/>
            <rFont val="Tahoma"/>
            <family val="2"/>
          </rPr>
          <t>Volumetrics</t>
        </r>
        <r>
          <rPr>
            <i/>
            <sz val="9"/>
            <color indexed="81"/>
            <rFont val="Tahoma"/>
            <family val="2"/>
          </rPr>
          <t>"</t>
        </r>
        <r>
          <rPr>
            <sz val="9"/>
            <color indexed="81"/>
            <rFont val="Tahoma"/>
            <family val="2"/>
          </rPr>
          <t xml:space="preserve">), a geothermal field's theoretical power capacity can be calculated under a number of assumptions. Whether these assumptions are valid for the case under study is for the user of this XL workbook to assess. 
</t>
        </r>
        <r>
          <rPr>
            <sz val="8"/>
            <color indexed="10"/>
            <rFont val="Tahoma"/>
            <family val="2"/>
          </rPr>
          <t xml:space="preserve">This value should be interpreted with caution, as it may not be representative for the case under study. It is no more than a very first approximation for the field's total power capacity. 
The value is used for comparison to the computed KPI "Effective capacity of field" so as to determine a theoretical "Upside potential". Consequently, this computed "Upside potential" is also only indicative and should be used with caution. </t>
        </r>
        <r>
          <rPr>
            <sz val="9"/>
            <color indexed="81"/>
            <rFont val="Tahoma"/>
            <family val="2"/>
          </rPr>
          <t xml:space="preserve">
</t>
        </r>
      </text>
    </comment>
    <comment ref="A36" authorId="0" shapeId="0">
      <text>
        <r>
          <rPr>
            <sz val="9"/>
            <color indexed="81"/>
            <rFont val="Tahoma"/>
            <family val="2"/>
          </rPr>
          <t>In a paper by Sarmiento et al. (</t>
        </r>
        <r>
          <rPr>
            <i/>
            <sz val="9"/>
            <color indexed="81"/>
            <rFont val="Tahoma"/>
            <family val="2"/>
          </rPr>
          <t>ref. Zosimo F. Sarmiento and Benedikt Steingrímsson, Paper UNU-GTP-SC-04-13; see also in this XL workbook the worksheet/tab "</t>
        </r>
        <r>
          <rPr>
            <b/>
            <i/>
            <sz val="9"/>
            <color indexed="81"/>
            <rFont val="Tahoma"/>
            <family val="2"/>
          </rPr>
          <t>Volumetrics</t>
        </r>
        <r>
          <rPr>
            <i/>
            <sz val="9"/>
            <color indexed="81"/>
            <rFont val="Tahoma"/>
            <family val="2"/>
          </rPr>
          <t>"</t>
        </r>
        <r>
          <rPr>
            <sz val="9"/>
            <color indexed="81"/>
            <rFont val="Tahoma"/>
            <family val="2"/>
          </rPr>
          <t xml:space="preserve">), a geothermal field's theoretical power capacity can be calculated under a number of assumptions. Whether these assumptions are valid for the case under study is for the user of this XL workbook to assess. 
</t>
        </r>
        <r>
          <rPr>
            <sz val="8"/>
            <color indexed="10"/>
            <rFont val="Tahoma"/>
            <family val="2"/>
          </rPr>
          <t xml:space="preserve">This value should be interpreted with caution, as it may not be representative for the case under study. It is no more than a very first approximation for the field's total power capacity. 
The value is used for comparison to the computed KPI "Effective capacity of field" so as to determine a theoretical "Upside potential". Consequently, this computed "Upside potential" is also only indicative and should be used with caution. </t>
        </r>
        <r>
          <rPr>
            <sz val="9"/>
            <color indexed="81"/>
            <rFont val="Tahoma"/>
            <family val="2"/>
          </rPr>
          <t xml:space="preserve">
</t>
        </r>
      </text>
    </comment>
  </commentList>
</comments>
</file>

<file path=xl/comments3.xml><?xml version="1.0" encoding="utf-8"?>
<comments xmlns="http://schemas.openxmlformats.org/spreadsheetml/2006/main">
  <authors>
    <author>Christian C.F.M. Bos</author>
  </authors>
  <commentList>
    <comment ref="A18" authorId="0" shapeId="0">
      <text>
        <r>
          <rPr>
            <sz val="9"/>
            <color indexed="81"/>
            <rFont val="Tahoma"/>
            <family val="2"/>
          </rPr>
          <t xml:space="preserve">If "N/A", then this event does not occur during the evaluation period of the current case. It will occur at some later date. </t>
        </r>
      </text>
    </comment>
    <comment ref="A19" authorId="0" shapeId="0">
      <text>
        <r>
          <rPr>
            <sz val="9"/>
            <color indexed="81"/>
            <rFont val="Tahoma"/>
            <family val="2"/>
          </rPr>
          <t xml:space="preserve">If "N/A", then this event does not occur during the evaluation period of the current case. It will occur at some later date. </t>
        </r>
      </text>
    </comment>
  </commentList>
</comments>
</file>

<file path=xl/comments4.xml><?xml version="1.0" encoding="utf-8"?>
<comments xmlns="http://schemas.openxmlformats.org/spreadsheetml/2006/main">
  <authors>
    <author>Brunner, L.G. (Logan)</author>
    <author>L.G. Brunner BSc</author>
    <author>Logan Brunner</author>
    <author>bos</author>
    <author>Christian C.F.M. Bos</author>
  </authors>
  <commentList>
    <comment ref="AL5" authorId="0" shapeId="0">
      <text>
        <r>
          <rPr>
            <sz val="9"/>
            <color indexed="81"/>
            <rFont val="Tahoma"/>
            <family val="2"/>
          </rPr>
          <t>Calculated from the "Water-props" worksheet. Interpolated from a water properties table with given values.</t>
        </r>
      </text>
    </comment>
    <comment ref="AL6" authorId="0" shapeId="0">
      <text>
        <r>
          <rPr>
            <sz val="9"/>
            <color indexed="81"/>
            <rFont val="Tahoma"/>
            <family val="2"/>
          </rPr>
          <t>Calculated from the Steam Tables worksheet. Interpolated from a water properties table with given values.</t>
        </r>
      </text>
    </comment>
    <comment ref="AL7" authorId="0" shapeId="0">
      <text>
        <r>
          <rPr>
            <sz val="9"/>
            <color indexed="81"/>
            <rFont val="Tahoma"/>
            <family val="2"/>
          </rPr>
          <t>Calculated from the Steam Tables worksheet. Interpolated from a water properties table with given values.</t>
        </r>
      </text>
    </comment>
    <comment ref="AL8" authorId="0" shapeId="0">
      <text>
        <r>
          <rPr>
            <sz val="9"/>
            <color indexed="81"/>
            <rFont val="Tahoma"/>
            <family val="2"/>
          </rPr>
          <t>Calculated from the Steam Tables worksheet. Interpolated from a water properties table with given values.</t>
        </r>
      </text>
    </comment>
    <comment ref="AL9" authorId="0" shapeId="0">
      <text>
        <r>
          <rPr>
            <sz val="9"/>
            <color indexed="81"/>
            <rFont val="Tahoma"/>
            <family val="2"/>
          </rPr>
          <t>Calculated from the Steam Tables worksheet. Interpolated from a water properties table with given values.</t>
        </r>
      </text>
    </comment>
    <comment ref="V10" authorId="1" shapeId="0">
      <text>
        <r>
          <rPr>
            <sz val="9"/>
            <color indexed="81"/>
            <rFont val="Tahoma"/>
            <family val="2"/>
          </rPr>
          <t>If user inputs either zero or blank, this value is set to 1000, so that there will not be a workover.</t>
        </r>
      </text>
    </comment>
    <comment ref="AL10" authorId="0" shapeId="0">
      <text>
        <r>
          <rPr>
            <sz val="9"/>
            <color indexed="81"/>
            <rFont val="Tahoma"/>
            <family val="2"/>
          </rPr>
          <t>Calculated from the Steam Tables worksheet. Interpolated from a water properties table with given values.</t>
        </r>
      </text>
    </comment>
    <comment ref="V11" authorId="1" shapeId="0">
      <text>
        <r>
          <rPr>
            <sz val="9"/>
            <color indexed="81"/>
            <rFont val="Tahoma"/>
            <family val="2"/>
          </rPr>
          <t>If user inputs either zero or blank, this value is set to 1000, so that there will not be a workover.</t>
        </r>
      </text>
    </comment>
    <comment ref="AL15" authorId="2" shapeId="0">
      <text>
        <r>
          <rPr>
            <sz val="9"/>
            <color indexed="81"/>
            <rFont val="Tahoma"/>
            <family val="2"/>
          </rPr>
          <t>From MIT Geothermal reference:
https://energy.mit.edu/wp-content/uploads/2006/11/MITEI-The-Future-of-Geothermal-Energy.pdf</t>
        </r>
      </text>
    </comment>
    <comment ref="AL16" authorId="0" shapeId="0">
      <text>
        <r>
          <rPr>
            <sz val="9"/>
            <color indexed="81"/>
            <rFont val="Tahoma"/>
            <family val="2"/>
          </rPr>
          <t>Equation from TNO geothermal spreadsheet of calculation of LCOE of renewable heat and electricity.
Conversion efficiency = (production temp - surface temp) / (production temp + surface temp + 2 * 273.15) * relative efficiency</t>
        </r>
      </text>
    </comment>
    <comment ref="AL17" authorId="0" shapeId="0">
      <text>
        <r>
          <rPr>
            <sz val="9"/>
            <color indexed="81"/>
            <rFont val="Tahoma"/>
            <family val="2"/>
          </rPr>
          <t>Cacluated from "Volumetrics" worksheet.</t>
        </r>
      </text>
    </comment>
    <comment ref="AL18" authorId="0" shapeId="0">
      <text>
        <r>
          <rPr>
            <sz val="9"/>
            <color indexed="81"/>
            <rFont val="Tahoma"/>
            <family val="2"/>
          </rPr>
          <t>Calculation shown on the "Volumetrics" worksheet.</t>
        </r>
      </text>
    </comment>
    <comment ref="B37" authorId="1" shapeId="0">
      <text>
        <r>
          <rPr>
            <sz val="9"/>
            <color indexed="81"/>
            <rFont val="Tahoma"/>
            <family val="2"/>
          </rPr>
          <t>This is calculated by multiplying the hours of production by the inflow rate (m3/hr).</t>
        </r>
      </text>
    </comment>
    <comment ref="B39" authorId="1" shapeId="0">
      <text>
        <r>
          <rPr>
            <sz val="9"/>
            <color indexed="81"/>
            <rFont val="Tahoma"/>
            <family val="2"/>
          </rPr>
          <t>These values are from the Steam Tables worksheet, and is interpolated from tabular data.</t>
        </r>
      </text>
    </comment>
    <comment ref="B60" authorId="1" shapeId="0">
      <text>
        <r>
          <rPr>
            <sz val="9"/>
            <color indexed="81"/>
            <rFont val="Tahoma"/>
            <family val="2"/>
          </rPr>
          <t>This value is calculated from the enthalpy differences between the inlet steam and the exhaust.</t>
        </r>
      </text>
    </comment>
    <comment ref="B66" authorId="1" shapeId="0">
      <text>
        <r>
          <rPr>
            <sz val="9"/>
            <color indexed="81"/>
            <rFont val="Tahoma"/>
            <family val="2"/>
          </rPr>
          <t>Current assumption is that there is one pump for each injection well, they function at max power, and that they can handle the flow that is required to reinject. Later adaptations may adjust the amount of power used.</t>
        </r>
      </text>
    </comment>
    <comment ref="B74" authorId="2" shapeId="0">
      <text>
        <r>
          <rPr>
            <sz val="9"/>
            <color indexed="81"/>
            <rFont val="Tahoma"/>
            <family val="2"/>
          </rPr>
          <t>Here, the e-price is listed as calculated based on fixed / variable price (Cell H19) and based on the COD (Cell H6).</t>
        </r>
      </text>
    </comment>
    <comment ref="B82" authorId="3" shapeId="0">
      <text>
        <r>
          <rPr>
            <b/>
            <sz val="8"/>
            <color indexed="81"/>
            <rFont val="Tahoma"/>
            <family val="2"/>
          </rPr>
          <t>Including fixed opex multiplier, including test to check whether field has been closed-in. If so, opex=0, even if a value has been specified in the yellow input rows for fixed opex.</t>
        </r>
      </text>
    </comment>
    <comment ref="B83" authorId="3" shapeId="0">
      <text>
        <r>
          <rPr>
            <sz val="9"/>
            <color indexed="81"/>
            <rFont val="Tahoma"/>
            <family val="2"/>
          </rPr>
          <t>Including the opex multiplier.</t>
        </r>
      </text>
    </comment>
    <comment ref="C84" authorId="3" shapeId="0">
      <text>
        <r>
          <rPr>
            <b/>
            <sz val="9"/>
            <color indexed="81"/>
            <rFont val="Tahoma"/>
            <family val="2"/>
          </rPr>
          <t xml:space="preserve">Opex to be input as </t>
        </r>
        <r>
          <rPr>
            <b/>
            <sz val="9"/>
            <color indexed="10"/>
            <rFont val="Tahoma"/>
            <family val="2"/>
          </rPr>
          <t>(negative)</t>
        </r>
        <r>
          <rPr>
            <b/>
            <sz val="9"/>
            <color indexed="81"/>
            <rFont val="Tahoma"/>
            <family val="2"/>
          </rPr>
          <t xml:space="preserve"> value</t>
        </r>
      </text>
    </comment>
    <comment ref="C85" authorId="3" shapeId="0">
      <text>
        <r>
          <rPr>
            <b/>
            <sz val="9"/>
            <color indexed="81"/>
            <rFont val="Tahoma"/>
            <family val="2"/>
          </rPr>
          <t xml:space="preserve">Opex to be input as </t>
        </r>
        <r>
          <rPr>
            <b/>
            <sz val="9"/>
            <color indexed="10"/>
            <rFont val="Tahoma"/>
            <family val="2"/>
          </rPr>
          <t>(negative)</t>
        </r>
        <r>
          <rPr>
            <b/>
            <sz val="9"/>
            <color indexed="81"/>
            <rFont val="Tahoma"/>
            <family val="2"/>
          </rPr>
          <t xml:space="preserve"> value</t>
        </r>
      </text>
    </comment>
    <comment ref="B87" authorId="3" shapeId="0">
      <text>
        <r>
          <rPr>
            <b/>
            <sz val="8"/>
            <color indexed="81"/>
            <rFont val="Tahoma"/>
            <family val="2"/>
          </rPr>
          <t xml:space="preserve">The variable well opex includes 
1. a yearly opex rate per well 
2. workover costs per well, a specified number of years after the well has been drilled.
</t>
        </r>
        <r>
          <rPr>
            <sz val="8"/>
            <color indexed="10"/>
            <rFont val="Tahoma"/>
            <family val="2"/>
          </rPr>
          <t xml:space="preserve">
This applies to both production and injection wells, and only includes the succesful wells of each.</t>
        </r>
      </text>
    </comment>
    <comment ref="B101" authorId="1" shapeId="0">
      <text>
        <r>
          <rPr>
            <sz val="9"/>
            <color indexed="81"/>
            <rFont val="Tahoma"/>
            <family val="2"/>
          </rPr>
          <t>This value is the yearly summed depreciations (calculated below).
If the pre-tax cash flow is negative, then the capital allowance is delayed to the next net positive year. If the capital allowance is more than the revenue, then the extra capital allowance is also carried forward to the next year. This decreases the taxable income, giving the operator a tax break for the capital expenditures. This follows the loss carry forward technique.</t>
        </r>
      </text>
    </comment>
    <comment ref="B103" authorId="1" shapeId="0">
      <text>
        <r>
          <rPr>
            <sz val="9"/>
            <color indexed="81"/>
            <rFont val="Tahoma"/>
            <family val="2"/>
          </rPr>
          <t>This is the capital allowance that is not realized because the pre-tax cash flow is negative. It will be summed until the next positive pre-tax cash flow.</t>
        </r>
      </text>
    </comment>
    <comment ref="B104" authorId="1" shapeId="0">
      <text>
        <r>
          <rPr>
            <sz val="9"/>
            <color indexed="81"/>
            <rFont val="Tahoma"/>
            <family val="2"/>
          </rPr>
          <t>This value is equal to the yearly opex plus the yearly capital allowance.</t>
        </r>
      </text>
    </comment>
    <comment ref="B105" authorId="1" shapeId="0">
      <text>
        <r>
          <rPr>
            <sz val="9"/>
            <color indexed="81"/>
            <rFont val="Tahoma"/>
            <family val="2"/>
          </rPr>
          <t>This is the undepreciated capital and is equal to the cumulative capex to date minus the cumulative capital allowance.</t>
        </r>
      </text>
    </comment>
    <comment ref="B106" authorId="1" shapeId="0">
      <text>
        <r>
          <rPr>
            <sz val="9"/>
            <color indexed="81"/>
            <rFont val="Tahoma"/>
            <family val="2"/>
          </rPr>
          <t>This is the revenue minus the fiscal costs.
If the pre-tax cash flow is negative, then taxable income is $0.</t>
        </r>
      </text>
    </comment>
    <comment ref="B120" authorId="1" shapeId="0">
      <text>
        <r>
          <rPr>
            <sz val="9"/>
            <color indexed="81"/>
            <rFont val="Tahoma"/>
            <family val="2"/>
          </rPr>
          <t xml:space="preserve">This calculates if a new platform is needed, depending on how many wells are drilled. Important to note is that all successful </t>
        </r>
        <r>
          <rPr>
            <b/>
            <u/>
            <sz val="9"/>
            <color indexed="81"/>
            <rFont val="Tahoma"/>
            <family val="2"/>
          </rPr>
          <t>AND</t>
        </r>
        <r>
          <rPr>
            <sz val="9"/>
            <color indexed="81"/>
            <rFont val="Tahoma"/>
            <family val="2"/>
          </rPr>
          <t xml:space="preserve"> failed wells occupy a space on the platform. The reasoning for this is that the well will be connected to the cluster before knowing if is is successful or not. Furthermore, if there is a failed well in that area, then it's not likely that the operator will drill another production well in that vicinity, thus that slot in the cluster will not be re-used for a different well.
If the user selects the option to re-use exploration and appraisal wells for injection, then those wells will occupy slots in the cluster
If the user says to not re-use exploration and appraisal wells for injection, then those wells will </t>
        </r>
        <r>
          <rPr>
            <b/>
            <u/>
            <sz val="9"/>
            <color indexed="81"/>
            <rFont val="Tahoma"/>
            <family val="2"/>
          </rPr>
          <t>NOT</t>
        </r>
        <r>
          <rPr>
            <sz val="9"/>
            <color indexed="81"/>
            <rFont val="Tahoma"/>
            <family val="2"/>
          </rPr>
          <t xml:space="preserve"> occupy a space on the cluster during production. Accordingly, those spots will be available for a producer or injector.</t>
        </r>
      </text>
    </comment>
    <comment ref="B147" authorId="4" shapeId="0">
      <text>
        <r>
          <rPr>
            <sz val="9"/>
            <color indexed="81"/>
            <rFont val="Tahoma"/>
            <family val="2"/>
          </rPr>
          <t xml:space="preserve">These devt wells are planned as producers. Note that development wells can fail, but that in this model the associated injectors cannot fail. </t>
        </r>
      </text>
    </comment>
    <comment ref="B153" authorId="1" shapeId="0">
      <text>
        <r>
          <rPr>
            <sz val="9"/>
            <color indexed="81"/>
            <rFont val="Tahoma"/>
            <family val="2"/>
          </rPr>
          <t>These are the development wells that are used for producing the deep geothermal fluid.
This row is kept here in case future model development results in exploration or appraisal wells to become production wells.</t>
        </r>
      </text>
    </comment>
    <comment ref="B155" authorId="1" shapeId="0">
      <text>
        <r>
          <rPr>
            <sz val="9"/>
            <color indexed="81"/>
            <rFont val="Tahoma"/>
            <family val="2"/>
          </rPr>
          <t>Injectors are automatically assumed to be successful, thus there is no well success learning curve for them.
If the user-input option that successful exploration and appraisal wells are to be re-used as injectors, then those wells will come online as injectors once successful producers are drilled.</t>
        </r>
      </text>
    </comment>
    <comment ref="B156" authorId="3" shapeId="0">
      <text>
        <r>
          <rPr>
            <sz val="9"/>
            <color indexed="81"/>
            <rFont val="Tahoma"/>
            <family val="2"/>
          </rPr>
          <t>This is calculated from the producer to injector ratio defined by the user.
If the user states that exploration and appraisal wells are reused for injection, then those wells are used until the number of injectors needed exceeds the number of exploration and appraisal wells available. Then new injectors will be drilled, filling in this row.</t>
        </r>
      </text>
    </comment>
    <comment ref="B157" authorId="1" shapeId="0">
      <text>
        <r>
          <rPr>
            <sz val="9"/>
            <color indexed="81"/>
            <rFont val="Tahoma"/>
            <family val="2"/>
          </rPr>
          <t>These are the number of injection wells that are injecting. This is different from the number of injection wells drilled because this includes exploration and appraisal wells if the user selects to reuse them for injection, as well as drilled injection wells.</t>
        </r>
      </text>
    </comment>
    <comment ref="B158" authorId="1" shapeId="0">
      <text>
        <r>
          <rPr>
            <sz val="9"/>
            <color indexed="81"/>
            <rFont val="Tahoma"/>
            <family val="2"/>
          </rPr>
          <t>This sums the number of successful development (production) wells and injection wells.
If the user selects the option to re-use exploration and appraisal wells as injectors, then the successful exploration and appraisal wells will be included in this count.</t>
        </r>
      </text>
    </comment>
    <comment ref="B160" authorId="1" shapeId="0">
      <text>
        <r>
          <rPr>
            <sz val="9"/>
            <color indexed="81"/>
            <rFont val="Tahoma"/>
            <family val="2"/>
          </rPr>
          <t>This sums the number of successful and failed development (production) wells and injection wells.
If the user selects the option to re-use exploration and appraisal wells as injectors, then the successful and failed exploration and appraisal wells will be included in this count.</t>
        </r>
      </text>
    </comment>
    <comment ref="B161" authorId="1" shapeId="0">
      <text>
        <r>
          <rPr>
            <sz val="9"/>
            <color indexed="81"/>
            <rFont val="Tahoma"/>
            <family val="2"/>
          </rPr>
          <t>This sums the total attempted exploration, appraisal and development wells with the additional injection wells.
Note: the exploration and appraisal wells might be re-used for injection, thus the "injection wells to drill" row is used instead of the total "injectors online".</t>
        </r>
      </text>
    </comment>
    <comment ref="B164" authorId="3" shapeId="0">
      <text>
        <r>
          <rPr>
            <b/>
            <sz val="8"/>
            <color indexed="81"/>
            <rFont val="Tahoma"/>
            <family val="2"/>
          </rPr>
          <t xml:space="preserve">See also XL financial functions </t>
        </r>
        <r>
          <rPr>
            <b/>
            <sz val="8"/>
            <color indexed="10"/>
            <rFont val="Tahoma"/>
            <family val="2"/>
          </rPr>
          <t>DB</t>
        </r>
        <r>
          <rPr>
            <b/>
            <sz val="8"/>
            <color indexed="81"/>
            <rFont val="Tahoma"/>
            <family val="2"/>
          </rPr>
          <t xml:space="preserve"> (Declining Balance) and </t>
        </r>
        <r>
          <rPr>
            <b/>
            <sz val="8"/>
            <color indexed="10"/>
            <rFont val="Tahoma"/>
            <family val="2"/>
          </rPr>
          <t>DDB</t>
        </r>
        <r>
          <rPr>
            <b/>
            <sz val="8"/>
            <color indexed="81"/>
            <rFont val="Tahoma"/>
            <family val="2"/>
          </rPr>
          <t xml:space="preserve"> (Double Declining Balance) </t>
        </r>
      </text>
    </comment>
  </commentList>
</comments>
</file>

<file path=xl/comments5.xml><?xml version="1.0" encoding="utf-8"?>
<comments xmlns="http://schemas.openxmlformats.org/spreadsheetml/2006/main">
  <authors>
    <author>bos</author>
  </authors>
  <commentList>
    <comment ref="B14" authorId="0" shapeId="0">
      <text>
        <r>
          <rPr>
            <b/>
            <sz val="8"/>
            <color indexed="81"/>
            <rFont val="Tahoma"/>
            <family val="2"/>
          </rPr>
          <t>Using the average workover frequency specified by the user, this row puts the corresponding cycle of the well workover costs in the correct year.</t>
        </r>
      </text>
    </comment>
    <comment ref="B15" authorId="0" shapeId="0">
      <text>
        <r>
          <rPr>
            <b/>
            <sz val="8"/>
            <color indexed="81"/>
            <rFont val="Tahoma"/>
            <family val="2"/>
          </rPr>
          <t>Using the average workover frequency specified by the user, this row puts the corresponding cycle of the well workover costs in the correct year.</t>
        </r>
      </text>
    </comment>
    <comment ref="B16" authorId="0" shapeId="0">
      <text>
        <r>
          <rPr>
            <b/>
            <sz val="8"/>
            <color indexed="81"/>
            <rFont val="Tahoma"/>
            <family val="2"/>
          </rPr>
          <t>Using the average workover frequency specified by the user, this row puts the corresponding cycle of the well workover costs in the correct year.</t>
        </r>
      </text>
    </comment>
    <comment ref="B17" authorId="0" shapeId="0">
      <text>
        <r>
          <rPr>
            <b/>
            <sz val="8"/>
            <color indexed="81"/>
            <rFont val="Tahoma"/>
            <family val="2"/>
          </rPr>
          <t>Using the average workover frequency specified by the user, this row puts the corresponding cycle of the well workover costs in the correct year.</t>
        </r>
      </text>
    </comment>
    <comment ref="B18" authorId="0" shapeId="0">
      <text>
        <r>
          <rPr>
            <b/>
            <sz val="8"/>
            <color indexed="81"/>
            <rFont val="Tahoma"/>
            <family val="2"/>
          </rPr>
          <t>Using the average workover frequency specified by the user, this row puts the corresponding cycle of the well workover costs in the correct year.</t>
        </r>
      </text>
    </comment>
    <comment ref="B19" authorId="0" shapeId="0">
      <text>
        <r>
          <rPr>
            <b/>
            <sz val="8"/>
            <color indexed="81"/>
            <rFont val="Tahoma"/>
            <family val="2"/>
          </rPr>
          <t>Using the average workover frequency specified by the user, this row puts the corresponding cycle of the well workover costs in the correct year.</t>
        </r>
      </text>
    </comment>
    <comment ref="B20" authorId="0" shapeId="0">
      <text>
        <r>
          <rPr>
            <b/>
            <sz val="8"/>
            <color indexed="81"/>
            <rFont val="Tahoma"/>
            <family val="2"/>
          </rPr>
          <t>Using the average workover frequency specified by the user, this row puts the corresponding cycle of the well workover costs in the correct year.</t>
        </r>
      </text>
    </comment>
    <comment ref="B21" authorId="0" shapeId="0">
      <text>
        <r>
          <rPr>
            <b/>
            <sz val="8"/>
            <color indexed="81"/>
            <rFont val="Tahoma"/>
            <family val="2"/>
          </rPr>
          <t>Using the average workover frequency specified by the user, this row puts the corresponding cycle of the well workover costs in the correct year.</t>
        </r>
      </text>
    </comment>
    <comment ref="B22" authorId="0" shapeId="0">
      <text>
        <r>
          <rPr>
            <b/>
            <sz val="8"/>
            <color indexed="81"/>
            <rFont val="Tahoma"/>
            <family val="2"/>
          </rPr>
          <t>Using the average workover frequency specified by the user, this row puts the corresponding cycle of the well workover costs in the correct year.</t>
        </r>
      </text>
    </comment>
    <comment ref="B23" authorId="0" shapeId="0">
      <text>
        <r>
          <rPr>
            <b/>
            <sz val="8"/>
            <color indexed="81"/>
            <rFont val="Tahoma"/>
            <family val="2"/>
          </rPr>
          <t>Using the average workover frequency specified by the user, this row puts the corresponding cycle of the well workover costs in the correct year.</t>
        </r>
      </text>
    </comment>
    <comment ref="B24" authorId="0" shapeId="0">
      <text>
        <r>
          <rPr>
            <b/>
            <sz val="8"/>
            <color indexed="81"/>
            <rFont val="Tahoma"/>
            <family val="2"/>
          </rPr>
          <t>Using the average workover frequency specified by the user, this row puts the corresponding cycle of the well workover costs in the correct year.</t>
        </r>
      </text>
    </comment>
    <comment ref="B25" authorId="0" shapeId="0">
      <text>
        <r>
          <rPr>
            <b/>
            <sz val="8"/>
            <color indexed="81"/>
            <rFont val="Tahoma"/>
            <family val="2"/>
          </rPr>
          <t>Using the average workover frequency specified by the user, this row puts the corresponding cycle of the well workover costs in the correct year.</t>
        </r>
      </text>
    </comment>
    <comment ref="B26" authorId="0" shapeId="0">
      <text>
        <r>
          <rPr>
            <b/>
            <sz val="8"/>
            <color indexed="81"/>
            <rFont val="Tahoma"/>
            <family val="2"/>
          </rPr>
          <t>Using the average workover frequency specified by the user, this row puts the corresponding cycle of the well workover costs in the correct year.</t>
        </r>
      </text>
    </comment>
    <comment ref="B27" authorId="0" shapeId="0">
      <text>
        <r>
          <rPr>
            <b/>
            <sz val="8"/>
            <color indexed="81"/>
            <rFont val="Tahoma"/>
            <family val="2"/>
          </rPr>
          <t>Using the average workover frequency specified by the user, this row puts the corresponding cycle of the well workover costs in the correct year.</t>
        </r>
      </text>
    </comment>
    <comment ref="B28" authorId="0" shapeId="0">
      <text>
        <r>
          <rPr>
            <b/>
            <sz val="8"/>
            <color indexed="81"/>
            <rFont val="Tahoma"/>
            <family val="2"/>
          </rPr>
          <t>Using the average workover frequency specified by the user, this row puts the corresponding cycle of the well workover costs in the correct year.</t>
        </r>
      </text>
    </comment>
    <comment ref="B29" authorId="0" shapeId="0">
      <text>
        <r>
          <rPr>
            <b/>
            <sz val="8"/>
            <color indexed="81"/>
            <rFont val="Tahoma"/>
            <family val="2"/>
          </rPr>
          <t>Using the average workover frequency specified by the user, this row puts the corresponding cycle of the well workover costs in the correct year.</t>
        </r>
      </text>
    </comment>
    <comment ref="B30" authorId="0" shapeId="0">
      <text>
        <r>
          <rPr>
            <b/>
            <sz val="8"/>
            <color indexed="81"/>
            <rFont val="Tahoma"/>
            <family val="2"/>
          </rPr>
          <t>Using the average workover frequency specified by the user, this row puts the corresponding cycle of the well workover costs in the correct year.</t>
        </r>
      </text>
    </comment>
    <comment ref="B31" authorId="0" shapeId="0">
      <text>
        <r>
          <rPr>
            <b/>
            <sz val="8"/>
            <color indexed="81"/>
            <rFont val="Tahoma"/>
            <family val="2"/>
          </rPr>
          <t>Using the average workover frequency specified by the user, this row puts the corresponding cycle of the well workover costs in the correct year.</t>
        </r>
      </text>
    </comment>
    <comment ref="B32" authorId="0" shapeId="0">
      <text>
        <r>
          <rPr>
            <b/>
            <sz val="8"/>
            <color indexed="81"/>
            <rFont val="Tahoma"/>
            <family val="2"/>
          </rPr>
          <t>Using the average workover frequency specified by the user, this row puts the corresponding cycle of the well workover costs in the correct year.</t>
        </r>
      </text>
    </comment>
    <comment ref="B33" authorId="0" shapeId="0">
      <text>
        <r>
          <rPr>
            <b/>
            <sz val="8"/>
            <color indexed="81"/>
            <rFont val="Tahoma"/>
            <family val="2"/>
          </rPr>
          <t>Using the average workover frequency specified by the user, this row puts the corresponding cycle of the well workover costs in the correct year.</t>
        </r>
      </text>
    </comment>
    <comment ref="B34" authorId="0" shapeId="0">
      <text>
        <r>
          <rPr>
            <b/>
            <sz val="8"/>
            <color indexed="81"/>
            <rFont val="Tahoma"/>
            <family val="2"/>
          </rPr>
          <t>Using the average workover frequency specified by the user, this row puts the corresponding cycle of the well workover costs in the correct year.</t>
        </r>
      </text>
    </comment>
    <comment ref="B35" authorId="0" shapeId="0">
      <text>
        <r>
          <rPr>
            <b/>
            <sz val="8"/>
            <color indexed="81"/>
            <rFont val="Tahoma"/>
            <family val="2"/>
          </rPr>
          <t>Using the average workover frequency specified by the user, this row puts the corresponding cycle of the well workover costs in the correct year.</t>
        </r>
      </text>
    </comment>
    <comment ref="B36" authorId="0" shapeId="0">
      <text>
        <r>
          <rPr>
            <b/>
            <sz val="8"/>
            <color indexed="81"/>
            <rFont val="Tahoma"/>
            <family val="2"/>
          </rPr>
          <t>Using the average workover frequency specified by the user, this row puts the corresponding cycle of the well workover costs in the correct year.</t>
        </r>
      </text>
    </comment>
    <comment ref="B37" authorId="0" shapeId="0">
      <text>
        <r>
          <rPr>
            <b/>
            <sz val="8"/>
            <color indexed="81"/>
            <rFont val="Tahoma"/>
            <family val="2"/>
          </rPr>
          <t>Using the average workover frequency specified by the user, this row puts the corresponding cycle of the well workover costs in the correct year.</t>
        </r>
      </text>
    </comment>
    <comment ref="B38" authorId="0" shapeId="0">
      <text>
        <r>
          <rPr>
            <b/>
            <sz val="8"/>
            <color indexed="81"/>
            <rFont val="Tahoma"/>
            <family val="2"/>
          </rPr>
          <t>Using the average workover frequency specified by the user, this row puts the corresponding cycle of the well workover costs in the correct year.</t>
        </r>
      </text>
    </comment>
    <comment ref="B39" authorId="0" shapeId="0">
      <text>
        <r>
          <rPr>
            <b/>
            <sz val="8"/>
            <color indexed="81"/>
            <rFont val="Tahoma"/>
            <family val="2"/>
          </rPr>
          <t>Using the average workover frequency specified by the user, this row puts the corresponding cycle of the well workover costs in the correct year.</t>
        </r>
      </text>
    </comment>
    <comment ref="B40" authorId="0" shapeId="0">
      <text>
        <r>
          <rPr>
            <b/>
            <sz val="8"/>
            <color indexed="81"/>
            <rFont val="Tahoma"/>
            <family val="2"/>
          </rPr>
          <t>Using the average workover frequency specified by the user, this row puts the corresponding cycle of the well workover costs in the correct year.</t>
        </r>
      </text>
    </comment>
    <comment ref="B41" authorId="0" shapeId="0">
      <text>
        <r>
          <rPr>
            <b/>
            <sz val="8"/>
            <color indexed="81"/>
            <rFont val="Tahoma"/>
            <family val="2"/>
          </rPr>
          <t>Using the average workover frequency specified by the user, this row puts the corresponding cycle of the well workover costs in the correct year.</t>
        </r>
      </text>
    </comment>
    <comment ref="B42" authorId="0" shapeId="0">
      <text>
        <r>
          <rPr>
            <b/>
            <sz val="8"/>
            <color indexed="81"/>
            <rFont val="Tahoma"/>
            <family val="2"/>
          </rPr>
          <t>Using the average workover frequency specified by the user, this row puts the corresponding cycle of the well workover costs in the correct year.</t>
        </r>
      </text>
    </comment>
    <comment ref="B43" authorId="0" shapeId="0">
      <text>
        <r>
          <rPr>
            <b/>
            <sz val="8"/>
            <color indexed="81"/>
            <rFont val="Tahoma"/>
            <family val="2"/>
          </rPr>
          <t>Using the average workover frequency specified by the user, this row puts the corresponding cycle of the well workover costs in the correct year.</t>
        </r>
      </text>
    </comment>
    <comment ref="B44" authorId="0" shapeId="0">
      <text>
        <r>
          <rPr>
            <b/>
            <sz val="8"/>
            <color indexed="81"/>
            <rFont val="Tahoma"/>
            <family val="2"/>
          </rPr>
          <t xml:space="preserve">Using the average workover frequency specified in cell H12, this row puts the </t>
        </r>
        <r>
          <rPr>
            <b/>
            <sz val="8"/>
            <color indexed="10"/>
            <rFont val="Tahoma"/>
            <family val="2"/>
          </rPr>
          <t xml:space="preserve">total </t>
        </r>
        <r>
          <rPr>
            <b/>
            <sz val="8"/>
            <color indexed="81"/>
            <rFont val="Tahoma"/>
            <family val="2"/>
          </rPr>
          <t>well workover costs in the correct year.</t>
        </r>
      </text>
    </comment>
    <comment ref="B52" authorId="0" shapeId="0">
      <text>
        <r>
          <rPr>
            <b/>
            <sz val="8"/>
            <color indexed="81"/>
            <rFont val="Tahoma"/>
            <family val="2"/>
          </rPr>
          <t>Using the average workover frequency specified in cell H12, this row puts the 1st cycle of the well workover costs in the correct year.</t>
        </r>
      </text>
    </comment>
    <comment ref="B53" authorId="0" shapeId="0">
      <text>
        <r>
          <rPr>
            <b/>
            <sz val="8"/>
            <color indexed="81"/>
            <rFont val="Tahoma"/>
            <family val="2"/>
          </rPr>
          <t>Using the average workover frequency specified in cell H12, this row puts the 2nd cycle of the well workover costs in the correct year.</t>
        </r>
      </text>
    </comment>
    <comment ref="B54" authorId="0" shapeId="0">
      <text>
        <r>
          <rPr>
            <b/>
            <sz val="8"/>
            <color indexed="81"/>
            <rFont val="Tahoma"/>
            <family val="2"/>
          </rPr>
          <t>Using the average workover frequency specified in cell H12, this row puts the 3rd cycle of the well workover costs in the correct year.</t>
        </r>
      </text>
    </comment>
    <comment ref="B55" authorId="0" shapeId="0">
      <text>
        <r>
          <rPr>
            <b/>
            <sz val="8"/>
            <color indexed="81"/>
            <rFont val="Tahoma"/>
            <family val="2"/>
          </rPr>
          <t>Using the average workover frequency specified in cell H12, this row puts the 4th cycle of the well workover costs in the correct year.</t>
        </r>
      </text>
    </comment>
    <comment ref="B56" authorId="0" shapeId="0">
      <text>
        <r>
          <rPr>
            <b/>
            <sz val="8"/>
            <color indexed="81"/>
            <rFont val="Tahoma"/>
            <family val="2"/>
          </rPr>
          <t>Using the average workover frequency specified in cell H12, this row puts the 5th cycle of the well workover costs in the correct year.</t>
        </r>
      </text>
    </comment>
    <comment ref="B57" authorId="0" shapeId="0">
      <text>
        <r>
          <rPr>
            <b/>
            <sz val="8"/>
            <color indexed="81"/>
            <rFont val="Tahoma"/>
            <family val="2"/>
          </rPr>
          <t>Using the average workover frequency specified in cell H12, this row puts the 6th cycle of the well workover costs in the correct year.</t>
        </r>
      </text>
    </comment>
    <comment ref="B58" authorId="0" shapeId="0">
      <text>
        <r>
          <rPr>
            <b/>
            <sz val="8"/>
            <color indexed="81"/>
            <rFont val="Tahoma"/>
            <family val="2"/>
          </rPr>
          <t>Using the average workover frequency specified by the user, this row puts the corresponding cycle of the well workover costs in the correct year.</t>
        </r>
      </text>
    </comment>
    <comment ref="B59" authorId="0" shapeId="0">
      <text>
        <r>
          <rPr>
            <b/>
            <sz val="8"/>
            <color indexed="81"/>
            <rFont val="Tahoma"/>
            <family val="2"/>
          </rPr>
          <t>Using the average workover frequency specified by the user, this row puts the corresponding cycle of the well workover costs in the correct year.</t>
        </r>
      </text>
    </comment>
    <comment ref="B60" authorId="0" shapeId="0">
      <text>
        <r>
          <rPr>
            <b/>
            <sz val="8"/>
            <color indexed="81"/>
            <rFont val="Tahoma"/>
            <family val="2"/>
          </rPr>
          <t>Using the average workover frequency specified by the user, this row puts the corresponding cycle of the well workover costs in the correct year.</t>
        </r>
      </text>
    </comment>
    <comment ref="B61" authorId="0" shapeId="0">
      <text>
        <r>
          <rPr>
            <b/>
            <sz val="8"/>
            <color indexed="81"/>
            <rFont val="Tahoma"/>
            <family val="2"/>
          </rPr>
          <t>Using the average workover frequency specified by the user, this row puts the corresponding cycle of the well workover costs in the correct year.</t>
        </r>
      </text>
    </comment>
    <comment ref="B62" authorId="0" shapeId="0">
      <text>
        <r>
          <rPr>
            <b/>
            <sz val="8"/>
            <color indexed="81"/>
            <rFont val="Tahoma"/>
            <family val="2"/>
          </rPr>
          <t>Using the average workover frequency specified by the user, this row puts the corresponding cycle of the well workover costs in the correct year.</t>
        </r>
      </text>
    </comment>
    <comment ref="B63" authorId="0" shapeId="0">
      <text>
        <r>
          <rPr>
            <b/>
            <sz val="8"/>
            <color indexed="81"/>
            <rFont val="Tahoma"/>
            <family val="2"/>
          </rPr>
          <t>Using the average workover frequency specified by the user, this row puts the corresponding cycle of the well workover costs in the correct year.</t>
        </r>
      </text>
    </comment>
    <comment ref="B64" authorId="0" shapeId="0">
      <text>
        <r>
          <rPr>
            <b/>
            <sz val="8"/>
            <color indexed="81"/>
            <rFont val="Tahoma"/>
            <family val="2"/>
          </rPr>
          <t>Using the average workover frequency specified by the user, this row puts the corresponding cycle of the well workover costs in the correct year.</t>
        </r>
      </text>
    </comment>
    <comment ref="B65" authorId="0" shapeId="0">
      <text>
        <r>
          <rPr>
            <b/>
            <sz val="8"/>
            <color indexed="81"/>
            <rFont val="Tahoma"/>
            <family val="2"/>
          </rPr>
          <t>Using the average workover frequency specified by the user, this row puts the corresponding cycle of the well workover costs in the correct year.</t>
        </r>
      </text>
    </comment>
    <comment ref="B66" authorId="0" shapeId="0">
      <text>
        <r>
          <rPr>
            <b/>
            <sz val="8"/>
            <color indexed="81"/>
            <rFont val="Tahoma"/>
            <family val="2"/>
          </rPr>
          <t>Using the average workover frequency specified by the user, this row puts the corresponding cycle of the well workover costs in the correct year.</t>
        </r>
      </text>
    </comment>
    <comment ref="B67" authorId="0" shapeId="0">
      <text>
        <r>
          <rPr>
            <b/>
            <sz val="8"/>
            <color indexed="81"/>
            <rFont val="Tahoma"/>
            <family val="2"/>
          </rPr>
          <t>Using the average workover frequency specified by the user, this row puts the corresponding cycle of the well workover costs in the correct year.</t>
        </r>
      </text>
    </comment>
    <comment ref="B68" authorId="0" shapeId="0">
      <text>
        <r>
          <rPr>
            <b/>
            <sz val="8"/>
            <color indexed="81"/>
            <rFont val="Tahoma"/>
            <family val="2"/>
          </rPr>
          <t>Using the average workover frequency specified by the user, this row puts the corresponding cycle of the well workover costs in the correct year.</t>
        </r>
      </text>
    </comment>
    <comment ref="B69" authorId="0" shapeId="0">
      <text>
        <r>
          <rPr>
            <b/>
            <sz val="8"/>
            <color indexed="81"/>
            <rFont val="Tahoma"/>
            <family val="2"/>
          </rPr>
          <t>Using the average workover frequency specified by the user, this row puts the corresponding cycle of the well workover costs in the correct year.</t>
        </r>
      </text>
    </comment>
    <comment ref="B70" authorId="0" shapeId="0">
      <text>
        <r>
          <rPr>
            <b/>
            <sz val="8"/>
            <color indexed="81"/>
            <rFont val="Tahoma"/>
            <family val="2"/>
          </rPr>
          <t>Using the average workover frequency specified by the user, this row puts the corresponding cycle of the well workover costs in the correct year.</t>
        </r>
      </text>
    </comment>
    <comment ref="B71" authorId="0" shapeId="0">
      <text>
        <r>
          <rPr>
            <b/>
            <sz val="8"/>
            <color indexed="81"/>
            <rFont val="Tahoma"/>
            <family val="2"/>
          </rPr>
          <t>Using the average workover frequency specified by the user, this row puts the corresponding cycle of the well workover costs in the correct year.</t>
        </r>
      </text>
    </comment>
    <comment ref="B72" authorId="0" shapeId="0">
      <text>
        <r>
          <rPr>
            <b/>
            <sz val="8"/>
            <color indexed="81"/>
            <rFont val="Tahoma"/>
            <family val="2"/>
          </rPr>
          <t>Using the average workover frequency specified by the user, this row puts the corresponding cycle of the well workover costs in the correct year.</t>
        </r>
      </text>
    </comment>
    <comment ref="B73" authorId="0" shapeId="0">
      <text>
        <r>
          <rPr>
            <b/>
            <sz val="8"/>
            <color indexed="81"/>
            <rFont val="Tahoma"/>
            <family val="2"/>
          </rPr>
          <t>Using the average workover frequency specified by the user, this row puts the corresponding cycle of the well workover costs in the correct year.</t>
        </r>
      </text>
    </comment>
    <comment ref="B74" authorId="0" shapeId="0">
      <text>
        <r>
          <rPr>
            <b/>
            <sz val="8"/>
            <color indexed="81"/>
            <rFont val="Tahoma"/>
            <family val="2"/>
          </rPr>
          <t>Using the average workover frequency specified by the user, this row puts the corresponding cycle of the well workover costs in the correct year.</t>
        </r>
      </text>
    </comment>
    <comment ref="B75" authorId="0" shapeId="0">
      <text>
        <r>
          <rPr>
            <b/>
            <sz val="8"/>
            <color indexed="81"/>
            <rFont val="Tahoma"/>
            <family val="2"/>
          </rPr>
          <t>Using the average workover frequency specified by the user, this row puts the corresponding cycle of the well workover costs in the correct year.</t>
        </r>
      </text>
    </comment>
    <comment ref="B76" authorId="0" shapeId="0">
      <text>
        <r>
          <rPr>
            <b/>
            <sz val="8"/>
            <color indexed="81"/>
            <rFont val="Tahoma"/>
            <family val="2"/>
          </rPr>
          <t>Using the average workover frequency specified by the user, this row puts the corresponding cycle of the well workover costs in the correct year.</t>
        </r>
      </text>
    </comment>
    <comment ref="B77" authorId="0" shapeId="0">
      <text>
        <r>
          <rPr>
            <b/>
            <sz val="8"/>
            <color indexed="81"/>
            <rFont val="Tahoma"/>
            <family val="2"/>
          </rPr>
          <t>Using the average workover frequency specified by the user, this row puts the corresponding cycle of the well workover costs in the correct year.</t>
        </r>
      </text>
    </comment>
    <comment ref="B78" authorId="0" shapeId="0">
      <text>
        <r>
          <rPr>
            <b/>
            <sz val="8"/>
            <color indexed="81"/>
            <rFont val="Tahoma"/>
            <family val="2"/>
          </rPr>
          <t>Using the average workover frequency specified by the user, this row puts the corresponding cycle of the well workover costs in the correct year.</t>
        </r>
      </text>
    </comment>
    <comment ref="B79" authorId="0" shapeId="0">
      <text>
        <r>
          <rPr>
            <b/>
            <sz val="8"/>
            <color indexed="81"/>
            <rFont val="Tahoma"/>
            <family val="2"/>
          </rPr>
          <t>Using the average workover frequency specified by the user, this row puts the corresponding cycle of the well workover costs in the correct year.</t>
        </r>
      </text>
    </comment>
    <comment ref="B80" authorId="0" shapeId="0">
      <text>
        <r>
          <rPr>
            <b/>
            <sz val="8"/>
            <color indexed="81"/>
            <rFont val="Tahoma"/>
            <family val="2"/>
          </rPr>
          <t>Using the average workover frequency specified by the user, this row puts the corresponding cycle of the well workover costs in the correct year.</t>
        </r>
      </text>
    </comment>
    <comment ref="B81" authorId="0" shapeId="0">
      <text>
        <r>
          <rPr>
            <b/>
            <sz val="8"/>
            <color indexed="81"/>
            <rFont val="Tahoma"/>
            <family val="2"/>
          </rPr>
          <t>Using the average workover frequency specified by the user, this row puts the corresponding cycle of the well workover costs in the correct year.</t>
        </r>
      </text>
    </comment>
    <comment ref="B82" authorId="0" shapeId="0">
      <text>
        <r>
          <rPr>
            <b/>
            <sz val="8"/>
            <color indexed="81"/>
            <rFont val="Tahoma"/>
            <family val="2"/>
          </rPr>
          <t xml:space="preserve">Using the average workover frequency specified in cell H12, this row puts the </t>
        </r>
        <r>
          <rPr>
            <b/>
            <sz val="8"/>
            <color indexed="10"/>
            <rFont val="Tahoma"/>
            <family val="2"/>
          </rPr>
          <t xml:space="preserve">total </t>
        </r>
        <r>
          <rPr>
            <b/>
            <sz val="8"/>
            <color indexed="81"/>
            <rFont val="Tahoma"/>
            <family val="2"/>
          </rPr>
          <t>well workover costs in the correct year.</t>
        </r>
      </text>
    </comment>
  </commentList>
</comments>
</file>

<file path=xl/comments6.xml><?xml version="1.0" encoding="utf-8"?>
<comments xmlns="http://schemas.openxmlformats.org/spreadsheetml/2006/main">
  <authors>
    <author>Brunner, L.G. (Logan)</author>
    <author>Logan Brunner</author>
  </authors>
  <commentList>
    <comment ref="D14" authorId="0" shapeId="0">
      <text>
        <r>
          <rPr>
            <sz val="9"/>
            <color indexed="81"/>
            <rFont val="Tahoma"/>
            <family val="2"/>
          </rPr>
          <t>Calculated from the "Water-props" worksheet. Interpolated from a water properties table with given values.</t>
        </r>
      </text>
    </comment>
    <comment ref="D15" authorId="0" shapeId="0">
      <text>
        <r>
          <rPr>
            <sz val="9"/>
            <color indexed="81"/>
            <rFont val="Tahoma"/>
            <family val="2"/>
          </rPr>
          <t>Calculated from the Steam Tables worksheet. Interpolated from a water properties table with given values.</t>
        </r>
      </text>
    </comment>
    <comment ref="D16" authorId="0" shapeId="0">
      <text>
        <r>
          <rPr>
            <sz val="9"/>
            <color indexed="81"/>
            <rFont val="Tahoma"/>
            <family val="2"/>
          </rPr>
          <t>Calculated from the Steam Tables worksheet. Interpolated from a water properties table with given values.</t>
        </r>
      </text>
    </comment>
    <comment ref="D17" authorId="0" shapeId="0">
      <text>
        <r>
          <rPr>
            <sz val="9"/>
            <color indexed="81"/>
            <rFont val="Tahoma"/>
            <family val="2"/>
          </rPr>
          <t>Calculated from the Steam Tables worksheet. Interpolated from a water properties table with given values.</t>
        </r>
      </text>
    </comment>
    <comment ref="D18" authorId="0" shapeId="0">
      <text>
        <r>
          <rPr>
            <sz val="9"/>
            <color indexed="81"/>
            <rFont val="Tahoma"/>
            <family val="2"/>
          </rPr>
          <t>Calculated from the Steam Tables worksheet. Interpolated from a water properties table with given values.</t>
        </r>
      </text>
    </comment>
    <comment ref="D19" authorId="0" shapeId="0">
      <text>
        <r>
          <rPr>
            <sz val="9"/>
            <color indexed="81"/>
            <rFont val="Tahoma"/>
            <family val="2"/>
          </rPr>
          <t>Calculated from the Steam Tables worksheet. Interpolated from a water properties table with given values.</t>
        </r>
      </text>
    </comment>
    <comment ref="D39" authorId="1" shapeId="0">
      <text>
        <r>
          <rPr>
            <sz val="9"/>
            <color indexed="81"/>
            <rFont val="Tahoma"/>
            <family val="2"/>
          </rPr>
          <t>From MIT Geothermal reference:
https://energy.mit.edu/wp-content/uploads/2006/11/MITEI-The-Future-of-Geothermal-Energy.pdf</t>
        </r>
      </text>
    </comment>
    <comment ref="D40" authorId="0" shapeId="0">
      <text>
        <r>
          <rPr>
            <sz val="9"/>
            <color indexed="81"/>
            <rFont val="Tahoma"/>
            <family val="2"/>
          </rPr>
          <t>Equation from TNO geothermal spreadsheet of calculation of LCOE of renewable heat and electricity.
Conversion efficiency = (production temp - surface temp) / (production temp + surface temp + 2 * 273.15) * relative efficiency</t>
        </r>
      </text>
    </comment>
    <comment ref="D41" authorId="0" shapeId="0">
      <text>
        <r>
          <rPr>
            <sz val="9"/>
            <color indexed="81"/>
            <rFont val="Tahoma"/>
            <family val="2"/>
          </rPr>
          <t>Cacluated from "Volumetrics" worksheet.</t>
        </r>
      </text>
    </comment>
    <comment ref="D42" authorId="0" shapeId="0">
      <text>
        <r>
          <rPr>
            <sz val="9"/>
            <color indexed="81"/>
            <rFont val="Tahoma"/>
            <family val="2"/>
          </rPr>
          <t>Calculation shown on the "Volumetrics" worksheet.</t>
        </r>
      </text>
    </comment>
  </commentList>
</comments>
</file>

<file path=xl/comments7.xml><?xml version="1.0" encoding="utf-8"?>
<comments xmlns="http://schemas.openxmlformats.org/spreadsheetml/2006/main">
  <authors>
    <author>L.G. Brunner BSc</author>
  </authors>
  <commentList>
    <comment ref="AO2" authorId="0" shapeId="0">
      <text>
        <r>
          <rPr>
            <sz val="9"/>
            <color indexed="81"/>
            <rFont val="Tahoma"/>
            <family val="2"/>
          </rPr>
          <t>This value is for plotting purposes on Fig. Well success.</t>
        </r>
      </text>
    </comment>
    <comment ref="B19" authorId="0" shapeId="0">
      <text>
        <r>
          <rPr>
            <sz val="9"/>
            <color indexed="81"/>
            <rFont val="Tahoma"/>
            <family val="2"/>
          </rPr>
          <t xml:space="preserve">This is the calculation of how many wells are attempted each year (including exploration, appraisal, and development wells). This will then be compared to the success rate for the corresponding well number, to determine if the well was drilled successfully or unsuccessfully.
</t>
        </r>
        <r>
          <rPr>
            <b/>
            <sz val="9"/>
            <color indexed="81"/>
            <rFont val="Tahoma"/>
            <family val="2"/>
          </rPr>
          <t>Note:</t>
        </r>
        <r>
          <rPr>
            <sz val="9"/>
            <color indexed="81"/>
            <rFont val="Tahoma"/>
            <family val="2"/>
          </rPr>
          <t xml:space="preserve"> There is a maximum of 20 wells drilled per year and a maximum of 100 wells total.</t>
        </r>
      </text>
    </comment>
    <comment ref="B41" authorId="0" shapeId="0">
      <text>
        <r>
          <rPr>
            <sz val="9"/>
            <color indexed="81"/>
            <rFont val="Tahoma"/>
            <family val="2"/>
          </rPr>
          <t>This compares a random value to the well success rate learning curve, and determines if the exploration well was drilled successfully (denoted as a 1) or unsuccessfully (denoted as a 0 or blank).</t>
        </r>
      </text>
    </comment>
    <comment ref="B65" authorId="0" shapeId="0">
      <text>
        <r>
          <rPr>
            <sz val="9"/>
            <color indexed="81"/>
            <rFont val="Tahoma"/>
            <family val="2"/>
          </rPr>
          <t>This compares a random value to the well success rate learning curve, and determines if the appraisal well was drilled successfully (denoted as a 1) or unsuccessfully (denoted as a 0 or blank).</t>
        </r>
      </text>
    </comment>
    <comment ref="B89" authorId="0" shapeId="0">
      <text>
        <r>
          <rPr>
            <sz val="9"/>
            <color indexed="81"/>
            <rFont val="Tahoma"/>
            <family val="2"/>
          </rPr>
          <t>This compares a random value to the well success rate learning curve, and determines if the development well was drilled successfully (denoted as a 1) or unsuccessfully (denoted as a 0 or blank).</t>
        </r>
      </text>
    </comment>
  </commentList>
</comments>
</file>

<file path=xl/comments8.xml><?xml version="1.0" encoding="utf-8"?>
<comments xmlns="http://schemas.openxmlformats.org/spreadsheetml/2006/main">
  <authors>
    <author>L.G. Brunner BSc</author>
    <author>Christian C.F.M. Bos</author>
    <author>bos</author>
  </authors>
  <commentList>
    <comment ref="AD5" authorId="0" shapeId="0">
      <text>
        <r>
          <rPr>
            <sz val="9"/>
            <color indexed="81"/>
            <rFont val="Tahoma"/>
            <family val="2"/>
          </rPr>
          <t>Simple assumption from Megel et al. being 5 MPa</t>
        </r>
      </text>
    </comment>
    <comment ref="AD8" authorId="0" shapeId="0">
      <text>
        <r>
          <rPr>
            <sz val="9"/>
            <color indexed="81"/>
            <rFont val="Tahoma"/>
            <family val="2"/>
          </rPr>
          <t>This is the difference between the flowing bottomhole pressure and the reservoir pressure.</t>
        </r>
      </text>
    </comment>
    <comment ref="AD11" authorId="0" shapeId="0">
      <text>
        <r>
          <rPr>
            <sz val="9"/>
            <color indexed="81"/>
            <rFont val="Tahoma"/>
            <family val="2"/>
          </rPr>
          <t>This value is used to calculate the flow through a pipe.
This value is assumed from "Success of Geothermal Wells: A Global Study" from the International Finance Corporation (2013), where they offer a figure showing ranges of flow rates between ~100 and 650 tons/hr at 244 °C.
Thus, a middle value of 300 tons/hr was used, which equates to about 0.09299 m3/s (using a density of 813 kg/m3 from steam tables). Assuming a pipe diameter of 0.15 m, the water velocity becomes 5.26 m/s.
This error around this assumption is reduced by the fact that the equation to calculate pipe flow is iterated twice.</t>
        </r>
      </text>
    </comment>
    <comment ref="B27" authorId="1" shapeId="0">
      <text>
        <r>
          <rPr>
            <sz val="9"/>
            <color indexed="81"/>
            <rFont val="Tahoma"/>
            <family val="2"/>
          </rPr>
          <t xml:space="preserve">These devt wells are planned as producers. Note that development wells can fail, but that in this model the associated injectors cannot fail. </t>
        </r>
      </text>
    </comment>
    <comment ref="B31" authorId="0" shapeId="0">
      <text>
        <r>
          <rPr>
            <sz val="9"/>
            <color indexed="81"/>
            <rFont val="Tahoma"/>
            <family val="2"/>
          </rPr>
          <t>These are the development wells that are used for producing the deep geothermal fluid.
This row is kept here in case future model development results in exploration or appraisal wells to become production wells.</t>
        </r>
      </text>
    </comment>
    <comment ref="B33" authorId="0" shapeId="0">
      <text>
        <r>
          <rPr>
            <sz val="9"/>
            <color indexed="81"/>
            <rFont val="Tahoma"/>
            <family val="2"/>
          </rPr>
          <t>Injectors are automatically assumed to be successful, thus there is no well success learning curve for them.
If the user-input option that successful exploration and appraisal wells are to be re-used as injectors, then those wells will come online as injectors once successful producers are drilled.</t>
        </r>
      </text>
    </comment>
    <comment ref="B34" authorId="2" shapeId="0">
      <text>
        <r>
          <rPr>
            <sz val="9"/>
            <color indexed="81"/>
            <rFont val="Tahoma"/>
            <family val="2"/>
          </rPr>
          <t>This is calculated from the producer to injector ratio defined by the user.
If the user states that exploration and appraisal wells are reused for injection, then those wells are used until the number of injectors needed exceeds the number of exploration and appraisal wells available. Then new injectors will be drilled, filling in this row.</t>
        </r>
      </text>
    </comment>
    <comment ref="B35" authorId="0" shapeId="0">
      <text>
        <r>
          <rPr>
            <sz val="9"/>
            <color indexed="81"/>
            <rFont val="Tahoma"/>
            <family val="2"/>
          </rPr>
          <t>These are the number of injection wells that are injecting. This is different from the number of injection wells drilled because this includes exploration and appraisal wells if the user selects to reuse them for injection, as well as drilled injection wells.</t>
        </r>
      </text>
    </comment>
    <comment ref="B36" authorId="0" shapeId="0">
      <text>
        <r>
          <rPr>
            <sz val="9"/>
            <color indexed="81"/>
            <rFont val="Tahoma"/>
            <family val="2"/>
          </rPr>
          <t>This sums the number of successful development (production) wells and injection wells.
If the user selects the option to re-use exploration and appraisal wells as injectors, then the successful exploration and appraisal wells will be included in this count.</t>
        </r>
      </text>
    </comment>
    <comment ref="B58" authorId="0" shapeId="0">
      <text>
        <r>
          <rPr>
            <sz val="9"/>
            <color indexed="81"/>
            <rFont val="Tahoma"/>
            <family val="2"/>
          </rPr>
          <t>This is what constrains the flow in the system between the production inflow, the max flow through the production wells, the surface facilities, the max flow through the injection wells, and the injection inflow.</t>
        </r>
      </text>
    </comment>
    <comment ref="B59" authorId="0" shapeId="0">
      <text>
        <r>
          <rPr>
            <sz val="9"/>
            <color indexed="81"/>
            <rFont val="Tahoma"/>
            <family val="2"/>
          </rPr>
          <t>This takes into account the limiting factor of the system, showing the appropriate flow rate per well which will determine the flow.</t>
        </r>
      </text>
    </comment>
    <comment ref="B63" authorId="0" shapeId="0">
      <text>
        <r>
          <rPr>
            <sz val="9"/>
            <color indexed="81"/>
            <rFont val="Tahoma"/>
            <family val="2"/>
          </rPr>
          <t>The cycle starts at 1, meaning that if a workover occurs, then the cycle for the next year will be a 1.</t>
        </r>
      </text>
    </comment>
    <comment ref="B64" authorId="0" shapeId="0">
      <text>
        <r>
          <rPr>
            <sz val="9"/>
            <color indexed="81"/>
            <rFont val="Tahoma"/>
            <family val="2"/>
          </rPr>
          <t>If this is blank (or value 0), then this means that there is no skin buildup because of the workover frequency defined by the user.</t>
        </r>
      </text>
    </comment>
    <comment ref="B67" authorId="0" shapeId="0">
      <text>
        <r>
          <rPr>
            <sz val="9"/>
            <color indexed="81"/>
            <rFont val="Tahoma"/>
            <family val="2"/>
          </rPr>
          <t>This is calculated using the inflow equation, which is based on the reservoir drainage area, among other things.</t>
        </r>
      </text>
    </comment>
    <comment ref="B101" authorId="0" shapeId="0">
      <text>
        <r>
          <rPr>
            <sz val="9"/>
            <color indexed="81"/>
            <rFont val="Tahoma"/>
            <family val="2"/>
          </rPr>
          <t>This is the inflow per well, as opposed to per field.</t>
        </r>
      </text>
    </comment>
    <comment ref="B135" authorId="0" shapeId="0">
      <text>
        <r>
          <rPr>
            <sz val="9"/>
            <color indexed="81"/>
            <rFont val="Tahoma"/>
            <family val="2"/>
          </rPr>
          <t>This is calculated using the inflow equation, which is based on the reservoir drainage area, among other things.</t>
        </r>
      </text>
    </comment>
    <comment ref="B170" authorId="0" shapeId="0">
      <text>
        <r>
          <rPr>
            <sz val="9"/>
            <color indexed="81"/>
            <rFont val="Tahoma"/>
            <family val="2"/>
          </rPr>
          <t>This is provided by the user and is the maximum flow of geothermal fluid that can travel through the surface facilities.</t>
        </r>
      </text>
    </comment>
    <comment ref="B174" authorId="0" shapeId="0">
      <text>
        <r>
          <rPr>
            <sz val="9"/>
            <color indexed="81"/>
            <rFont val="Tahoma"/>
            <family val="2"/>
          </rPr>
          <t>This is calculated using the inflow equation, which is based on the reservoir drainage area, among other things.</t>
        </r>
      </text>
    </comment>
    <comment ref="B213" authorId="0" shapeId="0">
      <text>
        <r>
          <rPr>
            <sz val="9"/>
            <color indexed="81"/>
            <rFont val="Tahoma"/>
            <family val="2"/>
          </rPr>
          <t>This is the limiting factor flow rate for the entire field, as opposed to per well.</t>
        </r>
      </text>
    </comment>
    <comment ref="B247" authorId="0" shapeId="0">
      <text>
        <r>
          <rPr>
            <sz val="9"/>
            <color indexed="81"/>
            <rFont val="Tahoma"/>
            <family val="2"/>
          </rPr>
          <t>This is the inflow per well, as opposed to per field.</t>
        </r>
      </text>
    </comment>
  </commentList>
</comments>
</file>

<file path=xl/comments9.xml><?xml version="1.0" encoding="utf-8"?>
<comments xmlns="http://schemas.openxmlformats.org/spreadsheetml/2006/main">
  <authors>
    <author>L.G. Brunner BSc</author>
  </authors>
  <commentList>
    <comment ref="Z6" authorId="0" shapeId="0">
      <text>
        <r>
          <rPr>
            <sz val="9"/>
            <color indexed="81"/>
            <rFont val="Tahoma"/>
            <family val="2"/>
          </rPr>
          <t>This value is interpolated from a water saturation property table.
See the "Water-props" worksheet to see the calculation.</t>
        </r>
      </text>
    </comment>
    <comment ref="AL33" authorId="0" shapeId="0">
      <text>
        <r>
          <rPr>
            <sz val="9"/>
            <color indexed="81"/>
            <rFont val="Tahoma"/>
            <family val="2"/>
          </rPr>
          <t>This is interpolated from steam tables and evaluated for a saturated liquid at the reservoir temperature.
See the calculation on the "Steam Tables" worksheet.</t>
        </r>
      </text>
    </comment>
    <comment ref="AL34" authorId="0" shapeId="0">
      <text>
        <r>
          <rPr>
            <sz val="9"/>
            <color indexed="81"/>
            <rFont val="Tahoma"/>
            <family val="2"/>
          </rPr>
          <t>This is interpolated from steam tables for a saturated liquid at the known pressure at the wellhead.
See the calculation on the "Steam Tables" worksheet.</t>
        </r>
      </text>
    </comment>
    <comment ref="AL35" authorId="0" shapeId="0">
      <text>
        <r>
          <rPr>
            <sz val="9"/>
            <color indexed="81"/>
            <rFont val="Tahoma"/>
            <family val="2"/>
          </rPr>
          <t>This is interpolated from steam tables for a saturated vapor at the known pressure at the wellhead.
See the calculation on the "Steam Tables" worksheet.</t>
        </r>
      </text>
    </comment>
    <comment ref="AL37" authorId="0" shapeId="0">
      <text>
        <r>
          <rPr>
            <sz val="9"/>
            <color indexed="81"/>
            <rFont val="Tahoma"/>
            <family val="2"/>
          </rPr>
          <t>Properties of the liquid can be found from the steam tables using saturated liquid values at the reservoir temperature.</t>
        </r>
      </text>
    </comment>
    <comment ref="AL38" authorId="0" shapeId="0">
      <text>
        <r>
          <rPr>
            <sz val="9"/>
            <color indexed="81"/>
            <rFont val="Tahoma"/>
            <family val="2"/>
          </rPr>
          <t>Properties of the liquid can be found from the steam tables using saturated liquid values at the reservoir temperature.</t>
        </r>
      </text>
    </comment>
    <comment ref="AL41" authorId="0" shapeId="0">
      <text>
        <r>
          <rPr>
            <sz val="9"/>
            <color indexed="81"/>
            <rFont val="Tahoma"/>
            <family val="2"/>
          </rPr>
          <t>Acceptable multipliers are probably between 2 and 3.</t>
        </r>
      </text>
    </comment>
    <comment ref="AL42" authorId="0" shapeId="0">
      <text>
        <r>
          <rPr>
            <sz val="9"/>
            <color indexed="81"/>
            <rFont val="Tahoma"/>
            <family val="2"/>
          </rPr>
          <t>Estimated to be about 5 by Ryley.</t>
        </r>
      </text>
    </comment>
    <comment ref="AL45" authorId="0" shapeId="0">
      <text>
        <r>
          <rPr>
            <sz val="9"/>
            <color indexed="81"/>
            <rFont val="Tahoma"/>
            <family val="2"/>
          </rPr>
          <t>Found from superheated steam table in the "Steam Tables" worksheet.</t>
        </r>
      </text>
    </comment>
    <comment ref="AL46" authorId="0" shapeId="0">
      <text>
        <r>
          <rPr>
            <sz val="9"/>
            <color indexed="81"/>
            <rFont val="Tahoma"/>
            <family val="2"/>
          </rPr>
          <t>Found from saturated steam tables in the "Steam Tables" worksheet.</t>
        </r>
      </text>
    </comment>
    <comment ref="AL47" authorId="0" shapeId="0">
      <text>
        <r>
          <rPr>
            <sz val="9"/>
            <color indexed="81"/>
            <rFont val="Tahoma"/>
            <family val="2"/>
          </rPr>
          <t>Found from saturated steam tables in the "Steam Tables" worksheet.</t>
        </r>
      </text>
    </comment>
  </commentList>
</comments>
</file>

<file path=xl/sharedStrings.xml><?xml version="1.0" encoding="utf-8"?>
<sst xmlns="http://schemas.openxmlformats.org/spreadsheetml/2006/main" count="2888" uniqueCount="1908">
  <si>
    <t>presented at Short Course on Geothermal Development in Central America – Resource Assessment and Environmental</t>
  </si>
  <si>
    <t>Management, organized by UNU-GTP and LaGeo, in San Salvador, El Salvador, 25 November – 1 December, 2007.</t>
  </si>
  <si>
    <t xml:space="preserve">Ref. Zosimo F. Sarmiento and Benedikt Steingrímsson, Paper UNU-GTP-SC-04-13, </t>
  </si>
  <si>
    <t>Liquid phase volume</t>
  </si>
  <si>
    <t>km2</t>
  </si>
  <si>
    <t>m</t>
  </si>
  <si>
    <t>kg/m3</t>
  </si>
  <si>
    <t>°C</t>
  </si>
  <si>
    <t>years</t>
  </si>
  <si>
    <t>MWe (liquid)</t>
  </si>
  <si>
    <t>-</t>
  </si>
  <si>
    <t>Crystal Ball Data</t>
  </si>
  <si>
    <t>Workbook Variables</t>
  </si>
  <si>
    <t>Last Var Column</t>
  </si>
  <si>
    <t xml:space="preserve">    Name:</t>
  </si>
  <si>
    <t xml:space="preserve">    Value:</t>
  </si>
  <si>
    <t>Worksheet Data</t>
  </si>
  <si>
    <t>Last Data Column Used</t>
  </si>
  <si>
    <t>Sheet Ref</t>
  </si>
  <si>
    <t>Sheet Guid</t>
  </si>
  <si>
    <t>Deleted sheet count</t>
  </si>
  <si>
    <t>Last row used</t>
  </si>
  <si>
    <t>Data blocks</t>
  </si>
  <si>
    <t>bb20f4d7-0cf6-45da-8433-4adecd3ad906</t>
  </si>
  <si>
    <t>CB_Block_0</t>
  </si>
  <si>
    <t>Decisioneering:7.0.0.0</t>
  </si>
  <si>
    <t>3cf70232-0f85-46f7-85c8-555fbb040b6e</t>
  </si>
  <si>
    <t>CB_Block_7.0.0.0:1</t>
  </si>
  <si>
    <r>
      <t>kJ / kg.</t>
    </r>
    <r>
      <rPr>
        <i/>
        <sz val="11"/>
        <color theme="1"/>
        <rFont val="Calibri"/>
        <family val="2"/>
      </rPr>
      <t>°C</t>
    </r>
  </si>
  <si>
    <t>Legend:</t>
  </si>
  <si>
    <t>x2</t>
  </si>
  <si>
    <t>y2</t>
  </si>
  <si>
    <t>x1</t>
  </si>
  <si>
    <t>y1</t>
  </si>
  <si>
    <t>%</t>
  </si>
  <si>
    <t>Efficiency</t>
  </si>
  <si>
    <t>(After Muffler, 1978)</t>
  </si>
  <si>
    <t>Approximating this graph by a linear function:</t>
  </si>
  <si>
    <t>FIGURE 2: Correlation between recovery factor and porosity</t>
  </si>
  <si>
    <t>RF = 2,5 * Por</t>
  </si>
  <si>
    <r>
      <t xml:space="preserve">Area </t>
    </r>
    <r>
      <rPr>
        <sz val="11"/>
        <color rgb="FFFF0000"/>
        <rFont val="Calibri"/>
        <family val="2"/>
        <scheme val="minor"/>
      </rPr>
      <t>(A)</t>
    </r>
  </si>
  <si>
    <r>
      <t xml:space="preserve">Thickness </t>
    </r>
    <r>
      <rPr>
        <sz val="11"/>
        <color rgb="FFFF0000"/>
        <rFont val="Calibri"/>
        <family val="2"/>
        <scheme val="minor"/>
      </rPr>
      <t>(h)</t>
    </r>
  </si>
  <si>
    <r>
      <t xml:space="preserve">Rock density </t>
    </r>
    <r>
      <rPr>
        <sz val="11"/>
        <color rgb="FFFF0000"/>
        <rFont val="Calibri"/>
        <family val="2"/>
        <scheme val="minor"/>
      </rPr>
      <t>(</t>
    </r>
    <r>
      <rPr>
        <sz val="11"/>
        <color rgb="FFFF0000"/>
        <rFont val="Symbol"/>
        <family val="1"/>
        <charset val="2"/>
      </rPr>
      <t>r</t>
    </r>
    <r>
      <rPr>
        <sz val="11"/>
        <color rgb="FFFF0000"/>
        <rFont val="Calibri"/>
        <family val="2"/>
        <scheme val="minor"/>
      </rPr>
      <t>r)</t>
    </r>
  </si>
  <si>
    <r>
      <t xml:space="preserve">Porosity </t>
    </r>
    <r>
      <rPr>
        <sz val="11"/>
        <color rgb="FFFF0000"/>
        <rFont val="Calibri"/>
        <family val="2"/>
        <scheme val="minor"/>
      </rPr>
      <t>(</t>
    </r>
    <r>
      <rPr>
        <sz val="11"/>
        <color rgb="FFFF0000"/>
        <rFont val="Symbol"/>
        <family val="1"/>
        <charset val="2"/>
      </rPr>
      <t>F</t>
    </r>
    <r>
      <rPr>
        <sz val="11"/>
        <color rgb="FFFF0000"/>
        <rFont val="Calibri"/>
        <family val="2"/>
        <scheme val="minor"/>
      </rPr>
      <t>)</t>
    </r>
  </si>
  <si>
    <r>
      <t xml:space="preserve">Recovery factor </t>
    </r>
    <r>
      <rPr>
        <sz val="11"/>
        <color rgb="FFFF0000"/>
        <rFont val="Calibri"/>
        <family val="2"/>
        <scheme val="minor"/>
      </rPr>
      <t>(Rf)</t>
    </r>
  </si>
  <si>
    <r>
      <t xml:space="preserve">Rock specific heat </t>
    </r>
    <r>
      <rPr>
        <sz val="11"/>
        <color rgb="FFFF0000"/>
        <rFont val="Calibri"/>
        <family val="2"/>
        <scheme val="minor"/>
      </rPr>
      <t>(Cr)</t>
    </r>
  </si>
  <si>
    <r>
      <t xml:space="preserve">Temperature </t>
    </r>
    <r>
      <rPr>
        <sz val="11"/>
        <color rgb="FFFF0000"/>
        <rFont val="Calibri"/>
        <family val="2"/>
        <scheme val="minor"/>
      </rPr>
      <t>(Ti)</t>
    </r>
  </si>
  <si>
    <r>
      <t xml:space="preserve">Fluid density </t>
    </r>
    <r>
      <rPr>
        <sz val="11"/>
        <color rgb="FFFF0000"/>
        <rFont val="Calibri"/>
        <family val="2"/>
        <scheme val="minor"/>
      </rPr>
      <t>(</t>
    </r>
    <r>
      <rPr>
        <sz val="11"/>
        <color rgb="FFFF0000"/>
        <rFont val="Symbol"/>
        <family val="1"/>
        <charset val="2"/>
      </rPr>
      <t>r</t>
    </r>
    <r>
      <rPr>
        <sz val="11"/>
        <color rgb="FFFF0000"/>
        <rFont val="Calibri"/>
        <family val="2"/>
        <scheme val="minor"/>
      </rPr>
      <t>w)</t>
    </r>
  </si>
  <si>
    <r>
      <t xml:space="preserve">Conversion efficiency </t>
    </r>
    <r>
      <rPr>
        <sz val="11"/>
        <color rgb="FFFF0000"/>
        <rFont val="Calibri"/>
        <family val="2"/>
        <scheme val="minor"/>
      </rPr>
      <t>(Ce)</t>
    </r>
  </si>
  <si>
    <r>
      <t xml:space="preserve">Fluid specific heat </t>
    </r>
    <r>
      <rPr>
        <sz val="11"/>
        <color rgb="FFFF0000"/>
        <rFont val="Calibri"/>
        <family val="2"/>
        <scheme val="minor"/>
      </rPr>
      <t>(Cw)</t>
    </r>
  </si>
  <si>
    <r>
      <t xml:space="preserve">GT-plant life </t>
    </r>
    <r>
      <rPr>
        <sz val="11"/>
        <color rgb="FFFF0000"/>
        <rFont val="Calibri"/>
        <family val="2"/>
        <scheme val="minor"/>
      </rPr>
      <t>(t)</t>
    </r>
  </si>
  <si>
    <r>
      <t xml:space="preserve">Rejection temperature </t>
    </r>
    <r>
      <rPr>
        <sz val="11"/>
        <color rgb="FFFF0000"/>
        <rFont val="Calibri"/>
        <family val="2"/>
        <scheme val="minor"/>
      </rPr>
      <t>(Tc)</t>
    </r>
  </si>
  <si>
    <t>Case: Liquid-dominated geothermal reservoir</t>
  </si>
  <si>
    <t xml:space="preserve">Ref: http://www.engineeringtoolbox.com/water-thermal-properties-d_162.html </t>
  </si>
  <si>
    <r>
      <t>Temp (</t>
    </r>
    <r>
      <rPr>
        <sz val="11"/>
        <color theme="1"/>
        <rFont val="Calibri"/>
        <family val="2"/>
      </rPr>
      <t>°C)</t>
    </r>
  </si>
  <si>
    <r>
      <t>Spec heat (kJ/kg.</t>
    </r>
    <r>
      <rPr>
        <sz val="11"/>
        <color theme="1"/>
        <rFont val="Calibri"/>
        <family val="2"/>
      </rPr>
      <t>°C)</t>
    </r>
  </si>
  <si>
    <t>Density (kg/m3)</t>
  </si>
  <si>
    <t>What about same properties with mineralized water?</t>
  </si>
  <si>
    <t>(Data below is for pure water)</t>
  </si>
  <si>
    <r>
      <t>Water properties T&gt;200</t>
    </r>
    <r>
      <rPr>
        <b/>
        <sz val="14"/>
        <color theme="1"/>
        <rFont val="Calibri"/>
        <family val="2"/>
      </rPr>
      <t>°C</t>
    </r>
  </si>
  <si>
    <t>T =</t>
  </si>
  <si>
    <t>Cw =</t>
  </si>
  <si>
    <r>
      <t>Load factor of plant</t>
    </r>
    <r>
      <rPr>
        <sz val="11"/>
        <color rgb="FFFF0000"/>
        <rFont val="Calibri"/>
        <family val="2"/>
        <scheme val="minor"/>
      </rPr>
      <t xml:space="preserve"> (Pf)</t>
    </r>
  </si>
  <si>
    <r>
      <t xml:space="preserve">Initially available thermal energy </t>
    </r>
    <r>
      <rPr>
        <sz val="11"/>
        <color rgb="FFFF0000"/>
        <rFont val="Calibri"/>
        <family val="2"/>
        <scheme val="minor"/>
      </rPr>
      <t>(Qt)</t>
    </r>
  </si>
  <si>
    <t>Unit</t>
  </si>
  <si>
    <r>
      <t>Max. theor. power capacity</t>
    </r>
    <r>
      <rPr>
        <sz val="11"/>
        <color rgb="FFFF0000"/>
        <rFont val="Calibri"/>
        <family val="2"/>
        <scheme val="minor"/>
      </rPr>
      <t xml:space="preserve"> (P)</t>
    </r>
  </si>
  <si>
    <t>=</t>
  </si>
  <si>
    <t>°F</t>
  </si>
  <si>
    <r>
      <t xml:space="preserve">To account for the pressure, the f-factor is to be used: </t>
    </r>
    <r>
      <rPr>
        <i/>
        <sz val="11"/>
        <color rgb="FFFF0000"/>
        <rFont val="Symbol"/>
        <family val="1"/>
        <charset val="2"/>
      </rPr>
      <t>m</t>
    </r>
    <r>
      <rPr>
        <i/>
        <sz val="11"/>
        <color rgb="FFFF0000"/>
        <rFont val="Calibri"/>
        <family val="2"/>
        <scheme val="minor"/>
      </rPr>
      <t xml:space="preserve">w(p=pr) = f * </t>
    </r>
    <r>
      <rPr>
        <i/>
        <sz val="11"/>
        <color rgb="FFFF0000"/>
        <rFont val="Symbol"/>
        <family val="1"/>
        <charset val="2"/>
      </rPr>
      <t>m</t>
    </r>
    <r>
      <rPr>
        <i/>
        <sz val="11"/>
        <color rgb="FFFF0000"/>
        <rFont val="Calibri"/>
        <family val="2"/>
        <scheme val="minor"/>
      </rPr>
      <t>w(p=1atm); 1 bar = 14,5 psi</t>
    </r>
  </si>
  <si>
    <t>Note that graph is limited to T=400F (=204,45C). But curves are almost horizontal at T&gt;400F. Therefore, fixed 400F-values beyond T=400F (at a certain salinity) are reasonable approximations</t>
  </si>
  <si>
    <t>as given by look-up table</t>
  </si>
  <si>
    <r>
      <t xml:space="preserve">Temp </t>
    </r>
    <r>
      <rPr>
        <sz val="11"/>
        <color rgb="FFFF0000"/>
        <rFont val="Calibri"/>
        <family val="2"/>
        <scheme val="minor"/>
      </rPr>
      <t>(Ti)</t>
    </r>
  </si>
  <si>
    <r>
      <t xml:space="preserve">Water viscosity </t>
    </r>
    <r>
      <rPr>
        <b/>
        <sz val="11"/>
        <color rgb="FFFF0000"/>
        <rFont val="Symbol"/>
        <family val="1"/>
        <charset val="2"/>
      </rPr>
      <t>m</t>
    </r>
    <r>
      <rPr>
        <b/>
        <sz val="11"/>
        <color rgb="FFFF0000"/>
        <rFont val="Calibri"/>
        <family val="2"/>
        <scheme val="minor"/>
      </rPr>
      <t>w = f(P, T, salinity)</t>
    </r>
  </si>
  <si>
    <t>From Sarmiento et al. Paper:</t>
  </si>
  <si>
    <t>Viscosity (0% NaCl)</t>
  </si>
  <si>
    <t>Viscosity (8% NaCl)</t>
  </si>
  <si>
    <t>Viscosity (16% NaCl)</t>
  </si>
  <si>
    <t>Viscosity (26% NaCl)</t>
  </si>
  <si>
    <r>
      <rPr>
        <sz val="11"/>
        <color theme="1"/>
        <rFont val="Symbol"/>
        <family val="1"/>
        <charset val="2"/>
      </rPr>
      <t>r</t>
    </r>
    <r>
      <rPr>
        <sz val="11"/>
        <color theme="1"/>
        <rFont val="Calibri"/>
        <family val="2"/>
        <scheme val="minor"/>
      </rPr>
      <t>w =</t>
    </r>
  </si>
  <si>
    <t>as calculated by regression line</t>
  </si>
  <si>
    <t>mD</t>
  </si>
  <si>
    <t>Economic variables</t>
  </si>
  <si>
    <t>Phasing variables</t>
  </si>
  <si>
    <t>Production variables</t>
  </si>
  <si>
    <t>Legend</t>
  </si>
  <si>
    <t>Note: CB = Crystal Ball</t>
  </si>
  <si>
    <t>First year of evaluation</t>
  </si>
  <si>
    <t>Input variable (deterministic)</t>
  </si>
  <si>
    <t>N</t>
  </si>
  <si>
    <t>Output: calculated result</t>
  </si>
  <si>
    <t>Well-related costs</t>
  </si>
  <si>
    <t>Special, see comment</t>
  </si>
  <si>
    <t>Workover cost per well ($ MM)</t>
  </si>
  <si>
    <t>Capex multiplier</t>
  </si>
  <si>
    <t>Fixed opex multiplier</t>
  </si>
  <si>
    <t>Well opex ($ MM/well/yr)</t>
  </si>
  <si>
    <t>Producer / Injector ratio</t>
  </si>
  <si>
    <t>A</t>
  </si>
  <si>
    <t>B</t>
  </si>
  <si>
    <t>C</t>
  </si>
  <si>
    <t>D</t>
  </si>
  <si>
    <t>E</t>
  </si>
  <si>
    <t>F</t>
  </si>
  <si>
    <t>G</t>
  </si>
  <si>
    <t>H</t>
  </si>
  <si>
    <t>I</t>
  </si>
  <si>
    <t>J</t>
  </si>
  <si>
    <t>K</t>
  </si>
  <si>
    <t>L</t>
  </si>
  <si>
    <t>M</t>
  </si>
  <si>
    <t>O</t>
  </si>
  <si>
    <t>P</t>
  </si>
  <si>
    <t>Q</t>
  </si>
  <si>
    <t>R</t>
  </si>
  <si>
    <t>S</t>
  </si>
  <si>
    <t>T</t>
  </si>
  <si>
    <t>U</t>
  </si>
  <si>
    <t>V</t>
  </si>
  <si>
    <t>W</t>
  </si>
  <si>
    <t>X</t>
  </si>
  <si>
    <t>Y</t>
  </si>
  <si>
    <t>Z</t>
  </si>
  <si>
    <t>AA</t>
  </si>
  <si>
    <t>AB</t>
  </si>
  <si>
    <t>AC</t>
  </si>
  <si>
    <t>AD</t>
  </si>
  <si>
    <t>AE</t>
  </si>
  <si>
    <t>AF</t>
  </si>
  <si>
    <t>AG</t>
  </si>
  <si>
    <t>total</t>
  </si>
  <si>
    <t>wells</t>
  </si>
  <si>
    <t>Abandonment capex</t>
  </si>
  <si>
    <t>Fixed (not related to prod)</t>
  </si>
  <si>
    <t>Variable (water prod)</t>
  </si>
  <si>
    <t>Royalty</t>
  </si>
  <si>
    <t>Tax</t>
  </si>
  <si>
    <t>Total cash-out</t>
  </si>
  <si>
    <t>Opex</t>
  </si>
  <si>
    <t>Fiscal costs</t>
  </si>
  <si>
    <t>Taxable income</t>
  </si>
  <si>
    <t xml:space="preserve">Reason to shut-in field </t>
  </si>
  <si>
    <t>Status of field</t>
  </si>
  <si>
    <t>Shut-in reason</t>
  </si>
  <si>
    <t>Abandonment calculation</t>
  </si>
  <si>
    <t>Determine year of C/I field</t>
  </si>
  <si>
    <t>New platform capex calc.</t>
  </si>
  <si>
    <t>Workover rig capacity for in "fig Rig"</t>
  </si>
  <si>
    <t>Cumulative nr of producers</t>
  </si>
  <si>
    <t>Variable water opex ($/m3 water)</t>
  </si>
  <si>
    <t>Cum water production (m3)</t>
  </si>
  <si>
    <t>Cumulatives</t>
  </si>
  <si>
    <t>Cum Tariffs received</t>
  </si>
  <si>
    <t>Cum Other</t>
  </si>
  <si>
    <t>Cum Capex</t>
  </si>
  <si>
    <t>Cum Govt take</t>
  </si>
  <si>
    <t>Cum Royalty</t>
  </si>
  <si>
    <t>Cum Tax</t>
  </si>
  <si>
    <t>Cum Net cash flow</t>
  </si>
  <si>
    <t>Pay out year calculation</t>
  </si>
  <si>
    <t>Last year NCF&lt;0</t>
  </si>
  <si>
    <t>Pay out year</t>
  </si>
  <si>
    <t>Energy production</t>
  </si>
  <si>
    <t>Royalty (% of electricity sales)</t>
  </si>
  <si>
    <t>COD (First year of production)</t>
  </si>
  <si>
    <t>Survey costs</t>
  </si>
  <si>
    <t>Other costs</t>
  </si>
  <si>
    <t>*Capital allowance</t>
  </si>
  <si>
    <t>Total allowance</t>
  </si>
  <si>
    <t>Total</t>
  </si>
  <si>
    <t>Abandonment phase</t>
  </si>
  <si>
    <t>Total capex with multiplier</t>
  </si>
  <si>
    <t>DISCOUNTED CASHFLOW</t>
  </si>
  <si>
    <t>PV Other</t>
  </si>
  <si>
    <t>PV Total cash-in</t>
  </si>
  <si>
    <t>PV Capex</t>
  </si>
  <si>
    <t>PV Opex</t>
  </si>
  <si>
    <t>PV Total cash-out</t>
  </si>
  <si>
    <t>PV Electricity price ($/MWh)</t>
  </si>
  <si>
    <t>Depreciation calculation</t>
  </si>
  <si>
    <t>Check Capex</t>
  </si>
  <si>
    <t>Diff</t>
  </si>
  <si>
    <t>Sum Deprec.</t>
  </si>
  <si>
    <t>Total exploration capex (with multiplier)</t>
  </si>
  <si>
    <t>Total capex</t>
  </si>
  <si>
    <t>Well stimulation cost ($ MM)</t>
  </si>
  <si>
    <t>EGS</t>
  </si>
  <si>
    <t>From "Water Use in the Development and Operation of Geothermal Power Plants" by Argonne</t>
  </si>
  <si>
    <t>EGS (20 MW)</t>
  </si>
  <si>
    <t>EGS (50 MW)</t>
  </si>
  <si>
    <t>Binary (10 MW)</t>
  </si>
  <si>
    <t>Hydrothermal flash (50 MW)</t>
  </si>
  <si>
    <t>Consumption (m3/MWh)</t>
  </si>
  <si>
    <t>Avg flow rate (m3/d/Mwe)</t>
  </si>
  <si>
    <t>Avg flow rate (m3/d)</t>
  </si>
  <si>
    <r>
      <t xml:space="preserve">YEARLY WATER PRODUCTION &amp; UNDISCOUNTED CASHFLOW - </t>
    </r>
    <r>
      <rPr>
        <b/>
        <u/>
        <sz val="18"/>
        <rFont val="Arial"/>
        <family val="2"/>
      </rPr>
      <t>DO NOT EDIT</t>
    </r>
  </si>
  <si>
    <t>From the "Geothermal energy and water use" by the Australian Government</t>
  </si>
  <si>
    <t>Temperature (degC)</t>
  </si>
  <si>
    <t>Flow (L/s)</t>
  </si>
  <si>
    <t>&lt;-usually between-&gt;</t>
  </si>
  <si>
    <t>Avg flow rate (L/s)</t>
  </si>
  <si>
    <t>Electricity produced (MWh)</t>
  </si>
  <si>
    <t>Producer/Injector ratio</t>
  </si>
  <si>
    <t>2 or 3</t>
  </si>
  <si>
    <t>Plant lifetime</t>
  </si>
  <si>
    <t>Production wells</t>
  </si>
  <si>
    <t>Injection wells</t>
  </si>
  <si>
    <t>150-225</t>
  </si>
  <si>
    <t>150-185</t>
  </si>
  <si>
    <t>175-300</t>
  </si>
  <si>
    <t>Cash-in items</t>
  </si>
  <si>
    <t>SOME EXAMPLES FROM LITERATURE</t>
  </si>
  <si>
    <t>Input value from Input sheet</t>
  </si>
  <si>
    <t>Total Water Production</t>
  </si>
  <si>
    <t>Net electricity available (MWh)</t>
  </si>
  <si>
    <t>LEGEND</t>
  </si>
  <si>
    <t>From "Powerful Production Pumps to lift the Economy of Deep Geothermal Projects" by Schröder and Schneider</t>
  </si>
  <si>
    <t>Power name plate (kW)</t>
  </si>
  <si>
    <t>Qmax at head of 600m (L/s)</t>
  </si>
  <si>
    <t>Installation depth (m)</t>
  </si>
  <si>
    <t>200/160</t>
  </si>
  <si>
    <t>Electrical submersible pump 1</t>
  </si>
  <si>
    <t>Electrical submersible pump 2</t>
  </si>
  <si>
    <t>Electrical submersible pump 3</t>
  </si>
  <si>
    <t>Electrical submersible pump 4</t>
  </si>
  <si>
    <t>Line shaft pump</t>
  </si>
  <si>
    <t>Exploration phase ($ MM)</t>
  </si>
  <si>
    <t>Cash-out items ($ MM)</t>
  </si>
  <si>
    <t>Appraisal phase ($ MM)</t>
  </si>
  <si>
    <t>Discounting reference year</t>
  </si>
  <si>
    <t>Power rating (MW)</t>
  </si>
  <si>
    <t>as calc'd by polynomial</t>
  </si>
  <si>
    <t>Geothermal field name</t>
  </si>
  <si>
    <t>Volumetric heat-in-place and power capacity estimation based on:</t>
  </si>
  <si>
    <t>Value</t>
  </si>
  <si>
    <t>IRR</t>
  </si>
  <si>
    <t>ratio</t>
  </si>
  <si>
    <t>year</t>
  </si>
  <si>
    <t>W/O rig availability: max. # wells / yr exceeded?</t>
  </si>
  <si>
    <t>Productive life of asset</t>
  </si>
  <si>
    <t>Initial development phase ($ MM)</t>
  </si>
  <si>
    <t>Incremental devt phase ($ MM)</t>
  </si>
  <si>
    <t>Grid connection capex</t>
  </si>
  <si>
    <t>Exploration drillex</t>
  </si>
  <si>
    <t>Appraisal drillex</t>
  </si>
  <si>
    <t>FEED (Front-End Engineering &amp; Design)</t>
  </si>
  <si>
    <t>Detailed engineering</t>
  </si>
  <si>
    <t>last column</t>
  </si>
  <si>
    <t>EPC - incremental facility costs etc.</t>
  </si>
  <si>
    <t>Fixed opex (not related to prod, # wells)</t>
  </si>
  <si>
    <t>Calculated output</t>
  </si>
  <si>
    <t>Derived (interim) value from other input</t>
  </si>
  <si>
    <t>COMPUTER PROGRAM FOR GEOTHERMAL RESOURCE ASSESSMENT AND RISK EVALUATION USING MONTE CARLO SIMULATION</t>
  </si>
  <si>
    <t>From "The Future of Geothermal Energy" by Tester et al. (2006)</t>
  </si>
  <si>
    <t>Drilling interval (feet)</t>
  </si>
  <si>
    <t>Drilling interval (m)</t>
  </si>
  <si>
    <t>Onshore oil and gas wells and their costs</t>
  </si>
  <si>
    <r>
      <t xml:space="preserve">Test of </t>
    </r>
    <r>
      <rPr>
        <b/>
        <sz val="11"/>
        <color rgb="FFFF0000"/>
        <rFont val="Symbol"/>
        <family val="1"/>
        <charset val="2"/>
      </rPr>
      <t>r</t>
    </r>
    <r>
      <rPr>
        <b/>
        <sz val="11"/>
        <color rgb="FFFF0000"/>
        <rFont val="Calibri"/>
        <family val="2"/>
        <scheme val="minor"/>
      </rPr>
      <t>w polynomial (kg/m3)</t>
    </r>
  </si>
  <si>
    <t>Test of Cw polynomial (kJ/kg.°C)</t>
  </si>
  <si>
    <t>Sarmiento</t>
  </si>
  <si>
    <t>DISCOUNTED CUMULATIVE CASHFLOW</t>
  </si>
  <si>
    <t>Cum PV Other</t>
  </si>
  <si>
    <t>Cum PV Capex</t>
  </si>
  <si>
    <t>Cum PV Opex</t>
  </si>
  <si>
    <t>Cum PV Govt take</t>
  </si>
  <si>
    <t>Cum PV Total cash-out</t>
  </si>
  <si>
    <t>Cum PV Net cash flow</t>
  </si>
  <si>
    <t>Last year DCF&lt;0</t>
  </si>
  <si>
    <t>discounting reference year</t>
  </si>
  <si>
    <t>This should in principle be the same year as the first year of evaluation</t>
  </si>
  <si>
    <t>PV Production (L/s)</t>
  </si>
  <si>
    <t>Cum PV Production (ML)</t>
  </si>
  <si>
    <t>ML</t>
  </si>
  <si>
    <t>For power plants, a rule of thumb is $2 million/MW installed capacity</t>
  </si>
  <si>
    <t>[PV(capex+opex) / cumulative MWh produced over life-time]</t>
  </si>
  <si>
    <t>[PV(capex+opex) / PV(MWh produced over life-time)]</t>
  </si>
  <si>
    <t>Flow/production well (L/s)</t>
  </si>
  <si>
    <t>Electricity sales ($ MM)</t>
  </si>
  <si>
    <t>Tax calculation ($ MM)</t>
  </si>
  <si>
    <t>Abandonment capex ($ MM)</t>
  </si>
  <si>
    <t>$ MM</t>
  </si>
  <si>
    <t>Yearly well opex ($ MM)</t>
  </si>
  <si>
    <t>Unphased W/O opex ($ MM)</t>
  </si>
  <si>
    <t>Phased W/O opex 1st cycle ($ MM)</t>
  </si>
  <si>
    <t>Phased W/O opex 2nd cycle ($ MM)</t>
  </si>
  <si>
    <t>Phased W/O opex 3rd cycle ($ MM)</t>
  </si>
  <si>
    <t>Phased W/O opex 4th cycle ($ MM)</t>
  </si>
  <si>
    <t>Phased W/O opex 5th cycle ($ MM)</t>
  </si>
  <si>
    <t>Phased W/O opex 6th cycle ($ MM)</t>
  </si>
  <si>
    <t>Total phased W/O opex ($ MM)</t>
  </si>
  <si>
    <t>Cum cash-out items ($ MM)</t>
  </si>
  <si>
    <t>Cum cash-in items ($ MM)</t>
  </si>
  <si>
    <t>Cash-in items ($ MM)</t>
  </si>
  <si>
    <t>Other tariffs received ($ MM)</t>
  </si>
  <si>
    <t>Other cash-in ($ MM)</t>
  </si>
  <si>
    <t>Total exploration capex (w/o multiplier)</t>
  </si>
  <si>
    <t>to</t>
  </si>
  <si>
    <t>Average cost ($ MM)</t>
  </si>
  <si>
    <t>C/I year:</t>
  </si>
  <si>
    <t>Abandonment capex year:</t>
  </si>
  <si>
    <t>See tab "Lit. Examples" for some references on literature values</t>
  </si>
  <si>
    <t>Change requests</t>
  </si>
  <si>
    <t>Permeability (mD)</t>
  </si>
  <si>
    <t>Formation thickness (m)</t>
  </si>
  <si>
    <t>Average reservoir pressure (Pa)</t>
  </si>
  <si>
    <t>Bottomhole pressure (Pa)</t>
  </si>
  <si>
    <t>External drainage radius (m)</t>
  </si>
  <si>
    <t>Wellbore radius (m)</t>
  </si>
  <si>
    <t>Viscosity (kg/(m*s))</t>
  </si>
  <si>
    <t>Skin factor (can be negative or positive)</t>
  </si>
  <si>
    <t>Total area of reservoir</t>
  </si>
  <si>
    <t>Skin factor increase rate</t>
  </si>
  <si>
    <t>Testing inflow</t>
  </si>
  <si>
    <t>$AE$6*$AE$5/$AE$7*2*PI()*($AE$8-$AE$9)/(LN($AE$10/$AE$11)+C30)</t>
  </si>
  <si>
    <t>Infow Equation</t>
  </si>
  <si>
    <t>Conversion is from page 1, SI units: http://www.pe.tamu.edu/blasingame/data/z_zCourse_Archive/P324_06A/P324_06A_w_Work/Prob_06_P324_06A_Course_Work_(Lec_PSS).pdf</t>
  </si>
  <si>
    <t>Units</t>
  </si>
  <si>
    <t>m^2</t>
  </si>
  <si>
    <t>Pa</t>
  </si>
  <si>
    <t>values</t>
  </si>
  <si>
    <t>Converted</t>
  </si>
  <si>
    <t>units</t>
  </si>
  <si>
    <t>Selected</t>
  </si>
  <si>
    <t>Select</t>
  </si>
  <si>
    <t>(SI)</t>
  </si>
  <si>
    <t>Along hole depth of single well (m)</t>
  </si>
  <si>
    <t>Calculated variables</t>
  </si>
  <si>
    <t>Fundamentals of Reservoir Engineering, L.P. Drake</t>
  </si>
  <si>
    <t>http://www.ing.unp.edu.ar/asignaturas/reservorios/Fundamentals%20of%20Reservoir%20Engineering%20(L.P.%20Dake).pdf</t>
  </si>
  <si>
    <t>J/kgK</t>
  </si>
  <si>
    <t>granodiorite</t>
  </si>
  <si>
    <t>diorite</t>
  </si>
  <si>
    <t>peridotite</t>
  </si>
  <si>
    <t>SPECIFIC HEAT CAPACITY</t>
  </si>
  <si>
    <t>Basalt rock</t>
  </si>
  <si>
    <t>Dolomite rock</t>
  </si>
  <si>
    <t>Garnet</t>
  </si>
  <si>
    <t>Augite</t>
  </si>
  <si>
    <t>Granite</t>
  </si>
  <si>
    <t>Hornblende</t>
  </si>
  <si>
    <t>Hypersthene</t>
  </si>
  <si>
    <t>Labradorite</t>
  </si>
  <si>
    <t>Lava</t>
  </si>
  <si>
    <t>Limestone</t>
  </si>
  <si>
    <t>Sand</t>
  </si>
  <si>
    <t>Sandstone</t>
  </si>
  <si>
    <t>Serpentine</t>
  </si>
  <si>
    <t>Schärli and Rybach (2001) reported values of specific heat cp of:</t>
  </si>
  <si>
    <t>After ETB 2011 (in http://www.springer.com/cda/content/document/cda_downloaddocument/9783642340222-c2.pdf?SGWID=0-0-45-1456221-p174676272)</t>
  </si>
  <si>
    <t>Geothermal calcs</t>
  </si>
  <si>
    <t>Specific heat steam</t>
  </si>
  <si>
    <t>http://www.engineeringtoolbox.com/specific-heat-capacity-gases-d_159.html</t>
  </si>
  <si>
    <t>Steam</t>
  </si>
  <si>
    <t>220 - 600</t>
  </si>
  <si>
    <t>kJ/kgK</t>
  </si>
  <si>
    <t>120-600</t>
  </si>
  <si>
    <t>360-600</t>
  </si>
  <si>
    <t>Specific heat water</t>
  </si>
  <si>
    <t>psia</t>
  </si>
  <si>
    <t>http://www.engineeringtoolbox.com/water-thermal-properties-d_162.html</t>
  </si>
  <si>
    <t>deg C</t>
  </si>
  <si>
    <t>deg F</t>
  </si>
  <si>
    <t>Pressure at 10 km deep</t>
  </si>
  <si>
    <t>http://www.earthlearningidea.com/PDF/189_Pressure_rock.pdf</t>
  </si>
  <si>
    <t>km</t>
  </si>
  <si>
    <t>Mpa</t>
  </si>
  <si>
    <t>Specific heat of oil, water, gas</t>
  </si>
  <si>
    <t>http://ogbus.ru/eng/authors/Ramazanov/Ramazanov_1e.pdf</t>
  </si>
  <si>
    <t>water</t>
  </si>
  <si>
    <t>gas</t>
  </si>
  <si>
    <t>SPECIFIC HEAT</t>
  </si>
  <si>
    <t>https://www.u-cursos.cl/ingenieria/2009/2/GL4003/1/material_docente/previsualizar?id_material=254913</t>
  </si>
  <si>
    <t>Fluids porous rock</t>
  </si>
  <si>
    <t>http://www.springer.com/cda/content/document/cda_downloaddocument/9783642340222-c2.pdf?SGWID=0-0-45-1456221-p174676272</t>
  </si>
  <si>
    <t>Chapter 2 Thermal Properties of Rocks and Density of Fluids</t>
  </si>
  <si>
    <t>Citation</t>
  </si>
  <si>
    <t>Geothermal power plant concepts in Hungary</t>
  </si>
  <si>
    <t>https://www.geothermal-energy.org/pdf/IGAstandard/SGW/2010/kujbus.pdf</t>
  </si>
  <si>
    <t>Geothermal Energy from MIT</t>
  </si>
  <si>
    <t>https://energy.mit.edu/wp-content/uploads/2006/11/MITEI-The-Future-of-Geothermal-Energy.pdf</t>
  </si>
  <si>
    <t>Pump efficiency</t>
  </si>
  <si>
    <t>https://pangea.stanford.edu/ERE/db/WGC/papers/WGC/2015/26056.pdf</t>
  </si>
  <si>
    <t>~65%</t>
  </si>
  <si>
    <t>Hochwimmer</t>
  </si>
  <si>
    <t>Unused cells (due to multiple options)</t>
  </si>
  <si>
    <t>Resource to calculate water properties</t>
  </si>
  <si>
    <t>http://www.peacesoftware.de/einigewerte/calc_dampf.php5</t>
  </si>
  <si>
    <t>Power potential (MWe) [Sarmiento]</t>
  </si>
  <si>
    <t>Recovery factor for EGS</t>
  </si>
  <si>
    <t>https://pangea.stanford.edu/ERE/pdf/IGAstandard/SGW/2010/williams.pdf</t>
  </si>
  <si>
    <t>between 0.05 and 0.2</t>
  </si>
  <si>
    <t>less than 0.1 are likely</t>
  </si>
  <si>
    <t>Conversion efficiency [Sarmiento]</t>
  </si>
  <si>
    <t>Approximating Recovery Factor graph by a linear function:</t>
  </si>
  <si>
    <t>Recovery Factor</t>
  </si>
  <si>
    <t>$/MWh avg</t>
  </si>
  <si>
    <t>Percent</t>
  </si>
  <si>
    <t>CAPEX</t>
  </si>
  <si>
    <r>
      <t xml:space="preserve">Click on </t>
    </r>
    <r>
      <rPr>
        <sz val="9"/>
        <color indexed="10"/>
        <rFont val="Symbol"/>
        <family val="1"/>
        <charset val="2"/>
      </rPr>
      <t>Å</t>
    </r>
    <r>
      <rPr>
        <sz val="9"/>
        <color indexed="10"/>
        <rFont val="Arial"/>
        <family val="2"/>
      </rPr>
      <t xml:space="preserve"> sign in left margin to open the relevant </t>
    </r>
    <r>
      <rPr>
        <sz val="9"/>
        <color indexed="12"/>
        <rFont val="Arial"/>
        <family val="2"/>
      </rPr>
      <t>paragraph</t>
    </r>
    <r>
      <rPr>
        <sz val="9"/>
        <color indexed="10"/>
        <rFont val="Arial"/>
        <family val="2"/>
      </rPr>
      <t>, on Θ sign to close</t>
    </r>
  </si>
  <si>
    <t>Disclaimer, conditions of using this model</t>
  </si>
  <si>
    <t>Note: After opening this file, first make a "Read only" copy of the file!</t>
  </si>
  <si>
    <t>Introduction to integrated, probabilistic production / economics spreadsheet model</t>
  </si>
  <si>
    <t>Notes on Microsoft Excel (XL) limitations, calculation errors and reliability</t>
  </si>
  <si>
    <t xml:space="preserve">Moreover, for events such as abandonment that occur late in the future, discounting will make the XL error less important. </t>
  </si>
  <si>
    <t>In the calculation of the Key Performance Indicator "IRR" (see KPIs worksheet), also an iterative scheme, the result often seems incorrect. When applying the IRR calculated by XL to the discount rate, the NPV does not become zero. This may be another reason to mistrust XL.</t>
  </si>
  <si>
    <r>
      <t xml:space="preserve">In conclusion, remember that </t>
    </r>
    <r>
      <rPr>
        <b/>
        <sz val="10"/>
        <color indexed="10"/>
        <rFont val="Arial"/>
        <family val="2"/>
      </rPr>
      <t>XL may be unreliable</t>
    </r>
    <r>
      <rPr>
        <sz val="10"/>
        <color indexed="10"/>
        <rFont val="Arial"/>
        <family val="2"/>
      </rPr>
      <t xml:space="preserve"> in case of many iterations and circular references, such as in this model. Often, inaccuracies / failed iterations are observed. In the calculation of production, conditional tests are sometimes clearly erroneously executed by XL. This should be taken into account when interpreting final results. One can only hope that the errors XL gives are not too numerous and significant!</t>
    </r>
  </si>
  <si>
    <t>General description of the model</t>
  </si>
  <si>
    <t>Notes on how to operate the spreadsheet</t>
  </si>
  <si>
    <t>Crystal Ball does not work on protected worksheets. If a stochastic input variable is to be sampled ("CB assumption"), the worksheet where this variable occurs should not be protected. This also applies to CB forecasts.</t>
  </si>
  <si>
    <t>In the KPIs, the IRR may not always be calculated correctly (again, an XL iteration problem). A #DIV/0! Warning may be given. If Crystal Ball stalls because of this, it is advised to restart the run or to do Run-Preferences-uncheck "Stop on calculation errors".</t>
  </si>
  <si>
    <t>When presumably wrong output is generated, it is advised to evaluate stepwise the relevant formula using "View - Toolbars - Formula auditing - Evaluate formula". XL has problems with complex iteration schemes: using "Evaluate formula" will convince you of this!</t>
  </si>
  <si>
    <t>Notes on how to set up a study that uses this model</t>
  </si>
  <si>
    <t>Notes on how to interpret the results of the spreadsheet</t>
  </si>
  <si>
    <r>
      <t xml:space="preserve">In conclusion, remember that </t>
    </r>
    <r>
      <rPr>
        <b/>
        <sz val="10"/>
        <color indexed="10"/>
        <rFont val="Arial"/>
        <family val="2"/>
      </rPr>
      <t>XL may be unreliable</t>
    </r>
    <r>
      <rPr>
        <sz val="10"/>
        <color indexed="10"/>
        <rFont val="Arial"/>
        <family val="2"/>
      </rPr>
      <t xml:space="preserve"> in case of many iterations and circular references, such as in this model. Often, inaccuracies / failed iterations are observed, although an answer will be generated. This should be taken into account when interpreting final results. One can only hope that the errors XL gives are not too numerous and significant! Also remember that the number of dynamic decisions as a function of the revealed truth is limited and that, hence, the normally existing managerial flexibility is not comprehensively modelled. </t>
    </r>
  </si>
  <si>
    <t>Version history</t>
  </si>
  <si>
    <t>Some notes on Decision-making &amp; Valuation</t>
  </si>
  <si>
    <r>
      <t xml:space="preserve">Decision-making = Optimising an objective function named "value" under given constraints
</t>
    </r>
    <r>
      <rPr>
        <sz val="10"/>
        <rFont val="Arial"/>
        <family val="2"/>
      </rPr>
      <t xml:space="preserve">- This requires an exact definition of the objective function called "value" 
- Unfortunately, this is non-trivial because: 1) different optimisation criteria (KPIs) at the different hierarchical levels in a company; 2) same for optimisation constraints (also KPIs); 3) optimisation criteria and constraints should form consistent set across hierarchy; 4) downside should receive a negative value and managerial flexibility to catch the upside a positive value: how to do this? (a risk tolerance can be used to filter too risky decision alternatives); 5) in general: how does uncertainty feature in the value equation? We intuitively feel that uncertainty should have an impact on "value", but how precisely?; 6) at the portfolio level, all KPIs have to be brought back into the time domain to understand the impact of a project on reaching the portfolio's KPI targets vs time; 7) complex fiscal issues at the portfolio/corporate level, etc.
- "Valuation" is the activity to assign a value to decision alternatives, but also to corporations. It is a continuously evolving and contentious science (art?) with 
many tastes and personal preferences.
- "Value" is </t>
    </r>
    <r>
      <rPr>
        <i/>
        <sz val="10"/>
        <rFont val="Arial"/>
        <family val="2"/>
      </rPr>
      <t xml:space="preserve">much more </t>
    </r>
    <r>
      <rPr>
        <sz val="10"/>
        <rFont val="Arial"/>
        <family val="2"/>
      </rPr>
      <t xml:space="preserve">than just NPV.
- "Value" is a function of many, sometimes complicated, concepts
- Examples are: different definitions of value depending on which Key Performance Indicators you're optimising at which hierarchical level in the organisation 
(operational, project, asset, portfolio, corporate levels), weights between KPIs, relationship to hurdle rates and risk tolerances, consistency of KPIs and KPI-
constraints across corporate hierarchy, uncertainty in the resulting KPI's, managerial flexibility options to respond to endogenous uncertainties (decision tree 
analysis), ditto to exogenous uncertainties (real options valuation), etc.
- In brief: decision making = “hierarchical constrained (time-domain) multi-criteria optimization under endogenous and exogenous uncertainty, given targets, with 
decisions as optimization controls”.
- But it can be done: different valuation methods exist for the different types of concepts. The methods exist, they just need to be applied consistently and 
comprehensively with a fundamental understanding of when shortcuts are allowed. </t>
    </r>
  </si>
  <si>
    <r>
      <t xml:space="preserve">Why using simple DCF is often flawed - Implied Assumptions of Discounted Cashflow analysis:
</t>
    </r>
    <r>
      <rPr>
        <sz val="10"/>
        <rFont val="Arial"/>
        <family val="2"/>
      </rPr>
      <t>- The project is a “now or never” opportunity
- Once the project is undertaken, it will not be affected by any future managerial decision.
- Expected future cash flows are taken as “given” – they are assumed to be certain to happen
- Project has no synergies with other projects the firm may have
- Project risk does not change throughout its life</t>
    </r>
  </si>
  <si>
    <t>TSO</t>
  </si>
  <si>
    <t>Fixed (opex x multiplier)</t>
  </si>
  <si>
    <t>MWh</t>
  </si>
  <si>
    <t>http://www.nrel.gov/analysis/tech_lcoe_documentation.html</t>
  </si>
  <si>
    <t>NREL, Levelized cost of energy</t>
  </si>
  <si>
    <t>An integrated life-cycle model has to incorporate so many iterative schemes for solving the equations that it quickly hits the limits of a product such as XL. Many equations are subject to conditional tests whereby the outcome of the equation should be known before solving the same equation. This can only be solved iteratively and in case of many dependencies, such as in a geothermal life-cycle model, this may be too demanding for a relatively simple programming environment like XL. A much more robust programming environment would be e.g. a product like Matlab, which is more suitable for solving complex iteration schemes. For professional applications, my personal recommendation would be not to use XL to construct an integrated life-cycle model. For educational purposes, however, XL is a good platform because of its user-friendliness and ubiquitous availability.</t>
  </si>
  <si>
    <r>
      <t xml:space="preserve">The spreadsheet can be used in </t>
    </r>
    <r>
      <rPr>
        <b/>
        <sz val="10"/>
        <rFont val="Arial"/>
        <family val="2"/>
      </rPr>
      <t>Monte Carlo</t>
    </r>
    <r>
      <rPr>
        <sz val="10"/>
        <color theme="1"/>
        <rFont val="Arial"/>
        <family val="2"/>
      </rPr>
      <t xml:space="preserve"> mode by running an XL plug-in such as Crystal Ball or @Risk. When doing so, one should critically design such study by running each set of Monte Carlo realisations under clearly labelled assumptions on controllables (decisions) and non-controllables (discrete uncertainties, or scenarios). </t>
    </r>
    <r>
      <rPr>
        <b/>
        <sz val="10"/>
        <rFont val="Arial"/>
        <family val="2"/>
      </rPr>
      <t xml:space="preserve">This spreadsheet is set up for Crystal Ball </t>
    </r>
    <r>
      <rPr>
        <sz val="10"/>
        <color theme="1"/>
        <rFont val="Arial"/>
        <family val="2"/>
      </rPr>
      <t>(CB), but can be easily adapted for @Risk. The cumulative probability of not meeting a hurdle rate can be easily computed by manipulating the slides of the Crystal Ball output histograms (or inserting a value for the hurdle rate below the CB graph). Calculating a value for "Risk", i.e. the "cumulative probability of not meeting a hurdle rate" x "the average KPI value for those samples that do not meet the hurdle rate" should be computed and compared to a "risk tolerance" criterion as given by the decision makers. This requires some further manipulation of the Crystal Ball output dataset (i.e. to compute the average of those samples that do not meet the hurdle, do: Run-Extract data, see also "Notes on how to set up a study that uses this model", item 3.3).</t>
    </r>
  </si>
  <si>
    <r>
      <t xml:space="preserve">When running a sensitivity analysis (SA) with CB one should understand that only the </t>
    </r>
    <r>
      <rPr>
        <i/>
        <sz val="10"/>
        <rFont val="Arial"/>
        <family val="2"/>
      </rPr>
      <t>stochastic</t>
    </r>
    <r>
      <rPr>
        <sz val="10"/>
        <color theme="1"/>
        <rFont val="Arial"/>
        <family val="2"/>
      </rPr>
      <t xml:space="preserve"> variables are included in the SA. If for example the oil price is not a direct stochastic parameter, but a constant, a given trend or a stochastic time-series realisation, the oil price will not feature in the CB tornado chart (although it normally has the highest impact). In such cases the oil price (model) should be taken as a "scenario" with a finite probability of occurrence (see "Frame the Problem" in next paragraph). The stochastic CB forecast information from all discrete scenario/decision branches of the tree should be "merged" to enable a comprehensive SA (see TNO's DSS software).</t>
    </r>
  </si>
  <si>
    <r>
      <t xml:space="preserve">Then: </t>
    </r>
    <r>
      <rPr>
        <b/>
        <sz val="10"/>
        <color indexed="10"/>
        <rFont val="Arial"/>
        <family val="2"/>
      </rPr>
      <t>4. Perform Sensitivity Analysis</t>
    </r>
    <r>
      <rPr>
        <sz val="10"/>
        <color theme="1"/>
        <rFont val="Arial"/>
        <family val="2"/>
      </rPr>
      <t>, i.e. 
1) Multivariate analysis: CB-Tornado graphs etc
2) Fine-tune decision alternatives
3) Test robustness of decision:
- a) change scenario probabilities
- b) change model input
- c) change stochastic process parameters (nr of Monte Carlo trials, value of RNG seed, type of Monte Carlo sampling, etc)
- d) change utility fct (optimisation citeria &amp; risk tolerances)
- e) change decision sequence
- f) impact on portfolio, not only for scalar KPIs, but also the output time-series (e.g. contribution to meeting the portfolio's time-domain targets)</t>
    </r>
  </si>
  <si>
    <r>
      <t xml:space="preserve">Then: </t>
    </r>
    <r>
      <rPr>
        <b/>
        <sz val="10"/>
        <color indexed="10"/>
        <rFont val="Arial"/>
        <family val="2"/>
      </rPr>
      <t>5. Apply Decision Criteria</t>
    </r>
    <r>
      <rPr>
        <sz val="10"/>
        <color theme="1"/>
        <rFont val="Arial"/>
        <family val="2"/>
      </rPr>
      <t xml:space="preserve">, i.e.
Describe process, cases, etc.
Propose optimal solution by discussing (multi-criteria) constrained optimisation process (constraints include risk tolerance!)
Discuss impact on portfolio of asset stand-alone optimisation
Report
After this process, the </t>
    </r>
    <r>
      <rPr>
        <i/>
        <sz val="10"/>
        <rFont val="Arial"/>
        <family val="2"/>
      </rPr>
      <t xml:space="preserve">Execution </t>
    </r>
    <r>
      <rPr>
        <sz val="10"/>
        <color theme="1"/>
        <rFont val="Arial"/>
        <family val="2"/>
      </rPr>
      <t xml:space="preserve">phase may come, during which </t>
    </r>
    <r>
      <rPr>
        <i/>
        <sz val="10"/>
        <rFont val="Arial"/>
        <family val="2"/>
      </rPr>
      <t xml:space="preserve">Monitoring </t>
    </r>
    <r>
      <rPr>
        <sz val="10"/>
        <color theme="1"/>
        <rFont val="Arial"/>
        <family val="2"/>
      </rPr>
      <t xml:space="preserve">should be done and, as a result, </t>
    </r>
    <r>
      <rPr>
        <i/>
        <sz val="10"/>
        <rFont val="Arial"/>
        <family val="2"/>
      </rPr>
      <t>Model Updating</t>
    </r>
    <r>
      <rPr>
        <sz val="10"/>
        <rFont val="Arial"/>
        <family val="2"/>
      </rPr>
      <t xml:space="preserve">, + new </t>
    </r>
    <r>
      <rPr>
        <i/>
        <sz val="10"/>
        <rFont val="Arial"/>
        <family val="2"/>
      </rPr>
      <t>Decision-making</t>
    </r>
    <r>
      <rPr>
        <sz val="10"/>
        <color theme="1"/>
        <rFont val="Arial"/>
        <family val="2"/>
      </rPr>
      <t xml:space="preserve">
</t>
    </r>
  </si>
  <si>
    <r>
      <t xml:space="preserve">Any model implies a whole range of </t>
    </r>
    <r>
      <rPr>
        <b/>
        <sz val="10"/>
        <rFont val="Arial"/>
        <family val="2"/>
      </rPr>
      <t>assumptions</t>
    </r>
    <r>
      <rPr>
        <sz val="10"/>
        <color theme="1"/>
        <rFont val="Arial"/>
        <family val="2"/>
      </rPr>
      <t xml:space="preserve"> that </t>
    </r>
    <r>
      <rPr>
        <b/>
        <sz val="10"/>
        <rFont val="Arial"/>
        <family val="2"/>
      </rPr>
      <t>need to be verified</t>
    </r>
    <r>
      <rPr>
        <sz val="10"/>
        <color theme="1"/>
        <rFont val="Arial"/>
        <family val="2"/>
      </rPr>
      <t xml:space="preserve">. This pertains not only to specifying correct values for the various input parameters, but most importantly also to critically reviewing the implied relationships between the various parameters, and even between the implied functions </t>
    </r>
    <r>
      <rPr>
        <i/>
        <sz val="10"/>
        <rFont val="Arial"/>
        <family val="2"/>
      </rPr>
      <t>within</t>
    </r>
    <r>
      <rPr>
        <sz val="10"/>
        <color theme="1"/>
        <rFont val="Arial"/>
        <family val="2"/>
      </rPr>
      <t xml:space="preserve"> the model. </t>
    </r>
  </si>
  <si>
    <r>
      <t xml:space="preserve">If the technical ultimate recovery is uncertain (which it always is!), then the model does not allow any "learning" / Value of Information approach, i.e. no data acquisition activities are modelled that one would normally do to steer the project in a more profitable way. The implied assumption in traditional DCF analysis that project risk does not change as the project is progressing is perhaps </t>
    </r>
    <r>
      <rPr>
        <b/>
        <sz val="10"/>
        <rFont val="Arial"/>
        <family val="2"/>
      </rPr>
      <t xml:space="preserve">the most serious shortcoming </t>
    </r>
    <r>
      <rPr>
        <sz val="10"/>
        <color theme="1"/>
        <rFont val="Arial"/>
        <family val="2"/>
      </rPr>
      <t xml:space="preserve">of a spreadsheet model such as the current one. Evaluating a project that initially has a large uncertainty range for the ultimate recovery (reserves) should include a method to define and steer the future decisions as a function of the information that is being acquired (at a cost, which implies decision-making) and revealed in the course of the asset's life cycle. Dynamic decisions should be possible that rely on </t>
    </r>
    <r>
      <rPr>
        <i/>
        <sz val="10"/>
        <rFont val="Arial"/>
        <family val="2"/>
      </rPr>
      <t xml:space="preserve">forward looking </t>
    </r>
    <r>
      <rPr>
        <sz val="10"/>
        <color theme="1"/>
        <rFont val="Arial"/>
        <family val="2"/>
      </rPr>
      <t xml:space="preserve">computations, given the information available at any (future) point in time. In a simple spreadsheet model, only "simple" dynamic decisions such as drill/workover/shut-in &amp; abandon are possible based on the current (+ past) "state" of a project. Simple spreadsheet models cannot adequately evaluate the many options that arise from the </t>
    </r>
    <r>
      <rPr>
        <i/>
        <sz val="10"/>
        <rFont val="Arial"/>
        <family val="2"/>
      </rPr>
      <t>managerial flexibility</t>
    </r>
    <r>
      <rPr>
        <sz val="10"/>
        <color theme="1"/>
        <rFont val="Arial"/>
        <family val="2"/>
      </rPr>
      <t xml:space="preserve"> that one actually 
has, i.e. the possible responses to a situation, given the data available at any point in the future, and given the modelled </t>
    </r>
    <r>
      <rPr>
        <i/>
        <u/>
        <sz val="10"/>
        <rFont val="Arial"/>
        <family val="2"/>
      </rPr>
      <t>expectations</t>
    </r>
    <r>
      <rPr>
        <sz val="10"/>
        <rFont val="Arial"/>
        <family val="2"/>
      </rPr>
      <t>, at those points in time,</t>
    </r>
    <r>
      <rPr>
        <sz val="10"/>
        <color theme="1"/>
        <rFont val="Arial"/>
        <family val="2"/>
      </rPr>
      <t xml:space="preserve"> of  
future "states" further down the line. Data acquisition decisions to steer the project more profitably cannot be modelled, "wait-to-invest options until some new 
information is revealed" ditto. </t>
    </r>
  </si>
  <si>
    <r>
      <t xml:space="preserve">Of course, one is free to </t>
    </r>
    <r>
      <rPr>
        <b/>
        <sz val="10"/>
        <rFont val="Arial"/>
        <family val="2"/>
      </rPr>
      <t>programme</t>
    </r>
    <r>
      <rPr>
        <sz val="10"/>
        <color theme="1"/>
        <rFont val="Arial"/>
        <family val="2"/>
      </rPr>
      <t xml:space="preserve"> one's own relationships in the spreadsheet model (note however, that the current model seems to overly strain XL already!). For example, the spreadsheet can be easily extended to include derivatives such as required staff levels (if e.g. capex can be correlated to contractor and own staff, ditto for the variable and fixed opex), emission forecasts, etc. The main consideration when extending the current spreadsheet is: how much more iteration does this imply? Straightforward derivative quantities should be easy to add. However, including new complex schemes that require even more iteration (e.g. other tax regimes like PSCs) may not be recommended.</t>
    </r>
  </si>
  <si>
    <r>
      <t>Characteristics of the Investment Decision</t>
    </r>
    <r>
      <rPr>
        <sz val="10"/>
        <color theme="1"/>
        <rFont val="Arial"/>
        <family val="2"/>
      </rPr>
      <t xml:space="preserve">
- Future cash flows are Uncertain.
- Investment cost is mostly Irreversible.
- There is usually some degree of Managerial Flexibility as to the timing and operation of the project.</t>
    </r>
  </si>
  <si>
    <r>
      <t>Traditional DCF Analysis:</t>
    </r>
    <r>
      <rPr>
        <sz val="10"/>
        <color theme="1"/>
        <rFont val="Arial"/>
        <family val="2"/>
      </rPr>
      <t xml:space="preserve">
- Ignores the option value of investing
- Ignores project uncertainties
- Ignores the value of managerial flexibility
- Generally underestimates the value of projects that have real options
- Can lead to non optimal capital budgeting decisions</t>
    </r>
  </si>
  <si>
    <r>
      <t>Key Issues:</t>
    </r>
    <r>
      <rPr>
        <sz val="10"/>
        <color theme="1"/>
        <rFont val="Arial"/>
        <family val="2"/>
      </rPr>
      <t xml:space="preserve">
- Modeling Project Flexibility
- What options are associated with a project?
- How can we model these options?
- Valuing Risky Cash Flows
- What are the uncertain cash flows worth?
- How should we forecast cash flows?
- What discount rate should we use?
</t>
    </r>
  </si>
  <si>
    <r>
      <t xml:space="preserve">Some opinions on the nominal dollars vs. real terms dollars dilemma (Money Of the Day - MOD; inflated vs. not inflated)
</t>
    </r>
    <r>
      <rPr>
        <i/>
        <sz val="10"/>
        <rFont val="Arial"/>
        <family val="2"/>
      </rPr>
      <t xml:space="preserve">Jim Otto (expert on mining economics): </t>
    </r>
    <r>
      <rPr>
        <sz val="10"/>
        <rFont val="Arial"/>
        <family val="2"/>
      </rPr>
      <t xml:space="preserve">
Most experienced project analysts prefer to use a current (escalated) currency analysis because the room for error is much less. I usually use current currency analysis unless specifically requested to use a constant dollar analysis. The main problem with constant currency analysis is that it is easy to mix up constant and current currency values and the adjustments are prone to error. This is compounded because tax deductions need to be specially accounted for. For example, it does not matter what the inflation or escalation rate is with regard to depreciation because the amount of the tax deduction is not adjusted for tax purposes after the purchase is made. However, the time value of the deduction is affected (likewise, a fixed interest rate loan). 
In my current currency analysis, absent any unusual conditions, I usually estimate the various costs and prices using today’s dollars and then apply one escalation rate to all costs, and another escalation rate to all prices. Sensitivity analysis is then applied to look at different price and cost scenarios. 
If you must use constant dollar analysis, I suggest that you purchase the book “Economic Evaluation and Investment Decision Methods” and the accompanying problem solutions manual and self-teaching guide. This is the leading book on the subject and has an entire chapter devoted to constant versus current types of analysis. It can be ordered quickly at www.stermole.com. There is also a chapter on leveraging and of course discount rates are also addressed.</t>
    </r>
    <r>
      <rPr>
        <i/>
        <sz val="10"/>
        <rFont val="Arial"/>
        <family val="2"/>
      </rPr>
      <t/>
    </r>
  </si>
  <si>
    <r>
      <rPr>
        <i/>
        <sz val="10"/>
        <rFont val="Arial"/>
        <family val="2"/>
      </rPr>
      <t xml:space="preserve">VGP: </t>
    </r>
    <r>
      <rPr>
        <sz val="10"/>
        <rFont val="Arial"/>
        <family val="2"/>
      </rPr>
      <t xml:space="preserve">
All earlier mentioned issues relate to project cash flow analysis where cash flows are used to calculate common project indicators like NPV and IRR. How to go about the real vs. nominal dilemma in forecasting corporate cash flows; does it make any sense to consider real cash flows for corporate cash flow evaluation purposes? (my boss wants me to go 'real' because he doesn't dare to make price and cost escalation assumptions and thus implicitly assumes that escalation=inflation=0% for the next 20 years! but I am afraid there are hidden errors in following this approach so could you please shed your light on this).</t>
    </r>
  </si>
  <si>
    <r>
      <rPr>
        <i/>
        <sz val="10"/>
        <rFont val="Arial"/>
        <family val="2"/>
      </rPr>
      <t xml:space="preserve">John Stermole: </t>
    </r>
    <r>
      <rPr>
        <sz val="10"/>
        <rFont val="Arial"/>
        <family val="2"/>
      </rPr>
      <t xml:space="preserve">
As I mentioned, it really should not matter, if you are consistent, there will be no difference in escalated and constant dollars.  To not forecast inflation is as much a forecast of the future as to stick your neck out and say we believe this will occur.  If your boss wants to work in today’s dollars assuming they represent real dollars, implicitly he or she is implying that all values in the future will escalate at the rate of inflation.  That is a big if as escalation of many project parameters will exceed inflation in many countries.  The concept of today’s dollars equaling real dollars is demonstrated in Fig 5-3 of the textbook.</t>
    </r>
  </si>
  <si>
    <t>Royalty literature</t>
  </si>
  <si>
    <t>https://financere.nrel.gov/finance/content/geothermal-leasing-bureau-land-management</t>
  </si>
  <si>
    <t>NREL</t>
  </si>
  <si>
    <t>https://www.law.cornell.edu/cfr/text/43/3211.17</t>
  </si>
  <si>
    <t>US Code of Federal Regulations</t>
  </si>
  <si>
    <t>https://pangea.stanford.edu/ERE/db/WGC/papers/WGC/2015/03004.pdf</t>
  </si>
  <si>
    <t>An Economic Analysis of Royalties: Application to Geothermal Development</t>
  </si>
  <si>
    <t>Source</t>
  </si>
  <si>
    <t>Website</t>
  </si>
  <si>
    <t>http://www.thinkgeoenergy.com/local-communities-to-benefit-from-geothermal-royalties-in-indonesia/</t>
  </si>
  <si>
    <t>Local communities to benefit from geothermal royalties in Indonesia</t>
  </si>
  <si>
    <t>Electricity-sales tariff used ($/MWh)</t>
  </si>
  <si>
    <t>Input value from Project-definition sheet</t>
  </si>
  <si>
    <t>m2</t>
  </si>
  <si>
    <t>Input from Project-definition sheet</t>
  </si>
  <si>
    <t>Rock density (kg/m3)</t>
  </si>
  <si>
    <t>DiPippo, R., 2007. Ideal thermal efficiency for geothermal binary plants. Geothermics, 36(3), pp.276-285.</t>
  </si>
  <si>
    <t>Relative efficiency</t>
  </si>
  <si>
    <t>DDB</t>
  </si>
  <si>
    <t>Add a notion of risk</t>
  </si>
  <si>
    <t>Figure flow rate of the injection</t>
  </si>
  <si>
    <t>Energy consumption by injection</t>
  </si>
  <si>
    <t>Calculate injector costs</t>
  </si>
  <si>
    <t>Add injector features</t>
  </si>
  <si>
    <t>Option to choose a pump with injection</t>
  </si>
  <si>
    <t>Calculation - fewer wells --&gt; less pressure on the injectors</t>
  </si>
  <si>
    <t>Provide options of different pumps</t>
  </si>
  <si>
    <t>Additional features to work on</t>
  </si>
  <si>
    <t>Include heat sales (the low enthalpy heat, for example, as a byproduct of electricity production)</t>
  </si>
  <si>
    <t>Exchange rate - user-defined currency</t>
  </si>
  <si>
    <t>Also based upon CPI</t>
  </si>
  <si>
    <t>Check out Ali's spreasheet</t>
  </si>
  <si>
    <t>He uses oilfield machinery, all commodities</t>
  </si>
  <si>
    <t>Inflation rate is only applied to group of commodities</t>
  </si>
  <si>
    <t>New worksheet with constant value and money of the day</t>
  </si>
  <si>
    <t>Conversion efficiency [van Wees]</t>
  </si>
  <si>
    <t>Load time in hours</t>
  </si>
  <si>
    <t>Workover rig capacity - max # wells/yr</t>
  </si>
  <si>
    <t>Workover duration (days)</t>
  </si>
  <si>
    <t>EJ (1E+15 kJ)</t>
  </si>
  <si>
    <t>OPEX ($ MM)</t>
  </si>
  <si>
    <t>Fixed opex (not related to prod)</t>
  </si>
  <si>
    <t>Variable opex (total wells in operation)</t>
  </si>
  <si>
    <t>MWh produced</t>
  </si>
  <si>
    <t>MWh used</t>
  </si>
  <si>
    <t>Average flow kg/s</t>
  </si>
  <si>
    <t>Average flow per well L/s</t>
  </si>
  <si>
    <t>Net MWh</t>
  </si>
  <si>
    <t>Name of field / project</t>
  </si>
  <si>
    <t>Include probabilistic time series after running CB</t>
  </si>
  <si>
    <t>Christian mentioned: IHS/CERA's chemical plant index, pipeline index, UOCI, UCCI, etc.</t>
  </si>
  <si>
    <t>Cost escalator indices to be included - PPI (purchasing power)</t>
  </si>
  <si>
    <t>To estimate water viscosity as a function of reservoir temp. and pressure, and of salinity (NaCl), one can use the graph below:</t>
  </si>
  <si>
    <r>
      <t xml:space="preserve">In this version, no facility exists to include </t>
    </r>
    <r>
      <rPr>
        <b/>
        <sz val="10"/>
        <rFont val="Arial"/>
        <family val="2"/>
      </rPr>
      <t>inflation</t>
    </r>
    <r>
      <rPr>
        <sz val="10"/>
        <color theme="1"/>
        <rFont val="Arial"/>
        <family val="2"/>
      </rPr>
      <t xml:space="preserve"> / cost escalators to compute MOD (Money-of-the-Day). See also comments below under "Some notes on Decision-making &amp; Valuation" / "Some opinions on the nominal dollars vs. real terms dollars dilemma". For the time being, no other currencies / exchange rates are enabled.</t>
    </r>
  </si>
  <si>
    <t>Include more specific Indonesian issues (licensing, tariffs, costs, project phasing, etc.)</t>
  </si>
  <si>
    <r>
      <rPr>
        <i/>
        <sz val="10"/>
        <rFont val="Arial"/>
        <family val="2"/>
      </rPr>
      <t xml:space="preserve">John Stermole (Investment Evaluations Corporation): </t>
    </r>
    <r>
      <rPr>
        <sz val="10"/>
        <rFont val="Arial"/>
        <family val="2"/>
      </rPr>
      <t xml:space="preserve">
As most cash flow models are prepared on an after-tax basis, and many countries do not inflate their allowable tax deductions for inflation; those deductions represent nominal dollar values.  Therefore, it is generally preferred procedure to forecast escalation (or de-escalation) that is expected in product prices and all operating and capital expense then determine the nominal after-tax cash flows.  
Conversion of these values to real purchasing power at the beginning of the project or a selected base year may then be made based on the forecasted inflation related to the currency of choice in the evaluation.  Separately, all time value of money calculations are made at a discount rate reflecting other real (rather than nominal) opportunities.  If properly applied, after-tax nominal and real dollar net present values should be identical, so really there is no advantage to one versus the other.
If the project is in Indonesia, and if the Indonesian government does have indexing provisions in the tax code for depreciation of equipment, etc., then you have a choice, the cash flows may still be prepared in nominal terms inclusive of the indexing for forecasted inflation and discounted at the nominal discount rate, or you might assume all values will escalate at the forecasted inflation, therefore assuming all parameters represent real purchasing power, (since escalation and then deflating would mathematically cancel) and then account for money at the real equivalent discount rate.
All this said, there is really no way to avoid forecasting future inflation which is a component of overall escalation in the various parameters.</t>
    </r>
  </si>
  <si>
    <t>Why does IRR remain constant if skin build-up rate is increased?</t>
  </si>
  <si>
    <t>Remarks</t>
  </si>
  <si>
    <t xml:space="preserve">Could be computed following MC simulation, e.g. Risk = prob of NPV&lt;0 multiplied by the (average) value of NPV if it is &lt;0. </t>
  </si>
  <si>
    <t>CB allows printing of Pxx time-series</t>
  </si>
  <si>
    <t>Improve input: separate scalar variables / time-series variables. Make clearer input boxes</t>
  </si>
  <si>
    <t xml:space="preserve">Capex multiplier now only applies to exploration capex. Should be to all capex, or separate multipliers per phase. </t>
  </si>
  <si>
    <t>EPC - initial surface facilities costs</t>
  </si>
  <si>
    <t xml:space="preserve">Logan: I re-allocated your exploration capex in the Project-definition sheet to the various development phases. This resulted in errors (REF#) throughout the Cashflow sheet. Please trace the culprit. </t>
  </si>
  <si>
    <t>Abandonment costs should not be put under well related costs. Better under economic variables.</t>
  </si>
  <si>
    <t>This model is under development as part of GEOCAP Work Package 2.01</t>
  </si>
  <si>
    <t xml:space="preserve">In Project-definition, the number of wells supplied should be directly computed into drillex, given a cost per well (variable per life-cycle phase). The applicable rows have been turned lightgreen in this worksheet to indicate that these cells are computed cells. </t>
  </si>
  <si>
    <t>This version 1 was sent Feb 8th, 2017, by Logan Brunner to Christian Bos (TNO) for further checking / processing and distribution to partners</t>
  </si>
  <si>
    <t>Move well cost scaling factor from production variables cell Q15 to economic variables</t>
  </si>
  <si>
    <t>Phase opex workovers over the years in order to obtain a smoother production / workover profile</t>
  </si>
  <si>
    <t>Grid connection cost to plant operator</t>
  </si>
  <si>
    <t>Total capex, excluding multiplier  ($ MM)</t>
  </si>
  <si>
    <t>Correct input to percentage, where percentage is given. Now the input is fraction, although percentage is specified. CHANGE PERCENT TO FRACTION</t>
  </si>
  <si>
    <t>Add other own electricity consumption + detail. Put under separate orange category - "Own consumption" excluding the pump (which is calculated).</t>
  </si>
  <si>
    <t>Add graph of undiscounted Cashflow per year / MOD cashflow (money of the day)</t>
  </si>
  <si>
    <t>Fraction</t>
  </si>
  <si>
    <t>Total appraisal capex (w/o multiplier)</t>
  </si>
  <si>
    <t>Total appraisal capex (with multiplier)</t>
  </si>
  <si>
    <t>Total init. devt. capex (with multiplier)</t>
  </si>
  <si>
    <t>Total init. devt. capex (w/o multiplier)</t>
  </si>
  <si>
    <t>Total incremental devt capex (w/o multiplier)</t>
  </si>
  <si>
    <t>Initial devt. drillex</t>
  </si>
  <si>
    <t>Incremental devt. drillex</t>
  </si>
  <si>
    <t>Stimulation costs</t>
  </si>
  <si>
    <t>Stimulation costs implemented</t>
  </si>
  <si>
    <t>Cum stimulation costs (not yet implemented)</t>
  </si>
  <si>
    <t>Economic variables (cont'd)</t>
  </si>
  <si>
    <t>van Wees calculation of well cost ($ MM)</t>
  </si>
  <si>
    <t>US DOE calculation of well cost ($ MM)</t>
  </si>
  <si>
    <t>Should skin factor start to change once production has started (i.e. the start year), or at the year of drilling? Currently skin factor starts to change during the year of drilling.</t>
  </si>
  <si>
    <t>Cumulative electricity available (GWh)</t>
  </si>
  <si>
    <t>Cycle period</t>
  </si>
  <si>
    <t>Total inflow per year (m3/s)</t>
  </si>
  <si>
    <t>Water production (m3/yr)</t>
  </si>
  <si>
    <t>$/m3</t>
  </si>
  <si>
    <t>Cumulative electricity produced (GWh)</t>
  </si>
  <si>
    <t>Cumulative GWh</t>
  </si>
  <si>
    <t>GWh produced</t>
  </si>
  <si>
    <t>Electricity produced (GWh)</t>
  </si>
  <si>
    <t>Pump electricity chosen (GWh)</t>
  </si>
  <si>
    <t>GWh used</t>
  </si>
  <si>
    <t>Input value from 'Project-definition' worksheet</t>
  </si>
  <si>
    <t>c36fceb6-75d8-44b5-a10f-651d2d487514</t>
  </si>
  <si>
    <t>well clusters</t>
  </si>
  <si>
    <t>Input: decision (CB) / deterministic assumption</t>
  </si>
  <si>
    <t xml:space="preserve">Include Rock specific heat table, with values for specific rock types. Refer to this table in input worksheet cell I17. </t>
  </si>
  <si>
    <t>New well cluster capex in yr of prod</t>
  </si>
  <si>
    <t xml:space="preserve">Add incremental well cluster capex to total capex and depreciation scheme. Now it is ignored. </t>
  </si>
  <si>
    <t>Move well cost scaling factor from production variables cell Q15 to "well-related costs"</t>
  </si>
  <si>
    <t>Move "Capex to be added if # well-slots exceeded ($ MM)" to more appropriate section.</t>
  </si>
  <si>
    <t xml:space="preserve">Check out enormous differences in power production between Van wees / Sarmiento / Kujbus: why is that? Is it correct? </t>
  </si>
  <si>
    <t xml:space="preserve">Project-definition: external drainage radius in cell I10 - seems incorrect? If total reservoir area is known, this can be divided by nr of producing wells to yield drainage area per production well. As more wells are drilled, the drainage area per well should be reduced proportionately. Assume as drainage radius per well: Pi x r^2 = total area/nr prod wells. For inflow equation, assume shape factor of a square (30.6, I believe). </t>
  </si>
  <si>
    <t xml:space="preserve">Check five times the UTC calculation in the KPI worksheet. Two are redundant / wrong? </t>
  </si>
  <si>
    <t>Add figure Cumulative cashflow undiscounted.</t>
  </si>
  <si>
    <t xml:space="preserve">Include different well costs per life-cycle phase. Automatically calculate drillex as a function of the number of wells specified per phase in Project-definition.   </t>
  </si>
  <si>
    <t>Expand all time-series to 40 years</t>
  </si>
  <si>
    <t xml:space="preserve">Reshuffle well cost items / input to "well-related costs" box. </t>
  </si>
  <si>
    <t xml:space="preserve">Remove well cost scaling factor Q15 in van Wees calculation of well cost </t>
  </si>
  <si>
    <t>New well cluster capex if # well-slots exceeded ($ MM)</t>
  </si>
  <si>
    <t># Max well-slots per cluster</t>
  </si>
  <si>
    <t>Reservoir rock porosity (%)</t>
  </si>
  <si>
    <t>Reservoir pressure</t>
  </si>
  <si>
    <t xml:space="preserve">In Flow variables, I've reshuffled some variables to group them more logically. I think we need to add 1) reservoir temperature; 2) a check that Tres &gt; FTHT; 3) a new input variable 'equivalent NaCl salinity', required to compute water viscosity: see graph of worksheet Water-props; 4) a calculation of the water viscosity based on the given Pres and Tres and salinity. But this would require a digitisation of the graph in Water-props. Let's discuss. </t>
  </si>
  <si>
    <t>Corporate tax (% taxable income)</t>
  </si>
  <si>
    <t>Add KPI "undeveloped upside potential" = Volumetrics!C25 - installed MWe. Also explain in comment how this is calculated. See also CR row 7. Also add in KPI-worksheet the two volumetric KPIs of the worksheet Volumetrics: "Initially available thermal energy (Qt)"; and "Max. theor. power capacity (P)"</t>
  </si>
  <si>
    <t>In Fig. Electricity, own consumption to be positive. Add time-series Electricity-sales (GWh). Remove e-sales (million $) and replace by 3 curves for 'year-average MW'  (total, own consumption, sales).</t>
  </si>
  <si>
    <t xml:space="preserve">Then digitize correction factor for pressure as per same graph (separate small graph at top right). </t>
  </si>
  <si>
    <r>
      <rPr>
        <i/>
        <sz val="11"/>
        <color theme="1"/>
        <rFont val="Calibri"/>
        <family val="2"/>
        <scheme val="minor"/>
      </rPr>
      <t>Project-definition</t>
    </r>
    <r>
      <rPr>
        <sz val="11"/>
        <color theme="1"/>
        <rFont val="Calibri"/>
        <family val="2"/>
        <scheme val="minor"/>
      </rPr>
      <t xml:space="preserve"> sheet: FTHT is not same as res temp. Tr &gt; FTHT, due to cooling when flowing to surface. I've added a Tres input entry in I11. This should be connected to specific heat, density, viscosity and other water property calculation of worksheet </t>
    </r>
    <r>
      <rPr>
        <i/>
        <sz val="11"/>
        <color theme="1"/>
        <rFont val="Calibri"/>
        <family val="2"/>
        <scheme val="minor"/>
      </rPr>
      <t>Water-props</t>
    </r>
    <r>
      <rPr>
        <sz val="11"/>
        <color theme="1"/>
        <rFont val="Calibri"/>
        <family val="2"/>
        <scheme val="minor"/>
      </rPr>
      <t xml:space="preserve">: P26 and P30. All correlations should be checked, correct values should be used in </t>
    </r>
    <r>
      <rPr>
        <i/>
        <sz val="11"/>
        <color theme="1"/>
        <rFont val="Calibri"/>
        <family val="2"/>
        <scheme val="minor"/>
      </rPr>
      <t>Project-definition</t>
    </r>
    <r>
      <rPr>
        <sz val="11"/>
        <color theme="1"/>
        <rFont val="Calibri"/>
        <family val="2"/>
        <scheme val="minor"/>
      </rPr>
      <t xml:space="preserve">. We may wish to list calculated values in Project-definition (e.g. the values in Water-props, in Volumetrics). </t>
    </r>
  </si>
  <si>
    <t>Comment in cell 'Project-definition'P5: clarify whether workover downtime included or excluded. See cell V9.</t>
  </si>
  <si>
    <r>
      <t xml:space="preserve">Enable reservoir-constrained OR pump-constrained </t>
    </r>
    <r>
      <rPr>
        <i/>
        <sz val="11"/>
        <color theme="1"/>
        <rFont val="Calibri"/>
        <family val="2"/>
        <scheme val="minor"/>
      </rPr>
      <t>OR</t>
    </r>
    <r>
      <rPr>
        <sz val="11"/>
        <color theme="1"/>
        <rFont val="Calibri"/>
        <family val="2"/>
        <scheme val="minor"/>
      </rPr>
      <t xml:space="preserve"> facility-constrained production. Res-constr is determined by SS inflow eqn and FBHP, pump-constr by pump capacity, fac-constr by fac flow-capacity. Lowest constraint determines overall flow (choke model).</t>
    </r>
  </si>
  <si>
    <t>Targeted economic life (years)</t>
  </si>
  <si>
    <t>Time-series input:</t>
  </si>
  <si>
    <t>Scalar variable input:</t>
  </si>
  <si>
    <r>
      <t xml:space="preserve">Check why in Cashflow!C90 a C/I year of 2052 is calculated, whereas 2047 is last year. </t>
    </r>
    <r>
      <rPr>
        <sz val="9"/>
        <color rgb="FFFF0000"/>
        <rFont val="Calibri"/>
        <family val="2"/>
        <scheme val="minor"/>
      </rPr>
      <t>Note: if we extend evaluation period to 40 yrs, then the formula of V90 will have to be adapted (first year +40)</t>
    </r>
  </si>
  <si>
    <t xml:space="preserve">Check why in KPI worksheet the calculated nr of wells drilled is 21, whereas input is 15 well (expl, appr, devt), and prod/inj ratio is 3. That should result in 20 wells. And I thought that the explor wells would not count in the nr of injectors to be drilled: the prod/inj ratio should only apply to (increm.) devt wells. </t>
  </si>
  <si>
    <t xml:space="preserve">Why is in cashflow graphs with a negative part the scaling above the zero-line? This is a bit confusing. In Fig Electricity it is OK. </t>
  </si>
  <si>
    <t xml:space="preserve">Why does depreciation scheme DB vs DDB show no difference? (SLN does make a significant difference). </t>
  </si>
  <si>
    <t xml:space="preserve">Remove "Well cost scaling factor" Q15: I don't think this factor makes sense. Uncertainty can be modelled in the well cost cell itself (with a pdf). And for modelling a "sudden change in the market", the Well cost scaling factor would have to be defined as time-series. Note the IHS/CERA publish the evolution of various cost indices in time, such as UCCI = Upstream Capital Cost Index, which includes drillex. </t>
  </si>
  <si>
    <t xml:space="preserve">In worksheet Test page, SPECIFIC HEAT CAPACITY from two different references have a factor 1000 difference. I suppose the ETB list should be in kJ/kgK, not in J/kgK. I've put the values in a comment of cell I9. And btw, why two peridotite values? </t>
  </si>
  <si>
    <t>Include electrical plant design MW-rating + use this as constraint to electricity production. Include the inflow equation, the pump rating (need to add pump flow capacity), and the surface flow capacity to constrain. Need to understand the bottlenecks in the system (known as "choke model"). See also E10 and C32.</t>
  </si>
  <si>
    <t xml:space="preserve">On Feb 20th, 2017, it was sent to GEOCAP WP2.01 partners ITB and IF Technology for comments. And on March 21st, a next version was sent to IF Technology (Nick Buik) + R.de Kler (TNO) to prepare the workshop on March 29th, 2017. </t>
  </si>
  <si>
    <t xml:space="preserve">March 29, 2017: workshop with Nick Buik (IF), and TNO's Robert de Kler, Logan Brunner + Christian Bos to discuss and prioritize improvements. </t>
  </si>
  <si>
    <t xml:space="preserve">We need to reconsider the formation thickness if it really thick and the well only partially completed over that thickness. E.g., 1500m will not be completed by one well. The well inflow eqn may have to be adapted for partial penetration. </t>
  </si>
  <si>
    <t>5df1e7fb-d0b5-4e46-8ab9-b9a8d6350511</t>
  </si>
  <si>
    <t>Geological and flow variables</t>
  </si>
  <si>
    <t>e8b95389-eef8-484b-89e1-9e7086d6c2c5</t>
  </si>
  <si>
    <t>Output: CB 'Forecast', CB-histogram</t>
  </si>
  <si>
    <t>Input: stochastic input variable (CB-pdf)</t>
  </si>
  <si>
    <t>Output: calculated deterministic result</t>
  </si>
  <si>
    <t>Field shut-in: max. allowable # years in row @ NCF&lt;0</t>
  </si>
  <si>
    <t>Let's check the inflow equation and rate calculation per well and total field. Changing the skin factor has a very large impact. Seems too large? Could be due to not applying downstream constraints (pump-constraint, facility-constraint, etc.). Check once constraining capabilities are available.</t>
  </si>
  <si>
    <r>
      <t xml:space="preserve">Check why PV govt take </t>
    </r>
    <r>
      <rPr>
        <i/>
        <sz val="11"/>
        <color theme="1"/>
        <rFont val="Calibri"/>
        <family val="2"/>
        <scheme val="minor"/>
      </rPr>
      <t>increases</t>
    </r>
    <r>
      <rPr>
        <sz val="11"/>
        <color theme="1"/>
        <rFont val="Calibri"/>
        <family val="2"/>
        <scheme val="minor"/>
      </rPr>
      <t xml:space="preserve"> with decreasing depreciation period. This is unexpected, but could be due to not having LCF (Loss Carry Forward). Do conditional test on early capex depreciation - if early taxable income is negative, then program will not depreciate capex. This will be carried forward until you start making a profit.</t>
    </r>
  </si>
  <si>
    <r>
      <t xml:space="preserve">Ambiguous how to interpret in </t>
    </r>
    <r>
      <rPr>
        <i/>
        <sz val="11"/>
        <color theme="1"/>
        <rFont val="Calibri"/>
        <family val="2"/>
        <scheme val="minor"/>
      </rPr>
      <t>Well-related costs</t>
    </r>
    <r>
      <rPr>
        <sz val="11"/>
        <color theme="1"/>
        <rFont val="Calibri"/>
        <family val="2"/>
        <scheme val="minor"/>
      </rPr>
      <t xml:space="preserve"> the difference between </t>
    </r>
    <r>
      <rPr>
        <i/>
        <sz val="11"/>
        <color theme="1"/>
        <rFont val="Calibri"/>
        <family val="2"/>
        <scheme val="minor"/>
      </rPr>
      <t>Well stimulation cost</t>
    </r>
    <r>
      <rPr>
        <sz val="11"/>
        <color theme="1"/>
        <rFont val="Calibri"/>
        <family val="2"/>
        <scheme val="minor"/>
      </rPr>
      <t xml:space="preserve"> ($ MM), </t>
    </r>
    <r>
      <rPr>
        <i/>
        <sz val="11"/>
        <color theme="1"/>
        <rFont val="Calibri"/>
        <family val="2"/>
        <scheme val="minor"/>
      </rPr>
      <t>Workover cost per well</t>
    </r>
    <r>
      <rPr>
        <sz val="11"/>
        <color theme="1"/>
        <rFont val="Calibri"/>
        <family val="2"/>
        <scheme val="minor"/>
      </rPr>
      <t xml:space="preserve"> ($ MM), </t>
    </r>
    <r>
      <rPr>
        <i/>
        <sz val="11"/>
        <color theme="1"/>
        <rFont val="Calibri"/>
        <family val="2"/>
        <scheme val="minor"/>
      </rPr>
      <t>Well opex</t>
    </r>
    <r>
      <rPr>
        <sz val="11"/>
        <color theme="1"/>
        <rFont val="Calibri"/>
        <family val="2"/>
        <scheme val="minor"/>
      </rPr>
      <t xml:space="preserve"> ($ MM/well/yr). Comments are not fully clear. Is a stimulation job after n years of productivity decline equal to Well stim cost+ W/O cost per well ? If so, why distinguish the two?
Clarify how they are used. Need to decide on which wells are stimulated. Usually exploration and appraisal not, but could use for developmental wells. Ask if appraisal wells need stimulation.</t>
    </r>
  </si>
  <si>
    <t>Add worksheet with graphs / figures of electricity production vs. time. Note: units on y-axis to be unambiguous, i.e. is it cumulative GWh (TWh) in a year, or is it MW averaged over the year, etc.  Make consumption on the positive side. Remove $MM axis and add the MW produced as a second y axis. Could change to stacked bar graph with consumption and sales showing the total produced.</t>
  </si>
  <si>
    <t>Add CO2 emissions avoided (Mt/year), ref. pulverised coal power plant + display in graph. And add cumulative CO2 avoided as KPI. For energy produced, can estimate how much another power plant emits, and calculate emissions avoided. Could plot this as well. Add as KPI "CO2 emissions avoided  as compared to a coal fired power plant". Maybe check if geothermal plant has noticeable emissions as well. Only operational not cradle to grave</t>
  </si>
  <si>
    <t>Somewhere it should be clarified that the maximum theoretical life-span field capacity (MWe), as calculated in Volumetrics worksheet, does not constrain the production. Or perhaps in the KPI worksheet a value could be given for the theorectically under-utilised potential. Could compare Sarmiento's power potential with the actual production (theoretical underused potential).
Check the KPI using MW because it uses the max of van Wees' MW currently. But maybe an average would be better or another way. Also, what if user doesn't use van Wees' calculation</t>
  </si>
  <si>
    <t>Enable CO2 footprint computation. Work on later. Possibility for cradle to grave calculation. Capex, opex, and abandonment calcs.</t>
  </si>
  <si>
    <t>Add an option for skin value to say it changes in time OR it changes with cumulative water production, and then do the calculation behind it. Work on later</t>
  </si>
  <si>
    <r>
      <t xml:space="preserve">Viscosity of water should be </t>
    </r>
    <r>
      <rPr>
        <i/>
        <sz val="11"/>
        <color theme="1"/>
        <rFont val="Calibri"/>
        <family val="2"/>
        <scheme val="minor"/>
      </rPr>
      <t>calculated</t>
    </r>
    <r>
      <rPr>
        <sz val="11"/>
        <color theme="1"/>
        <rFont val="Calibri"/>
        <family val="2"/>
        <scheme val="minor"/>
      </rPr>
      <t xml:space="preserve"> rather than user-defined (cell I7). See also worksheet Water-props. Input required to calculate viscosity: reservoir temperature, salinity (maybe use sodium chloride equivalents), pressure. </t>
    </r>
  </si>
  <si>
    <t>Use existing correlations for cost reduction per well as per UN report and apply different cost reduction / learning factor to each phase. See Project-definition Rows 36-42-49-58. FOR LATER.</t>
  </si>
  <si>
    <t>Add in Project-definition below new time-series for various indices: Drillex, variable opex, fixed opex, plant capex, other capex. And use this to compute MOD (Money Of the Day). See also cell E14. FOR LATER.</t>
  </si>
  <si>
    <t>In project-definition, I think we need to allow the user to define values that in the Volumetrics worksheet have been derived from correlations. See 'Derived (interim) value from other input'. For example: recovery factor, … Let's discuss. FOR LATER.</t>
  </si>
  <si>
    <r>
      <t xml:space="preserve">More urgent. Loss Carry Forward (LCF): a tax-deductible provision should be made for early capex. See ECCO tool how this was done. </t>
    </r>
    <r>
      <rPr>
        <sz val="9"/>
        <color rgb="FFFF0000"/>
        <rFont val="Calibri"/>
        <family val="2"/>
        <scheme val="minor"/>
      </rPr>
      <t>Provision in certain tax laws that allows an entity to offset current financial year's net operating losses against the income earned in the next year(s). See also tax loss carry back.</t>
    </r>
  </si>
  <si>
    <r>
      <t xml:space="preserve">Less urgent. Loss Carry Back (LCB): a tax-deductible provision should be made for the abandonment capex. See ECCO tool how this was done. </t>
    </r>
    <r>
      <rPr>
        <sz val="9"/>
        <color rgb="FFFF0000"/>
        <rFont val="Calibri"/>
        <family val="2"/>
        <scheme val="minor"/>
      </rPr>
      <t>Provision in certain tax laws that allows an entity to offset current financial year's net operating losses against the income earned in the preceding year(s). See also tax loss carry forward.</t>
    </r>
  </si>
  <si>
    <t>Fig CumCF to have same worksheet format as other figures. Make the format the same</t>
  </si>
  <si>
    <t>Add Figure with status of yearly  Govt Take cashflow: Levies/dues paid, Royalty paid, Tax paid, yearly capex depreciation, undepreciated capex ("capital employed").</t>
  </si>
  <si>
    <t>Tarriffs, dues, and levies. May need to add a few lines under all the project definition to have levies or dues as OPEX. If early in the cashflow, then would like to deduct from profit - should be opex or capex? Unsure as of now - look into later for Indonesia.</t>
  </si>
  <si>
    <t>Add at each phase (expl, appr, devt, increm devt) a cash-out time-series for tarriffs, duties, levies payable to govt. See comment at the end.</t>
  </si>
  <si>
    <t>In KPI worksheet, we could distinguish below "Nr of production + injection wells drilled" a breakdown into type of wells: expl -appr-producers-injectors. FOR LATER.</t>
  </si>
  <si>
    <t>References to "Van Wees" : let's check how correct this is. I suspect that originally the methods referred to come from elsewhere. If so, it would be better to refer to the original authors. FOR LATER</t>
  </si>
  <si>
    <t>In Fig Rig graph, make it bar instead of line.</t>
  </si>
  <si>
    <t>In Cashflow! worksheet and in CumCF-DCF-CumDCF worksheets, the cash-in items should be same as in Project-definition! Worksheet. CHANGE FARMING OUT PAYMENTS TO THE HEAT TARRIFF</t>
  </si>
  <si>
    <t>Cum Opex</t>
  </si>
  <si>
    <t>Cum Total cash-in</t>
  </si>
  <si>
    <t>Cum Electricity sales</t>
  </si>
  <si>
    <t>Cum PV Total cash-in</t>
  </si>
  <si>
    <t>Cum PV Electricity sales</t>
  </si>
  <si>
    <t>PV Electricity sales</t>
  </si>
  <si>
    <t>User-</t>
  </si>
  <si>
    <t>Example values for well cost:</t>
  </si>
  <si>
    <t>The fixed-opex multiplier (cell AA13) has no effect on the NPV: to be corrected (the capex multiplier has effect). RESPONSE: nothing was input for "fixed opex", thus nothing was multiplied by the opex multiplier.</t>
  </si>
  <si>
    <t>Comment for cell V9 says: "Workovers occuring simultaneously will all take this duration." To me this is ambiguous. Do you mean: "Each well undergoing a workover will be penalized by this amount of productive hours per year"? CLARIFY THIS!</t>
  </si>
  <si>
    <t>Downtime in case of W/O in hours</t>
  </si>
  <si>
    <t>Total cash-in ($ MM)</t>
  </si>
  <si>
    <t>https://www.iea.org/publications/freepublications/publication/Geothermal_Essentials.pdf</t>
  </si>
  <si>
    <t>IEA Geothermal Essentials</t>
  </si>
  <si>
    <t>Inflow rate per field (m3/s)</t>
  </si>
  <si>
    <t>Skin for single well given cycle period</t>
  </si>
  <si>
    <t>User-defined conversion efficiency --&gt;</t>
  </si>
  <si>
    <t>Conversion efficiency value used --&gt;</t>
  </si>
  <si>
    <t>Pump electricity use chosen (MWh)</t>
  </si>
  <si>
    <t>Pump e-use (MWh) (tech specs)</t>
  </si>
  <si>
    <t>Completed change requests</t>
  </si>
  <si>
    <t>Completed bug fixes</t>
  </si>
  <si>
    <t>Bug fixes</t>
  </si>
  <si>
    <r>
      <t xml:space="preserve">Should we model injection of waste water? Do injection wells have another skin buildup? Would the water be treated before re-injected? </t>
    </r>
    <r>
      <rPr>
        <b/>
        <sz val="11"/>
        <rFont val="Calibri"/>
        <family val="2"/>
        <scheme val="minor"/>
      </rPr>
      <t>LATER</t>
    </r>
  </si>
  <si>
    <r>
      <t xml:space="preserve">In worksheet KPI the "PV Capex / MW" is wrong: should include </t>
    </r>
    <r>
      <rPr>
        <i/>
        <sz val="11"/>
        <rFont val="Calibri"/>
        <family val="2"/>
        <scheme val="minor"/>
      </rPr>
      <t xml:space="preserve">all </t>
    </r>
    <r>
      <rPr>
        <sz val="11"/>
        <rFont val="Calibri"/>
        <family val="2"/>
        <scheme val="minor"/>
      </rPr>
      <t>capex. The cell should contain a comment how this is calculated: all PV capex times multiplier, for MW the maximum output delivered over the life cycle is used. Btw, why would one use this MAX effective MW output, and not a given nominal plant rating? Explain what is being used. Maybe use the rating (which is not precisely the average).</t>
    </r>
  </si>
  <si>
    <r>
      <t>Check all comments in cells for referral to other cells. Correct these referrals where necessary (</t>
    </r>
    <r>
      <rPr>
        <b/>
        <sz val="11"/>
        <rFont val="Calibri"/>
        <family val="2"/>
        <scheme val="minor"/>
      </rPr>
      <t>low priority</t>
    </r>
    <r>
      <rPr>
        <sz val="11"/>
        <rFont val="Calibri"/>
        <family val="2"/>
        <scheme val="minor"/>
      </rPr>
      <t xml:space="preserve"> but should be done prior to 'official' new release).</t>
    </r>
  </si>
  <si>
    <t>Add scoping phase, changes NPV in the end. Includes consultants, time, permits, surveys, initial revenue requirement</t>
  </si>
  <si>
    <t>Scoping phase ($ MM)</t>
  </si>
  <si>
    <t>Consultancy costs</t>
  </si>
  <si>
    <t>Total scoping capex (with multiplier)</t>
  </si>
  <si>
    <t>Total scoping capex (w/o multiplier)</t>
  </si>
  <si>
    <r>
      <t xml:space="preserve">Yearly skin growth factor for </t>
    </r>
    <r>
      <rPr>
        <b/>
        <sz val="10"/>
        <color theme="1"/>
        <rFont val="Arial"/>
        <family val="2"/>
      </rPr>
      <t>prod.</t>
    </r>
    <r>
      <rPr>
        <sz val="10"/>
        <color theme="1"/>
        <rFont val="Arial"/>
        <family val="2"/>
      </rPr>
      <t xml:space="preserve"> wells (positive number)</t>
    </r>
  </si>
  <si>
    <r>
      <t xml:space="preserve">Drill &amp; compl. cost per </t>
    </r>
    <r>
      <rPr>
        <b/>
        <sz val="10"/>
        <rFont val="Arial"/>
        <family val="2"/>
      </rPr>
      <t>explor.</t>
    </r>
    <r>
      <rPr>
        <sz val="10"/>
        <rFont val="Arial"/>
        <family val="2"/>
      </rPr>
      <t xml:space="preserve"> well ($ MM)</t>
    </r>
  </si>
  <si>
    <t>Cycle for skin on production wells</t>
  </si>
  <si>
    <t>Cycle for skin on injection wells</t>
  </si>
  <si>
    <t>Different skin buildup for production and injection</t>
  </si>
  <si>
    <t>Decouple production and injection well workovers</t>
  </si>
  <si>
    <t>Reduction in produced water temperature as a function of cumulative water produced.</t>
  </si>
  <si>
    <t>Create timeseries in Cashflow for the produced water temperature. The water temperature is reduced as more water is produced. Best given in a table that the user can input. Instead of table, could also say cumulative water produced at breakthrough (i.e. when water temperature starts to decrease at the rate provided), as well as a linear decline rate.</t>
  </si>
  <si>
    <t>Low priority: FROM NICK: More difficult is how to deal with the pressure in the reservoir. At the beginning this pressure is high, but due to the extraction of steam the pressure will drop. Not all the extracted steam will be reinjected again, and due to the phase change the volume of the injected water is much less than the volume of extracted steam. The easiest way to cope with this is to calculate a yearly volume balance: Steam volume at the beginning – steam volume extracted + water volume injected. The decrease in volume can be used to calculate the decrease in pressure. There are Excel plugins available for the volume calculations at http://www.iapws.org/edu.html</t>
  </si>
  <si>
    <t xml:space="preserve">Low priority: FROM NICK: In any case, we will have to revisit the VFP (Vertical Flow Performance) of the wells to translate FTHPs to FBHPs and, hence, compute the steady-state inflow equation. Both TNO and IF will think of which VFP solutions to implement in the model (action: IF, TNO).
Nick’s comments:
Paragraph 4.2 of the book attached might be a solution. However this will cost probably considerable time to implement. I will try to come up with an easier solution. 
</t>
  </si>
  <si>
    <r>
      <t xml:space="preserve">Avg </t>
    </r>
    <r>
      <rPr>
        <b/>
        <sz val="10"/>
        <color theme="1"/>
        <rFont val="Arial"/>
        <family val="2"/>
      </rPr>
      <t>prod.</t>
    </r>
    <r>
      <rPr>
        <sz val="10"/>
        <color theme="1"/>
        <rFont val="Arial"/>
        <family val="2"/>
      </rPr>
      <t xml:space="preserve"> well W/O frequency (every </t>
    </r>
    <r>
      <rPr>
        <i/>
        <sz val="10"/>
        <color indexed="10"/>
        <rFont val="Arial"/>
        <family val="2"/>
      </rPr>
      <t>n</t>
    </r>
    <r>
      <rPr>
        <sz val="11"/>
        <color theme="1"/>
        <rFont val="Calibri"/>
        <family val="2"/>
        <scheme val="minor"/>
      </rPr>
      <t xml:space="preserve"> yrs)</t>
    </r>
  </si>
  <si>
    <t>Production well opex calculation</t>
  </si>
  <si>
    <t>Injection well opex calculation</t>
  </si>
  <si>
    <t>Nr of injection wells drilled</t>
  </si>
  <si>
    <t>Check Dietz shape factor in SS inflow eqn + how drainage radius decreases as more wells are added. See bug fix row 7. Also page 206 (146 in the document) of "fundamentals_reservoir_engineering.pdf"</t>
  </si>
  <si>
    <t>Infow Equation (book uses primarily Darcy Units)</t>
  </si>
  <si>
    <t>Total nr of workovers (prod. &amp; inj.)</t>
  </si>
  <si>
    <t>http://fluid.itcmp.pwr.wroc.pl/~znmp/dydaktyka/fundam_FM/Lecture13.pdf</t>
  </si>
  <si>
    <t>Pipe flow - Hagen-Poiseuille equation</t>
  </si>
  <si>
    <t>https://en.wikipedia.org/wiki/Hagen%E2%80%93Poiseuille_equation</t>
  </si>
  <si>
    <t>https://en.wikipedia.org/wiki/Darcy%E2%80%93Weisbach_equation</t>
  </si>
  <si>
    <t>(Darcy-Weisbach equation)</t>
  </si>
  <si>
    <t>Limiting factor</t>
  </si>
  <si>
    <t>Andrews, J., Jelley, N. and Jelley, N.A., 2013. Energy science: principles, technologies, and impacts. Oxford University Press.</t>
  </si>
  <si>
    <t>Conversion from flow to thermal power</t>
  </si>
  <si>
    <t>van Wees calculation of well cost ($MM)</t>
  </si>
  <si>
    <t>DOE calculation of well cost ($MM)</t>
  </si>
  <si>
    <t>Barbier, E., 2002. Geothermal energy technology and current status: an overview. Renewable and Sustainable Energy Reviews, 6(1), pp.3-65.</t>
  </si>
  <si>
    <t>Geothermal energy technology and current status</t>
  </si>
  <si>
    <t>http://geothe.wikispaces.com/file/view/Geothermal+Energy+Technology+and+Current+Status+-+an+overview.pdf</t>
  </si>
  <si>
    <t>Energy Science, 2013</t>
  </si>
  <si>
    <t>https://www.geothermal-energy.org/pdf/IGAstandard/NZGW/2012/46654final00097.pdf</t>
  </si>
  <si>
    <t>Efficiency of geothermal power plants: A worldwide review</t>
  </si>
  <si>
    <t>Zarrouk, S.J. and Moon, H., 2014. Efficiency of geothermal power plants: A worldwide review. Geothermics, 51, pp.142-153.</t>
  </si>
  <si>
    <t>Single flash</t>
  </si>
  <si>
    <t>https://pangea.stanford.edu/ERE/db/WGC/papers/WGC/2015/26034.pdf</t>
  </si>
  <si>
    <t>Gokcen, N.Y.G., Thermodynamic Performance of Single-Flash Geothermal Power Plants from the Point of View of Noncondensable Gas Removal Systems.</t>
  </si>
  <si>
    <t>Thermodynamic performance of single-flash</t>
  </si>
  <si>
    <t>http://www.os.is/gogn/unu-gtp-sc/UNU-GTP-SC-12-35.pdf</t>
  </si>
  <si>
    <t>Valdimarsson, P., 2011. Geothermal power plant cycles and main components. Short Course on Geothermal Drilling, Resource Development and Power Plants”, organized by UNU-GTP and LaGeo, in Santa Tecla, El Salvador.</t>
  </si>
  <si>
    <t>Geothermal power plant cycles and main components</t>
  </si>
  <si>
    <t>Testing thermodynamics (from Valdimarsson, Thermodynamics of geothermal power production)</t>
  </si>
  <si>
    <t>Th</t>
  </si>
  <si>
    <t>To</t>
  </si>
  <si>
    <t>Ts</t>
  </si>
  <si>
    <t>Tc</t>
  </si>
  <si>
    <t>symbol</t>
  </si>
  <si>
    <t>value</t>
  </si>
  <si>
    <t>Ch</t>
  </si>
  <si>
    <t>Cc</t>
  </si>
  <si>
    <t>kJ/(kg*K)</t>
  </si>
  <si>
    <t>mh</t>
  </si>
  <si>
    <t>mc</t>
  </si>
  <si>
    <t>kg/s</t>
  </si>
  <si>
    <t>Calculations</t>
  </si>
  <si>
    <t>Qh</t>
  </si>
  <si>
    <t>Qs</t>
  </si>
  <si>
    <t>Qc</t>
  </si>
  <si>
    <t>kW</t>
  </si>
  <si>
    <t>MW</t>
  </si>
  <si>
    <t>Right now assumption that all water is converted to steam, while in reality, only a proportion of the water brought to the surface will be converted into steam, with the water being siphoned off and re-injected. This Kenya field has 85/15% split between steam/water: http://www.os.is/gogn/unu-gtp-sc/UNU-GTP-SC-10-1102.pdf</t>
  </si>
  <si>
    <t>Steam power plants</t>
  </si>
  <si>
    <t>http://opentext.lib.vt.edu/thermodynamics/chapter-4/</t>
  </si>
  <si>
    <t>Thermodynamics of steam turbines</t>
  </si>
  <si>
    <t>http://www.geoelec.eu/wp-content/uploads/2011/09/D-2.5-GEOELEC-prospective-study.pdf</t>
  </si>
  <si>
    <t>Geoelec</t>
  </si>
  <si>
    <t>A prospective study on the geothermal potential in the EU</t>
  </si>
  <si>
    <t>Total injection per year (m3/s)</t>
  </si>
  <si>
    <t>FLOW</t>
  </si>
  <si>
    <t>Breakthrough volume before temperature decline (m3)</t>
  </si>
  <si>
    <t>Years after water breakthrough</t>
  </si>
  <si>
    <t>Max production well tubing flow (m3/s)</t>
  </si>
  <si>
    <t>Low priority: change breakthrough volume before temp starts declining expressed as pore volumes produced per drainage</t>
  </si>
  <si>
    <t>Low priority: allow table input to express non-linear decline in water production temperature. This is output from a reservoir simulation study.</t>
  </si>
  <si>
    <t>----- LIMITING FACTOR -----</t>
  </si>
  <si>
    <t>Indonesia depth and pressures</t>
  </si>
  <si>
    <t>https://pangea.stanford.edu/ERE/db/WGC/papers/WGC/2015/21032.pdf</t>
  </si>
  <si>
    <t>Deepest Geothermal Well in Indonesia: A Success Story</t>
  </si>
  <si>
    <t>Souvanir, T. et al.</t>
  </si>
  <si>
    <t>http://awsassets.wwf.or.id/downloads/geothermal_report.pdf</t>
  </si>
  <si>
    <t>Igniting the ring of fire</t>
  </si>
  <si>
    <t>WWF Report 2012</t>
  </si>
  <si>
    <t>Pricing, MW of Indonesia facilities, depth</t>
  </si>
  <si>
    <t>Pressure and temperature logging</t>
  </si>
  <si>
    <t>http://www.os.is/gogn/unu-gtp-sc/UNU-GTP-SC-16-21.pdf</t>
  </si>
  <si>
    <t>Geothermal well logging: temperature and pressure logs</t>
  </si>
  <si>
    <t>Steingrimsson</t>
  </si>
  <si>
    <t>Indonesian geothermal prospects</t>
  </si>
  <si>
    <t>http://www.gsm.org.my/products/702001-101001-PDF.pdf</t>
  </si>
  <si>
    <t>Geology, energy potential and development of Indonesia's geothermal prospects</t>
  </si>
  <si>
    <t>Pipe Friction</t>
  </si>
  <si>
    <t>https://www.geothermal-energy.org/pdf/IGAstandard/WGC/2005/1636.pdf</t>
  </si>
  <si>
    <t>Downhole Pressures Derived from Wellhead Measurements during Hydraulic Experiments</t>
  </si>
  <si>
    <t>Well Stimulation Techniques Applied at the Salak Geothermal Field</t>
  </si>
  <si>
    <t>https://www.geothermal-energy.org/pdf/IGAstandard/WGC/2010/2274.pdf</t>
  </si>
  <si>
    <t>Wellhead pressure</t>
  </si>
  <si>
    <t>https://pangea.stanford.edu/ERE/db/WGC/papers/WGC/2015/22065.pdf</t>
  </si>
  <si>
    <t>Equations for bottomhole pressure, wellhead pressure</t>
  </si>
  <si>
    <t>Evaluation of Production Multilateral Well in Salak Geothermal Field, Indonesia</t>
  </si>
  <si>
    <t>Calculated pressure variables</t>
  </si>
  <si>
    <t>Hydrostatic head (Pa)</t>
  </si>
  <si>
    <t>Friction headloss (Pa)</t>
  </si>
  <si>
    <t>User add maximum rating for the turbine (surface facility) - convert that to either mass flow or volumetric flow to compare to production/injection. If turbine constraint applies, then reduce production/injection accordingly.</t>
  </si>
  <si>
    <t>Add worksheet, graph and KPIs for the incremental economics of the incremental development. Additional input above the base case. FOR LATER</t>
  </si>
  <si>
    <r>
      <t xml:space="preserve">Inflow calculation per </t>
    </r>
    <r>
      <rPr>
        <b/>
        <u/>
        <sz val="10"/>
        <rFont val="Arial"/>
        <family val="2"/>
      </rPr>
      <t>field</t>
    </r>
    <r>
      <rPr>
        <b/>
        <sz val="10"/>
        <rFont val="Arial"/>
        <family val="2"/>
      </rPr>
      <t xml:space="preserve"> (m3/s)</t>
    </r>
  </si>
  <si>
    <r>
      <t xml:space="preserve">Inflow per </t>
    </r>
    <r>
      <rPr>
        <b/>
        <u/>
        <sz val="10"/>
        <rFont val="Arial"/>
        <family val="2"/>
      </rPr>
      <t>well</t>
    </r>
    <r>
      <rPr>
        <b/>
        <sz val="10"/>
        <rFont val="Arial"/>
        <family val="2"/>
      </rPr>
      <t xml:space="preserve"> (m3/s)</t>
    </r>
  </si>
  <si>
    <r>
      <t xml:space="preserve">Max prod. tubing flow per </t>
    </r>
    <r>
      <rPr>
        <b/>
        <u/>
        <sz val="10"/>
        <rFont val="Arial"/>
        <family val="2"/>
      </rPr>
      <t>field</t>
    </r>
    <r>
      <rPr>
        <b/>
        <sz val="10"/>
        <rFont val="Arial"/>
        <family val="2"/>
      </rPr>
      <t xml:space="preserve"> (m3/s)</t>
    </r>
  </si>
  <si>
    <r>
      <t xml:space="preserve">Flow rate used per </t>
    </r>
    <r>
      <rPr>
        <b/>
        <u/>
        <sz val="10"/>
        <rFont val="Arial"/>
        <family val="2"/>
      </rPr>
      <t>field</t>
    </r>
    <r>
      <rPr>
        <b/>
        <sz val="10"/>
        <rFont val="Arial"/>
        <family val="2"/>
      </rPr>
      <t xml:space="preserve"> (m3/s)</t>
    </r>
  </si>
  <si>
    <r>
      <t xml:space="preserve">Injection rate per </t>
    </r>
    <r>
      <rPr>
        <b/>
        <u/>
        <sz val="10"/>
        <rFont val="Arial"/>
        <family val="2"/>
      </rPr>
      <t>field</t>
    </r>
    <r>
      <rPr>
        <b/>
        <sz val="10"/>
        <rFont val="Arial"/>
        <family val="2"/>
      </rPr>
      <t xml:space="preserve"> (m3/s)</t>
    </r>
  </si>
  <si>
    <r>
      <t xml:space="preserve">Injection rate per </t>
    </r>
    <r>
      <rPr>
        <b/>
        <u/>
        <sz val="10"/>
        <rFont val="Arial"/>
        <family val="2"/>
      </rPr>
      <t>well</t>
    </r>
    <r>
      <rPr>
        <b/>
        <sz val="10"/>
        <rFont val="Arial"/>
        <family val="2"/>
      </rPr>
      <t xml:space="preserve"> (m3/s)</t>
    </r>
  </si>
  <si>
    <t>----- RESERVOIR INJECTION (OUTFLOW) -----</t>
  </si>
  <si>
    <t>----- RESERVOIR PRODUCTION (INFLOW) -----</t>
  </si>
  <si>
    <t>----- PRODUCTION TUBING FLOW -----</t>
  </si>
  <si>
    <t>----- INJECTION TUBING FLOW -----</t>
  </si>
  <si>
    <r>
      <t xml:space="preserve">Max inj. tubing flow per </t>
    </r>
    <r>
      <rPr>
        <b/>
        <u/>
        <sz val="10"/>
        <rFont val="Arial"/>
        <family val="2"/>
      </rPr>
      <t>field</t>
    </r>
    <r>
      <rPr>
        <b/>
        <sz val="10"/>
        <rFont val="Arial"/>
        <family val="2"/>
      </rPr>
      <t xml:space="preserve"> (m3/s)</t>
    </r>
  </si>
  <si>
    <t>----- SURFACE FACILITY FLOW -----</t>
  </si>
  <si>
    <t>Max flow through surface facility (m3/s)</t>
  </si>
  <si>
    <t>Surface facility flow</t>
  </si>
  <si>
    <t>Surface facility variables</t>
  </si>
  <si>
    <t>Total outflow per year (m3/s)</t>
  </si>
  <si>
    <t>http://www.os.is/gogn/unu-gtp-report/UNU-GTP-2011-29.pdf</t>
  </si>
  <si>
    <t>Feasibility of developing binary power plants in the existing geothermal production areas in Indonesia</t>
  </si>
  <si>
    <t>https://pangea.stanford.edu/ERE/db/WGC/papers/WGC/2015/26047.pdf</t>
  </si>
  <si>
    <t>Kamojang Geothermal Power Plant Unit 1-2-3</t>
  </si>
  <si>
    <t>Adiprana, R.</t>
  </si>
  <si>
    <t>Nazif, H.</t>
  </si>
  <si>
    <t>Heat Exchanger Design on the Geothermal Binary Cycles in Dieng Geothermal Area, Indonesia</t>
  </si>
  <si>
    <t>Sukaryadi, D. et al.</t>
  </si>
  <si>
    <t>https://pangea.stanford.edu/ERE/db/WGC/papers/WGC/2015/26018.pdf</t>
  </si>
  <si>
    <t>Capital employed</t>
  </si>
  <si>
    <t>Cumulative capital allowance</t>
  </si>
  <si>
    <t>Pre-tax cash flow</t>
  </si>
  <si>
    <t>Is royalty tax deductible?</t>
  </si>
  <si>
    <t>No</t>
  </si>
  <si>
    <t>Nr of injection wells to drill</t>
  </si>
  <si>
    <t>Average hours worked</t>
  </si>
  <si>
    <t>Hours of production (hrs)</t>
  </si>
  <si>
    <t>Cum hours of production (hrs)</t>
  </si>
  <si>
    <t>Cumulative hours</t>
  </si>
  <si>
    <t>Net cash flow (post-tax)</t>
  </si>
  <si>
    <t>Delayed capital allowance</t>
  </si>
  <si>
    <t>Capital allowance realized</t>
  </si>
  <si>
    <t>Success curve</t>
  </si>
  <si>
    <t>Well</t>
  </si>
  <si>
    <t>Well success?</t>
  </si>
  <si>
    <t>Cumulative nr of dev wells attempted</t>
  </si>
  <si>
    <t>Production well planning</t>
  </si>
  <si>
    <t>Nr development wells attempted</t>
  </si>
  <si>
    <t>Nr. of incremental development wells to attempt</t>
  </si>
  <si>
    <t>Nr. of initial development wells to attempt</t>
  </si>
  <si>
    <t>Nr. of appraisal wells to attempt</t>
  </si>
  <si>
    <t>Nr. of exploration wells to attempt</t>
  </si>
  <si>
    <t>Nr appraisal wells attempted</t>
  </si>
  <si>
    <t>Cumulative nr appraisal wells attempted</t>
  </si>
  <si>
    <t>Cumulative nr exploration wells attempted</t>
  </si>
  <si>
    <t>Nr exploration wells attempted</t>
  </si>
  <si>
    <t>1st well attempted this year</t>
  </si>
  <si>
    <t>2nd well attempted this year</t>
  </si>
  <si>
    <t>3rd well attempted this year</t>
  </si>
  <si>
    <t>4th well attempted this year</t>
  </si>
  <si>
    <t>5th well attempted this year</t>
  </si>
  <si>
    <t>6th well attempted this year</t>
  </si>
  <si>
    <t>7th well attempted this year</t>
  </si>
  <si>
    <t>8th well attempted this year</t>
  </si>
  <si>
    <t>9th well attempted this year</t>
  </si>
  <si>
    <t>10th well attempted this year</t>
  </si>
  <si>
    <t>Well attempts made</t>
  </si>
  <si>
    <t>11th well attempted this year</t>
  </si>
  <si>
    <t>12th well attempted this year</t>
  </si>
  <si>
    <t>13th well attempted this year</t>
  </si>
  <si>
    <t>14th well attempted this year</t>
  </si>
  <si>
    <t>15th well attempted this year</t>
  </si>
  <si>
    <t>16th well attempted this year</t>
  </si>
  <si>
    <t>17th well attempted this year</t>
  </si>
  <si>
    <t>18th well attempted this year</t>
  </si>
  <si>
    <t>19th well attempted this year</t>
  </si>
  <si>
    <t>20th well attempted this year</t>
  </si>
  <si>
    <t>1st well drilled this year</t>
  </si>
  <si>
    <t>2nd well drilled this year</t>
  </si>
  <si>
    <t>3rd well drilled this year</t>
  </si>
  <si>
    <t>4th well drilled this year</t>
  </si>
  <si>
    <t>5th well drilled this year</t>
  </si>
  <si>
    <t>6th well drilled this year</t>
  </si>
  <si>
    <t>7th well drilled this year</t>
  </si>
  <si>
    <t>8th well drilled this year</t>
  </si>
  <si>
    <t>9th well drilled this year</t>
  </si>
  <si>
    <t>10th well drilled this year</t>
  </si>
  <si>
    <t>11th well drilled this year</t>
  </si>
  <si>
    <t>12th well drilled this year</t>
  </si>
  <si>
    <t>13th well drilled this year</t>
  </si>
  <si>
    <t>14th well drilled this year</t>
  </si>
  <si>
    <t>15th well drilled this year</t>
  </si>
  <si>
    <t>16th well drilled this year</t>
  </si>
  <si>
    <t>17th well drilled this year</t>
  </si>
  <si>
    <t>18th well drilled this year</t>
  </si>
  <si>
    <t>19th well drilled this year</t>
  </si>
  <si>
    <t>20th well drilled this year</t>
  </si>
  <si>
    <r>
      <rPr>
        <b/>
        <sz val="10"/>
        <rFont val="Arial"/>
        <family val="2"/>
      </rPr>
      <t>Select</t>
    </r>
    <r>
      <rPr>
        <sz val="10"/>
        <rFont val="Arial"/>
        <family val="2"/>
      </rPr>
      <t xml:space="preserve"> field abandonment cost calculation:</t>
    </r>
  </si>
  <si>
    <r>
      <rPr>
        <b/>
        <sz val="10"/>
        <rFont val="Arial"/>
        <family val="2"/>
      </rPr>
      <t>Select</t>
    </r>
    <r>
      <rPr>
        <sz val="10"/>
        <rFont val="Arial"/>
        <family val="2"/>
      </rPr>
      <t xml:space="preserve"> who pays for connection to grid:</t>
    </r>
  </si>
  <si>
    <r>
      <rPr>
        <b/>
        <sz val="10"/>
        <color theme="1"/>
        <rFont val="Arial"/>
        <family val="2"/>
      </rPr>
      <t>Select</t>
    </r>
    <r>
      <rPr>
        <sz val="10"/>
        <color theme="1"/>
        <rFont val="Arial"/>
        <family val="2"/>
      </rPr>
      <t xml:space="preserve"> O&amp;M costs calculation method:</t>
    </r>
  </si>
  <si>
    <r>
      <rPr>
        <b/>
        <sz val="10"/>
        <rFont val="Arial"/>
        <family val="2"/>
      </rPr>
      <t>Select</t>
    </r>
    <r>
      <rPr>
        <sz val="10"/>
        <rFont val="Arial"/>
        <family val="2"/>
      </rPr>
      <t xml:space="preserve"> type of depreciation scheme:</t>
    </r>
  </si>
  <si>
    <r>
      <rPr>
        <b/>
        <sz val="10"/>
        <rFont val="Arial"/>
        <family val="2"/>
      </rPr>
      <t>Select</t>
    </r>
    <r>
      <rPr>
        <sz val="10"/>
        <rFont val="Arial"/>
        <family val="2"/>
      </rPr>
      <t xml:space="preserve"> units for the loadtime per year:</t>
    </r>
  </si>
  <si>
    <r>
      <rPr>
        <b/>
        <sz val="10"/>
        <color theme="1"/>
        <rFont val="Arial"/>
        <family val="2"/>
      </rPr>
      <t>Select</t>
    </r>
    <r>
      <rPr>
        <sz val="10"/>
        <color theme="1"/>
        <rFont val="Arial"/>
        <family val="2"/>
      </rPr>
      <t xml:space="preserve"> eqn. for well success learning curve</t>
    </r>
  </si>
  <si>
    <t>y=m*ln(x)+b</t>
  </si>
  <si>
    <t>WELL SUCCESS RATE</t>
  </si>
  <si>
    <t>Well planning</t>
  </si>
  <si>
    <t>Nr of production wells in use</t>
  </si>
  <si>
    <t>Cumulative nr of injectors online</t>
  </si>
  <si>
    <t>Injection well drillex</t>
  </si>
  <si>
    <t>Synchronize the exploration and appraisal stimulation costs to when they are implemented. Currently the stimulation costs occur the first year of production</t>
  </si>
  <si>
    <t>Well Success</t>
  </si>
  <si>
    <t>http://www.ifc.org/wps/wcm/connect/7e5eb4804fe24994b118ff23ff966f85/ifc-drilling-success-report-final.pdf?MOD=AJPERES</t>
  </si>
  <si>
    <t>Success of Geothermal Wells: A Global Study</t>
  </si>
  <si>
    <t>International Finance Corporation</t>
  </si>
  <si>
    <t>https://pangea.stanford.edu/ERE/pdf/IGAstandard/SGW/2012/Sanyal.pdf</t>
  </si>
  <si>
    <t>SUCCESS AND THE LEARNING CURVE EFFECT IN GEOTHERMAL WELL DRILLING – A WORLDWIDE SURVEY</t>
  </si>
  <si>
    <t>Sanyal, S., and Morrow, J.W.</t>
  </si>
  <si>
    <t>Mass flow rate per field (kg/s)</t>
  </si>
  <si>
    <t>Mass flow rate per well (kg/s)</t>
  </si>
  <si>
    <t>Well Roughness</t>
  </si>
  <si>
    <t>Absolute pipe roughness</t>
  </si>
  <si>
    <t>http://www.enggcyclopedia.com/2011/09/absolute-roughness/</t>
  </si>
  <si>
    <t>Calculations PER WELL</t>
  </si>
  <si>
    <t>WATER SATURATION PROPERTIES</t>
  </si>
  <si>
    <t>Temp (F)</t>
  </si>
  <si>
    <t>Temp (C)</t>
  </si>
  <si>
    <t>Abs. Vapor pressure (psia)</t>
  </si>
  <si>
    <t>Abs. Vapor pressure (kPa)</t>
  </si>
  <si>
    <t>Trendline (kPa)</t>
  </si>
  <si>
    <t>P(sat) =</t>
  </si>
  <si>
    <t>as given by interpolation</t>
  </si>
  <si>
    <t>C2</t>
  </si>
  <si>
    <t>Wellhead dryness fraction [x2]</t>
  </si>
  <si>
    <t>Source: http://www.thermopedia.com/content/1150/</t>
  </si>
  <si>
    <t>Enthalpy of the reservoir [hR] (kJ/kg)</t>
  </si>
  <si>
    <t>Enthalpy of liquid at wellhead [hf2] (kJ/kg)</t>
  </si>
  <si>
    <t>Enthalpy of gas at wellhead [hg2] (kJ/kg)</t>
  </si>
  <si>
    <t>Test of Psat polynomial (kPa)</t>
  </si>
  <si>
    <t xml:space="preserve">  Temp</t>
  </si>
  <si>
    <t xml:space="preserve">   Pressure</t>
  </si>
  <si>
    <t xml:space="preserve">   volume (m^3/kg)</t>
  </si>
  <si>
    <t xml:space="preserve">    energy (kJ/kg)</t>
  </si>
  <si>
    <t xml:space="preserve">          enthalpy (kJ/kg)</t>
  </si>
  <si>
    <t xml:space="preserve">    entropy (kJ/kg.K)</t>
  </si>
  <si>
    <t xml:space="preserve">  deg C</t>
  </si>
  <si>
    <t xml:space="preserve">     MPa</t>
  </si>
  <si>
    <t xml:space="preserve">     vf</t>
  </si>
  <si>
    <t xml:space="preserve">     vg</t>
  </si>
  <si>
    <t xml:space="preserve">      uf</t>
  </si>
  <si>
    <t xml:space="preserve">      ug</t>
  </si>
  <si>
    <t xml:space="preserve">     hf</t>
  </si>
  <si>
    <t xml:space="preserve">     hfg      </t>
  </si>
  <si>
    <t xml:space="preserve">    hg</t>
  </si>
  <si>
    <t xml:space="preserve">      sf</t>
  </si>
  <si>
    <t xml:space="preserve">   sfg</t>
  </si>
  <si>
    <t xml:space="preserve">    sg</t>
  </si>
  <si>
    <t>(Source of table data:</t>
  </si>
  <si>
    <t xml:space="preserve"> NIST Chemistry WebBook</t>
  </si>
  <si>
    <t>Accessed: Jan 2008)</t>
  </si>
  <si>
    <t>Enthalpy (kJ/kg)</t>
  </si>
  <si>
    <t>Enthalpy (kJ/kg):</t>
  </si>
  <si>
    <t>Reservoir temperature:</t>
  </si>
  <si>
    <t>Enthalpy calculation (from temperature)</t>
  </si>
  <si>
    <t>Enthalpy calculation (from pressure)</t>
  </si>
  <si>
    <t>Wellhead pressure (MPa)</t>
  </si>
  <si>
    <t>THERMODYNAMICS</t>
  </si>
  <si>
    <t>Finish thermodynamics tab and electricity production</t>
  </si>
  <si>
    <t>Expand XL columns to 62 columns? This includes all the phases from the slides</t>
  </si>
  <si>
    <t>Review the comments on all pages</t>
  </si>
  <si>
    <t>To do</t>
  </si>
  <si>
    <t>Examples of feed-in tariffs from PPT</t>
  </si>
  <si>
    <t>(Low priority?) User gives flash scheme to look up into steam tables</t>
  </si>
  <si>
    <t>&lt;-- right now assuming single flash plant</t>
  </si>
  <si>
    <t>Success rate of wells to include exploration and appraisal wells - now only devt.</t>
  </si>
  <si>
    <t>Carry forward negative taxable income</t>
  </si>
  <si>
    <t>Review the text in the intro page - add calculations and assumptions</t>
  </si>
  <si>
    <t>Change pumps to affect injection wells (currently turned off)</t>
  </si>
  <si>
    <t>Questions</t>
  </si>
  <si>
    <t>For IF, include user-defined equations for T(D) and P(D) OR user defines T, D, P</t>
  </si>
  <si>
    <t>Duration estimate (hrs)</t>
  </si>
  <si>
    <t>Include Dietz shapefactor for inflow equation</t>
  </si>
  <si>
    <t>Any news on surface facilities from Robert?</t>
  </si>
  <si>
    <t>Tax incentives/depreciation from PPT (slide #31)</t>
  </si>
  <si>
    <t>TOTAL:</t>
  </si>
  <si>
    <t>For the timeseries of decreasing water temperature, look at Gringarter paper and Jan Diederik's paper</t>
  </si>
  <si>
    <t>Include MW rating as constraint for electricity production? Wait for Robert's advice?</t>
  </si>
  <si>
    <t>Finish by:</t>
  </si>
  <si>
    <t>Feedback from IF:</t>
  </si>
  <si>
    <t>Hear bugs, tips, changes from IF</t>
  </si>
  <si>
    <t>Final:</t>
  </si>
  <si>
    <t>Logan finalize comments from IF, Christian continue work on coursework</t>
  </si>
  <si>
    <t>Tentative:</t>
  </si>
  <si>
    <t>13 July 2017</t>
  </si>
  <si>
    <t>7 July 2017</t>
  </si>
  <si>
    <t>30 June 2017</t>
  </si>
  <si>
    <t>Logan in US, but will be working ~5 days while there if things need fixed</t>
  </si>
  <si>
    <t>14 July - 1 Aug 2017</t>
  </si>
  <si>
    <t>TIMELINE</t>
  </si>
  <si>
    <t>Viscosity of water? Should make it calculated - will user know sodium chloride eqs?</t>
  </si>
  <si>
    <t>If extra time, other change requests…</t>
  </si>
  <si>
    <t>&lt;-- if not, might be something in DiPippo book…</t>
  </si>
  <si>
    <t>&lt;-- 50 should be enough because depreciated costs will already be settled (NPV goes to 0)</t>
  </si>
  <si>
    <t>Expect this Monday from Robert!</t>
  </si>
  <si>
    <t>User-defined minimum inlet temperature</t>
  </si>
  <si>
    <t>Would success rate also be applied to injection wells?</t>
  </si>
  <si>
    <t>Look through Gringarter paper and J-D's Java for breakthrough times (low priority)</t>
  </si>
  <si>
    <t>Low-enthalpy heat sales inclusion? (later)</t>
  </si>
  <si>
    <t>&lt;-- MENTION IN INTRO DOCUMENT</t>
  </si>
  <si>
    <t>Synchronize exploration and stimulation costs - now they are charged when production starts, and not when this well is implemented</t>
  </si>
  <si>
    <t>&lt;-- PUT IN COMMENTS/INTRO</t>
  </si>
  <si>
    <t>Send to IF, Christian can start making coursework around this</t>
  </si>
  <si>
    <t>Error page for user to list all possible errors if getting strange output</t>
  </si>
  <si>
    <t>Value to look up:</t>
  </si>
  <si>
    <t>Value from table:</t>
  </si>
  <si>
    <t>NOT USED:</t>
  </si>
  <si>
    <t>Friction factor [f]</t>
  </si>
  <si>
    <t>Reynolds number [Re]</t>
  </si>
  <si>
    <t xml:space="preserve">   density (kg/m^3)</t>
  </si>
  <si>
    <t xml:space="preserve">     pf</t>
  </si>
  <si>
    <t xml:space="preserve">     pg</t>
  </si>
  <si>
    <t>Enthalpy and steam table values</t>
  </si>
  <si>
    <t>Wellhead slip ratio [k2]</t>
  </si>
  <si>
    <t>Factor C3</t>
  </si>
  <si>
    <t>Actual pressure at wellhead (Pa)</t>
  </si>
  <si>
    <t>P_R</t>
  </si>
  <si>
    <t>C_D</t>
  </si>
  <si>
    <t>P_2</t>
  </si>
  <si>
    <t>g</t>
  </si>
  <si>
    <t>L_F</t>
  </si>
  <si>
    <t>d_F</t>
  </si>
  <si>
    <t>f_LV</t>
  </si>
  <si>
    <t>f</t>
  </si>
  <si>
    <t>C_3</t>
  </si>
  <si>
    <t>k_2</t>
  </si>
  <si>
    <t>x_2</t>
  </si>
  <si>
    <t>ρ_f2</t>
  </si>
  <si>
    <t>ρ_R</t>
  </si>
  <si>
    <t>ρ_LV</t>
  </si>
  <si>
    <t>V_LV</t>
  </si>
  <si>
    <t>ρ_g2</t>
  </si>
  <si>
    <t>h_R</t>
  </si>
  <si>
    <t>h_f2</t>
  </si>
  <si>
    <t>h_g2</t>
  </si>
  <si>
    <t>Drawdown coefficient</t>
  </si>
  <si>
    <t>P_1</t>
  </si>
  <si>
    <t>Pressure at the bottom of the well under flowing conditions</t>
  </si>
  <si>
    <t>Distance up the well from the feed zone up to the flash horizon</t>
  </si>
  <si>
    <t>Mass flow rate</t>
  </si>
  <si>
    <t>Density of the fluid in the reservoir</t>
  </si>
  <si>
    <t>Gravitational acceleration (9.80665 m/s^2)</t>
  </si>
  <si>
    <t>Pressure at the wellhead</t>
  </si>
  <si>
    <t>Friction factor</t>
  </si>
  <si>
    <t>P_sat(T_R)</t>
  </si>
  <si>
    <t>Cross-sectional area of the well tubing</t>
  </si>
  <si>
    <t>ε</t>
  </si>
  <si>
    <t>Surface roughness factor</t>
  </si>
  <si>
    <t>Dist. from feed zone to flash horizon [L_F] (m)</t>
  </si>
  <si>
    <t>Dist. from wellhead to flash horizon [d_F] (m)</t>
  </si>
  <si>
    <t>Two-phase velocity [V_LV] (m/s)</t>
  </si>
  <si>
    <t>Tubing surface roughness (mm)</t>
  </si>
  <si>
    <t>Saturation pressure (kPa)</t>
  </si>
  <si>
    <t>Saturation pressure corresponding to the temperature of the reservoir</t>
  </si>
  <si>
    <t>Diameter of the production tubing</t>
  </si>
  <si>
    <t>—</t>
  </si>
  <si>
    <t>Temperature (deg C)</t>
  </si>
  <si>
    <t>Enthalpy of vaporization (kJ/kg)</t>
  </si>
  <si>
    <t>Specific heat (J/kg*K)</t>
  </si>
  <si>
    <t>Liquid</t>
  </si>
  <si>
    <t>Vapor</t>
  </si>
  <si>
    <t>Thermal conductivity (W/m*K)</t>
  </si>
  <si>
    <t>Dynamic viscosity (kg/m*s)</t>
  </si>
  <si>
    <t>Prandtl number</t>
  </si>
  <si>
    <t>Volume expansion coefficient (1/K)</t>
  </si>
  <si>
    <t>Note 2: The unit kJ/kg·_C for specific heat is equivalent to kJ/kg·K, and the unit W/m·_C for thermal conductivity is equivalent to W/m·K.</t>
  </si>
  <si>
    <t>Source: Viscosity and thermal conductivity data are from J. V. Sengers and J. T. R. Watson, Journal of Physical and Chemical Reference Data 15 (1986), pp. 1291–1322. Other data are obtained from various sources or calculated.</t>
  </si>
  <si>
    <t>Viscosity (kg/m*s)</t>
  </si>
  <si>
    <t>Wellhead dryness fraction</t>
  </si>
  <si>
    <t>Slip ratio, which relates to the velocity of the two phases</t>
  </si>
  <si>
    <t>Average density over the two-phase region</t>
  </si>
  <si>
    <t>Mean effective two-phase velocity</t>
  </si>
  <si>
    <t>Depth to the flash horizon</t>
  </si>
  <si>
    <t>Friction factor of the two-phase region</t>
  </si>
  <si>
    <t>Density of the fluid at the wellhead</t>
  </si>
  <si>
    <t>Density of the gas at the wellhead</t>
  </si>
  <si>
    <t>Enthalpy of the fluid at the wellhead</t>
  </si>
  <si>
    <t>Enthalpy of the gas at the wellhead</t>
  </si>
  <si>
    <t>Factor</t>
  </si>
  <si>
    <t>Enthalpy of the fluid at the reservoir temperature</t>
  </si>
  <si>
    <t>Do time series for properties of water, such as viscosity, enthalpy, density, etc. since those change with time</t>
  </si>
  <si>
    <t>Pg 878, Appendix 1</t>
  </si>
  <si>
    <t>Specific heat (kJ/kg*C)</t>
  </si>
  <si>
    <t>hr</t>
  </si>
  <si>
    <t>hf2</t>
  </si>
  <si>
    <t>hg2</t>
  </si>
  <si>
    <t>m3/kg</t>
  </si>
  <si>
    <t>kJ/kg</t>
  </si>
  <si>
    <t>kJ/kg*K</t>
  </si>
  <si>
    <t>Cumulative nr of wells attempted total</t>
  </si>
  <si>
    <t>Nr wells attempted total</t>
  </si>
  <si>
    <t>MPa</t>
  </si>
  <si>
    <t>Closest P (MPa)</t>
  </si>
  <si>
    <t>Pressures (MPa)</t>
  </si>
  <si>
    <t>Pressure</t>
  </si>
  <si>
    <t>Range start</t>
  </si>
  <si>
    <t>Range end</t>
  </si>
  <si>
    <t>closest pressure match</t>
  </si>
  <si>
    <t>Selected range</t>
  </si>
  <si>
    <t>(START)</t>
  </si>
  <si>
    <t>(END)</t>
  </si>
  <si>
    <t>Entropy (kJ/kg*K)</t>
  </si>
  <si>
    <t>This table finds which pressure to use:</t>
  </si>
  <si>
    <t>This table finds the enthalpy for the selected pressure:</t>
  </si>
  <si>
    <t>This table finds the entropy for the selected pressure:</t>
  </si>
  <si>
    <t>(row #)</t>
  </si>
  <si>
    <t>(MPa)</t>
  </si>
  <si>
    <t>NOT USED</t>
  </si>
  <si>
    <t>Nr of injection wells brought online</t>
  </si>
  <si>
    <t>Enthalpy before entering turbine (kJ/kg)</t>
  </si>
  <si>
    <t>Enthalpy after leaving turbine (kJ/kg)</t>
  </si>
  <si>
    <t>Enthalpy gas after leaving turbine (kJ/kg)</t>
  </si>
  <si>
    <t>Enthalpy fluid/gas after leaving turbine (kJ/kg)</t>
  </si>
  <si>
    <t>STILL IN PROGRESS</t>
  </si>
  <si>
    <t>Electric power (MW)</t>
  </si>
  <si>
    <t>Max MW</t>
  </si>
  <si>
    <t>Enthalpy time series</t>
  </si>
  <si>
    <t>Pumps</t>
  </si>
  <si>
    <t>https://www.flowserve.com/sites/default/files/2016-07/fpd-20-ea4.pdf</t>
  </si>
  <si>
    <t>Pump examples</t>
  </si>
  <si>
    <t>Re-injection pump</t>
  </si>
  <si>
    <t>http://www.sulzer.com/hr/Industries/Power-Generation/Geothermal/Flash-Steam-Geothermal-Plant/Brine-Re-Injection-Pump</t>
  </si>
  <si>
    <t>Reservoir temp</t>
  </si>
  <si>
    <t>Low reservoir temp (from table)</t>
  </si>
  <si>
    <t>High reservoir temp (from table)</t>
  </si>
  <si>
    <r>
      <t>Note 1: Kinematic viscosity n and thermal diffusivity a can be calculated from their definitions, n _ m/r and a _ k/r</t>
    </r>
    <r>
      <rPr>
        <i/>
        <sz val="8"/>
        <color theme="1"/>
        <rFont val="Arial"/>
        <family val="2"/>
      </rPr>
      <t xml:space="preserve">cp </t>
    </r>
    <r>
      <rPr>
        <sz val="8"/>
        <color theme="1"/>
        <rFont val="Arial"/>
        <family val="2"/>
      </rPr>
      <t>_ n/Pr. The temperatures 0.01_C, 100_C, and 374.14_C are the triple-, boiling-, and critical-point temperatures of water, respectively. The properties listed above (except the vapor density) can be used at any pressure with negligible error except at temperatures near the critical-point value.</t>
    </r>
  </si>
  <si>
    <t>Water props time series</t>
  </si>
  <si>
    <t>Density (interpolated)</t>
  </si>
  <si>
    <t>Density of water (kg/m3)</t>
  </si>
  <si>
    <t>Average density</t>
  </si>
  <si>
    <t>Water properties</t>
  </si>
  <si>
    <t>Viscosity (interpolated) (kg/m*s)</t>
  </si>
  <si>
    <t>Drawdown coefficient (C_D)</t>
  </si>
  <si>
    <t>Saturation pressure (Pa)</t>
  </si>
  <si>
    <t>Pressure (kPa)</t>
  </si>
  <si>
    <r>
      <t>Density of liquid at wellhead [ρ</t>
    </r>
    <r>
      <rPr>
        <sz val="10"/>
        <rFont val="Calibri"/>
        <family val="2"/>
      </rPr>
      <t>_</t>
    </r>
    <r>
      <rPr>
        <sz val="10"/>
        <rFont val="Arial"/>
        <family val="2"/>
      </rPr>
      <t>f2] (kg/m3)</t>
    </r>
  </si>
  <si>
    <t>Density of gas at wellhead [ρ_g2] (kg/m3)</t>
  </si>
  <si>
    <t>Density of two-phase at flash [ρ_LV] (kg/m3)</t>
  </si>
  <si>
    <t>Density of two-phase region (kg/m3) [ρ_LV]</t>
  </si>
  <si>
    <t>Two-phase friction factor assumption [f_LV]</t>
  </si>
  <si>
    <t>Density of reservoir fluid (kg/m3) [ρ_R]</t>
  </si>
  <si>
    <t>Inlet enthalpy (interpolated) (kJ/kg)</t>
  </si>
  <si>
    <t>Low inlet enthalpy (from table)</t>
  </si>
  <si>
    <t>High inlet enthalpy (from table)</t>
  </si>
  <si>
    <t>TURBINE CALCULATIONS</t>
  </si>
  <si>
    <t>Low inlet entropy (from table)</t>
  </si>
  <si>
    <t>High inlet entropy (from table)</t>
  </si>
  <si>
    <t>Inlet entropy (interpolated) (kJ/kg*K)</t>
  </si>
  <si>
    <t>Outlet enthalpy (kJ/kg)</t>
  </si>
  <si>
    <t>Vapor quality [x]</t>
  </si>
  <si>
    <t>Isentropic turbine efficiency</t>
  </si>
  <si>
    <t>Isentropic turbine efficiencies</t>
  </si>
  <si>
    <t>http://www.massengineers.com/Documents/isentropic_efficiency.htm</t>
  </si>
  <si>
    <t>Enthalpy at turbine outlet (kJ/kg)</t>
  </si>
  <si>
    <t>Enthalpy at turbine inlet (kJ/kg)</t>
  </si>
  <si>
    <t>Reservoir temperature (°C)</t>
  </si>
  <si>
    <t>Average ambient temp (°C)</t>
  </si>
  <si>
    <t xml:space="preserve">Flowing tubing temperature (°C) </t>
  </si>
  <si>
    <t>Reservoir temp (°C)</t>
  </si>
  <si>
    <t>Temp (°C)</t>
  </si>
  <si>
    <t>Turbine inlet temp (°C)</t>
  </si>
  <si>
    <t>In Intro update version history</t>
  </si>
  <si>
    <t>In Intro update General description of the model</t>
  </si>
  <si>
    <t>Correct checks in P-D!K24-25. See also FutureWork!C14</t>
  </si>
  <si>
    <t>KPI!A26: calculate upside potential = Volumetrics!C25 - effective MW of field (how to calculate that?)</t>
  </si>
  <si>
    <t>In KPI!: calculate effective MW of field (how to calculate that: cumGWh / [nr prod yrs * hrs/yr * uptime]?)</t>
  </si>
  <si>
    <t>In Volumetrics!C19, link efficiency value to Robert's calculation method, i.e. to cell P-D!Q17</t>
  </si>
  <si>
    <t>Is entropy same as specific heat (kJ/kg.C)?</t>
  </si>
  <si>
    <t>In the oilfield XL model I added a detailed opex graph. That would be good to have again here. The figure should clearly distinguish: fixed opex / variable opex (well workovers and re-stimulation) / variable opex (production) / special maintenance opex....</t>
  </si>
  <si>
    <t>June 27, 2017: Version 1.4 was sent by Logan Brunner to Christian Bos (TNO). This version includes updates to graphs, calculations, and references to lookup tables. Addintional features include a well success learning curve as well as a calculation of power from enthalpy, as opposed to a rough equation.</t>
  </si>
  <si>
    <t>It is decreasing - compared to the other values, it is so miniscule</t>
  </si>
  <si>
    <t>No, these are different values. Specific heat is the heat needed to raise the temperature of something. Entropy has to deal with the dissarray and reversability of a system.</t>
  </si>
  <si>
    <t>Comment added</t>
  </si>
  <si>
    <t>There is a column that states "Completed bug fixes"</t>
  </si>
  <si>
    <t>https://www.ihs.com/Info/cera/ihsindexes/ and add comment in each money cell saying to correct the number to beginning year</t>
  </si>
  <si>
    <t>Cost of replacement turbine ($ MM) --&gt;</t>
  </si>
  <si>
    <t>Hrs until turbine needs replacement --&gt;</t>
  </si>
  <si>
    <t>Use the max MW throughout the years</t>
  </si>
  <si>
    <r>
      <rPr>
        <b/>
        <u/>
        <sz val="10"/>
        <rFont val="Arial"/>
        <family val="2"/>
      </rPr>
      <t>Appraisal</t>
    </r>
    <r>
      <rPr>
        <b/>
        <sz val="10"/>
        <rFont val="Arial"/>
        <family val="2"/>
      </rPr>
      <t xml:space="preserve"> wells drilled</t>
    </r>
  </si>
  <si>
    <r>
      <rPr>
        <b/>
        <u/>
        <sz val="10"/>
        <rFont val="Arial"/>
        <family val="2"/>
      </rPr>
      <t>Exploration</t>
    </r>
    <r>
      <rPr>
        <b/>
        <sz val="10"/>
        <rFont val="Arial"/>
        <family val="2"/>
      </rPr>
      <t xml:space="preserve"> wells drilled</t>
    </r>
  </si>
  <si>
    <r>
      <rPr>
        <b/>
        <u/>
        <sz val="10"/>
        <rFont val="Arial"/>
        <family val="2"/>
      </rPr>
      <t>Development</t>
    </r>
    <r>
      <rPr>
        <b/>
        <sz val="10"/>
        <rFont val="Arial"/>
        <family val="2"/>
      </rPr>
      <t xml:space="preserve"> wells drilled</t>
    </r>
  </si>
  <si>
    <t>Nr exploration wells failed</t>
  </si>
  <si>
    <t>Nr appraisal wells failed</t>
  </si>
  <si>
    <r>
      <t xml:space="preserve">Nr </t>
    </r>
    <r>
      <rPr>
        <b/>
        <sz val="10"/>
        <rFont val="Arial"/>
        <family val="2"/>
      </rPr>
      <t>appraisal</t>
    </r>
    <r>
      <rPr>
        <sz val="10"/>
        <rFont val="Arial"/>
        <family val="2"/>
      </rPr>
      <t xml:space="preserve"> wells attempted</t>
    </r>
  </si>
  <si>
    <r>
      <t xml:space="preserve">Nr </t>
    </r>
    <r>
      <rPr>
        <b/>
        <sz val="10"/>
        <rFont val="Arial"/>
        <family val="2"/>
      </rPr>
      <t>exploration</t>
    </r>
    <r>
      <rPr>
        <sz val="10"/>
        <rFont val="Arial"/>
        <family val="2"/>
      </rPr>
      <t xml:space="preserve"> wells attempted</t>
    </r>
  </si>
  <si>
    <t>Nr development wells failed</t>
  </si>
  <si>
    <t>Total nr of prod. well workovers</t>
  </si>
  <si>
    <t>Total nr of inj. well workovers</t>
  </si>
  <si>
    <t>Government take</t>
  </si>
  <si>
    <t>Cum Total cash-out</t>
  </si>
  <si>
    <t>Well drilling failed</t>
  </si>
  <si>
    <r>
      <t xml:space="preserve">Yearly skin growth factor for </t>
    </r>
    <r>
      <rPr>
        <b/>
        <sz val="10"/>
        <color theme="1"/>
        <rFont val="Arial"/>
        <family val="2"/>
      </rPr>
      <t>inj.</t>
    </r>
    <r>
      <rPr>
        <sz val="10"/>
        <color theme="1"/>
        <rFont val="Arial"/>
        <family val="2"/>
      </rPr>
      <t xml:space="preserve"> wells (positive number)</t>
    </r>
  </si>
  <si>
    <t>Rock specific heat (kJ/kg*C)</t>
  </si>
  <si>
    <r>
      <t xml:space="preserve">Drill &amp; compl. cost per </t>
    </r>
    <r>
      <rPr>
        <b/>
        <sz val="10"/>
        <color theme="1"/>
        <rFont val="Arial"/>
        <family val="2"/>
      </rPr>
      <t>appraisal</t>
    </r>
    <r>
      <rPr>
        <sz val="10"/>
        <color theme="1"/>
        <rFont val="Arial"/>
        <family val="2"/>
      </rPr>
      <t xml:space="preserve"> well ($ MM)</t>
    </r>
  </si>
  <si>
    <r>
      <t xml:space="preserve">Drill &amp; compl. cost per </t>
    </r>
    <r>
      <rPr>
        <b/>
        <sz val="10"/>
        <color theme="1"/>
        <rFont val="Arial"/>
        <family val="2"/>
      </rPr>
      <t>injection</t>
    </r>
    <r>
      <rPr>
        <sz val="10"/>
        <color theme="1"/>
        <rFont val="Arial"/>
        <family val="2"/>
      </rPr>
      <t xml:space="preserve"> well ($ MM)</t>
    </r>
  </si>
  <si>
    <r>
      <t xml:space="preserve">Drill &amp; compl. cost per </t>
    </r>
    <r>
      <rPr>
        <b/>
        <sz val="10"/>
        <color theme="1"/>
        <rFont val="Arial"/>
        <family val="2"/>
      </rPr>
      <t>dev.</t>
    </r>
    <r>
      <rPr>
        <sz val="10"/>
        <color theme="1"/>
        <rFont val="Arial"/>
        <family val="2"/>
      </rPr>
      <t xml:space="preserve"> well ($ MM)</t>
    </r>
  </si>
  <si>
    <t>Years to depreciate</t>
  </si>
  <si>
    <t>Salvage value of depreciated asset (%)</t>
  </si>
  <si>
    <t>Field abandonment cost ($ MM)</t>
  </si>
  <si>
    <t>Field abandonment cost (% cum capex)</t>
  </si>
  <si>
    <t>Fixed</t>
  </si>
  <si>
    <r>
      <rPr>
        <b/>
        <sz val="10"/>
        <rFont val="Arial"/>
        <family val="2"/>
      </rPr>
      <t>Select</t>
    </r>
    <r>
      <rPr>
        <sz val="10"/>
        <rFont val="Arial"/>
        <family val="2"/>
      </rPr>
      <t xml:space="preserve"> electricity sales per MWh tariff:</t>
    </r>
  </si>
  <si>
    <t>Initial well success rate (b factor)</t>
  </si>
  <si>
    <t>Slope of well success rate curve (m factor)</t>
  </si>
  <si>
    <t>This has the cycle net thermal efficiency</t>
  </si>
  <si>
    <t>Thermal conversion efficiency - Australia</t>
  </si>
  <si>
    <t>http://geothermal.statedevelopment.sa.gov.au/__data/assets/pdf_file/0018/60408/LawlessAGEG_DP_GeothermalResourcesDefinition_2007.pdf</t>
  </si>
  <si>
    <t>Used by consulting company SKM of Australia</t>
  </si>
  <si>
    <t>STEAM TABLES</t>
  </si>
  <si>
    <t>WATER PROPERTIES</t>
  </si>
  <si>
    <t>mass flow rate per well</t>
  </si>
  <si>
    <t>Robert de Kler Method</t>
  </si>
  <si>
    <t>DiPippo Method</t>
  </si>
  <si>
    <t>Res. enthalpy (interpolated) (kJ/kg)</t>
  </si>
  <si>
    <t>Turbine inlet pressure (MPa)</t>
  </si>
  <si>
    <t>Low turbine pressure (from table)</t>
  </si>
  <si>
    <t>High turbine pressure (from table)</t>
  </si>
  <si>
    <t>Wellhead fluid enthalpy (interpolated) (kJ/kg)</t>
  </si>
  <si>
    <t>Low inlet fluid enthalpy (from table)</t>
  </si>
  <si>
    <t>High inlet fluid enthalpy (from table)</t>
  </si>
  <si>
    <t>Low inlet gas enthalpy (from table)</t>
  </si>
  <si>
    <t>High inlet gas enthalpy (from table)</t>
  </si>
  <si>
    <t>Wellhead gas enthalpy (interpolated) (kJ/kg)</t>
  </si>
  <si>
    <t>C3</t>
  </si>
  <si>
    <t>Low wellhead fluid density (from table)</t>
  </si>
  <si>
    <t>High wellhead fluid density (from table)</t>
  </si>
  <si>
    <t>Wellhead fluid density (interpolated) (kg/m3)</t>
  </si>
  <si>
    <t>Low wellhead gas density (from table)</t>
  </si>
  <si>
    <t>High wellhead gas density (from table)</t>
  </si>
  <si>
    <t>Wellhead gas density (interpolated) (kg/m3)</t>
  </si>
  <si>
    <t>pf2</t>
  </si>
  <si>
    <t>pg2</t>
  </si>
  <si>
    <t>P2</t>
  </si>
  <si>
    <t>DiPippo calcs</t>
  </si>
  <si>
    <t>Power per well (MWe)</t>
  </si>
  <si>
    <t>Power per field (MWe)</t>
  </si>
  <si>
    <t>ΔT of produced fluids from reservoir to tubing head (°C)</t>
  </si>
  <si>
    <t>Transaction to government</t>
  </si>
  <si>
    <t>Comments Christian on version 1.4 (27 June 2017)</t>
  </si>
  <si>
    <t>yes</t>
  </si>
  <si>
    <t>In Bug fixes, clearly show which bugs have been resolved: cross-out + version?</t>
  </si>
  <si>
    <t>ok</t>
  </si>
  <si>
    <r>
      <t xml:space="preserve">All costs (well etc) should be related to a reference year, otherwise costs have little meaning. We should then also refer to the UCCI and UOCI indices to indicate how to correct these costs to the reference year of the case study. See </t>
    </r>
    <r>
      <rPr>
        <u/>
        <sz val="11"/>
        <color theme="1"/>
        <rFont val="Calibri"/>
        <family val="2"/>
        <scheme val="minor"/>
      </rPr>
      <t>https://www.ihs.com/info/cera/ihsindexes/index.html</t>
    </r>
    <r>
      <rPr>
        <sz val="11"/>
        <color theme="1"/>
        <rFont val="Calibri"/>
        <family val="2"/>
        <scheme val="minor"/>
      </rPr>
      <t xml:space="preserve">. Indexes can be downloaded in XL and can be used by the user to correct capex/drillex costs (UCCI) to the reference year of the case. Same of opex (UOCI). We can add this data to some worksheet and explain how to use this for correcting capex/drillex/opex to the user-defined reference year.  </t>
    </r>
  </si>
  <si>
    <t>to be done</t>
  </si>
  <si>
    <t>Fig. Fiscal status: to be improved. Perhaps better to split into 2 separate graphs on one worksheet: GovtTake and Fiscal status / depreciation. And to have Capital employed / allowance etc. as positive figures. The point is that although one can filter the curves in a graph, one has to select the graph first to this end, and this is not allowed when using CB. That's why the Figure worksheets should be protected. Note that apart from tax and royalty, Govt Take should also include other variables such as levies, duties, signature bonus, permits etc. Perhaps we should include a new row in P-D! scoping /exploration etc phases to enable input on levies etc. This can then be added to the capex of that phase.</t>
  </si>
  <si>
    <t>ok, Ask IF how duties etc are treated fiscally: opex / capex?</t>
  </si>
  <si>
    <t xml:space="preserve">in Fig. Fiscal status: why doesn't capital employed decrease after say 2040? Is that the salvage value of all capex? </t>
  </si>
  <si>
    <t xml:space="preserve">Solved. Ask IF: P-D!AG14-15: how to address fiscally replacement capex? Ref. Robert de Kler automatic replacement of turbines after n hours. Similar question: what if capex is depreciated: how long does it continue operating? </t>
  </si>
  <si>
    <t>same</t>
  </si>
  <si>
    <t xml:space="preserve">In KPI!: add cumulative GWh sales (undiscounted), list total nr of productive years. </t>
  </si>
  <si>
    <t>Ask Robert how user should input turbine rating and how to use that as a constraint.</t>
  </si>
  <si>
    <t xml:space="preserve">P-D!P10: we should mention in comment that in Indonesia GTE wells are in principle free-flowing, i.e. no pumps are used. In this comment we could also mention that for GTE wells that are not free-flowing we may add later the calculation of power needed to lift the water column and provide the user-specified FBHP. </t>
  </si>
  <si>
    <t xml:space="preserve">IF's Niek Willemsen would send something on VFP. </t>
  </si>
  <si>
    <t>I'll look at entropy definition: entropy is relative</t>
  </si>
  <si>
    <t xml:space="preserve">P-D!H18: confusing whether ID (inner diameter) or radius is meant. Factor 2 difference. </t>
  </si>
  <si>
    <t>I will do this later in comments</t>
  </si>
  <si>
    <t xml:space="preserve">Did you test all units? Note: formation thickness should not be in cm. You can delete this option. </t>
  </si>
  <si>
    <t xml:space="preserve">existing option in P-D!AG15-16 to be tailored to turbine replacement only. </t>
  </si>
  <si>
    <t>Could we also add a figure displaying the well learning rate and how new wells in the current case feature in terms of success or failure? Fig. Learning, or combine on same page as Fig.Rig!</t>
  </si>
  <si>
    <t>P-D! cells I20 and I22: better to repeat full description as in cell above but then for injector (useful in CB)</t>
  </si>
  <si>
    <t xml:space="preserve">Let's discuss which variables are uncertain, and which are decisions / design choices. </t>
  </si>
  <si>
    <t>later</t>
  </si>
  <si>
    <t>KPI!A13: unit m3 wrong?</t>
  </si>
  <si>
    <t>KPI!B24: often division by 0 in PV Capex/MW</t>
  </si>
  <si>
    <t xml:space="preserve">In Figures, add new graph with FBHT and FTHT and T(turb inlet) vs time, and with dotted horizontal line for minimum allowable T(turb inlet) </t>
  </si>
  <si>
    <t>In Fig Electricity and Fig Prod, add below legend reason for closing-in the field: insert text box and refer to cell in Cashflow!</t>
  </si>
  <si>
    <t>How can we protect all Fig worksheets such that selecting objects is disabled? This is required to single step during CB simulation and view graphs while single stepping.</t>
  </si>
  <si>
    <t xml:space="preserve">In KPI!, the IRR calculation is sometimes wrong: #NUM!. To be checked. </t>
  </si>
  <si>
    <t xml:space="preserve">In Fig Rig, show unsuccessful wells drilled. Same colour of phase, but only outline / no fill. </t>
  </si>
  <si>
    <t>KPI!B18: sometimes wrong calculation (#N/A)</t>
  </si>
  <si>
    <t>KPI! NPV and IRR often conflicting: If IRR &lt; discount rate, NPV should be &lt;0. Conversely, if IRR &gt; discount rate, NPV should be &gt;0. Check calculation. But the problem is probably more than 1 sign change in NCF: then the IRR is ill-determined. We should add a warning in KPI!IRR that the IRR wil be wrong if more than one sign change in NCF (this may be counted in the Cashflow! And if &gt;1 sign change, we can set the IRR at -100%, just like the cases where NPV&lt;0). Also in P-D! row, we should warn when filling in the capex/drillex that IRR will be wrong depending on the NCF sign changes. In this case this is due to time-series input "Other cash-in" with a sudden 50M in 2022. This should not be allowed, so let's give a warning....? (time-series deleted in this file)</t>
  </si>
  <si>
    <t>KPI!IRR sometimes gives #NUM!</t>
  </si>
  <si>
    <t>KPI!B18 once gave '-2016' for Pay-out time (discounted cashflow). I.e. a negative value of 2016</t>
  </si>
  <si>
    <t>KPI!B5 (electr sales) sometimes gives a negative value in MM $: should not be possible. Same Govt Take…</t>
  </si>
  <si>
    <t xml:space="preserve">I looked at Well success! Worksheet. Given the learning curve and with 15 wells, success rate of 15th well is 67%. This means that at least 1/3 of the wells drilled should be a failure. Yet in your example, only 1 exploration well is a failure (i.e. 93% success rate in this sample). This is probably due to the RNG, but somehow it does not feel good. Should we do this in CB? </t>
  </si>
  <si>
    <t xml:space="preserve">Thermodynamics! Figure: are pressures negative? </t>
  </si>
  <si>
    <t>In all worksheets, protect all cells except input. Btw, how to set different protection levels: edit, select, view, delete, etc.?</t>
  </si>
  <si>
    <t>Enable input to specify well inflow rate directly, rather than calculate it from the basic variables</t>
  </si>
  <si>
    <t>check when</t>
  </si>
  <si>
    <t>Comment in P-D!P15 is not fully correct….</t>
  </si>
  <si>
    <t>KPI!B13 not SCI notation. B14-15: one decimal only</t>
  </si>
  <si>
    <t xml:space="preserve">KPI!D6 comment correct? </t>
  </si>
  <si>
    <t>Cashflow! Row 30-39: why negative values? Same Flow! Row 48</t>
  </si>
  <si>
    <t>removed cm</t>
  </si>
  <si>
    <t>DONE. Added government take for each phase.</t>
  </si>
  <si>
    <t>Transactions to government</t>
  </si>
  <si>
    <t>Cum Transactions to government</t>
  </si>
  <si>
    <t>Done</t>
  </si>
  <si>
    <t>Not done</t>
  </si>
  <si>
    <t>In KPI!: list installed MW capacity (shouldn't that be input?) …. we should add a constraint if turbine capacity &lt; sum of wells capacity. See also Future work!C34</t>
  </si>
  <si>
    <t>Not the same thing??</t>
  </si>
  <si>
    <t>Changed to inner diameters</t>
  </si>
  <si>
    <t>ROCK PROPERTIES</t>
  </si>
  <si>
    <t>Material</t>
  </si>
  <si>
    <t>Tons / Cubic Yard</t>
  </si>
  <si>
    <t>Andesite</t>
  </si>
  <si>
    <t>2.11 - 2.36</t>
  </si>
  <si>
    <t>Basalt/Traprock</t>
  </si>
  <si>
    <t>2.36 - 2.53</t>
  </si>
  <si>
    <t>Coal - Anthracite</t>
  </si>
  <si>
    <t>Coal - Bituminous</t>
  </si>
  <si>
    <t>0.92 - 1.18</t>
  </si>
  <si>
    <t>Copper Ore</t>
  </si>
  <si>
    <t>Diabase</t>
  </si>
  <si>
    <t>2.19 - 2.53</t>
  </si>
  <si>
    <t>Diorite</t>
  </si>
  <si>
    <t>Dolomite</t>
  </si>
  <si>
    <t>2.36 - 2.44</t>
  </si>
  <si>
    <t>Earth (dry)</t>
  </si>
  <si>
    <t>1.35 - 1.52</t>
  </si>
  <si>
    <t>Earth (wet)</t>
  </si>
  <si>
    <t>Gneiss</t>
  </si>
  <si>
    <t>2.19 - 2.44</t>
  </si>
  <si>
    <t>2.19 - 2.28</t>
  </si>
  <si>
    <t>Gypsum</t>
  </si>
  <si>
    <t>1.94 - 2.36</t>
  </si>
  <si>
    <t>Iron Ore</t>
  </si>
  <si>
    <t>3.79 - 4.47</t>
  </si>
  <si>
    <t>Lead Ore (Galena)</t>
  </si>
  <si>
    <t>1.94 - 2.28</t>
  </si>
  <si>
    <t>Marble</t>
  </si>
  <si>
    <t>2.02 - 2.28</t>
  </si>
  <si>
    <t>Mica, schist</t>
  </si>
  <si>
    <t>2.09 - 2.43</t>
  </si>
  <si>
    <t>Quartzite</t>
  </si>
  <si>
    <t>2.19 - 2.36</t>
  </si>
  <si>
    <t>Rhyolite</t>
  </si>
  <si>
    <t>2.02 - 2.19</t>
  </si>
  <si>
    <t>Rock Salt</t>
  </si>
  <si>
    <t>2.11 - 2.19</t>
  </si>
  <si>
    <t>1.85 - 2.36</t>
  </si>
  <si>
    <t>Shale</t>
  </si>
  <si>
    <t>2.02 - 2.36</t>
  </si>
  <si>
    <t>Slate</t>
  </si>
  <si>
    <t>2.28 - 2.36</t>
  </si>
  <si>
    <t>Talc</t>
  </si>
  <si>
    <t>Average Specific Gravity of Various Rock Types</t>
  </si>
  <si>
    <t>Rock Type</t>
  </si>
  <si>
    <t>Porosity %</t>
  </si>
  <si>
    <t>2.60 - 2.70</t>
  </si>
  <si>
    <t>0.5 - 1.5</t>
  </si>
  <si>
    <t>Dolerite</t>
  </si>
  <si>
    <t>3.00 - 3.05</t>
  </si>
  <si>
    <t>0.1 - 0.5</t>
  </si>
  <si>
    <t>2.00 - 2.60</t>
  </si>
  <si>
    <t>5.0 - 25.0</t>
  </si>
  <si>
    <t>2.00 - 2.40</t>
  </si>
  <si>
    <t>10.0 - 30.0</t>
  </si>
  <si>
    <t>2.20 - 2.60</t>
  </si>
  <si>
    <t>5.0 - 20.0</t>
  </si>
  <si>
    <t>2.50 - 2.60</t>
  </si>
  <si>
    <t>1.0 - 5.0</t>
  </si>
  <si>
    <t>Specific Gravity and Porosity of Various Rock Types</t>
  </si>
  <si>
    <t>Specific Gravity (gm/cc)</t>
  </si>
  <si>
    <t>Source: http://www.edumine.com/xtoolkit/tables/sgtables.htm</t>
  </si>
  <si>
    <t>Density</t>
  </si>
  <si>
    <t>Density low (kg/m3)</t>
  </si>
  <si>
    <t>Density high (kg/m3)</t>
  </si>
  <si>
    <t>Specific Gravity high</t>
  </si>
  <si>
    <t>Specific Gravity low</t>
  </si>
  <si>
    <t>Text of the rock properties:</t>
  </si>
  <si>
    <r>
      <t xml:space="preserve">Andesite: 2500 </t>
    </r>
    <r>
      <rPr>
        <sz val="11"/>
        <color theme="1"/>
        <rFont val="Times New Roman"/>
        <family val="1"/>
      </rPr>
      <t>–</t>
    </r>
    <r>
      <rPr>
        <sz val="11"/>
        <color theme="1"/>
        <rFont val="Calibri"/>
        <family val="2"/>
        <scheme val="minor"/>
      </rPr>
      <t xml:space="preserve"> 2800 kg/m3</t>
    </r>
  </si>
  <si>
    <r>
      <t xml:space="preserve">Basalt/Traprock: 2800 </t>
    </r>
    <r>
      <rPr>
        <sz val="11"/>
        <color theme="1"/>
        <rFont val="Times New Roman"/>
        <family val="1"/>
      </rPr>
      <t>–</t>
    </r>
    <r>
      <rPr>
        <sz val="11"/>
        <color theme="1"/>
        <rFont val="Calibri"/>
        <family val="2"/>
        <scheme val="minor"/>
      </rPr>
      <t xml:space="preserve"> 3000 kg/m3</t>
    </r>
  </si>
  <si>
    <r>
      <t xml:space="preserve">Coal </t>
    </r>
    <r>
      <rPr>
        <sz val="11"/>
        <color theme="1"/>
        <rFont val="Times New Roman"/>
        <family val="1"/>
      </rPr>
      <t>–</t>
    </r>
    <r>
      <rPr>
        <sz val="11"/>
        <color theme="1"/>
        <rFont val="Calibri"/>
        <family val="2"/>
        <scheme val="minor"/>
      </rPr>
      <t xml:space="preserve"> Anthracite: 1300 kg/m3</t>
    </r>
  </si>
  <si>
    <r>
      <t xml:space="preserve">Coal </t>
    </r>
    <r>
      <rPr>
        <sz val="11"/>
        <color theme="1"/>
        <rFont val="Times New Roman"/>
        <family val="1"/>
      </rPr>
      <t>–</t>
    </r>
    <r>
      <rPr>
        <sz val="11"/>
        <color theme="1"/>
        <rFont val="Calibri"/>
        <family val="2"/>
        <scheme val="minor"/>
      </rPr>
      <t xml:space="preserve"> Bituminous: 1100 </t>
    </r>
    <r>
      <rPr>
        <sz val="11"/>
        <color theme="1"/>
        <rFont val="Times New Roman"/>
        <family val="1"/>
      </rPr>
      <t>–</t>
    </r>
    <r>
      <rPr>
        <sz val="11"/>
        <color theme="1"/>
        <rFont val="Calibri"/>
        <family val="2"/>
        <scheme val="minor"/>
      </rPr>
      <t xml:space="preserve"> 1400 kg/m3</t>
    </r>
  </si>
  <si>
    <t>Copper Ore: 2000 kg/m3</t>
  </si>
  <si>
    <r>
      <t xml:space="preserve">Diabase: 2600 </t>
    </r>
    <r>
      <rPr>
        <sz val="11"/>
        <color theme="1"/>
        <rFont val="Times New Roman"/>
        <family val="1"/>
      </rPr>
      <t>–</t>
    </r>
    <r>
      <rPr>
        <sz val="11"/>
        <color theme="1"/>
        <rFont val="Calibri"/>
        <family val="2"/>
        <scheme val="minor"/>
      </rPr>
      <t xml:space="preserve"> 3000 kg/m3</t>
    </r>
  </si>
  <si>
    <r>
      <t xml:space="preserve">Diorite: 2800 </t>
    </r>
    <r>
      <rPr>
        <sz val="11"/>
        <color theme="1"/>
        <rFont val="Times New Roman"/>
        <family val="1"/>
      </rPr>
      <t>–</t>
    </r>
    <r>
      <rPr>
        <sz val="11"/>
        <color theme="1"/>
        <rFont val="Calibri"/>
        <family val="2"/>
        <scheme val="minor"/>
      </rPr>
      <t xml:space="preserve"> 3000 kg/m3</t>
    </r>
  </si>
  <si>
    <r>
      <t xml:space="preserve">Dolomite: 2800 </t>
    </r>
    <r>
      <rPr>
        <sz val="11"/>
        <color theme="1"/>
        <rFont val="Times New Roman"/>
        <family val="1"/>
      </rPr>
      <t>–</t>
    </r>
    <r>
      <rPr>
        <sz val="11"/>
        <color theme="1"/>
        <rFont val="Calibri"/>
        <family val="2"/>
        <scheme val="minor"/>
      </rPr>
      <t xml:space="preserve"> 2900 kg/m3</t>
    </r>
  </si>
  <si>
    <r>
      <t xml:space="preserve">Earth (dry): 1600 </t>
    </r>
    <r>
      <rPr>
        <sz val="11"/>
        <color theme="1"/>
        <rFont val="Times New Roman"/>
        <family val="1"/>
      </rPr>
      <t>–</t>
    </r>
    <r>
      <rPr>
        <sz val="11"/>
        <color theme="1"/>
        <rFont val="Calibri"/>
        <family val="2"/>
        <scheme val="minor"/>
      </rPr>
      <t xml:space="preserve"> 1800 kg/m3</t>
    </r>
  </si>
  <si>
    <t>Earth (wet): 2000 kg/m3</t>
  </si>
  <si>
    <r>
      <t xml:space="preserve">Gneiss: 2600 </t>
    </r>
    <r>
      <rPr>
        <sz val="11"/>
        <color theme="1"/>
        <rFont val="Times New Roman"/>
        <family val="1"/>
      </rPr>
      <t>–</t>
    </r>
    <r>
      <rPr>
        <sz val="11"/>
        <color theme="1"/>
        <rFont val="Calibri"/>
        <family val="2"/>
        <scheme val="minor"/>
      </rPr>
      <t xml:space="preserve"> 2900 kg/m3</t>
    </r>
  </si>
  <si>
    <r>
      <t xml:space="preserve">Granite: 2600 </t>
    </r>
    <r>
      <rPr>
        <sz val="11"/>
        <color theme="1"/>
        <rFont val="Times New Roman"/>
        <family val="1"/>
      </rPr>
      <t>–</t>
    </r>
    <r>
      <rPr>
        <sz val="11"/>
        <color theme="1"/>
        <rFont val="Calibri"/>
        <family val="2"/>
        <scheme val="minor"/>
      </rPr>
      <t xml:space="preserve"> 2700 kg/m3</t>
    </r>
  </si>
  <si>
    <r>
      <t xml:space="preserve">Gypsum: 2300 </t>
    </r>
    <r>
      <rPr>
        <sz val="11"/>
        <color theme="1"/>
        <rFont val="Times New Roman"/>
        <family val="1"/>
      </rPr>
      <t>–</t>
    </r>
    <r>
      <rPr>
        <sz val="11"/>
        <color theme="1"/>
        <rFont val="Calibri"/>
        <family val="2"/>
        <scheme val="minor"/>
      </rPr>
      <t xml:space="preserve"> 2800 kg/m3</t>
    </r>
  </si>
  <si>
    <r>
      <t xml:space="preserve">Iron Ore: 4500 </t>
    </r>
    <r>
      <rPr>
        <sz val="11"/>
        <color theme="1"/>
        <rFont val="Times New Roman"/>
        <family val="1"/>
      </rPr>
      <t>–</t>
    </r>
    <r>
      <rPr>
        <sz val="11"/>
        <color theme="1"/>
        <rFont val="Calibri"/>
        <family val="2"/>
        <scheme val="minor"/>
      </rPr>
      <t xml:space="preserve"> 5300 kg/m3</t>
    </r>
  </si>
  <si>
    <t>Lead Ore (Galena): 7500 kg/m3</t>
  </si>
  <si>
    <r>
      <t xml:space="preserve">Limestone: 2300 </t>
    </r>
    <r>
      <rPr>
        <sz val="11"/>
        <color theme="1"/>
        <rFont val="Times New Roman"/>
        <family val="1"/>
      </rPr>
      <t>–</t>
    </r>
    <r>
      <rPr>
        <sz val="11"/>
        <color theme="1"/>
        <rFont val="Calibri"/>
        <family val="2"/>
        <scheme val="minor"/>
      </rPr>
      <t xml:space="preserve"> 2700 kg/m3</t>
    </r>
  </si>
  <si>
    <r>
      <t xml:space="preserve">Marble: 2400 </t>
    </r>
    <r>
      <rPr>
        <sz val="11"/>
        <color theme="1"/>
        <rFont val="Times New Roman"/>
        <family val="1"/>
      </rPr>
      <t>–</t>
    </r>
    <r>
      <rPr>
        <sz val="11"/>
        <color theme="1"/>
        <rFont val="Calibri"/>
        <family val="2"/>
        <scheme val="minor"/>
      </rPr>
      <t xml:space="preserve"> 2700 kg/m3</t>
    </r>
  </si>
  <si>
    <r>
      <t xml:space="preserve">Mica, schist: 2500 </t>
    </r>
    <r>
      <rPr>
        <sz val="11"/>
        <color theme="1"/>
        <rFont val="Times New Roman"/>
        <family val="1"/>
      </rPr>
      <t>–</t>
    </r>
    <r>
      <rPr>
        <sz val="11"/>
        <color theme="1"/>
        <rFont val="Calibri"/>
        <family val="2"/>
        <scheme val="minor"/>
      </rPr>
      <t xml:space="preserve"> 2900 kg/m3</t>
    </r>
  </si>
  <si>
    <r>
      <t xml:space="preserve">Quartzite: 2600 </t>
    </r>
    <r>
      <rPr>
        <sz val="11"/>
        <color theme="1"/>
        <rFont val="Times New Roman"/>
        <family val="1"/>
      </rPr>
      <t>–</t>
    </r>
    <r>
      <rPr>
        <sz val="11"/>
        <color theme="1"/>
        <rFont val="Calibri"/>
        <family val="2"/>
        <scheme val="minor"/>
      </rPr>
      <t xml:space="preserve"> 2800 kg/m3</t>
    </r>
  </si>
  <si>
    <r>
      <t xml:space="preserve">Rhyolite: 2400 </t>
    </r>
    <r>
      <rPr>
        <sz val="11"/>
        <color theme="1"/>
        <rFont val="Times New Roman"/>
        <family val="1"/>
      </rPr>
      <t>–</t>
    </r>
    <r>
      <rPr>
        <sz val="11"/>
        <color theme="1"/>
        <rFont val="Calibri"/>
        <family val="2"/>
        <scheme val="minor"/>
      </rPr>
      <t xml:space="preserve"> 2600 kg/m3</t>
    </r>
  </si>
  <si>
    <r>
      <t xml:space="preserve">Rock Salt: 2500 </t>
    </r>
    <r>
      <rPr>
        <sz val="11"/>
        <color theme="1"/>
        <rFont val="Times New Roman"/>
        <family val="1"/>
      </rPr>
      <t>–</t>
    </r>
    <r>
      <rPr>
        <sz val="11"/>
        <color theme="1"/>
        <rFont val="Calibri"/>
        <family val="2"/>
        <scheme val="minor"/>
      </rPr>
      <t xml:space="preserve"> 2600 kg/m3</t>
    </r>
  </si>
  <si>
    <r>
      <t xml:space="preserve">Sandstone: 2200 </t>
    </r>
    <r>
      <rPr>
        <sz val="11"/>
        <color theme="1"/>
        <rFont val="Times New Roman"/>
        <family val="1"/>
      </rPr>
      <t>–</t>
    </r>
    <r>
      <rPr>
        <sz val="11"/>
        <color theme="1"/>
        <rFont val="Calibri"/>
        <family val="2"/>
        <scheme val="minor"/>
      </rPr>
      <t xml:space="preserve"> 2800 kg/m3</t>
    </r>
  </si>
  <si>
    <r>
      <t xml:space="preserve">Shale: 2400 </t>
    </r>
    <r>
      <rPr>
        <sz val="11"/>
        <color theme="1"/>
        <rFont val="Times New Roman"/>
        <family val="1"/>
      </rPr>
      <t>–</t>
    </r>
    <r>
      <rPr>
        <sz val="11"/>
        <color theme="1"/>
        <rFont val="Calibri"/>
        <family val="2"/>
        <scheme val="minor"/>
      </rPr>
      <t xml:space="preserve"> 2800 kg/m3</t>
    </r>
  </si>
  <si>
    <r>
      <t xml:space="preserve">Slate: 2700 </t>
    </r>
    <r>
      <rPr>
        <sz val="11"/>
        <color theme="1"/>
        <rFont val="Times New Roman"/>
        <family val="1"/>
      </rPr>
      <t>–</t>
    </r>
    <r>
      <rPr>
        <sz val="11"/>
        <color theme="1"/>
        <rFont val="Calibri"/>
        <family val="2"/>
        <scheme val="minor"/>
      </rPr>
      <t xml:space="preserve"> 2800 kg/m3</t>
    </r>
  </si>
  <si>
    <r>
      <t xml:space="preserve">Talc: 2600 </t>
    </r>
    <r>
      <rPr>
        <sz val="11"/>
        <color theme="1"/>
        <rFont val="Times New Roman"/>
        <family val="1"/>
      </rPr>
      <t>–</t>
    </r>
    <r>
      <rPr>
        <sz val="11"/>
        <color theme="1"/>
        <rFont val="Calibri"/>
        <family val="2"/>
        <scheme val="minor"/>
      </rPr>
      <t xml:space="preserve"> 2800 kg/m3</t>
    </r>
  </si>
  <si>
    <t>Granite: 0.5 - 1.5 %</t>
  </si>
  <si>
    <t>Dolerite: 0.1 - 0.5 %</t>
  </si>
  <si>
    <t>Sandstone: 5.0 - 25.0 %</t>
  </si>
  <si>
    <t>Shale: 10.0 - 30.0 %</t>
  </si>
  <si>
    <t>Limestone: 5.0 - 20.0 %</t>
  </si>
  <si>
    <t>Dolomite: 1.0 - 5.0 %</t>
  </si>
  <si>
    <t>Quartzite: 0.1 - 0.5 %</t>
  </si>
  <si>
    <t>Porosity</t>
  </si>
  <si>
    <t xml:space="preserve">P-D!H8: Rock density and porosity: a useful dataset is http://www.edumine.com/xtoolkit/tables/sgtables.htm. Can we copy that somewhere. Or make Rock-props worksheet? </t>
  </si>
  <si>
    <t>Made rock props worksheet as well as placed it in the comment.</t>
  </si>
  <si>
    <t xml:space="preserve">We need an automatic capex replacement of rotating equipment / turbines after n operational hours. I'll ask Robert, but you can already program this replacement after the user-specified n running hours, and t1 hours for replacing the turbine (to be subtracted from productive time). This new capex should come in the cashflow and be depreciated automatically. Same for turbine maintenance after m running hours, add user-specified maintenance opex, and deduct t2 hours from productive time. </t>
  </si>
  <si>
    <t>Fixed O&amp;M costs</t>
  </si>
  <si>
    <t>Question: should opex*multiplier be used anywhere? Currently it is not used in the Opex summation on the Cashflow page</t>
  </si>
  <si>
    <t>Total opex (fixed + var)</t>
  </si>
  <si>
    <t>Cum Fixed O&amp;M costs</t>
  </si>
  <si>
    <t>Cum Fixed (not related to prod)</t>
  </si>
  <si>
    <t>Cum Fixed (opex x multiplier)</t>
  </si>
  <si>
    <t>Cum Variable (water prod)</t>
  </si>
  <si>
    <t>Cum Variable opex (wells)</t>
  </si>
  <si>
    <t>Variable opex (wells)</t>
  </si>
  <si>
    <t>Variable opex (water prod)</t>
  </si>
  <si>
    <t>This was addressed - there is the curve, and if there is an "X" on the node, then it was a failure.</t>
  </si>
  <si>
    <t>Cumulative electricity produced (MWh)</t>
  </si>
  <si>
    <t>Changed reference cell</t>
  </si>
  <si>
    <t>done</t>
  </si>
  <si>
    <t>Would like to see this again.</t>
  </si>
  <si>
    <t>Yes, but these are not implemented currently. This is the DiPippo methodology of getting wellhead pressure, which is an iterative calculation between the mass flow rate</t>
  </si>
  <si>
    <t xml:space="preserve">Include units in variable names also if user can select the unit. E.g. put in P-D!E5: ="Total area of reservoir"&amp;" ("&amp;J5&amp;")". This is to list the correct units in the CB graphs when referring in CB to the name of the stochastic variable. </t>
  </si>
  <si>
    <t>Needs to be changed still</t>
  </si>
  <si>
    <t>Addressed. There is loss carry forward, but still no loss carry back</t>
  </si>
  <si>
    <t>This occurs if a negative drawdown pressure is calculated - this needs to be changed by changing the friction factor…</t>
  </si>
  <si>
    <t>Minimum allowable temperature at tubing head (°C)</t>
  </si>
  <si>
    <t>Flowing bottom hole temperature (°C)</t>
  </si>
  <si>
    <t>Flowing tubing head temperature (°C)</t>
  </si>
  <si>
    <t>Year</t>
  </si>
  <si>
    <t>A warning is given right now if there is positive cash-in values before the beginning of production. Is this sufficient?</t>
  </si>
  <si>
    <t>Looking in to</t>
  </si>
  <si>
    <t>Need to look in to</t>
  </si>
  <si>
    <t>True vertical depth of well (m)</t>
  </si>
  <si>
    <t>Total wells attempted</t>
  </si>
  <si>
    <t>Total nr of wells drilled</t>
  </si>
  <si>
    <t>Total nr of successful wells</t>
  </si>
  <si>
    <t>Total nr of well failures</t>
  </si>
  <si>
    <t>Total well failures</t>
  </si>
  <si>
    <t>Total well successes</t>
  </si>
  <si>
    <t>well failures</t>
  </si>
  <si>
    <t>well successes</t>
  </si>
  <si>
    <t>Total well counts</t>
  </si>
  <si>
    <t>wells drilled</t>
  </si>
  <si>
    <t>Production well drawdown (Pa)</t>
  </si>
  <si>
    <t>Saturation pressure - reservoir temperature</t>
  </si>
  <si>
    <t>Download:</t>
  </si>
  <si>
    <t>https://www.researchgate.net/file.PostFileLoader.html?id=54c8f917cf57d749248b4689&amp;assetKey=AS%3A273740741447683%401442276287686</t>
  </si>
  <si>
    <t>https://www.ohio.edu/mechanical/thermo/property_tables/H2O/</t>
  </si>
  <si>
    <t>Reference:</t>
  </si>
  <si>
    <t>ENTHALPY</t>
  </si>
  <si>
    <t>DENSITY</t>
  </si>
  <si>
    <t>ENTROPY</t>
  </si>
  <si>
    <t>Initial saturation pressure at reservoir temperature (Pa)</t>
  </si>
  <si>
    <t>Water Saturation Properties  - Table 2</t>
  </si>
  <si>
    <t>Water Saturation Properties - Table 1</t>
  </si>
  <si>
    <t>Temperature</t>
  </si>
  <si>
    <t>Entropy (s)</t>
  </si>
  <si>
    <t>Enthalpy (h)</t>
  </si>
  <si>
    <t>www.shahroodut.ac.ir/fa/download.php?id=1111120591</t>
  </si>
  <si>
    <t>Values from Table A-6 from Thermodynamics chart in Cengel, Thermodynamics 6th ed.</t>
  </si>
  <si>
    <t>Specific volume (v)</t>
  </si>
  <si>
    <t>VISCOSITY</t>
  </si>
  <si>
    <t>TURBINE INLET VALUES</t>
  </si>
  <si>
    <t>TURBINE OUTLET VALUES</t>
  </si>
  <si>
    <t>Internal energy (u)</t>
  </si>
  <si>
    <t>SATURATION PRESSURE</t>
  </si>
  <si>
    <t>Enthalpy - reservoir temperature - fluid</t>
  </si>
  <si>
    <t>Enthalpy - tubing head pressure - fluid</t>
  </si>
  <si>
    <t>Enthalpy - tubing head pressure - gas</t>
  </si>
  <si>
    <t>Enthalpy - turbine outlet pressure - fluid</t>
  </si>
  <si>
    <t>Enthalpy - turbine outlet pressure - fluid/gas</t>
  </si>
  <si>
    <t>Enthalpy - turbine outlet pressure - gas</t>
  </si>
  <si>
    <t>Entropy - turbine outlet pressure - fluid</t>
  </si>
  <si>
    <t>Entropy - turbine outlet pressure - fluid/gas</t>
  </si>
  <si>
    <t>Density - reservoir temperature - liquid</t>
  </si>
  <si>
    <t>Density - reservoir temperature - gas</t>
  </si>
  <si>
    <t>Viscosity - reservoir temperature - liquid</t>
  </si>
  <si>
    <t>Turbine outlet temp (°C)</t>
  </si>
  <si>
    <t>Low res. fluid density (from table)</t>
  </si>
  <si>
    <t>High res. fluid density (from table)</t>
  </si>
  <si>
    <t>Low res. fluid viscosity (from table)</t>
  </si>
  <si>
    <t>High res. fluid viscosity (from table)</t>
  </si>
  <si>
    <t>High res. fluid pressure (from table)</t>
  </si>
  <si>
    <t>Low res. fluid pressure (from table)</t>
  </si>
  <si>
    <t>Res. fluid pressure (interpolated) (kPa)</t>
  </si>
  <si>
    <t>Low turbine outlet pressure (from table)</t>
  </si>
  <si>
    <t>High turbine outlet pressure (from table)</t>
  </si>
  <si>
    <t>TEMPERATURE</t>
  </si>
  <si>
    <t>Temperature - turbine outlet pressure - fluid</t>
  </si>
  <si>
    <t>Temperature (°C)</t>
  </si>
  <si>
    <t>Prod. water density (kg/m3)</t>
  </si>
  <si>
    <t>Prod. water viscosity (kg/m*s)</t>
  </si>
  <si>
    <t>Injected density, ρ, water (kg/m3)</t>
  </si>
  <si>
    <t>Injected water temperature (°C)</t>
  </si>
  <si>
    <t>Density - injection temperature - liquid</t>
  </si>
  <si>
    <t>Injector hydrostatic head (Pa)</t>
  </si>
  <si>
    <t>Initial water viscosity, μ (kg/m*s)</t>
  </si>
  <si>
    <t>Initial water density, ρ (kg/m3)</t>
  </si>
  <si>
    <t>Initial specific heat water, Cp (J/(kg K))</t>
  </si>
  <si>
    <t>Injected water viscosity, μ (kg/m*s)</t>
  </si>
  <si>
    <t>Viscosity - injection temperature - liquid</t>
  </si>
  <si>
    <t>Cum Other cash-in</t>
  </si>
  <si>
    <t>PV Other tariffs received</t>
  </si>
  <si>
    <t>PV Other cash-in</t>
  </si>
  <si>
    <t>Cum PV Other tariffs received</t>
  </si>
  <si>
    <t>Cum PV Other cash-in</t>
  </si>
  <si>
    <t>PV Electricity produced (MWh)</t>
  </si>
  <si>
    <t>Cum PV Electricity produced (MWh)</t>
  </si>
  <si>
    <t>ΔP from bottomhole to tubing head (MPa)</t>
  </si>
  <si>
    <t>Pressure after turbine (MPa)</t>
  </si>
  <si>
    <t>Reservoir pressure (MPa)</t>
  </si>
  <si>
    <t>Average res. pressure MPa</t>
  </si>
  <si>
    <t>Max pressure MPa</t>
  </si>
  <si>
    <t>Trigger for doing the stimulation workover based on the value of the skin, i.e. a switch for the user to say whether he wants to trigger a workover based on 1) a time interval or 2) a maximum allowable skin value</t>
  </si>
  <si>
    <t xml:space="preserve">Separately define hook-up costs and accrue them to the drillex only in case of a successful well. Currently, the costs include hook-up in case of a successful well. 
</t>
  </si>
  <si>
    <t>Low turbine inlet pressure (from table)</t>
  </si>
  <si>
    <t>High turbine inlet pressure (from table)</t>
  </si>
  <si>
    <t>Closest pressure match</t>
  </si>
  <si>
    <t>Cell range of pressure lookup table (start)</t>
  </si>
  <si>
    <t>Cell range of pressure lookup table (end)</t>
  </si>
  <si>
    <t># flash chambers</t>
  </si>
  <si>
    <t>Pressure drops (MPa)</t>
  </si>
  <si>
    <t>Sat. temp (°C)</t>
  </si>
  <si>
    <t>Low pressure (MPa)</t>
  </si>
  <si>
    <t>High pressure (MPa)</t>
  </si>
  <si>
    <t>Closest pressure match (MPa)</t>
  </si>
  <si>
    <t>Number of flash chambers needed</t>
  </si>
  <si>
    <t>Turbine inlet pressure time series</t>
  </si>
  <si>
    <t>Flash Chamber lookup table - up to 10 flash chambers before entering the first turbine</t>
  </si>
  <si>
    <t>Injection temp (°C)</t>
  </si>
  <si>
    <t>Year of breakthrough</t>
  </si>
  <si>
    <t>Cum Electricity produced (MWh)</t>
  </si>
  <si>
    <t>Cum Production (ML)</t>
  </si>
  <si>
    <t>Calculate FBHP based on the actual required inflow rate to achieve steady-state. So the total field production is equally distributed over all operational injectors, and the FBHP required to achieve that is calculated (including variable skin factor), and from the required FBHP, the FTHP is calculated (using rate, head, friction).</t>
  </si>
  <si>
    <t>Calculate pump energy required to achieve FTHP (inj).</t>
  </si>
  <si>
    <r>
      <t xml:space="preserve">The authors of this Geothermal asset life-cycle valuation XL-model are </t>
    </r>
    <r>
      <rPr>
        <b/>
        <sz val="10"/>
        <rFont val="Arial"/>
        <family val="2"/>
      </rPr>
      <t>Christian Bos</t>
    </r>
    <r>
      <rPr>
        <sz val="10"/>
        <rFont val="Arial"/>
        <family val="2"/>
      </rPr>
      <t xml:space="preserve"> (email: christian.bos@tno.nl) and </t>
    </r>
    <r>
      <rPr>
        <b/>
        <sz val="10"/>
        <rFont val="Arial"/>
        <family val="2"/>
      </rPr>
      <t>Logan Brunner</t>
    </r>
    <r>
      <rPr>
        <sz val="10"/>
        <rFont val="Arial"/>
        <family val="2"/>
      </rPr>
      <t xml:space="preserve"> (logan.brunner@tno.nl), </t>
    </r>
    <r>
      <rPr>
        <b/>
        <sz val="10"/>
        <rFont val="Arial"/>
        <family val="2"/>
      </rPr>
      <t>TNO Applied Geosciences</t>
    </r>
    <r>
      <rPr>
        <sz val="10"/>
        <rFont val="Arial"/>
        <family val="2"/>
      </rPr>
      <t xml:space="preserve">, POBox 80015, 3508TA-Utrecht, Netherlands.
The XL-model has been developed as part of </t>
    </r>
    <r>
      <rPr>
        <b/>
        <sz val="10"/>
        <rFont val="Arial"/>
        <family val="2"/>
      </rPr>
      <t>Work Package 2.01 of the GEOCAP program</t>
    </r>
    <r>
      <rPr>
        <sz val="10"/>
        <rFont val="Arial"/>
        <family val="2"/>
      </rPr>
      <t xml:space="preserve"> (</t>
    </r>
    <r>
      <rPr>
        <u/>
        <sz val="10"/>
        <rFont val="Arial"/>
        <family val="2"/>
      </rPr>
      <t>https://www.geocap.nl/</t>
    </r>
    <r>
      <rPr>
        <sz val="10"/>
        <rFont val="Arial"/>
        <family val="2"/>
      </rPr>
      <t xml:space="preserve">, see also </t>
    </r>
    <r>
      <rPr>
        <u/>
        <sz val="10"/>
        <rFont val="Arial"/>
        <family val="2"/>
      </rPr>
      <t>https://www.geocap.nl/index.php/workpackages/research/wp-2-01</t>
    </r>
    <r>
      <rPr>
        <sz val="10"/>
        <rFont val="Arial"/>
        <family val="2"/>
      </rPr>
      <t xml:space="preserve">). The GEOCAP program is being financed by the Netherlands Ministry of Foreign Affairs and runs from 2014 - 2018. 
The model has been prepared </t>
    </r>
    <r>
      <rPr>
        <b/>
        <sz val="10"/>
        <rFont val="Arial"/>
        <family val="2"/>
      </rPr>
      <t xml:space="preserve">for the sole purpose of teaching students </t>
    </r>
    <r>
      <rPr>
        <sz val="10"/>
        <rFont val="Arial"/>
        <family val="2"/>
      </rPr>
      <t xml:space="preserve">of author Christian Bos, who is also the lecturer of GEOCAP course 1.07 (see </t>
    </r>
    <r>
      <rPr>
        <u/>
        <sz val="10"/>
        <rFont val="Arial"/>
        <family val="2"/>
      </rPr>
      <t>https://www.geocap.nl/index.php/workpackages/training/wp-1-07</t>
    </r>
    <r>
      <rPr>
        <sz val="10"/>
        <rFont val="Arial"/>
        <family val="2"/>
      </rPr>
      <t xml:space="preserve">). The model should not be used for any other purpose. Note that the model has only been tested / validated in a limited way.
The </t>
    </r>
    <r>
      <rPr>
        <b/>
        <sz val="10"/>
        <rFont val="Arial"/>
        <family val="2"/>
      </rPr>
      <t>reasons for choosing XL as the programming language</t>
    </r>
    <r>
      <rPr>
        <sz val="10"/>
        <rFont val="Arial"/>
        <family val="2"/>
      </rPr>
      <t xml:space="preserve"> are: 1) almost all pc’s and laptops have XL installed; 2) economists and managers / decision-makers often use XL only; 3) XL has good graphical display options; 4) for teaching </t>
    </r>
    <r>
      <rPr>
        <b/>
        <sz val="10"/>
        <rFont val="Arial"/>
        <family val="2"/>
      </rPr>
      <t>uncertainty analysis / decision analysis</t>
    </r>
    <r>
      <rPr>
        <sz val="10"/>
        <rFont val="Arial"/>
        <family val="2"/>
      </rPr>
      <t xml:space="preserve">, XL can be easily combined with commercially available statistical Monte Carlo XL plug-ins such as Crystal Ball (™ Oracle) or @Risk (™ Palisade Corporation). This opens up a whole realm of further analytical capabilities that would otherwise have to be programmed by the geothermal tool developer. 
When using (any idea contained in) this model for any other purpose than for (self-)education, and/or when changing any of the software code, the user does this at his/her own risk. 
The model is not to be distributed or copied to any other person than the direct recipients of the model who have been given the model as part of the lectures by the author.
The holder of this model automatically accepts the above conditions.
The user of this model is kindly requested to </t>
    </r>
    <r>
      <rPr>
        <sz val="10"/>
        <color rgb="FFFF0000"/>
        <rFont val="Arial"/>
        <family val="2"/>
      </rPr>
      <t>report any inaccuracies, suggestions for improvement</t>
    </r>
    <r>
      <rPr>
        <sz val="10"/>
        <rFont val="Arial"/>
        <family val="2"/>
      </rPr>
      <t xml:space="preserve"> etc. to the author(s).
Should users of the model wish to </t>
    </r>
    <r>
      <rPr>
        <sz val="10"/>
        <color rgb="FFFF0000"/>
        <rFont val="Arial"/>
        <family val="2"/>
      </rPr>
      <t>further disseminate the model and/or to maintain the model</t>
    </r>
    <r>
      <rPr>
        <sz val="10"/>
        <rFont val="Arial"/>
        <family val="2"/>
      </rPr>
      <t xml:space="preserve">, then please contact christian.bos@tno.nl . 
© TNO, 2017
</t>
    </r>
  </si>
  <si>
    <t>Flowing tubing head pressure, production well (Pa)</t>
  </si>
  <si>
    <t>Flowing bottomhole pressure, injection well (Pa)</t>
  </si>
  <si>
    <t>Injection well drawdown (Pa)</t>
  </si>
  <si>
    <t>Cap rock</t>
  </si>
  <si>
    <t>PRODUCTION WELLS</t>
  </si>
  <si>
    <t>INJECTION WELLS</t>
  </si>
  <si>
    <t>ΔP from tubing head to bottomhole, inj. well (Pa)</t>
  </si>
  <si>
    <t>Well success rate</t>
  </si>
  <si>
    <t>Select realization of the random number generator</t>
  </si>
  <si>
    <t>Fixed RNG</t>
  </si>
  <si>
    <t>Variable RNG</t>
  </si>
  <si>
    <t>Random value used</t>
  </si>
  <si>
    <t>using comments;</t>
  </si>
  <si>
    <t>error note</t>
  </si>
  <si>
    <t>If van Wees, enter efficiency relative to Carnot --&gt;</t>
  </si>
  <si>
    <t>Binary plant efficiency [MIT]</t>
  </si>
  <si>
    <r>
      <rPr>
        <b/>
        <sz val="10"/>
        <color theme="1"/>
        <rFont val="Arial"/>
        <family val="2"/>
      </rPr>
      <t>Select</t>
    </r>
    <r>
      <rPr>
        <sz val="10"/>
        <color theme="1"/>
        <rFont val="Arial"/>
        <family val="2"/>
      </rPr>
      <t xml:space="preserve"> conversion efficiency (thermal to MWe) source:</t>
    </r>
  </si>
  <si>
    <t xml:space="preserve">Surface </t>
  </si>
  <si>
    <t>Surface</t>
  </si>
  <si>
    <t>y</t>
  </si>
  <si>
    <t>x</t>
  </si>
  <si>
    <t>↑</t>
  </si>
  <si>
    <t>↓</t>
  </si>
  <si>
    <t>→</t>
  </si>
  <si>
    <t>←</t>
  </si>
  <si>
    <r>
      <t xml:space="preserve">When using the current model, occasionally, </t>
    </r>
    <r>
      <rPr>
        <b/>
        <sz val="10"/>
        <rFont val="Arial"/>
        <family val="2"/>
      </rPr>
      <t>XL may not iterate correctly</t>
    </r>
    <r>
      <rPr>
        <sz val="10"/>
        <color theme="1"/>
        <rFont val="Arial"/>
        <family val="2"/>
      </rPr>
      <t xml:space="preserve"> as a result of circular references that apparently are not resolved. This may be observed, for example, in the year to which the abandonment capex is assigned: it is not always equal to the specified number of years after last production. Another example is if the calculated tax in a year close before shutting in the field is incorrectly copied to the linked cash-out cells. Or the economic recovery calculated is more than the technical recovery although a conditional test has been programmed to make this impossible. Finally, when stepwise evaluating the full production formula (using "View - Toolbars - Formula auditing - Evaluate formula"), it is apparent that XL sometimes erroneously calculates the function (example: 0+0+0+0=321). We have attempted to avoid this by referring to cells from the previous year instead of the current year. However, mostly the calculation seems correct, and when running many stochastic realisations </t>
    </r>
    <r>
      <rPr>
        <sz val="10"/>
        <color indexed="10"/>
        <rFont val="Arial"/>
        <family val="2"/>
      </rPr>
      <t>hopefully the XL error will become unimportant</t>
    </r>
    <r>
      <rPr>
        <sz val="10"/>
        <color theme="1"/>
        <rFont val="Arial"/>
        <family val="2"/>
      </rPr>
      <t xml:space="preserve">. </t>
    </r>
  </si>
  <si>
    <t>Specific heat - reservoir temperature</t>
  </si>
  <si>
    <t>Superheated Water - Table 3:</t>
  </si>
  <si>
    <t>Specific heat rocks</t>
  </si>
  <si>
    <t>ETB</t>
  </si>
  <si>
    <t>Reservoir pressure (Pa)</t>
  </si>
  <si>
    <t>Flowing bottomhole pressure, production well (Pa)</t>
  </si>
  <si>
    <t>ΔP from bottomhole to tubing head, prod. well (Pa)</t>
  </si>
  <si>
    <t>Production Pressures</t>
  </si>
  <si>
    <t>Injection Pressures</t>
  </si>
  <si>
    <t>Reinjection pressure (at injector wellhead) (Pa)</t>
  </si>
  <si>
    <t>Calculated pressures - from "Calculated Variables" worksheet</t>
  </si>
  <si>
    <t>Calculated variables - from "Calculated Variables" worksheet</t>
  </si>
  <si>
    <t>Water variables - from "Steam Tables" worksheet</t>
  </si>
  <si>
    <t>Upside potential</t>
  </si>
  <si>
    <t>Enthalpy (outlet) with efficiency included (kJ/kg)</t>
  </si>
  <si>
    <r>
      <rPr>
        <b/>
        <sz val="10"/>
        <rFont val="Arial"/>
        <family val="2"/>
      </rPr>
      <t>Decommissioning:</t>
    </r>
    <r>
      <rPr>
        <sz val="10"/>
        <rFont val="Arial"/>
        <family val="2"/>
      </rPr>
      <t xml:space="preserve"> the field is abandoned after 3 consecutive years during which the (undiscounted) net cash flow (NCF) is negative. Following a user-defined mandatory monitoring period to ascertain well integrity and other environmental conditions, abandonment capex is then accrued to the cashflow. Abandoment capex can be specified either as a percentage of cumulative capex, or as a fixed number. For the time being there is no tax provision for this abandonment capex (Loss Carry Back: i.e. correct taxable income well before the year of abandonment, in years during which a profit is still being made). </t>
    </r>
  </si>
  <si>
    <t xml:space="preserve">In principle, the "Fig." worksheets (showing the output) are all protected (no password). If you have unprotected them, before running a MonteCarlo simulation, check whether the graphs of these worksheets are not "clicked" (small black squares in 4 corners + midway sides of graph). If so, click a cell outside the graph area. </t>
  </si>
  <si>
    <r>
      <t xml:space="preserve">The </t>
    </r>
    <r>
      <rPr>
        <b/>
        <sz val="10"/>
        <color indexed="10"/>
        <rFont val="Arial"/>
        <family val="2"/>
      </rPr>
      <t>fundamental premise of the model</t>
    </r>
    <r>
      <rPr>
        <sz val="10"/>
        <color theme="1"/>
        <rFont val="Arial"/>
        <family val="2"/>
      </rPr>
      <t xml:space="preserve"> is that, following discovery, the geothermal field has been appraised adequately so as to allow your team to recommend a further course of action: to develop or not (i.e. the </t>
    </r>
    <r>
      <rPr>
        <u/>
        <sz val="10"/>
        <rFont val="Arial"/>
        <family val="2"/>
      </rPr>
      <t>development milestone decision</t>
    </r>
    <r>
      <rPr>
        <sz val="10"/>
        <color theme="1"/>
        <rFont val="Arial"/>
        <family val="2"/>
      </rPr>
      <t xml:space="preserve">). </t>
    </r>
    <r>
      <rPr>
        <i/>
        <sz val="10"/>
        <rFont val="Arial"/>
        <family val="2"/>
      </rPr>
      <t>The current model is to support this specific decision</t>
    </r>
    <r>
      <rPr>
        <sz val="10"/>
        <color theme="1"/>
        <rFont val="Arial"/>
        <family val="2"/>
      </rPr>
      <t xml:space="preserve">. Other decisions that the current model could support are decisions on </t>
    </r>
    <r>
      <rPr>
        <u/>
        <sz val="10"/>
        <rFont val="Arial"/>
        <family val="2"/>
      </rPr>
      <t>incremental field-wide (re-)developments for which field-wide average parameters are believed to provide an adequate description of the overall problem</t>
    </r>
    <r>
      <rPr>
        <sz val="10"/>
        <color theme="1"/>
        <rFont val="Arial"/>
        <family val="2"/>
      </rPr>
      <t>. The model is not suited to support decisions that focus on individual investments. The latter decisions typically require models with a much higher spatial and temporal resolution with detailed parameterisations of the physics and operational aspects (e.g. detailed reservoir simulation models for individual well planning, rig planning models, operational models, choke models etc). If this fundamental premise has been verified, the current model may be used and one should go to the next step: Frame the Problem.</t>
    </r>
  </si>
  <si>
    <r>
      <t xml:space="preserve">If the type of decision has been verified, first of all: </t>
    </r>
    <r>
      <rPr>
        <b/>
        <sz val="10"/>
        <color indexed="10"/>
        <rFont val="Arial"/>
        <family val="2"/>
      </rPr>
      <t>1. Frame the Problem</t>
    </r>
    <r>
      <rPr>
        <sz val="10"/>
        <color theme="1"/>
        <rFont val="Arial"/>
        <family val="2"/>
      </rPr>
      <t xml:space="preserve">, i.e.  
1) Agree decision criteria - a) which KPIs are to be optimised?; are </t>
    </r>
    <r>
      <rPr>
        <i/>
        <sz val="10"/>
        <rFont val="Arial"/>
        <family val="2"/>
      </rPr>
      <t>project</t>
    </r>
    <r>
      <rPr>
        <sz val="10"/>
        <color theme="1"/>
        <rFont val="Arial"/>
        <family val="2"/>
      </rPr>
      <t xml:space="preserve">-KPIs sufficient, or do they need to be consolidated at the </t>
    </r>
    <r>
      <rPr>
        <i/>
        <sz val="10"/>
        <rFont val="Arial"/>
        <family val="2"/>
      </rPr>
      <t>portfolio</t>
    </r>
    <r>
      <rPr>
        <sz val="10"/>
        <color theme="1"/>
        <rFont val="Arial"/>
        <family val="2"/>
      </rPr>
      <t xml:space="preserve"> level? (consult your portfolio manager); b) which KPI-constraints apply? (ditto); c) which risk tolerances on those constraints apply? (ditto, but he/she's probably not in position to give you a satisfactory reply!); d) what are the relative weights between the different optimisation KPIs, on the one hand, and KPI-constraints on the other hand? (ditto). 
2) Agree decision alternatives to be assessed quantitatively. Which other decisions apply to your problem? Each decision should influence somehow capex, opex and or timing. Ensure you understand how. Are the dynamic decisions (to model managerial flexibility) adequately included in the model? E.g. close-in field if geofluid temperature less than minimum rate, spend abandonment capex </t>
    </r>
    <r>
      <rPr>
        <i/>
        <sz val="10"/>
        <rFont val="Arial"/>
        <family val="2"/>
      </rPr>
      <t>n</t>
    </r>
    <r>
      <rPr>
        <sz val="10"/>
        <color theme="1"/>
        <rFont val="Arial"/>
        <family val="2"/>
      </rPr>
      <t xml:space="preserve"> years after last production, close-in field if NCF has been negative for 3 consecutive years in the decline period, drill well when required, construct new platform if number of wells required exceed number of well slots of platform, etc.
3) Agree scenarios - Which </t>
    </r>
    <r>
      <rPr>
        <u/>
        <sz val="10"/>
        <rFont val="Arial"/>
        <family val="2"/>
      </rPr>
      <t>discrete</t>
    </r>
    <r>
      <rPr>
        <sz val="10"/>
        <color theme="1"/>
        <rFont val="Arial"/>
        <family val="2"/>
      </rPr>
      <t xml:space="preserve"> main uncertainties exist? In this model, </t>
    </r>
    <r>
      <rPr>
        <u/>
        <sz val="10"/>
        <rFont val="Arial"/>
        <family val="2"/>
      </rPr>
      <t>scenarios</t>
    </r>
    <r>
      <rPr>
        <sz val="10"/>
        <color theme="1"/>
        <rFont val="Arial"/>
        <family val="2"/>
      </rPr>
      <t xml:space="preserve"> could be e.g. different values for the fixed water price, tax regime; timing of abandonment; rig availability; but also: discount rate. If they are not uncertain (e.g. tax regime), then the parameters simply receive a fixed value.
4) Construct the scenario / decision tree - draw the tree (you may use TNO's DSS); understand which decisions are </t>
    </r>
    <r>
      <rPr>
        <i/>
        <sz val="10"/>
        <rFont val="Arial"/>
        <family val="2"/>
      </rPr>
      <t xml:space="preserve">dynamic </t>
    </r>
    <r>
      <rPr>
        <sz val="10"/>
        <rFont val="Arial"/>
        <family val="2"/>
      </rPr>
      <t>(i.e. depending on the
asset's "state" that is evolving in time).</t>
    </r>
    <r>
      <rPr>
        <sz val="10"/>
        <color theme="1"/>
        <rFont val="Arial"/>
        <family val="2"/>
      </rPr>
      <t xml:space="preserve">
5) Prune the tree - Get rid of invalid or meaningless scenario/scenario or scenario/decision combinations.
6) Agree the tree - Discuss the result and agree</t>
    </r>
  </si>
  <si>
    <r>
      <t xml:space="preserve">Then: </t>
    </r>
    <r>
      <rPr>
        <b/>
        <sz val="10"/>
        <color indexed="10"/>
        <rFont val="Arial"/>
        <family val="2"/>
      </rPr>
      <t>2. Set-up quantitative model</t>
    </r>
    <r>
      <rPr>
        <sz val="10"/>
        <rFont val="Arial"/>
        <family val="2"/>
      </rPr>
      <t>, i.e.</t>
    </r>
    <r>
      <rPr>
        <sz val="10"/>
        <color theme="1"/>
        <rFont val="Arial"/>
        <family val="2"/>
      </rPr>
      <t xml:space="preserve">
1) Agree the model: a) Does the model fairly represent your problem? (see above: "General description of the model" b) Is the parameterisation adequate, or do you need different input parameters?; c) Are the modelled relationships between the input parameters adequate? Or do you need more detail? d) Does it calculate the right KPIs?
2) Parameterise and populate the model: which parameters are fixed, which variables are deterministic, which are stochastic? Fill in values in indicated cells ("Project-definition" worksheets).
3) Agree stochastic parameter pdf’s &amp; scenario probabilities: on Crystal Ball (CB) toolbar, select "Define assumptions" icon for the stochastic variables and assign pdf.
4) Agree / establish stochastic correlations between stochastic parameters: when in CB "Define assumptions", click on "Correlate" and establish stochastic correlations with other stochastic variables. 
5) Agree the exact calculation of the KPIs: go to worksheet KPIs! and check the calculation of the KPIs. 
6) Agree the various definitions of risk: CB will establish a Monte Carlo distribution for all "Forecasts" (the blue cells in worksheet KPIs!). 
By definition, </t>
    </r>
    <r>
      <rPr>
        <i/>
        <u/>
        <sz val="10"/>
        <rFont val="Arial"/>
        <family val="2"/>
      </rPr>
      <t>Risk</t>
    </r>
    <r>
      <rPr>
        <sz val="10"/>
        <color theme="1"/>
        <rFont val="Arial"/>
        <family val="2"/>
      </rPr>
      <t xml:space="preserve"> = the </t>
    </r>
    <r>
      <rPr>
        <i/>
        <u/>
        <sz val="10"/>
        <rFont val="Arial"/>
        <family val="2"/>
      </rPr>
      <t>cumulative probability of not meeting a hurdle rate x the average KPI value of those samples that do not meet the hurdle rate</t>
    </r>
    <r>
      <rPr>
        <sz val="10"/>
        <color theme="1"/>
        <rFont val="Arial"/>
        <family val="2"/>
      </rPr>
      <t xml:space="preserve">. 
Therefore, agree the hurdle rates for the various KPIs. For example, the regular hurdle rate for NPV is zero, for IRR it may be the WACC. 
For "Maximum Exposure" it may be a value coming from your portfolio manager, for "Pay-out time" ditto. 
7) Agree a "risk tolerance" for each KPI that is subject to a hurdle rate: try to establish which value for "risk" you, as a decision-maker, are prepared to take. 
This value should act as a filter (or "optimisation constraint") when optimising the decision tree (selecting between the possible decision-paths).  </t>
    </r>
  </si>
  <si>
    <r>
      <t xml:space="preserve">Then: </t>
    </r>
    <r>
      <rPr>
        <b/>
        <sz val="10"/>
        <color indexed="10"/>
        <rFont val="Arial"/>
        <family val="2"/>
      </rPr>
      <t>3. Generate range of outcomes</t>
    </r>
    <r>
      <rPr>
        <sz val="10"/>
        <rFont val="Arial"/>
        <family val="2"/>
      </rPr>
      <t>, i.e.</t>
    </r>
    <r>
      <rPr>
        <sz val="10"/>
        <color theme="1"/>
        <rFont val="Arial"/>
        <family val="2"/>
      </rPr>
      <t xml:space="preserve">
1) Establish MC run parameters: number of trials (Do: Run-Run Preferences-nr Trials, etc)
2) Run Crystal Ball: a) do "single stepping" if necessary; b) inspect graphs and KPIs of workbook; c) check potential calculation problems; d) Reset CB forecasts and run full simulation; inspect CB forecasts; set hurdle rates by moving slides in output graphs (e.g. reverse cumulative); report for each KPI cum probability of not meeting hurdle rate; create CB report, including Tornado Chart; include probabilistic production forecasts (see "Prob PF" worksheet); etc.
3) Quantify "Risks": a) When in CB Forecast, do "Extract data-Forecast values" for those KPIs on which you have a value for "risk tolerance"; b) in DATA file thus created, sort each KPI in ascending order + calculate AVERAGE(top cell:last cell below hurdle rate). For the IRR, a different approach should be adopted because for all trials with a negative NPV the IRR is undefined (an artificial value of IRR=-100% will be computed). No standard procedure exists however and this should be left up to the user (suggestion: use an "opportunity" value for IRR, i.e. the cum. prob. of exceeding some IRR hurdle rate x the average IRR above this hurdle rate. Discuss whether this opportunity value could be used as an acceptance criterion).
4) Multiply cum probability x AVERAGE to quantify "Risk" for each KPI having a hurdle rate.
5) Try to assess impact of decision/scenario combination on portfolio
6) Run other decision/scenario combinations (i.e. branches) of your decision/scenario tree after having changed your input parameter values accordingly 
(note: each alternative decision should impact on capex and/or opex and/or timing, each alternative scenario should imply a change in the numerical value 
of one or more input variables); repeat steps 2-5; etc.; document all ouput per branch of your decision tree. 
</t>
    </r>
  </si>
  <si>
    <t>NEED CHANGED</t>
  </si>
  <si>
    <t>Examples are: 1) if the electricity price is higher, should the capex and opex also be higher?; 2) if the drillex is automatically calculated, should'nt this be correlated to the evolutionary oil price prevailing at that particular point in time?; 3) if a capex/opex multiplier is used, wouldn't a cost escalator model (gradual increase of capex items in time) be more representative?; 4) if the plateau oil rate is changed, beware that the pre-production capex is also changed; 5) if a particular correlation is used for the watercut vs cumoil trend, is this valid only for a particular PDO (e.g. peripheral water injection at a given well spacing), or can it be used more generally? (e.g. when the plateau rate is increased, can this be achieved with the same PDO, or should both plateau (&amp;capex) AND the "watercut vs cumoil" trend be updated?), 6) if at reaching the economic production limit the watercut is only say 75%, shouldn't some infill wells be drilled to "mop up" the remaining oil?, 7) if the number of wells exceed the number of well slots, how fair is it to construct a new platform, even for only 1 extra well (as currently modelled) or if only a few productive years remain?, 8) if the producer : injector ratio is changed as a sensitivity, how much should the input watercut vs cumoil 
trend be changed to make the two internally consistent?</t>
  </si>
  <si>
    <t>Verson 1.43: Adjustments include adding comments and error flags on the Project-definition page; adjusting the KPI page and calculations; adding a well success learning curve figure; detailing better in Fig. Rig the well failures and successes; adding figures of pressure and temperature throughout the time series; adding a Fig. Rig and Prod which overlays the production over the well drillings; adding a figure of the opex; adjusting Fig. Fiscal status by splitting into two plots and making capital allowance, capital employed, and taxable income positive values; depicting the well scheme with a digram showing all pressures throughout the system; showing the year of breakthrough in the Fig. Prod graph; editing thermodynamic calculations to a more physical equation; referenced water properties from Steam Tables worksheet and not from Water-props; added a rock properties worksheet for reference; allowed the user to choose the conversion efficiency for calculating the Heat-in-place on the Volumetrics page.</t>
  </si>
  <si>
    <t>Modeling uncertainty in time series, it is only possible for fixed opex. Do not use the time series for stochastic - fill in deterministically</t>
  </si>
  <si>
    <t>to model uncertainty, it will be done via the multipliers</t>
  </si>
  <si>
    <t>Turbine replacement capex</t>
  </si>
  <si>
    <t>Temp. reduction from breakthrough (°C)</t>
  </si>
  <si>
    <t>To add:</t>
  </si>
  <si>
    <t>Things to include</t>
  </si>
  <si>
    <t>Enthalpy</t>
  </si>
  <si>
    <t>Entropy (maybe)</t>
  </si>
  <si>
    <t>Locations</t>
  </si>
  <si>
    <t>Flash chamber</t>
  </si>
  <si>
    <t>Turbine</t>
  </si>
  <si>
    <t>Wellhead (producer)</t>
  </si>
  <si>
    <t>Wellhead (injector)</t>
  </si>
  <si>
    <t>Pump</t>
  </si>
  <si>
    <t>Hotrock exploration</t>
  </si>
  <si>
    <t>㜸〱敤㕣㕢㙣ㅣ㔷ㄹ摥㌳摥㕤敦慣敤搸㡤搳㑢㑡㘹摤㤶戶㔰〷㌷㑥ㄳ㑡㠱㄰㝣㘹㉥挵㠹摤搸㐹㐱㠰㌶攳摤㌳昱㌴㍢㌳敥捣慣ㄳ㤷㑡慤愰攵㈲㉥㤵捡㐵ㄴ捡㐵ㄵ㉡攲㠵换㑢戹扥㈰㈱㜱㔱㤱㜸㠰〷㈴ㅥち㐲㠰〴㐲㐱扣昰㠰〴摦㜷㘶㘶㜷㘶搷㍢㜶户㉤戸挸㈷摤摦㘷捥㙤捥㌹晦昵晣晦㤹收㐴㉥㤷晢㌷ㄲ晦㌲攵㤹戹㙥㜱摤て愴㍤㌱攳搶敢戲ㅡ㔸慥攳㑦㑣㜹㥥戱㍥㘷昹㐱ㅦㅡㄴ㉢ㄶ敡晤㐲挵户ㅥ㤲愵捡㥡昴㝣㌴㉡攴㜲愵㤲慥愱㥥㠳昰㌷ㄲ㍦攸散㌵㤸〷㔸㥡㤹㥥㕦㝥〰愳㉥〶慥㈷昷㡤㥤つ晢ㅥ㥥㥣㥣㤸㥣㌸㜸搷攴㥢㈶昶敦ㅢ㥢㘹搴㠳㠶㈷て㍢戲ㄱ㜸㐶㝤摦搸㐲㘳戹㙥㔵摦㈹搷㤷摣ぢ搲㌹㉣㤷昷摦戹㙣ㅣ㝣昳攴挱㐳㠷捣扢敦㝥昳㈰㕥㥤㍢㌵㌳扤攰㐹搳㝦㤹挶㉣㜰捡〷㘷㘵搵攲摡愴昴㉣攷晣挴捣㌴晥㑢捣ㅦ㑦㜷㑤㉣慥㐸ㄹ昰搵搲㤳㑥㔵晡㍡㍡づ搸㔳扥摦戰㔷戹㜹扡㝤ㄴ㑢慤ㅡ㝥㔰戰㘷㘴扤慥摢昱愸㈵㝢ㅥ㝢㔷㌷搶〷敤㐵改昸㔶㘰慤㔹挱㝡搱㕥挲㐰戵㈱晢㡣㉦㑦ㅢ捥㜹㜹捡戰㘵挱㍥搶戰㙡昹㌰攵晡㙥㡢㠷㐸㑥㑣㉤㝦㘲捡户㘷㔶っ㑦捤挸攷挶㘴戴㍤敡㔵搳㙤㙦敥㍥㉥愷慥摥挰㌱㙦改摥づ㌵㘷つ慦搹㜲扣㝢换㘸昱改ㄹ摣搱扤㝤㘲㡦搲㝤摥搰扤㡦摡捡㜴㙢㌱㄰搱户摡㔱㉣㐶㉦ㄲ昴ㄳ㤴〸㠸㐰扤㑣㌰㐰㌰〸㈰昲晦〰㤷㈴㍢戲㑡慢ㄸ㕡㘵㔹慢㔴戵㑡㑤慢㐸慤㘲㙡㤵昳㕡㘵㐵慢㔸㕡攵〱慤㜲〱㙤攲㔴敡敦搷愲㜴攱戹て㝥㑤㕣昱戳搹挷㝥㜷昹昸搳㝦晥晢挱挱㕤㘸㜴㕦㌴愹㔹捦戸〸㔲㙢㔱昱㠱㠹晤晣户㌹㔷㠰㈹捣㐳收㕤收攴㘴敤搰㝥攳㑥愳挰㘵㘵㈰㍦㐵㈸㈳㘸㍢㘸摥㙦㌹㌵昷愲挲摤㜵搳㠶㉦㕢ㅢ㌷ㅥ搵㑤扢つ愷收扦㘶攳捡挵挰〸攴戵敤㜵慤㐱㍡扡㉤㠲慤愴慦摥㜷㝤㝢户戳㐶扤㈱愷㉥㔹㘱昵㙢摢慡敤〵捦㕤敥㕥㝢搴㤳て㌶㙢㍢㘶㌴〵愱戶愶挶敥㔸㘵㔸ㄵ捥㙢㙣㘶挵昵愵愳愶㌷㙥㉦㔸搵ぢ搲㕢㤴ㄴ㠹戲愶㤶㝡㈵慢㈲慥ㅦ㥦㜷戰㔰㜰㙢敤愶㘴愹㜹捦愵〰捣㉣㙢㤸敦慡昴㠲昵㈵㘳戹㉥慦㑡㌵〹摦㠹㡡扤愹攲愳㙥戵攱捦戸㑥攰戹昵㜴捤㔴㙤捤㠰愴愹㥤㜴㙢㌲㥦捦㈹愱〰㠱摢搷㈷㐴敥昶敥扣愰㄰㤱㐰㌱ㄹ昹㥡㌴搹㑤㥣挶敡戰㡡扡㈴㑤㙡慦摢㘴㌰捥㔷挹㤸っづ㑣慣㠹晡㠳㉦㝤晤㈶挳㌶㌱昷捡㌶搶戴搱㘸昵昷慣㐹㈷㌸㙥㌸戵扡昴㌲戵㥦攰㡣昴㘱㠰挲㘵〸㠴慥扢㐷㔵㈷㉥㠹昵挲㐵慢ㄶ慣ㄴ㔷愴㜵㝥㈵㐰ㄹ㌴㘴愹挴慤敤㐸晡ㄵ㈸搲㜷ㄳ㡣〲㤴换戹攲ㅥ㌶㉡㤶㤱㜲〵㑡愷っ㕥㑥〹㜲昶㑢昱昲愰㜹搴慡〷㌲ㄴ捡挳㈶㌰ㄲ㙡㌵㠵扥㈱㤲愸㘷㔴㐳㠵戱挷㥣〱㤵ㅡ㤶ㄳ慣户昸戶㠳㑢㐲㈲摡㤱〵摢㑥ㄶ㔰ㄴ愴攵㐱〶慦㠱㘸摡愴㐱㜶攳〴ㄱ㤱つ㌲㌴㍢㐶㑥ㄳㄹ摢㘷挸〸戴㑦ㄲ㈱㕢敦敦㉥㈳㐸散㥤㐴捡㑥㕤昹㜱㐷㥡㙤㘴换㠷搲散㑡㙣㥣㝥ㄵ挱搵〴搷㄰散〵㄰㝦㠴㠴愳㤴㐳㍥㥤昴搷攰㔹扦㡥攰戵〰㤰㑦㍡㘵㑥㈴慡㘸㐳㙤挵㡥㘴扢㈱搸挹捡㈸づ㐵ㄱ㉤攳愶㥤㌹㘴㉢㐴㐷㔶攷昶搰戵㜹愵㘳㙦敤㑥㥢挹攵㤰㈲㌳㥡㈶搷扡㐹搳攴㐶戰㘹㡦㝡敢〶㜴搵挷〸㙥〴㈸敢㌷ㄱ㐲戹搰攰摤㥡㐵㑦㤳昲㔵㘱ㄶ㠵挶㔰㡦ち㍥㈲㘴ㅥ〱㌲㠴㕣挷昱㘵挷㠶愶㌹㌸㙥扥敡㙤攸㝤摤昹㍢㐲㝡㥢摥摣搱㍢昴ㄷ扤㐸㉢晡㘶戰㤷昸㙤㔷ㅤ㜳ぢ慡昵㕢〹㙥〳㘸搳㌱㍣㝤扦㔸㑦㠱㌲㡢敤〴收㜶搳敢愲慣摣愵昵㔵愹㌴搰愰戹㘴㜸攷㘵〰て挶㠹㔹搸挲慥攷挹㍡づ戵㌵㔵挰昳换搵改㐲晦愸攷摡㉣摦戱㤱晤㔷㠵㘲挸攷戵扥㕣㥢㡤㥣㘱㙢㈶㝣㑥〹捡愱づ扥戳扢㤰㐸㜴㑡㤳ㄷ晢㘵㥦㉦㜷㈴㐹て㤲攴つ搸㔶晤㜶〰㐸〹昱敢慥ㄲ㘵ㅦ㥢扤㔱㌵㑢㕢慣昴昰㘵㥣㑥摡㝣㠸ㅤ㜲㘴㈰㜴搸㑥挳㝦攰て搹㡢㤶摤ㄴㄶ〳昶㠲昴慡昰㉤㔸㜵㔹づ摤戲ㄴ㌵㍢戲攲㔵㈲㉢晡晡㍡捥搳ㄹ晥㌵㐵㈷㙤㔲㈲㤳摢㌳㉢㌳捥攲㉤愲愲ㅢ㤲㐲㈵挳㌵搴㤴㐰愴㍣戶摤ㄱ㌱㍤㠸㤸㍢戰㜱晡㝥㠲㐹㠲〳〰㠵㕦㐰搲㙣㜵攳ㄹづ敢㕦愳㑢扢㔲挹㤵㠸〶攵㈲㝣扥慢戰㍡挴搷扣㠹攰㉥㠰㌶昳㠷づ挸っ㐲㔴㈸㑦㄰愲ち㘳㤸㘷㉤㜹㤱㌴戰换㐴㘰㘹愶攱〷慥捤挸搲㤰㌹敢㥥㜲㠳㔹换㕦㐵㈴㙡搴㡣㌲昷慦㐸〷搴攵挱昶㘹㉢㜳㔷㔷㘵㑤㌷ㄷ摤〶㐴摢㠹搹敤㜰㌰挷㜶挰㤶㔴㘷㜳㑤㈰昵㜶㍥挶㄰〲㍢慤晣慤昴挶㙥挹晢捤㐳摦㜰㙢㐷㤷慣愰㉥〷捣㤰改㤸㉦㤹搸㐵㐴づ㙡晤收搲㡡㈷攵散㤰㜹捣戳㙡㜵换㤱㐴〶㙣㑣〶敢收攴㜹㐴〹ㄶ㕣挶〰㕤㘷挸㕣昲っ挷㕦㌵ㄸ㔰㕣摦㥤㝡㔲㘱㤱㠲㌹㙤㌹㍥㕥愳戰挸晣戰戹戸攲㕥㐴挴戶㘱㍢挷㡣㔵㝦㕢㘰㠵㐴ㅦ㈶㠵ㅡ愱〹㑤ㄳ㈵慤搴㉢㝥㜸㈰捦攵挸㝢㜹〲㠵慢㕣㠱㍥昳っ敤㑤扢㍥㡡搱搰㑥攷㥣〶ㄱ㍤㙡ㄶ昶㘵㑡㘱㜲慡㝥㌷晢扣〵攰摥㘳㘷㑥戴㈲㜳㉦㈹㘶㕤愰㤷㍦㐳挶㉢戲㘸〶㐲攸愳摢ㄵ㤲ち换㐸㌹攰㐰㘰㥣㑦敤攴㔷㌶㔵ㅢ㔲摦慥㔶昶㈸㈲㐹㠳收㥣戱㉣敢㠸㐷摢㐶戰㉢㝣愰ㄹ㙢ㅢ㜵㍦慡㥢㜱㙤摢㈰㘹㤱㉣ㄷ慢〶㈹㜸慡ㄱ戸㈷㉤㐷㌷〱ㄴ晤㐵㐵挶㈵ㄴㄹ㤷㔴搱愰㜹㥡愱㐱㤵攷㔸敥㜹挳戳㠲ㄵ摢慡㤶昸挰昰摤戶愰㐹㌰㌹㈵㙦㥣㘲㤹㌱搶㘶捤㥦㠱挹收㑦〰摤ㄳ㤰愳摣㍡愲ㅦ㤴慢㠹㈲晥㠹ㅥㅤ㑢㄰㌰捡㔳慡扦つ愳ㄵ搴敤〸㠸ㅣ㤵㉥挷㜷㌰㉥㍦㠲㤲㔰〸ㄱ敢ㄹ㈴〲慦㘰㐲挸搳挵㕤㌴捦㌸㔶〰散ㄱ㘳㐷慤㘰搶〷捡〱㤰㔵挷摢㙢ㄵ㔶ㄳ㥤挶㥢㕡攱㠶捥慡㤴㥡戸扥戳㍥愹㌷㕥户㐱㜵愸㔱ㄲ㡡㘴戳㐶㑡戳㙣㌰挷敤愴㙡㠴㔲摣戱戶ㄱ㔹㙥搳搶扥㔳㡡扣〴挵愴㘸㈶愷扦㕤ㄱち〲扤㤱㡥愲捦㍥㥢㍣ㄲㄱㅢ摡〰㘵敡愹戰㙣㈸ち〹㥥挰戵㤳㥡㉣㐷㑦攰敦㕤㔱㜶扥ㄱ愴㙡㡣㑢愳㔱捤㔴扤㍥敦挰㑡愸ㅡ㕥㙤㥢戰㌴搶ㄶ㙡ㄸ挵㥤扤㙡晦㜰㝢ㄳ㡣ㄸ戱㈱挳㈲ㄹ㝥㘰戰㈱㤸㉢ㄱ㔱愵㜵㌶挴慤㙥ㄶ㤷昸㜴㔲ㅡ㡥挲挰㘲㔰㥢㤵㙢捡っ㙢㔹昲愳慡㐳昳戴愸攴愸㙥㑥㉤晢㔰改〱攵㜸㤴㔳っ慥㥢愷改㤶挲㈵〶㠸摤㈸户㔰つ㄰摡㙤づ挰㤳挱昶挱づ㜶㈴っ㥤搰㍡愳〴㉤㘶㄰㙥㝡ㄱ攴㥤ㅥ㌱ち㐱㙡慡昴户㈳攲昳㑦㌱㝤晤㐸㉥捥㐴㑣挴㜰㔷㠶昵〰攴㈶㈳㤳攴愲搱㌸㘰ㅥ㑡㌶㈵戴〶攳㌲㥡ㄸ㐳㌴昹扣〰户㜸ㄸ换ㅡ㈶摢搴㜱捦㉤戰愰㑤敢敢扢捣ㄳ㑥戵摥愸㐹愵㡡㘳㔹慤㌴昲戶挰㤷扡〲ㄸ㜲㔳挶扥㐴㥢㜲〲㐷㈹㉥㤹㐸敡摤敥搶㡦愰扢ㄲ㜲ㄸ㈳㔴㝤っ㐰㘶戸攵㔴㐰慣攳㥥〲敤挳摤慤ぢっ敡昲ㅣ㐴㕡㐷ㄱ㘵搹ㅣ敥攳㌵愳挸㡡摢ㄲ捤收摣㌹㤷㌶㝢愲攸戸ㄵㄶ㙤ぢㅣ㘱㥤愱挰㉢ㄶ㘱㡣昴挸ㅤㅣ㈴㜷㌹㡡敥㕥㝥㐴㍤收㉥〳ㄵち〳㠲㌱㕥㥥㠲㜲搸㔵㌰ㄲつ㙥慤㘵㜵ぢ㐶㝦㘹㜹敢㔳〰㠲㘱㘰ㅡ戴㘸ㄹㅡ㌸㌳挸㙦㙥攰摣㠰㔶ㄹㄱ搲㘴㌰㤵㌱捡㔱㌸散㠱㌴㜰ㄳて搲㑢㉥㤴㔰戰㐷㕤っ㡢敦㈶㡥摢㌸〲戹摥㔵㙤㠵ぢ㐶㠰敢㉦捥摥戶攲愹㕡㡤收㉥晣㜳摢〲慢戸扡ㄱ㥡愳㝢摡㉥㘵愹㌵搱扥扢戹慤㈲扡㉣㜸㘰㜶攲戸ㄱ㔴㔷ㄶ㠳昵昰攲㔶慦㈴㔱昸㈱晣ㄱㅢ扥㥤㌶㜳摥攱㐵搴㌵敥㝤昹㠲攳㕥㜴搴扣ち㍥㙦晤㠱㐲㜰㠵戲㥦㤳㉣攷晥㡤㝦㉡㘹戹挲て㌰攲㔶愶捤〱㕡づㄲ㡥愳㔲㈸つ挶㤰捦愰ㄳ搸敥捤㕢〳愴㤳㍤㙤㜴愲〴挱づ愱㌸攷㕦㌶㐲ㄱ摦〷㕡㐹㉣攱㤱ㅣ㝢晥㉣㔸㕦㝣て㈵㐴㌸㥥㈳㌱㔲戸ㄱ戹っ搴㈹㐱ㅥ㕤昱攰㠵㤰晦ㅦ㉣挵摣扣㈱㍢晤ㄷ㤸㔹㝣户ㅤ㐵搷ㄳ㐵摦改㐰㤱攰㌵㄰挵扦昷㈲ㄳ愷〲挳戳㉦㉡㄰捥㌵敤ㅣ㐰㕦昱ぢ扦晦挳〳攸㕣㐴ㅣ捡㐶㐳愸敤ㄶ㍣㌷㑤㠴扥づㄳ㠱挱㝢㘵㈲㥣㐴㐶㌰㡡ㅦ㥡〸㤱て㘴ㅥ〵㥢㥢〸㡣敤㘵ㄸ㠲㠹㔰㙢挲慤挱ㄳ搸㔵㌶晤㘳挷㜱昱㔶晡㠸攷㐳㘹昹㌳昰㐸㕤摤㔹扣㘰㜸㠶扤㔷㤵ㅦ昳㈴㤴㤹户㠴㥢摣慡ぢ㝢㕣扢㘱㡤敡戴㠱慦㈲昶戲敦昸㔳戶㜶㝦ㅤ㤸ち㔳攸扥ㄷ㈵㔱㝣〹㥥ㄲ挱㜳㐳敥晤㝢扥㜱散㜷て㍤㜶㠴户搵㈲㕡㉤摣㡥㝣㉦㈱㝢摡ㄳ〸敡㈶㉥㡡㕣挹て㜳㑥攲ㄳ㈵㙢戵㉥愷つ㑦㔹㐱扥㙥挷搹㤰昰ㄲ㠴ㄹㄲ摦㜶㌰㌱㜱敦㈱㌴㌱㈷摡摣㥤敡挳㈶攵㈲㥣㐸㑣㕣昹昴攲戰愱攸慡挸㝡戴㌶ぢ摦㠲㉡㝡㤱ㄳ㐹㕢㠹㍣㜵㌲〹昱捤㜶㕤㜷㠸扡㉥㍣挸㌰散ㅦ㑢㈹挴ㅦ㐸㈱挹㠳っ㉦〴㈸㈹㜵ㅡ㤹挲ㅤ〰ㄹ㤱戵昶㄰㉦晤〱㍢㐲㐰㌶㉦晤昵昸ㄱぢ㜶ㄱ㔸㡣㝤昱扤㥥㘸㘹㡢挶慡㠹愱㕡㘵搳㉣㈲愳づ㉦㉣㤸㡣㑢㔳㤶捥〱㤴㙥搹ㅤ挵㤷っ搹㘱攰㉤㘴散㠲㑤㕦㕢搹扥挷㘹攰收〷昴㑣㔱㈹っ㘷㌷㡢㜱㈰㔵㌱扡戰㘹㌹㉣㈲ㅣづ戳捤㑥〳㔱ㄵ㜴㤶戳ㄷ愷㔲〴晦昸愵㄰敢挷㕢㐳㕦搹㕥㐳ㅤ攷昴㘳㠱晣挱晥扡㍥㠳戱昱㔶㜲っ㈴散㤶㕡㤵挲敢攱㘷搰㠵㡢捥〹扤㤵㔵捦攲㄰晥挴㥣搵愷㜵攸㝦㐶慦ㄵ㘷㥤㘵㙦㠶戱㔳晡晦㕤㈸搸㔴晦ぢ挶摥ㄴ㈲摦ㅤ㘵昸㔰㘰晣㘴搳㤰つ㜷〴㥥㙤〴㙦搴挱㔸㔷㔹㠶扣挳摣㈲㍥㕥つ慢㤵〴㠷摦㉢摦㝥㌵愲搹㤷戶敤㐰㔷〱挸搸㔰攱㔹㠸愰慥晤搳㜲㉢㍥摤ㄶ摦㠳㡥㝢㑥㕡㔵捦昵㕤㌳ㄸ㕢㐴搰㜷㡣摦㥥㤹戰㜹愶挴㔷摢㠵摡捤搸㠹挱昷愱捦愹㜹〸散㔳㌲㜸戹㘲㤱㡣㉣㙣㉤㤲挱敦㤰㐶ㄲ攱㈵㙡〷晦ち昳扥㠶㔱挷愷慢昳昰㜵〶㉣摡ㄶ捡㉥昴㌸户摦搰攰搶攱㡥搶㍢攱て㤲昵〹〴挷搴ㄲ摥昳㍥敥㙢晢ㅥ愴摢㐶㙢昳搹戲㌷㥦㕢戹昰っ㜰扡戵户愴㐹㠶敦攴ㄷ挹㘵扤㐲㠸㑢晢㐷昰㜷敢づ㕡㡥㌶ち㍡㡦㍥攸愶㈳㙣扣づ昷搹ㄶ愲摦攷搰㔵㑣ㄱ攰愷ㅢ㔱㠶て㠲㕥㍥戲愲昸ㄲ㤶㐵〶㐰㍥㔷慣〲㜴愷敡愷㌷愲敡㤱㔸㈰ぢ㥥㌱㐸㡥㘵昱〵㌴攴㜶㠵换〶㑢㜰搹㐲㥤㈵㤰搷攳ㅥ挸攷〴捦ㄲ㙡㈲㥦㐳㠷收㐴㉣㤴㜶㥦挸㘷㌷㥡㠸愰ㄵ愰ㄶ㥡ㅣ㝦㈴搶㈲㝡ㅤ搵扡㑤攰㄰戸〰挳ㄴ㡢㤴㌵挵㌰戴昰㍤㘲〶改㤷搱摦ㄷ㡥晣攲㜹愶扦ㅥㄱ㑡㄰愲㉡㍤㜹ち㐲㌵昹㈷㤲㤳昷㔰摡㝤昲㥦搸㘸昲㈳㤴㤱㥣㠹ㅥ〰っ昵㠹ち晥愸挵㌴㤰攱㍥昲㈷捥ㄱ攰㤷㥡挵㠸㠱ㄲ搵昷㈲㌲攸换つ㔷慤㉥㈱ㄳ昷㉤㜰晤ㄹㅦ昷㈸晢㠸ㄷ㈱改换㈹㠶捥搸㘲愸ㄵ㑢㜶攴㠵摤ㄶ戲〱㑢攲搷戲㕤㐵㝡戱挷〸扦昸㜰㡣㤸攳挷攳㉦愷戴㈸收〴挲〸㉤㔲搲て㌷㔲㝣㈸㙥晣敤攷㕡㉥㔳㔴㈰㠱㝡挲挶愴㌳搵昸昱戸昱〱㝣㤵愵摡攴㜸㠳㠰改㠵戸㌱改㔱㌵㝥㉣㙥晣㤷〳㝢㥢㡤㘳㍡っ㐷㉥㤰㐸㌲㙣㕤㘵晤㈷扥搰ㅥ㐶昳㠲㐹晤㌹㘰㠶挵㤴㥣㉡㜴㕣㔷ㅡ㜴㄰㤷㐱㍣㝣㈳㍤㠷扢㑤戸〲〲㈱ㅢ晥慦ㄲ㑥攰捥搳慣ㄱㄸ昸〴㝡つ挱㘶㑦㔷㑦散㕣㌴攷㍤ㄴ昴㥢㈷㝣㥣愹㙡摢㡡㐴㘰づ攴挳晤摤挴㈹㥦㘱㍡戶昶㈳づ㤲㘹扣㐳搲㥢昲㔰㠱㤵扣昸㐰㡣搹摣愳㉤㥡搱ㅦ〱㜲㈰ㅤ〱㤹搱ㅦ〵っ〳㌱扣慤㥣ㅢ㈱晦㉢收晥〰㉢㍥㐸昰ㄸ㐰㔹㤰搹㐹〷挵挷〱㠶攳晦㔱挵搸㥡昲㤷㘸攲愱昸㘵㐹㌲搲㍦捣づㅦ〱攸㠳晢㔶㐴㐴㔸搶㍦㡡㤲攴㑢㈹㌸搴㑢㍦挶㡡㡦ㄳ㝣〲愰㕣攰㘴户扣㙢㕣㔳㡦㥡敢㤳攸㉡ㅥ㈵挰㑦㝦㈲捡昰愱挰㝤㜸㙢㜷㕢㤹㐷攱昸挳㝥㠴㍡㔳㕦昰摦㠳㉦昲搷戹攸㍥晣て㐹ち捡戰捦㙢㙦改㙤㉣㌲〱㙤㜲昵㕢挵㘶扦㠴㜱戸慥㔶〴㠵㈳㔲愹㤴戴愲㈰扥戹㘰攱攲つ㝣换㘱㔵㈱〴㘹㐰㔵㌸㔱挵ㄱㄴ攸㥦㘲㔳攲㤸㜸搲㍦捤㈷愲㔶㙤攲㘷愲っㅦ〴昱慡扡㍦㄰㜵㡦㕦㐸㕣慢ち慢敤㠵挴扦慡㔸㐹扥昰㈹づ愶㤰㠵㑣㕡㉢ㄱ㘹㡡㠶扥㠰捣㔰摦㌰攷㜶㍦㝥摡㈵㔱㍤㔷㍢㜷敥㥦挳昹戱㙢昳敦㝡挷攰㔳㉦晣晣昷㑦晥敡扤㠷晦昴慦愷㥦晥搵ㅦ㥥㝣晥㕦㍦㕣㍥晣㤳㘷㥥昹昱扤㕦㝥晥昷扢捤慦㘸捦晤㜳敥㉢て㑦㕥㜸昸㐱昳捣敤挷ㅥ㝥昷〳昷㑤㉥㕣㌱摥搷搷摦㝦摢攸㑦慦㜹晤挸愳て㝥㔷晣攸㌷㔷㍢㐲㉤ㄷ㉦㐸㑦㠳换㔶搳昸㈲㌲㤸〶㘷晣㡡㑥㠳换㔵ㅢ戵ㅣ㙤搴㌴ち㑡昰㘹㜰〲慡挲㐸㔷っ晣〷挱㔳戳晢</t>
  </si>
  <si>
    <t>㜸〱敤㕣㔹㙣㈴㐷ㄹ㥥㙡捦㡣愷挷昶摡㔹㙦㡥つ㌹㑣づ〲昱攲慣㌷搹㠴〰换攲㈳㝢〴敦摡㔹㝢㌷㐴〱捤戶㘷慡搷㥤㥤敥㜶扡㝢扣敢㄰㈹ㄱ㠴㑢㕣ㄲ㐷㐴㈰㐰ㄴ㈱㈴㕥㌸㕥㈰ㅣて㈰㈱㠱㔰㤰㜸㠰〷㈴ㅥ〲攲㄰〲愱㤵㜸㐱〸〴摦㔷摤㍤搳㍤攳㘹㍢㤳〴ㅣ攴摡捣敦敡扡扡慡晥戳晥扦㍡㌹㤱换攵晥㡤挴扦㑣㜹㘶慥㔹㕣昷〳㘹㑦捣戸昵扡慣〶㤶敢昸ㄳ㔳㥥㘷慣捦㔹㝥搰㠷〶挵㡡㠵㝡扦㔰昱慤㐷㘴愹戲㈶㍤ㅦ㡤ち戹㕣愹愴㙢愸攷㈰晣㡤挴て㍡㝢つ收〱㤶㘶愶攷㤷ㅦ挲愸㡢㠱敢挹㝤㘳㘷挲扥㠷㈶㈷㈷㈶㈷敥戸㙢昲捥㠹晤晢挶㘶ㅡ昵愰攱挹㐳㡥㙣〴㥥㔱摦㌷戶搰㔸慥㕢搵㜷挸昵㈵昷扣㜴づ挹攵晤户㉦ㅢ㜷扣㘹昲㡥㠳〷捤扢敦㝥搳㈰㕥㥤㍢㌹㌳扤攰㐹搳㝦㤹挶㉣㜰捡㜷捣捡慡挵戵㐹改㔹捥戹㠹㤹㘹晣㤷㤸㍦㥥敥㥡㔸㕣㤱㌲攰慢愵㈷㥤慡昴㜵㜴ㅣ戰愷㝣扦㘱慦㜲昳㜴晢〸㤶㕡㌵晣愰㘰捦挸㝡㕤户攳㔱㑢昶㍣昶慥㙥慣て摡㡢搲昱慤挰㕡戳㠲昵愲扤㠴㠱㙡㐳昶㘹㕦㥥㌲㥣㜳昲愴㘱换㠲㝤戴㘱搵昲㘱捡昵摤ㄲて㤱㥣㤸㕡晥挴㤴㙦捦慣ㄸ㥥㥡㤱捦㡤挹㘸㝢挴慢愶摢摥搸㝤㕣㑥㕤扤㠱㘳摥摣扤ㅤ㙡捥ㄸ㕥戳攵㜸昷㤶搱攲搳㌳戸慤㝢晢挴ㅥ愵晢扣愱㝢ㅦ戵㤵改搶㘲㈰愲㙦戵愳㔸㡣㕥㈴攸㈷㈸ㄱ㄰㠱㝡㤹㘰㠰㘰㄰㐰攴晦〶㉥㐹㜶㘴㤵㔶㌱戴捡戲㔶愹㙡㤵㥡㔶㤱㕡挵搴㉡攷戴捡㡡㔶戱戴捡㐳㕡攵㍣摡挴愹搴摦慦㐵改摡㈷敦晣搳户晦昱㠳㤳㥦晢晤扤晦晡敡㝤捦晤㝣㜰ㄷㅡ摤ㄷ㑤㙡搶㌳㉥㠰搴㕡㔴㝣㘰㘲㍦晦㙤捥ㄵ㘰ち昳愰㜹㤷㌹㌹㔹㍢戸摦戸摤㈸㜰㔹ㄹ挸㑦ㄱ捡〸摡づ㥡昷㕢㑥捤扤愰㜰㜷捤戴攱换搶挶㡤㐷㜵搳㙥挳愹昹慦搹戸㜲㌱㌰〲㜹㜵㝢㕤㙢㤰㡥㙥㡢㘰㉢改慢昷㕤搷摥敤㡣㔱㙦挸愹㡢㔶㔸㝤㙤㕢戵扤攰戹换摤㙢㡦㜸昲攱㘶㙤挷㡣愶㈰搴搶搴搸ㅤ慢っ慢挲㜹㡤捤慣戸扥㜴搴昴挶敤〵慢㝡㕥㝡㡢㤲㈲㔱搶搴㔲㉦㘷㔵挴昵攳昳づㄶち㙥慤摤㤰㉣㌵敦戹ㄸ㠰㤹㘵つ昳㕤㤵㕥戰扥㘴㉣搷攵ㄵ愹㈶攱㍢㔱戱㌷㔵㝣挴慤㌶晣ㄹ搷〹㍣户㥥慥㤹慡慤ㄹ㤰㌴戵ㄳ㙥㑤收昳㌹㈵ㄴ㈰㜰晢晡㠴挸摤摡㥤ㄷㄴ㈲ㄲ㈸㈶㈳㕦㤵㈶扢㠹㔳㔸ㅤ㔶㔱㤷愴㐹敤愶㑤〶攳㝣㤵㡣挹攰挰挴㥡愸㍦昸搲搷㙦㌲㙣ㄳ㜳慦㙣㘳㑤ㅢ㡤㔶㝦捦㥡㜴㠲㘳㠶㔳慢㑢㉦㔳晢〹捥㐸ㅦ〶㈸㕣㠲㐰攸扡㝢㔴㜵攲愲㔸㉦㕣戰㙡挱㑡㜱㐵㕡攷㔶〲㤴㐱㐳㤶㑡摣摡㡥愴㕦㠶㈲㝤㌷挱㈸㐰戹㥣㉢敥㘱愳㘲ㄹ㈹㔷愰㜴捡攰攵㤴㈰㘷扦ㄴ㉦て㥡㐷慣㝡㈰㐳愱㍣㙣〲㈳愱㔶㔳攸ㅢ㈲㠹㝡㐶㌵㔴ㄸ㝢捣ㄹ㔰愹㘱㌹挱㝡㡢㙦㍢戸㈴㈴愲ㅤ㔹戰敤㘴〱㐵㐱㕡ㅥ㘴昰ㅡ㠸愶㑤ㅡ㘴㌷㑥㄰ㄱ搹㈰㐳戳㘳攴㌴㤱戱㝤㠶㡣㐰晢㈴ㄱ戲昵晥敥㌲㠲挴摥㐹愴散搴㤵ㅦ㜷愴搹㐶戶㝣㈸捤㉥挷挶改㔷㄰㕣㐹㜰ㄵ挱㕥〰昱〷㐸㌸㑡㌹攴搳㐹㝦つ㥥昵㙢〸慥〵㠰㝣搲㈹㜳㈲㔱㐵ㅢ㙡㉢㜶㈴摢つ挱㑥㔶㐶㜱㈸㡡㘸ㄹ㌷敤捣㈱㕢㈱㍡戲㍡户㠷慥捤㉢ㅤ晢扡敥戴㤹㕣づ㈹㌲愳㘹㜲慤㥢㌴㑤㙥〴㥢昶愸户慥㐷㔷㝤㡣攰戵〰㘵晤〶㐲㈸ㄷㅡ扣㕢戳攸㘹㔲扥㉡捣愲搰ㄸ敡㔱挱㐷㠴捣㈳㐰㠶㤰敢㌸扥散搸搰㌴〷挷捤㔷扤つ扤慦㍢㝦㐷㐸㙦搳㥢㍢㝡㠷晥愲ㄷ㘹㐵摦〸昶ㄲ扦敥慡㘳㙥㐶戵晥㍡㠲㕢〰摡㜴っ㑦摦㉦搶㔳愰捣㘲㍢㠱戹摤昴扡㈸㉢㜷㘹㝤㔵㉡つ㌴㘸㉥ㄹ摥㌹ㄹ挰㠳㜱㝣ㄶ戶戰敢㜹戲㡥㐳㙤㑤ㄵ昰晣㜲㘵扡搰㍦攲戹㌶换㜷㙣㘴晦㔵愱ㄸ昲㜹慤㉦搷㘶㈳㘷搸㥡〹㥦㔳㠲㜲愸㠳㙦敦㉥㈴ㄲ㥤搲攴挵㝥搹攷换ㅤ㐹搲㠳㈴㜹〳戶㔵扦ㄵ〰㔲㐲晣戲慢㐴搹挷㘶㙦㔴捤搲ㄶ㉢㍤㝣ㄹ愷㤳㌶ㅦ㘲㠷ㅣㄹ〸ㅤ戶搳昰ㅦ昸㐳昶愲㘵㌷㠵挵㠰扤㈰扤㉡㝣ぢ㔶㕤㤶㐳户㉣㐵捤㡥慣㜸㤵挸㡡扥扥㡥昳㜴㠶㝦㑤搱㐹㥢㤴挸攴昶捣捡㡣戳㜸㡢愸攸㠶愴㔰挹㜰つ㌵㈵㄰㈹㡦㙤㜷㐴㑣て㈲收㌶㙣㥣扥㥦㘰㤲攰〰㐰攱㘷㤰㌴㕢摤㜸㠶挳晡搷攸搲慥㔴㜲㈵愲㐱戹〸㥦敦㉡慣づ昲㌵㜷ㄲ摣〵搰㘶晥搰〱㤹㐱㠸ち攵〹㐲㔴㘱っ昳㡣㈵㉦㤰〶㜶㤹〸㉣捤㌴晣挰戵ㄹ㔹ㅡ㌲㘷摤㤳㙥㌰㙢昹慢㠸㐴㡤㥡㔱收晥ㄵ改㠰扡㍣搸㍥㙤㘵敥敡慡慣改收愲摢㠰㘸㍢㍥扢ㅤづ收搸づ搸㤲敡㙣慥〹愴摥捥挷ㄸ㐲㘰愷㤵扦㤵摥搸㉤㜹扦㜹攸ㅢ㙥敤攸㤲ㄵ搴攵㠰ㄹ㌲ㅤ昳㈵ㄳ扢㠸挸㐱慤摦㕣㕡昱愴㥣ㅤ㌲㡦㝡㔶慤㙥㌹㤲挸㠰㡤挹㘰摤㥣㍣㠷㈸挱㠲换ㄸ愰敢っ㤹㑢㥥攱昸慢〶〳㡡敢扢㔳㑦㉡㉣㔲㌰愷㉤挷挷㙢ㄴㄶ㤹ㅦ㌶ㄷ㔷摣ぢ㠸搸㌶㙣攷愸戱敡㙦ぢ慣㤰攸挳愴㔰㈳㌴愱㘹愲愴㤵㝡挵てて攴戹ㅣ㜹㉦㑦愰㜰㤵㉢搰㘷㥥愱扤㘹搷㐷㌱ㅡ摡改㥣搳㈰愲㐷捤挲扥㑣㈹㑣㑥搵敦㘶㥦㌷〳摣㝢昴昴昱㔶㘴敥㈵挵慣ぢ昴昲㘷挸㜸㐵ㄶ捤㐰〸㝤㜴扢㐲㔲㘱ㄹ㈹〷ㅣ〸㡣昳愹㥤晣捡愶㙡㐳敡摢搵捡ㅥ㐱㈴㘹搰㥣㌳㤶㘵ㅤ昱㘸摢〸㜶㠵て㌴㘳㙤愳敥㐷㜵㌳慥㙤ㅢ㈴㉤㤲攵㘲搵㈰〵㑦㌵〲昷㠴攵攸㈶㠰愲扦愸挸戸㠸㈲攳愲㉡ㅡ㌴㑦㌱㌴愸昲ㅣ换㍤㘷㜸㔶戰㘲㕢搵ㄲㅦㄸ扥摢ㄶ㌴〹㈶愷攴㡤㔳㉣㌳挶摡慣昹搳㌰搹晣〹愰㝢〲㜲㤴㕢㐷昴㠳㜲㌵㔱挴㍦搱愳㘳〹〲㐶㜹㑡昵户㘲戴㠲扡ㅤ〱㤱愳搲愵昸づ挶愵挷㔰ㄲち㈱㘲㍤㠳㐴攰ㄵ㑣〸㜹扡戸㡢收㘹挷ち㠰㍤㘲散㠸ㄵ捣晡㐰㌹〰戲敡㜸㝢戵挲㙡愲搳㜸㔳㉢㕣摦㔹㤵㔲ㄳ搷㜵搶㈷昵挶㑤ㅢ㔴㠷ㅡ㈵愱㐸㌶㙢愴㌴换〶㜳摣㑥慡㐶㈸挵ㅤ㙢ㅢ㤱攵㌶㙤敤㍢愵挸㑢㔰㑣㡡㘶㜲晡摢ㄴ愱㈰搰ㅢ改㈸晡散戳挹㈳ㄱ戱愱つ㔰愶㥥ち换㠶愲㤰攰㜱㕣㍢愹挹㜲昴〴晥摥ㄵ㘵攷ㅢ㐱慡挶戸㌸ㅡ搵㑣搵敢昳づ慣㠴慡攱搵戶〹㑢㘳㙤愱㠶㔱摣搹慢昶て户㌷挱㠸ㄱㅢ㌲㉣㤲攱〷〶ㅢ㠲戹ㄲㄱ㔵㕡㘷㐳摣敡㘶㜱㠹㑦㈷愴攱㈸っ㉣〶戵㔹戹愶捣戰㤶㈵㍦慡㍡㌴㑦㡢㑡㡥敡收搴戲て㤵ㅥ㔰㡥㐷㌹挵攰扡㜹㡡㙥㈹㕣㘲㠰搸㡤㜲ぢ搵〰愱摤收〰㍣ㄹ㙣ㅦ散㘰㐷挲搰〹慤㌳㑡搰㘲〶攱愶ㄷ㐱摥改ㄱ愳㄰愴愶㑡㝦㍤㉣㍥昷ㄴ搳㔷て攷攲㑣挴㐴っ㜷㘵㔸て㐰㙥㌲㌲㐹㉥ㅡ㡤〳收愱㘴㔳㐲㙢㌰㉥愳㠹㌱㐴㤳捦ぢ㜰㡢㠷戱慣㘱戲㑤ㅤ昷摣〲ぢ摡戴扥扥换㍣敥㔴敢㡤㥡㔴慡㌸㤶搵㑡㈳㙦ぢ㝣愹㉢㠰㈱㌷㘵散㑢戴㈹挷㜱㤴攲㤲㠹愴摥敤㙥晤㌰扡㉢㈱㠷㌱㐲搵挷〰㘴㠶㕢㑥〵挴㍡敥㈹搰㍥摣摤扡挰愰㉥捦㐱愴㜵ㄴ㔱㤶捤攱㍥㕥㌳㡡慣戸㉤搱㙣捥㥤㜳㘹戳㈷㡡㡥㔹㘱搱戶挰ㄱ搶ㄹち扣㘲ㄱ挶㐸㡦摣挱㐱㜲㤷愲攸敥愵挷搴㘳敥ㄲ㔰愱㌰㈰ㄸ攳攵㈹㈸㠷㕤〵㈳搱攰搶㕡㔶户㘰昴㤷㤶户㍥〵㈰ㄸ〶愶㐱㡢㤶愱㠱㌳㠳晣收〶捥昵㘸㤵ㄱ㈱㑤〶㔳ㄹ愳ㅣ㠵挳ㅥ㐸〳㌷昱㈰扤攴㐲〹〵㝢搴挵戰昸㙥攲戸㡤㈳㤰敢㕤搱㔶戸㘰〴戸晥攲散㙤㉢㥥慡搵㘸敥挲㍦户㉤戰㡡慢ㅢ愱㌹扡愷敤㔲㤶㕡ㄳ敤扢ㅢ摢㉡愲换㠲〷㘶㈷㡥ㄹ㐱㜵㘵㌱㔸て㉦㙥昵㑡ㄲ㠵敦挳ㅦ戱攱摢㘹㌳攷ㅤ㕥㐴㕤攳摥㤷捦㍢敥〵㐷捤慢攰昳搶ㅦ㈸〴㔷㈸晢㌹挹㜲敥摦昸愷㤲㤶㉢㝣て㈳㙥㘵摡ㅣ愰攵㈰攱㌸㉡㠵搲㘰っ昹っ㍡㠱敤摥扣㌵㐰㍡搹搳㐶㈷㑡㄰散㄰㡡㜳敥㘵㈳ㄴ昱㕤愰㤵挴ㄲㅥ挹戱攷㕦〱敢㡢敦愰㠴〸挷㜳㈴㐶ち慦㐵㉥〳㜵㑡㤰㐷㔷㍣㜸㈱攴晦〷㑢㌱㌷㙦挸㑥晦〵㘶ㄶ捦戵愳攸㍡愲攸摢ㅤ㈸ㄲ扣〶愲昸昷㕥㘴攲㔴㘰㜸昶㐵〵挲戹愶㥤〳攸㉢㝥攱昷㝦㜸〰㥤㡢㠸㐳搹㘸〸戵摤㡣攷愶㠹搰搷㘱㈲㌰㜸慦㑣㠴ㄳ挸〸㐶昱㐳ㄳ㈱昲㠱捣愳㘰㜳ㄳ㠱戱扤っ㐳㌰ㄱ㙡㑤戸㌵㜸〲扢挲愶㝦散ㄸ㉥摥㑡ㅦ昱㝣㈸㉤㝦〶ㅥ愹㉢㍢㡢ㄷっ捦戰昷慡昲愳㥥㠴㌲昳㤶㜰㤳㕢㜵㘱㡦慢㌷慣㔱㥤㌶昰㔵挴㕥昶ㅤ㝦捡搶敥慦〳㔳㘱ち摤昷愲㈴㡡㉦挱㔳㈲㜸㙥挸扤㘷捦搷㡥晥收㤱㈷づ昳戶㕡㐴慢㠵㕢㤱敦㈵㘴㑦㝢〲㐱摤挴㐵㤱换昹㘱捥〹㝣愲㘴慤搶攵戴攱㈹㉢挸搷敤㌸ㅢㄲ㕥㠲㌰㐳攲摢づ㈶㈶敥㍤㠴㈶收㐴㥢扢㔳㝤搸愴㕣㠴ㄳ㠹㠹㉢㥦㕥ㅣ㌶ㄴ㕤ㄵ㔹㡦搶㘶攱ㅢ㔰㐵㉦㜲㈲㘹㉢㤱愷㑥㈶㈱扥摥慥敢づ㔲搷㠵〷ㄹ㠶晤㘳㈹㠵昸〳㈹㈴㜹㤰攱㠵〰㈵愵㑥㈱㔳戸つ㈰㈳戲搶ㅥ攲愵㍦㘰㐷〸挸收愵扦ㅥ㍦㘲挱㉥〲㡢戱㉦扥搷ㄳ㉤㙤搱㔸㌵㌱㔴慢㙣㥡㐵㘴搴攱㠵〵㤳㜱㘹捡搲㌹㠰搲㉤扢愳昸㤲㈱㍢っ扣㠵㡣㕤戰改㙢㉢摢昷㌸つ摣晣㠰㥥㈹㉡㠵攱散㘶㌱づ愴㉡㐶ㄷ㌶㉤㠷㐵㠴挳㘱戶搹㘹㈰慡㠲捥㜲昶攲㔴㡡攰ㅦ扦ㄴ㘲晤㜸㙢攸换摢㙢愸攳㥣㝥㉣㤰㍦搸㕦搷㘵㌰㌶摥㑡㡥㠱㠴摤㔲慢㔲㜸㍤晣㌴扡㜰搱㌹愱户戲敡㔹ㅣ挴㥦㤸戳晡戴づ晤捦攸戵攲慣㌳散捤㌰㜶㑡晦扦ㄳ〵㥢敡㝦挱搸㥢㐲攴〳㔱㠶て〵挶㑦㌶つ搹㜰㐷攰搹㐶昰㐶ㅤ㡣㜵㤵㘵挸㍢捣㉤攲攳搵戰㕡㐹㜰昸扤昲敤㔷㈳㥡㝤㘹摢づ㜴ㄵ㠰㡣つㄵ扥〲ㄱ搴戵㝦㕡㙥挵愷摢攲㠳攸戸攷㠴㔵昵㕣摦㌵㠳戱㐵〴㝤挷昸敤㤹〹㥢㘷㑡㝣戹㕤愸摤㠸㥤ㄸ㝣㌷晡㥣㥣㠷挰㍥㈹㠳㤷㉢ㄶ挹挸挲搶㈲ㄹ晣づ㘹㈴ㄱ㕥愲㜶昰㉦㌳敦㙢ㄸ㜵㝣扡㍡て㕦㘷挰愲㙤愱散㐲㡦㜳晢つつ㙥ㅤ敥㘸扤〳晥㈰㔹㥦㐰㜰㑣㉤攱挱㜷㜳㕦摢昷㈰摤㌶㕡㥢捦㤶扤昹摣捡㠵㘷㠱搳慤扤㈵㑤㌲㝣㈷扦㐸㉥敢ㄵ㐲㕣摡㍦㡣扦㕢㜷搰㜲戴㔱搰㜹昴㐱㌷ㅤ㘱攳㜵戸捦戶㄰晤㍥㡢慥㘲㡡〰㍦摤㠸㌲㝣㄰昴昲㤱ㄵ挵ㄷ戱㉣㌲〰昲戹㘲ㄵ愰㍢㔵㍦扤ㄱ㔵㡦挴〲㔹昰㡣㐱㜲㉣㡢捦愳㈱户㉢㕣㌶㔸㠲换ㄶ敡㉣㠱扣ㅥ昷㐰㍥㈷㜸㤶㔰ㄳ昹㉣㍡㌴㈷㘲愱戴晢㐴㥥摣㘸㈲㠲㔶㠰㕡㘸㜲晣㤱㔸㡢攸㜵㔴敢㌶㠱㐳攰〲っ㔳㉣㔲搶ㄴ挳搰挲㜷㠸ㄹ愴㥦㐷㝦㕦㌸晣戳攷㤹晥㜲㔸㈸㐱㠸慡昴攴㈹〸搵攴㍦㤱㥣扣㠷搲敥㤳晦搸㐶㤳ㅦ愱㡣攴㑣昴〰㘰愸㑦㔴昰㐷㉤愶㠱っ昷㤱㍦㜱㤶〰扦搴㉣㐶っ㤴愸扥ㄷ㤰㐱㕦㙥戸㙡㜵ㄱ㤹戸㙦㠱敢捦昸戸㐷搹㐷扣〸㐹㕦㑥㌱㜴挶ㄶ㐳慤㔸戲㈳㉦散戶㤰つ㔸ㄲ扦㤶敤㉡搲㡢㍤㐶昸挵〷㘳挴ㅣ㍢ㄶ㝦㌹愵㐵㌱㈷㄰㐶㘸㤱㤲㝥戸㤱攲〳㜱攳㙦㝥慢攵㌲㐵〵ㄲ愸㈷㙣㑣㍡㔳㡤摦ㅦ㌷㍥㠰慦戲㔴㥢ㅣ㙦㄰㌰扤㄰㌷㈶㍤慡挶㑦挴㡤晦㝣㘰㙦戳㜱㑣㠷攱挸〵ㄲ㐹㠶慤慢慣晦挴ㄷ摡挳㘸㕥㌰愹㍦〷捣戰㤸㤲㔳㠵㡥敢㑡㠳づ攲㌲㠸㠷㙦愴攷㜰户〹㔷㐰㈰㘴挳晦㔵挲㜱摣㜹㥡㌵〲〳㥦㐰慦㈱搸散改敡㠹㥤㡢收扣㠷㠲㝥昳戸㡦㌳㔵㙤㕢㤱〸捣㠱㝣戸扦㥢㌸攵㌳㑣挷搶㝥挴㐱㌲㡤㜷㐸㝡㔳ㅥ㉡戰㤲ㄷ敦㡤㌱㥢㝢扣㐵㌳晡㘳㐰づ愴㈳㈰㌳晡攳㠰㘱㈰㠶户㤵㜳㈳攴㝦挵摣敦㘵挵晢〸㥥〰㈸ぢ㌲㍢改愰昸㝥㠰攱昸㝦㔴㌱戶愶晣㈵㥡㜸㈴㝥㔹㤲㡣昴て戲挳㠷〰晡攰扥ㄵㄱㄱ㤶昵て愳㈴昹㔲ちづ昵搲㡦戰攲愳〴ㅦ〳㈸ㄷ㌸搹㉤敦ㅡ搷搴愳收晡㌸扡㡡挷〹昰搳㍦ㄱ㘵昸㔰攰㍥扣愵扢慤捣愳㜰晣㘱㍦㐲㥤愹㉦昸敦挱ㄷ昹敢㕣㜴ㅦ晥㠷㈴〵㘵搸攷戵㌷昷㌶ㄶ㤹㠰㌶戹晡慤㘲戳㕦挲㌸㕣㔷㉢㠲挲ㄱ愹㔴㑡㕡㔱㄰摦㕣戰㜰昱〶扥攵㤰慡㄰㠲㌴愰㉡㥣愸攲㌰ち昴㑦戱㈹㜱㑣㍣改㥦收ㄳ㔱慢㌶昱㌳㔱㠶て㠲㜸㔵摤ㅦ㡡扡挷㉦㈴慥㔵㠵搵昶㐲攲㕦㔵慣㈴㕦昸ㄴ〷㔳挸㐲㈶慤㤵㠸㌴㐵㐳㥦㐷㘶愸㙦㤸㜳扢ㅦ㍦敤愲愸㥥慤㥤㍤晢昷攱晣搸搵昹㜷扥㝤昰愹ㄷ㝥晡摢㑦晥攲㕤㠷晥昸捦愷㥦晥挵敦㍥昹晣㍦扦扦㝣攸挷捦㍥晢愳㝢扦昴晣㙦㜷㥢捦㘸摦晡晢摣㌳㡦㑥㥥㝦昴㘱昳昴慤㐷ㅦ㝤攰愱晢㈶ㄷ㉥ㅢ敦敢敢敦扦㘵昴㈷㔷扤㝥攴昱㠷㥦ㄳ㍦晣搵㤵㡥㔰换挵ぢ搲搳攰戲搵㌴扥㠰っ愶挱ㄹ扦愲搳攰㜲搵㐶㉤㐷ㅢ㌵㡤㠲ㄲ㝣ㅡ㥣㠰慡㌰搲ㄵ〳晦〱〵㌲戵㈴</t>
  </si>
  <si>
    <t>㜸〱敤㕣㕢㙣ㅣ㔷ㄹ摥㌳摥㕤敦慣敤搸㡤搳㑢㑡㘹つ愱ㄴ敡攰挶㘹㐳㈹㄰㠲㉦捤愵㜵㘲㌷㜶㔲㔰㐱㥢昱敥㤹㜸㥡㥤ㄹ㜷㘶搶㠹㑢愵㔶搰㔲㄰㔷㜱ㄳ㠵〲㔵㠵㉡㈱㄰㤷ㄷ敥㉦㐸㐸㈰㔴㈴ㅥ㐰〲㠹㠷㔲㈱㜸〰愱㐸扣昰㠰㔴扥敦捣捣敥捣慥㜷散㙥㕢㜰㤱㑦扡扦捦㥣摢㥣㜳晥敢昹晦㌳捤㠹㕣㉥昷〲ㄲ晦㌲攵㤹戹㙥㜱摤て愴㍤㌱攳搶敢戲ㅡ㔸慥攳㑦㑣㜹㥥戱㍥㘷昹㐱ㅦㅡㄴ㉢ㄶ敡晤㐲挵户ㅥ㤴愵捡㥡昴㝣㌴㉡攴㜲愵㤲慥愱㥥㠳昰㌷ㄲ㍦攸散㌵㤸〷㔸㥡㤹㥥㕦扥ㅦ愳㉥〶慥㈷昷㡦㥤つ晢ㅥ㥥㥣㥣㤸㥣戸敤昶挹户㑥ㅣ搸㍦㌶搳愸〷つ㑦ㅥ㜶㘴㈳昰㡣晡晥戱㠵挶㜲摤慡摥㉤搷㤷摣ぢ搲㌹㉣㤷て摣扡㙣摣昶戶挹摢づㅤ㌲敦戸攳㙤㠳㜸㜵敥搴捣昴㠲㈷㑤晦㘵ㅡ戳挰㈹摦㌶㉢慢ㄶ搷㈶愵㘷㌹攷㈷㘶愶昱㕦㘲晥㜸扡㝤㘲㜱㐵捡㠰慦㤶㥥㜴慡搲搷搱㜱挰㥥昲晤㠶扤捡捤搳敤愳㔸㙡搵昰㠳㠲㍤㈳敢㜵摤㡥㐷㉤搹昳搸扢扡戱㍥㘸㉦㑡挷户〲㙢捤ち搶㡢昶ㄲ〶慡つ搹㘷㝣㜹摡㜰捥换㔳㠶㉤ぢ昶戱㠶㔵换㠷㈹搷㜷㔳㍣㐴㜲㘲㙡昹ㄳ㔳扥㍤戳㘲㜸㙡㐶㍥㌷㈶愳敤㔱慦㥡㙥扢慦晢戸㥣扡㝡〳挷扣戱㝢㍢搴㥣㌵扣㘶换昱敥㉤愳挵愷㘷㜰㑢昷昶㠹㍤㑡昷㜹㜳昷㍥㙡㉢搳慤挵㐰㐴摦㙡㐷戱ㄸ扤㐸搰㑦㔰㈲㈰〲昵㌲挱〰挱㈰㠰挸晦ㄳ㕣㤲散挸㉡慤㘲㘸㤵㘵慤㔲搵㉡㌵慤㈲戵㡡愹㔵捥㙢㤵ㄵ慤㘲㘹㤵晢戵捡〵戴㠹㔳愹扦㕦㡢搲户ㅥ晦㠱晥㤵㙦㉥捤㝥晡昷晢㥥扡攵㠵晤昶攰㉥㌴扡㈷㥡搴慣㘷㕣〴愹戵愸昸攰挴〱晥摢㥣㉢挰ㄴ收㈱昳㜶㜳㜲戲㜶攸㠰㜱慢㔱攰戲㌲㤰㥦㈲㤴ㄱ戴ㅤ㌴敦戵㥣㥡㝢㔱攱敥扡㘹挳㤷慤㡤ㅢ㡦敡愶摤㠶㔳昳㕦戳㜱攵㘲㘰〴昲摡昶扡搶㈰ㅤ摤ㄶ挱㔶搲㔷敦扢扥扤摢㔹愳摥㤰㔳㤷慣戰晡戵㙤搵昶㠲攷㉥㜷慦㍤敡挹〷㥡戵ㅤ㌳㥡㠲㔰㕢㔳㘳㜷慣㌲慣ち攷㌵㌶戳攲晡搲㔱搳ㅢ户ㄷ慣敡〵改㉤㑡㡡㐴㔹㔳㑢扤㤲㔵ㄱ搷㡦捦㍢㔸㈸戸戵昶晡㘴愹㜹攷愵〰捣㉣㙢㤸敦慡昴㠲昵㈵㘳戹㉥慦㑡㌵〹摦㠹㡡扤愹攲愳㙥戵攱捦戸㑥攰戹昵㜴捤㔴㙤捤㠰愴愹㥤㜴㙢㌲㥦捦㈹愱〰㠱摢搷㈷㐴敥收敥扣愰㄰㤱㐰㌱ㄹ昹㥡㌴搹㑤㥣挶敡戰㡡扡㈴㑤㙡㙦搸㘴㌰捥㔷挹㤸っづ㑣慣㠹晡㠳㉦㝤搳㈶挳㌶㌱昷捡㌶搶戴搱㘸昵㜷慥㐹㈷㌸㙥㌸戵扡昴㌲戵㥦攰㡣昴㘱㠰挲㘵〸㠴慥扢㐷㔵㈷㉥㠹昵挲㐵慢ㄶ慣ㄴ㔷愴㜵㝥㈵㐰ㄹ㌴㘴愹挴慤敤㐸晡ㄵ㈸搲㜷ㄳ㡣〲㤴换戹攲ㅥ㌶㉡㤶㤱㜲〵㑡愷っ㕥㑥〹㜲昶㑢昱昲愰㜹搴慡〷㌲ㄴ捡挳㈶㌰ㄲ㙡㌵㠵扥㈱㤲愸㘷㔴㐳㠵戱挷㥣〱㤵ㅡ㤶ㄳ慣户昸戶㠳㑢㐲㈲摡㤱〵摢㑥ㄶ㔰ㄴ愴攵㐱〶慦㠱㘸摡愴㐱㜶攳〴ㄱ㤱つ㌲㌴㍢㐶㑥ㄳㄹ摢㘷挸〸戴㑦ㄲ㈱㕢ㅦ攸㉥㈳㐸散㥤㐴捡㑥㕤昹㜱㐷㥡㙤㘴换㠷搲散㑡㙣㥣㝥ㄵ挱搵〴搷㄰散〵㄰㝦㠱㠴愳㤴㐳㍥㥤昴搷攰㔹扦㡥攰戵〰㤰㑦㍡㘵㑥㈴慡㘸㐳㙤挵㡥㘴扢㈱搸挹捡㈸づ㐵ㄱ㉤攳愶㥤㌹㘴㉢㐴㐷㔶攷昶搰戵㜹愵㘳摦搸㥤㌶㤳换㈱㐵㘶㌴㑤慥㜵㤳愶挹㡤㘰搳ㅥ昵搶つ攸慡㡦ㄱ扣づ愰慣扦㥥㄰捡㠵〶敦搶㉣㝡㥡㤴慦ち戳㈸㌴㠶㝡㔴昰ㄱ㈱昳〸㤰㈱攴㍡㡥㉦㍢㌶㌴捤挱㜱昳㔵㙦㐳敦敦捥摦ㄱ搲摢昴收㡥摥愱扦攸㐵㕡搱晢挰㕥攲㡦㕤㜵捣㡤愸搶摦㐸㜰ㄳ㐰㥢㡥攱改晢挵㝡ち㤴㔹㙣㈷㌰户㥢㕥ㄷ㘵攵㉥慤慦㑡愵㠱〶捤㈵挳㍢㉦〳㜸㌰㑥捣挲ㄶ㜶㍤㑦搶㜱愸慤愹〲㥥㕦慥㑥ㄷ晡㐷㍤搷㘶昹㡥㡤散扦㉡ㄴ㐳㍥慦昵攵摡㙣攴っ㕢㌳攱㜳㑡㔰づ㜵昰慤摤㠵㐴愲㔳㥡扣搸㉦晢㝣戹㈳㐹㝡㤰㈴㙦挶戶敡㌷〳㐰㑡㠸摦㜵㤵㈸晢搹散㉤慡㔹摡㘲愵㠷㉦攳㜴搲收㐳散㤰㈳〳愱挳㜶ㅡ晥〳㝦挸㕥戴散愶戰ㄸ戰ㄷ愴㔷㠵㙦挱慡换㜲攸㤶愵愸搹㤱ㄵ慦ㄲ㔹搱搷搷㜱㥥捥昰慦㈹㍡㘹㤳ㄲ㤹摣㥥㔹㤹㜱ㄶ㙦ㄱㄵ摤㤰ㄴ㉡ㄹ慥愱愶〴㈲攵戱敤㡥㠸改㐱挴摣㠲㡤搳て㄰㑣ㄲㅣ〴㈸晣ㅡ㤲㘶慢ㅢ捦㜰㔸晦ㅡ㕤摡㤵㑡慥㐴㌴㈸ㄷ攱戳㕤㠵搵㈱扥收慤〴户〳戴㤹㍦㜴㐰㘶㄰愲㐲㜹㠲㄰㔵ㄸ挳㍣㙢挹㡢愴㠱㕤㈶〲㑢㌳つ㍦㜰㙤㐶㤶㠶捣㔹昷㤴ㅢ捣㕡晥㉡㈲㔱愳㘶㤴戹㜷㐵㍡愰㉥て戶㑦㕢㤹扢扡㉡㙢扡戹攸㌶㈰摡㑥捣㙥㠷㠳㌹戶〳戶愴㍡㥢㙢〲愹户昳㌱㠶㄰搸㘹攵㙦愵㌷㜶㑢摥㙦ㅥ晡㠶㕢㍢扡㘴〵㜵㌹㘰㠶㑣挷㝣挹挴㉥㈲㜲㔰敢㌷㤷㔶㍣㈹㘷㠷捣㘳㥥㔵慢㕢㡥㈴㌲㘰㘳㌲㔸㌷㈷捦㈳㑡戰攰㌲〶攸㍡㐳收㤲㘷㌸晥慡挱㠰攲晡敥搴㤳ち㡢ㄴ捣㘹换昱昱ㅡ㠵㐵收㠷捤挵ㄵ昷㈲㈲戶つ摢㌹㘶慣晡摢〲㉢㈴晡㌰㈹搴〸㑤㘸㥡㈸㘹愵㕥昱挳〳㜹㉥㐷摥换ㄳ㈸㕣攵ち昴㤹㘷㘸㙦摡昵㔱㡣㠶㜶㍡攷㌴㠸攸㔱戳戰㉦㔳ち㤳㔳昵㍢搸攷敤〰㜷ㅤ㍢㜳愲ㄵ㤹㝢㐹㌱敢〲扤晣ㄹ㌲㕥㤱㐵㌳㄰㐲ㅦ摤慥㤰㔴㔸㐶捡〱〷〲攳㝣㙡㈷扦戲愹摡㤰晡㜶戵戲㐷ㄱ㐹ㅡ㌴攷㡣㘵㔹㐷㍣摡㌶㠲㕤攱〳捤㔸摢愸晢㔱摤㡣㙢摢〶㐹㡢㘴戹㔸㌵㐸挱㔳㡤挰㍤㘹㌹扡〹愰攸㉦㉡㌲㉥愱挸戸愴㡡〶捤搳っつ慡㍣挷㜲捦ㅢ㥥ㄵ慣搸㔶戵挴〷㠶敦戶〵㑤㠲挹㈹㜹攳ㄴ换㡣戱㌶㙢晥っ㑣㌶㝦〲攸㥥㠰ㅣ攵搶ㄱ晤愰㕣㑤ㄴ昱㑦昴攸㔸㠲㠰㔱㥥㔲晤㥤ㄸ慤愰㙥㐷㐰攴愸㜴㌹扥㠳㜱昹㘱㤴㠴㐲㠸㔸捦㈰ㄱ㜸〵ㄳ㐲㥥㉥敥愲㜹挶戱〲㘰㡦ㄸ㍢㙡〵戳㍥㔰づ㠰慣㍡摥㕥慢戰㥡攸㌴摥搴ち㌷㜴㔶愵搴挴昵㥤昵㐹扤昱㠶つ慡㐳㡤㤲㔰㈴㥢㌵㔲㥡㘵㠳㌹㙥㈷㔵㈳㤴攲㡥戵㡤挸㜲㥢戶昶㥤㔲攴㈵㈸㈶㐵㌳㌹晤㕤㡡㔰㄰攸㡤㜴ㄴ㝤昶搹攴㤱㠸搸搰〶㈸㔳㑦㠵㘵㐳㔱㐸昰〴慥㥤搴㘴㌹㝡〲㝦敦㡡戲昳㡤㈰㔵㘳㕣ㅡ㡤㙡愶敡昵㜹〷㔶㐲搵昰㙡摢㠴愵戱戶㔰挳㈸敥散㔵晢㠷摢㥢㘰挴㠸つㄹㄶ挹昰〳㠳つ挱㕣㠹㠸㉡慤戳㈱㙥㜵戳戸挴愷㤳搲㜰ㄴ〶ㄶ㠳摡慣㕣㔳㘶㔸换㤲ㅦ㔵ㅤ㥡愷㐵㈵㐷㜵㜳㙡搹㠷㑡て㈸挷愳㥣㘲㜰摤㍣㑤户ㄴ㉥㌱㐰散㐶戹㠵㙡㠰搰㙥㜳〰㥥っ戶て㜶戰㈳㘱攸㠴搶ㄹ㈵㘸㌱㠳㜰搳㡢㈰敦昴㠸㔱〸㔲㔳愵㝦ㅣㄱ㕦㝡㠲改ㅢ㐷㜲㜱㈶㘲㈲㠶扢㌲慣〷㈰㌷ㄹ㤹㈴ㄷ㡤挶〱昳㔰戲㈹愱㌵ㄸ㤷搱挴ㄸ愲挹攷〵戸挵挳㔸搶㌰搹愶㡥㝢㙥㠱〵㙤㕡㕦摦㘵㥥㜰慡昵㐶㑤㉡㔵ㅣ换㙡愵㤱户〵扥搴ㄵ挰㤰㥢㌲昶㈵摡㤴ㄳ㌸㑡㜱挹㐴㔲敦㜶户㝥〴摤㤵㤰挳ㄸ愱敡㘳〰㌲挳㉤愷〲㘲ㅤ昷ㄴ㘸ㅦ敥㙥㕤㘰㔰㤷攷㈰搲㍡㡡㈸换收㜰ㅦ慦ㄹ㐵㔶摣㤶㘸㌶攷捥戹戴搹ㄳ㐵挷慤戰㘸㕢攰〸敢っ〵㕥戱〸㘳愴㐷敥攰㈰戹换㔱㜴昷昲挳敡㌱㜷ㄹ愸㔰ㄸ㄰㡣昱昲ㄴ㤴挳慥㠲㤱㘸㜰㙢㉤慢㕢㌰晡㑢换㕢㥦〲㄰っ〳搳愰㐵换搰挰㤹㐱㝥㜳〳攷〶戴捡㠸㤰㈶㠳愹㡣㔱㡥挲㘱て愴㠱㥢㜸㤰㕥㜲愱㠴㠲㍤敡㘲㔸㝣㌷㜱摣挶ㄱ挸昵慥㙡㉢㕣㌰〲㕣㝦㜱昶戶ㄵ㑦搵㙡㌴㜷攱㥦摢ㄶ㔸挵搵㡤搰ㅣ摤搳㜶㈹㑢慤㠹昶摤扥戶㡡攸戲攰挱搹㠹攳㐶㔰㕤㔹っ搶挳㡢㕢扤㤲㐴攱愷昰㐷㙣昸㜶摡捣㜹㠷ㄷ㔱搷戸昷攵ぢ㡥㝢搱㔱昳㉡昸扣昵〷ち挱ㄵ捡㝥㑥戲㥣㝢〱晦㔴搲㜲㠵㥦㘰挴慤㑣㥢〳戴ㅣ㈴ㅣ㐷愵㔰ㅡ㡣㈱㥦㐱㈷戰摤㥢户〶㐸㈷㝢摡攸㐴〹㠲ㅤ㐲㜱捥扦㙣㠴㈲㝥っ戴㤲㔸挲㈳㌹昶晣ㄹ戰扥昸ㄱ㑡㠸㜰㍣㐷㘲愴昰㍡攴㌲㔰愷〴㜹㜴挵㠳ㄷ㐲晥㝦戰ㄴ㜳昳㠶散昴㕦㘰㘶昱挳㜶ㄴ㕤㑦ㄴ晤愰〳㐵㠲搷㐰ㄴ晦摥㠵㑣㥣ちっ捦扥愸㐰㌸搷戴㜳〰㝤挵㉦晣晥てて愰㜳ㄱ㜱㈸ㅢつ愱戶ㅢ昱摣㌴ㄱ晡㍡㑣〴〶敦㤵㠹㜰ㄲㄹ挱㈸㝥㘸㈲㐴㍥㤰㜹ㄴ㙣㙥㈲㌰戶㤷㘱〸㈶㐲慤〹户〶㑦㘰㔷搹昴㡦ㅤ挷挵㕢改㈳㥥て愵攵捦挰㈳㜵㜵㘷昱㠲攱ㄹ昶㕥㔵㝥捣㤳㔰㘶摥ㄲ㙥㜲慢㉥散㜱敤㠶㌵慡搳〶扥㡡搸换扥攳㑦搹摡晤㜵㘰㉡㑣愱晢㕥㤴㐴昱㈵㜸㑡〴捦つ戹て散昹昶戱㍦㍤昸攸ㄱ摥㔶㡢㘸戵㜰㌳昲扤㠴散㘹㑦㈰愸㥢戸㈸㜲㈵㍦捣㌹㠹㑦㤴慣搵扡㥣㌶㍣㘵〵昹扡ㅤ㘷㐳挲㑢㄰㘶㐸㝣摢挱挴挴扤㠷搰挴㥣㘸㜳㜷慡て㥢㤴㡢㜰㈲㌱㜱攵搳㡢挳㠶愲慢㈲敢搱摡㉣㝣ㄷ慡攸㐵㑥㈴㙤㈵昲搴挹㈴挴㜷摡㜵摤㈱敡扡昰㈰挳戰㝦㉣愵㄰㝦㈰㠵㈴て㌲扣㄰愰愴搴㘹㘴ち户〰㘴㐴搶摡㐳扣昴〷散〸〱搹扣昴搷攳㐷㉣搸㐵㘰㌱昶挵昷㝡愲愵㉤ㅡ慢㈶㠶㙡㤵㑤戳㠸㡣㍡扣戰㘰㌲㉥㑤㔹㍡〷㔱扡㘵㜷ㄴ㕦㌲㘴㠷㠱户㤰戱ぢ㌶㝤㙤㘵晢㑥愷㠱㥢ㅦ搰㌳㐵愵㌰㥣摤㉣挶㠱㔴挵攸挲愶攵戰㠸㜰㌸捣㌶㍢つ㐴㔵搰㔹捥㕥㥣㑡ㄱ晣攳㤷㐲慣ㅦ㙦つ㝤㘵㝢つ㜵㥣搳㡦〵昲〷晢敢晡っ挶挶㕢挹㌱㤰戰㕢㙡㔵ち慦㠷㥦㐱ㄷ㉥㍡㈷昴㔶㔶㍤㡢㐳昸ㄳ㜳㔶㥦搶愱晦ㄹ扤㔶㥣㜵㤶扤ㄹ挶㑥改晦昷愰㘰㔳晤㉦ㄸ㝢㔳㠸㝣㙦㤴攱㐳㠱昱㤳㑤㐳㌶摣ㄱ㜸戶ㄱ扣㔱〷㘳㕤㘵ㄹ昲づ㜳㡢昸㜸㌵慣㔶ㄲㅣ㝥慦㝣晢搵㠸㘶㕦摡戶〳㕤〵㈰㘳㐳㠵㘷㈰㠲扡昶㑦换慤昸㜴㕢扣てㅤ昷㥣戴慡㥥敢扢㘶㌰戶㠸愰敦ㄸ扦㍤㌳㘱昳㑣㠹慦户ぢ戵㝤搸㠹挱昷愳捦愹㜹〸散㔳㌲㜸戹㘲㤱㡣㉣㙣㉤㤲挱敦㤰㐶ㄲ攱㈵㙡〷晦ち昳㥥㠶㔱挷愷慢昳昰㜵〶㉣摡ㄶ捡㉥昴㌸户摦搰攰搶攱㡥搶摤昰〷挹晡〴㠲㘳㙡〹昷扤㥦晢摡扥〷改戶搱摡㝣戶散捤攷㔶㉥㍣つ㥣㙥敤㉤㘹㤲攱㍢昹㐵㜲㔹慦㄰攲搲晥ㄱ晣摤扡㠳㤶愳㡤㠲捥愳て扡改〸ㅢ慦挳㝤戶㠵攸昷㌹㜴ㄵ㔳〴昸改㐶㤴攱㠳愰㤷㡦慣㈸扥㡡㘵㤱〱㤰捦ㄵ慢〰摤愹晡挹㡤愸㝡㈴ㄶ挸㠲㘷っ㤲㘳㔹㝣ㄹつ戹㕤攱戲挱ㄲ㕣戶㔰㘷〹攴昵戸〷昲㌹挱戳㠴㥡挸ㄷ搱愱㌹ㄱぢ愵摤㈷昲㠵㡤㈶㈲㘸〵愸㠵㈶挷ㅦ㠹戵㠸㕥㐷戵㙥ㄳ㌸〴㉥挰㌰挵㈲㘵㑤㌱っ㉤晣㠸㤸㐱晡㑤昴昷戹㈳扦㝥㤶改敦㐷㠴ㄲ㠴愸㑡㑦㥥㠲㔰㑤晥㔳挹挹㝢㈸敤㍥昹㑦㙣㌴昹ㄱ捡㐸捥㐴て〰㠶晡㐴〵㝦搴㘲ㅡ挸㜰ㅦ昹ㄳ攷〸昰㑢捤㘲挴㐰㠹敡㝢ㄱㄹ昴攵㠶慢㔶㤷㤰㠹晢ㄶ戸晥㡣㡦㝢㤴㝤挴㡢㤰昴攵ㄴ㐳㘷㙣㌱搴㡡㈵㍢昲挲㙥ぢ搹㠰㈵昱㙢搹慥㈲扤搸㘳㠴㕦㍣ㅥ㈳收昸昱昸换㈹㉤㡡㌹㠱㌰㐲㡢㤴昴挳㡤ㄴㅦ㡥ㅢ㝦敦晢㉤㤷㈹㉡㤰㐰㍤㘱㘳搲㤹㙡晣㔸摣昸㈰扥捡㔲㙤㜲扣㐱挰昴㕣摣㤸昴愸ㅡ㍦ㅡ㌷晥摢挱扤捤挶㌱ㅤ㠶㈳ㄷ㐸㈴ㄹ戶慥戲晥ㄳ㕦㘸て愳㜹挱愴晥ㅣ㌰挳㘲㑡㑥ㄵ㍡慥㉢つ㍡㠸换㈰ㅥ扥㤱㥥挳摤㈶㕣〱㠱㤰つ晦㔷〹㈷㜰攷㘹搶〸っ㝣〲扤㠶㘰戳愷慢㈷㜶㉥㥡昳ㅥち晡捤ㄳ㍥捥㔴戵㙤㐵㈲㌰〷昲攱晥㙥攲㤴捦㌰ㅤ㕢晢ㄱ〷挹㌴摥㈱改㑤㜹愸挰㑡㕥㝣㌰挶㙣敥㤱ㄶ捤攸て〳㌹㤰㡥㠰捣攸㡦〰㠶㠱ㄸ摥㔶捥㡤㤰晦ㄵ㜳㝦㤰ㄵㅦ㈲㜸ㄴ愰㉣挸散愴㠳攲㘳〰挳昱晦愸㘲㙣㑤昹㑢㌴昱㘰晣戲㈴ㄹ改㡦戳挳㐷〰晡攰扥ㄵㄱㄱ㤶昵㡦愲㈴昹㔲ちづ昵搲㡦戱攲攳〴㥦〰㈸ㄷ㌸搹㉤敦ㅡ搷搴愳收晡㈴扡㡡㐷〸昰搳㍦ㄵ㘵昸㔰攰㍥扣愳扢慤捣愳㜰晣㘱㍦㐲㥤愹㉦昸敦挴ㄷ昹敢㕣㜴ㅦ晥㠷㈴〵㘵搸攷戵户昷㌶ㄶ㤹㠰㌶戹晡慤㘲戳㕦挲㌸㕣㔷㉢㠲挲ㄱ愹㔴㑡㕡㔱㄰摦㕣戰㜰昱〶扥攵戰慡㄰㠲㌴愰㉡㥣愸攲〸ち昴捦戲㈹㜱㑣㍣改㥦攳ㄳ㔱慢㌶昱昳㔱㠶て㠲㜸㔵摤敦㡦扡挷㉦㈴慥㔵㠵搵昶㐲攲㕦㔵慣㈴㕦昸〴〷㔳挸㐲㈶慤㤵㠸㌴㐵㐳㕦㐶㘶愸㙦㤸㜳扢ㄷ㍦敤㤲愸㥥慢㥤㍢昷慦攱晣搸戵昹昷扣㝢昰㠹攷㝥昵晣㘷㝥晢扥挳㝦晤昷㤳㑦晥昶捦㥦㜹昶摦㍦㕤㍥晣㡢愷㥦晥昹㕤㕦㝢昶昹摤收㔳摡昷晦㌵昷搴㐳㤳ㄷㅥ㝡挰㍣㜳昳戱㠷摥㝢晦㍤㤳ぢ㔷㡣昷昵昵昷摦㌴晡换㙢摥㌴昲挸〳㍦ㄴ㍦晢挳搵㡥㔰换挵ぢ搲搳攰戲搵㌴扥㠲っ愶挱ㄹ扦愲搳攰㜲搵㐶㉤㐷ㅢ㌵㡤㠲ㄲ㝣ㅡ㥣㠰慡㌰搲ㄵ〳晦〱ㄱ㌷戳㄰</t>
  </si>
  <si>
    <t>CB_Block_7.0.0.0:2</t>
  </si>
  <si>
    <t>Show timeline of life-cycle phases + major events: surveying, exploration drilling, appraisal drilling, development, COD, production, incremental devt, decommissioning, monitoring, abandonment</t>
  </si>
  <si>
    <r>
      <t xml:space="preserve">Note: only include </t>
    </r>
    <r>
      <rPr>
        <i/>
        <sz val="11"/>
        <color rgb="FFFF0000"/>
        <rFont val="Calibri"/>
        <family val="2"/>
        <scheme val="minor"/>
      </rPr>
      <t>static</t>
    </r>
    <r>
      <rPr>
        <sz val="11"/>
        <color rgb="FFFF0000"/>
        <rFont val="Calibri"/>
        <family val="2"/>
        <scheme val="minor"/>
      </rPr>
      <t xml:space="preserve"> values, or </t>
    </r>
    <r>
      <rPr>
        <i/>
        <sz val="11"/>
        <color rgb="FFFF0000"/>
        <rFont val="Calibri"/>
        <family val="2"/>
        <scheme val="minor"/>
      </rPr>
      <t>initial</t>
    </r>
    <r>
      <rPr>
        <sz val="11"/>
        <color rgb="FFFF0000"/>
        <rFont val="Calibri"/>
        <family val="2"/>
        <scheme val="minor"/>
      </rPr>
      <t xml:space="preserve"> values of state variables. No dynamic values of state variables that change in time….</t>
    </r>
  </si>
  <si>
    <t>Show per phase major events: nr of wells drilled, total capex per phase (incl drillex), start-date of phase</t>
  </si>
  <si>
    <r>
      <t xml:space="preserve">Facility scheme </t>
    </r>
    <r>
      <rPr>
        <b/>
        <sz val="11"/>
        <color theme="1"/>
        <rFont val="Calibri"/>
        <family val="2"/>
        <scheme val="minor"/>
      </rPr>
      <t>(planned worksheet)</t>
    </r>
  </si>
  <si>
    <t>Pump e-consumption for injectors (kW)</t>
  </si>
  <si>
    <t xml:space="preserve">Note that some remarks below originate from another spreadsheet with complex iteration schemes. They are not relevant for the current version of the Geothermal tool as iteration schemes have not yet been implemented. Later, this may become important, i.e. when injection rates are matched to achieve steady-state reservoir flow, and when Vertical Flow Performance has been enabled to iterate between flow rate / FBHP / FTHP. </t>
  </si>
  <si>
    <r>
      <t xml:space="preserve">Always </t>
    </r>
    <r>
      <rPr>
        <b/>
        <sz val="10"/>
        <rFont val="Arial"/>
        <family val="2"/>
      </rPr>
      <t>keep a copy</t>
    </r>
    <r>
      <rPr>
        <sz val="10"/>
        <color theme="1"/>
        <rFont val="Arial"/>
        <family val="2"/>
      </rPr>
      <t xml:space="preserve"> of the original workbook (XL file). When in MS-Explorer, right-click on the file icon, go to "Properties" and make it "Read only". Leave this file untouched, save a new copy for your case study and work with this copy. XL may encounter calculation problems that render the file irrepairable. </t>
    </r>
  </si>
  <si>
    <r>
      <t xml:space="preserve">P-D!I6: formation thickness, in comment it should be explained that all rock volume is assumed to contribute to </t>
    </r>
    <r>
      <rPr>
        <i/>
        <sz val="11"/>
        <color theme="1"/>
        <rFont val="Calibri"/>
        <family val="2"/>
        <scheme val="minor"/>
      </rPr>
      <t>heat</t>
    </r>
    <r>
      <rPr>
        <sz val="11"/>
        <color theme="1"/>
        <rFont val="Calibri"/>
        <family val="2"/>
        <scheme val="minor"/>
      </rPr>
      <t xml:space="preserve"> flow, and that the rock volume (area x thickness) that contributes to </t>
    </r>
    <r>
      <rPr>
        <i/>
        <sz val="11"/>
        <color theme="1"/>
        <rFont val="Calibri"/>
        <family val="2"/>
        <scheme val="minor"/>
      </rPr>
      <t>fluid</t>
    </r>
    <r>
      <rPr>
        <sz val="11"/>
        <color theme="1"/>
        <rFont val="Calibri"/>
        <family val="2"/>
        <scheme val="minor"/>
      </rPr>
      <t xml:space="preserve"> flow can be defined through the </t>
    </r>
    <r>
      <rPr>
        <i/>
        <sz val="11"/>
        <color theme="1"/>
        <rFont val="Calibri"/>
        <family val="2"/>
        <scheme val="minor"/>
      </rPr>
      <t>h</t>
    </r>
    <r>
      <rPr>
        <sz val="11"/>
        <color theme="1"/>
        <rFont val="Calibri"/>
        <family val="2"/>
        <scheme val="minor"/>
      </rPr>
      <t xml:space="preserve"> in the production variables. </t>
    </r>
  </si>
  <si>
    <t>Questions / remarks Christian post 13July2017, ref. version 1.43d</t>
  </si>
  <si>
    <t xml:space="preserve">P-D!H14:H15 comments are not correct. </t>
  </si>
  <si>
    <t xml:space="preserve">P-D!H18 comment to be improved. </t>
  </si>
  <si>
    <t>P-D!C14 cell to be bright yellow, as per CB decision variable</t>
  </si>
  <si>
    <t>P-D!C14, add comment from CB: "Decision variables are values that you can control, such as how much to charge for a product or how many wells to drill. But, in situations with uncertainty, it is not always obvious what effect changing a decision variable can have on the forecast results. Crystal Ball decision variables cells enable you to define these variables in spreadsheet models.
The Decision Table tool runs multiple simulations to test different values for one or two decision variables. The tool tests values across the range of the decision variables and puts the results in a table that you can analyze using Crystal Ball forecast, trend, or overlay charts. 
The Decision Table tool is useful for investigating how changes in the values of a few decision variable affect the forecast results. For models that contain more than a handful of decision variables, or where you are trying to optimize the forecast results, use OptQuest, available in Crystal Ball Decision Optimizer."</t>
  </si>
  <si>
    <t xml:space="preserve">P-D! row 34-35 have a more realistic cash-in base case. Set new values. </t>
  </si>
  <si>
    <r>
      <rPr>
        <strike/>
        <sz val="11"/>
        <color theme="1"/>
        <rFont val="Calibri"/>
        <family val="2"/>
        <scheme val="minor"/>
      </rPr>
      <t xml:space="preserve">Discuss with IF Technology on 25 July: • How far are you from computing FTHP(prod) from [FBHP – vertical head – friction losses]? I see in Thermodynamics! R49 that you calculate the Re nr. Don’t you have then all the ingredients to compute FTHP? You could use the flow rate from the previous year to prevent iteration. </t>
    </r>
    <r>
      <rPr>
        <sz val="11"/>
        <color theme="1"/>
        <rFont val="Calibri"/>
        <family val="2"/>
        <scheme val="minor"/>
      </rPr>
      <t xml:space="preserve">
</t>
    </r>
    <r>
      <rPr>
        <sz val="11"/>
        <color rgb="FFFF0000"/>
        <rFont val="Calibri"/>
        <family val="2"/>
        <scheme val="minor"/>
      </rPr>
      <t>This is what is described in DiPippo, but then I get tied up because, as written in DiPippo’s text, I have to iterate through mass flow rates until an appropriate FTHP(prod) can be found. I have done this manually, where I choose a mass flow rate, get a negative FTHP(prod), and then choose new mass flow rates until a positive FTHP(prod) is found. So maybe there’s a workaround or some way that I could program this, but it hasn’t yet come to me. Ideas?</t>
    </r>
    <r>
      <rPr>
        <sz val="11"/>
        <color theme="1"/>
        <rFont val="Calibri"/>
        <family val="2"/>
        <scheme val="minor"/>
      </rPr>
      <t xml:space="preserve">
</t>
    </r>
  </si>
  <si>
    <t>Worksheet showing Well depictions nice, can be improved… See my version in v1.43d. Move it higher up to first Fig tab.</t>
  </si>
  <si>
    <t>Bug: the reinjection FTHP(inj) &gt; FBHP(inj). What goes wrong here?</t>
  </si>
  <si>
    <t xml:space="preserve">Intro! Worksheet: change header (B8) and comment under how to operate workbook (B34). </t>
  </si>
  <si>
    <t>KPI!A5 : 'Electricity produced' should be 'Cumulative electricity produced over evaluation period'</t>
  </si>
  <si>
    <t>Sheet protection: all sheets to be protected, with unlocked cells where user is to input value</t>
  </si>
  <si>
    <t>KPI!D24: add comment why field is closed-in if productive life &lt; evaluation period</t>
  </si>
  <si>
    <t xml:space="preserve">Intro! Worksheet: explain why output is often saw-tooth like and not smoother (ie due to time resolution of one year and assumption of when to do the workovers and stimulation jobs). In actual operations one would in principle smoothen this type of profiles, but for DCF calculations it makes little difference. Or list it as future work to compute more realistic, smoother profiles. </t>
  </si>
  <si>
    <t xml:space="preserve">Fig Pressure legend: indicate whether FTHP and FBHP pressures are for inj or prod well. </t>
  </si>
  <si>
    <t xml:space="preserve">Fig Well scheme: round the various figures, as too many decimals are displayed when single stepping with CB. </t>
  </si>
  <si>
    <t xml:space="preserve">P-D!: round the various input figures, as too many decimals are displayed when single stepping with CB. </t>
  </si>
  <si>
    <t xml:space="preserve">Expand Fig Well Scheme by including above-ground facilities with P, T etc.? We could make similar XY view of field + drainage areas &amp; well locations? </t>
  </si>
  <si>
    <t>In KPI!, explain in comments those KPIs better where needed</t>
  </si>
  <si>
    <t>In KPI!, add KPI: max. effective capacity per production well (total field eff cap / nr of production wells) in MWe/well</t>
  </si>
  <si>
    <t xml:space="preserve">Set nr of digital places in all input variables, test also output on nr of digits. This is to avoid n digits when single stepping etc. </t>
  </si>
  <si>
    <t>Include more data from IFC drilling success report: on resource grade, MWe distribuions/well etc. See also para 2.3 from this report for defining well success / failure.</t>
  </si>
  <si>
    <r>
      <t xml:space="preserve">In comment of KPI!B18, mention that to calculate the LCOE using goal seek, not only the e-price should be set at </t>
    </r>
    <r>
      <rPr>
        <i/>
        <sz val="11"/>
        <color theme="1"/>
        <rFont val="Calibri"/>
        <family val="2"/>
        <scheme val="minor"/>
      </rPr>
      <t>Fixed</t>
    </r>
    <r>
      <rPr>
        <sz val="11"/>
        <color theme="1"/>
        <rFont val="Calibri"/>
        <family val="2"/>
        <scheme val="minor"/>
      </rPr>
      <t xml:space="preserve">, but also the RNG should be switched off for determining well success. Also change unit in C18: should be $/MWhe. </t>
    </r>
  </si>
  <si>
    <t>KPI! Worksheet: all units denoting electricity to have a small e (suffix)</t>
  </si>
  <si>
    <t>P-D!B19: "Do not fill in a value / leave blank" in Legend - better to say: "Will be disregarded in accordance with selected calculation method"</t>
  </si>
  <si>
    <t xml:space="preserve">KPI!A18 comment: also mention that the starting value in the cell with the fixed price is important to converge, the closer to the solution, the easier the iteration will be. </t>
  </si>
  <si>
    <t>KPI!A7: discuss whether it makes sense to discount the Govt Take by the same discount rate as for the company. Rather show undepreciated money? -&gt; Make additional KPI for undiscounted cum Govt Take</t>
  </si>
  <si>
    <t>KPI!A26: mention in comment how this is calculated / what this figure means.</t>
  </si>
  <si>
    <t>KPI!A22: Ambiguous, Clarify whether this includes well failures, or split the two types, or list in comment column C final # prod; #inj, #failures, # add'l platforms constructed</t>
  </si>
  <si>
    <t>Go through all cell comments in P-D!, Cashflow! and KPI!, and check whether they refer to the correct cells / whether the comments are still valid/appropriate.</t>
  </si>
  <si>
    <r>
      <t xml:space="preserve">Create a worksheet with the depiction of the timeline, phases, first year of evaluation, permits, scoping/exploration/appraisal/devt phases, COD, turbine replacement, field shut-in + reason, monitoring period, abandonment, etc. See ppt figure in temporary worksheet </t>
    </r>
    <r>
      <rPr>
        <i/>
        <sz val="11"/>
        <color theme="1"/>
        <rFont val="Calibri"/>
        <family val="2"/>
        <scheme val="minor"/>
      </rPr>
      <t>Sequence of events</t>
    </r>
  </si>
  <si>
    <t>Fig Well scheme: add depth (tvdbdf, ahdbdf)</t>
  </si>
  <si>
    <t>When using CB, often bug in KPI!B15 (UTC): don't understand as all numbers in CumCF!AG13:14 and in Cashflow!AG57 seem correct. Check w Logan</t>
  </si>
  <si>
    <t>Add KPI: power per well (MWe/producer). Also add normal values (35 is too high): see ppt graph of MWe vs #wells distribution =&gt;</t>
  </si>
  <si>
    <r>
      <t xml:space="preserve">Discuss Loss Carry Forward (LCF) in IND: max </t>
    </r>
    <r>
      <rPr>
        <i/>
        <sz val="11"/>
        <color theme="1"/>
        <rFont val="Calibri"/>
        <family val="2"/>
        <scheme val="minor"/>
      </rPr>
      <t>n</t>
    </r>
    <r>
      <rPr>
        <sz val="11"/>
        <color theme="1"/>
        <rFont val="Calibri"/>
        <family val="2"/>
        <scheme val="minor"/>
      </rPr>
      <t xml:space="preserve"> years? Ali?</t>
    </r>
  </si>
  <si>
    <t>Ditto: is all cash-out prior to production part of LCF?    Ali</t>
  </si>
  <si>
    <t>Is early pre-production opex (fixed, see time-series input bottom row) implied in LCF? In depreciation?</t>
  </si>
  <si>
    <t>Add KPI!: pre-tax/royalty profit</t>
  </si>
  <si>
    <t xml:space="preserve">KPI!: productive life of asset. Why doesn't it show a peak at the max nr if years? Most realizations continue until the end of the evaluation period. See fig. ====&gt; that is because the COD is variable with a triangular distribution! </t>
  </si>
  <si>
    <t>In input sheet time-series: all #wells input to be integer numbers (no decimal points)</t>
  </si>
  <si>
    <t xml:space="preserve">Add KPI!: % well failures out of n wells, and % of successful wells out of n wells. (KPI can be CB forecast). </t>
  </si>
  <si>
    <r>
      <t xml:space="preserve">On tax and govt incentives, see paper by Nugraha (Aug 2017): </t>
    </r>
    <r>
      <rPr>
        <sz val="11"/>
        <color theme="3"/>
        <rFont val="Calibri"/>
        <family val="2"/>
        <scheme val="minor"/>
      </rPr>
      <t>The tax incentives for geothermal business in Indonesia could be distinguished into two parts which include corporate income tax (CIT), value-added tax (VAT), Import Duty, and Withholding Income Tax for Import. For CIT, the two options for geothermal developers are Corporate Tax Holiday (CTH) and Investment Tax Allowances (ITAs). Additionally, for</t>
    </r>
    <r>
      <rPr>
        <sz val="11"/>
        <color rgb="FFFF0000"/>
        <rFont val="Calibri"/>
        <family val="2"/>
        <scheme val="minor"/>
      </rPr>
      <t xml:space="preserve"> tax holiday</t>
    </r>
    <r>
      <rPr>
        <sz val="11"/>
        <color theme="3"/>
        <rFont val="Calibri"/>
        <family val="2"/>
        <scheme val="minor"/>
      </rPr>
      <t xml:space="preserve">, the facilities are an exemption of corporate income tax (from </t>
    </r>
    <r>
      <rPr>
        <sz val="11"/>
        <color rgb="FFFF0000"/>
        <rFont val="Calibri"/>
        <family val="2"/>
        <scheme val="minor"/>
      </rPr>
      <t>5 to 10 tax years</t>
    </r>
    <r>
      <rPr>
        <sz val="11"/>
        <color theme="3"/>
        <rFont val="Calibri"/>
        <family val="2"/>
        <scheme val="minor"/>
      </rPr>
      <t xml:space="preserve"> periods), 50% reduction for two years after the period of the corporate income tax exemption ended. For the </t>
    </r>
    <r>
      <rPr>
        <sz val="11"/>
        <color rgb="FFFF0000"/>
        <rFont val="Calibri"/>
        <family val="2"/>
        <scheme val="minor"/>
      </rPr>
      <t>ITAs,</t>
    </r>
    <r>
      <rPr>
        <sz val="11"/>
        <color theme="3"/>
        <rFont val="Calibri"/>
        <family val="2"/>
        <scheme val="minor"/>
      </rPr>
      <t xml:space="preserve"> four allowance schemes were given, which are reducing net income tax for 30% of total investment (5% a year for 6 years), accelerated depreciation, income tax rate 10% or lower based on tax treaty, on dividend paid to non-resident tax payer and compensation for losses in certain circumstances. In addition, to apply the accelerated depreciation, there are several terms and condition to be fulfilled to be eligible getting the facilities. Based on the regulation, costs could be </t>
    </r>
    <r>
      <rPr>
        <sz val="11"/>
        <color rgb="FFFF0000"/>
        <rFont val="Calibri"/>
        <family val="2"/>
        <scheme val="minor"/>
      </rPr>
      <t>depreciated</t>
    </r>
    <r>
      <rPr>
        <sz val="11"/>
        <color theme="3"/>
        <rFont val="Calibri"/>
        <family val="2"/>
        <scheme val="minor"/>
      </rPr>
      <t xml:space="preserve"> from 5 to 10 years, yet, in practical, geothermal business could apply the acceleration maximum up to </t>
    </r>
    <r>
      <rPr>
        <sz val="11"/>
        <color rgb="FFFF0000"/>
        <rFont val="Calibri"/>
        <family val="2"/>
        <scheme val="minor"/>
      </rPr>
      <t xml:space="preserve">8 years </t>
    </r>
    <r>
      <rPr>
        <sz val="11"/>
        <color theme="3"/>
        <rFont val="Calibri"/>
        <family val="2"/>
        <scheme val="minor"/>
      </rPr>
      <t xml:space="preserve">due to its characteristic in man power and technology. For the loss carry forward </t>
    </r>
    <r>
      <rPr>
        <sz val="11"/>
        <color rgb="FFFF0000"/>
        <rFont val="Calibri"/>
        <family val="2"/>
        <scheme val="minor"/>
      </rPr>
      <t>(LCF)</t>
    </r>
    <r>
      <rPr>
        <sz val="11"/>
        <color theme="3"/>
        <rFont val="Calibri"/>
        <family val="2"/>
        <scheme val="minor"/>
      </rPr>
      <t xml:space="preserve"> facilitation, the regulation said the facility could be applied up to 10 years with several prerequisites, yet, the same as the depreciation, </t>
    </r>
    <r>
      <rPr>
        <sz val="11"/>
        <color rgb="FFFF0000"/>
        <rFont val="Calibri"/>
        <family val="2"/>
        <scheme val="minor"/>
      </rPr>
      <t>geothermal</t>
    </r>
    <r>
      <rPr>
        <sz val="11"/>
        <color theme="3"/>
        <rFont val="Calibri"/>
        <family val="2"/>
        <scheme val="minor"/>
      </rPr>
      <t xml:space="preserve"> business could use the facilitation only </t>
    </r>
    <r>
      <rPr>
        <sz val="11"/>
        <color rgb="FFFF0000"/>
        <rFont val="Calibri"/>
        <family val="2"/>
        <scheme val="minor"/>
      </rPr>
      <t>up to 7 years</t>
    </r>
    <r>
      <rPr>
        <sz val="11"/>
        <color theme="3"/>
        <rFont val="Calibri"/>
        <family val="2"/>
        <scheme val="minor"/>
      </rPr>
      <t>. For policy reasons, up to now, the geothermal developer could only choose the ITAs scheme.</t>
    </r>
  </si>
  <si>
    <t xml:space="preserve">Test in a SA all applicable constraints (choke model) from reservoir into producer, tubing, facility, turbine, tbg of injector, upto to re-injection into reservoir. Test whether all possbile constraints work. </t>
  </si>
  <si>
    <t xml:space="preserve">P-D!C21: name of field or project. Change to B22 as this allows a longer name to be filled in. </t>
  </si>
  <si>
    <t>Is there a way of creating in XL conditional pop-ups, i.e. if the user has filled in inconsistent data, a warning / alert box should flash up conspicuously. Now we only show some inconspicuous warnings somewhere in a cell. I believe it is possible, see e.g. this URL ====&gt;</t>
  </si>
  <si>
    <t>https://www.excelforum.com/excel-general/551821-create-a-pop-up-alert-when-a-condition-is-reached-in-excel.html</t>
  </si>
  <si>
    <t>㜸〱敤㕣㕢㙣ㅣ㔷ㄹ摥㌳摥㕤敦慣敤搸㡤搳戴㈹㈵㌵㤴㔲愸㠳ㅢ愷つ愵㐰〸扥㌴㤷攲挴㙥散愴㈰㉥㥢昱敥㤹㜸㥡㥤ㄹ㜷㘶搶戱㑢愵㔶㔰㙥㠲㠲㔴㉥愲㔰㉥慡㄰ㄲ㉦㕣㕥戸扦㈰㈱㠱愰㐸㍣挰〳ㄲて愵㐲昰〰㐲㤱㜸㐱〲〹扥敦捣捣敥捣慥㜷散㙥㕢㜰㤱㑦扡扦捦㥣摢㥣㜳晥敢昹晦㌳捤㠹㕣㉥昷㙦㈴晥㘵捡㌳㜳攳攲㠶ㅦ㐸㝢㘲挶慤搷㘵㌵戰㕣挷㥦㤸昲㍣㘳㘳捥昲㠳㍥㌴㈸㔶㉣搴晢㠵㡡㙦㍤㈴㑢㤵㌵改昹㘸㔴挸攵㑡㈵㕤㐳㍤〷攱㙦㈴㝥搰搹㙢㌰て戰㌴㌳㍤扦晣〰㐶㕤っ㕣㑦ㅥㅡ扢㄰昶㍤㌶㌹㌹㌱㌹㜱攷㕤㤳㙦㥣㌸㝣㘸㙣愶㔱てㅡ㥥㍣收挸㐶攰ㄹ昵㐳㘳ぢ㡤攵扡㔵㝤㠷摣㔸㜲㉦㑢攷㤸㕣㍥㝣挷戲㜱攷㥢㈶敦㍣㝡搴扣晢敥㌷つ攲搵戹戳㌳搳ぢ㥥㌴晤ㄷ㘹捣〲愷㝣攷慣慣㕡㕣㥢㤴㥥攵㕣㥡㤸㤹挶㝦㠹昹攳改慥㠹挵ㄵ㈹〳扥㕡㝡搲愹㑡㕦㐷挷〱㝢捡昷ㅢ昶㉡㌷㑦户㑦㘰愹㔵挳てち昶㡣慣搷㜵㍢ㅥ戵㘴捦㘳敦敡挶挶愰扤㈸ㅤ摦ち慣㌵㉢搸㈸摡㑢ㄸ愸㌶㘴㥦昷攵㌹挳戹㈴捦ㅡ戶㉣搸㈷ㅢ㔶㉤ㅦ愶㕣摦慤昱㄰挹㠹愹攵㑦㑣昹昶捣㡡攱愹ㄹ昹摣㤸㡣戶㈷扣㙡扡敤捤摤挷攵搴搵ㅢ㌸收㉤摤摢愱收㠲攱㌵㕢㡥㜷㙦ㄹ㉤㍥㍤㠳摢扢户㑦散㔱扡捦敢扢昷㔱㕢㤹㙥㉤〶㈲晡㔶㍢㡡挵攸㐵㠲㝥㠲ㄲ〱ㄱ愸㤷〹〶〸〶〱㐴晥敦攰㤲㘴㐷㔶㘹ㄵ㐳慢㉣㙢㤵慡㔶愹㘹ㄵ愹㔵㑣慤㜲㐹慢慣㘸ㄵ㑢慢㍣愰㔵㉥愳㑤㥣㑡晤晤㕡㤴㥥摢扦晥敢㕦㕥晦捦户㍦㕥㝦敢搸挱㥢摥昷挴攰ㅥ㌴扡㉦㥡搴慣㘷㕣〱愹戵愸昸挸挴㘱晥摢㥡㉢挰ㄴ收㔱昳㉥㜳㜲戲㜶昴戰㜱㠷㔱攰戲㌲㤰㥦㈲㤴ㄱ戴ㅤ㌴敦户㥣㥡㝢㐵攱敥挶㘹挳㤷慤㡤ㅢ㡦敡愶摤㠶㔳昳㕦戱㜹攵㘲㘰〴昲㠶昶扡搶㈰ㅤ摤ㄶ挱㔶搲㔷敦㍢搸摥敤㠲㔱㙦挸愹㜵㉢慣㝥㘵㕢戵扤攰戹换摤㙢㑦㜸昲挱㘶㙤挷㡣愶㈰搴搶搴搸ㅤ慢っ慢挲㜹㡤捤慣戸扥㜴搴昴挶敤〵慢㝡㔹㝡㡢㤲㈲㔱搶搴㔲慦㘵㔵挴昵攳昳づㄶち㙥慤扤㍡㔹㙡摥戳ㅥ㠰㤹㘵つ昳㕤㤵㕥戰戱㘴㉣搷攵晥㔴㤳昰㥤愸㌸㤰㉡㍥攱㔶ㅢ晥㡣敢〴㥥㕢㑦搷㑣搵搶っ㐸㥡摡ㄹ户㈶昳昹㥣ㄲち㄰戸㝤㝤㐲攴㙥敢捥ぢちㄱ〹ㄴ㤳㤱慦㑦㤳摤挴㌹慣づ慢愸㑢搲愴昶㥡㉤〶攳㝣㤵㡣挹攰挰挴㥡愸㍦昸搲搷㙤㌱㙣ㄳ㜳㉦㙤㘳㑤ㅢ㡤㔶㝦捦㥡㜴㠲㔳㠶㔳慢㑢㉦㔳晢〹捥㐸ㅦ〶㈸㕣㠵㐰攸扡㝢㔴㜵㘲㕤㙣ㄴ慥㔸戵㘰愵戸㈲慤㑢㉢〱捡愰㈱㑢㈵㙥㙤㐷搲慦㐱㤱扥㤷㘰ㄴ愰㕣捥ㄵ昷戱㔱戱㡣㤴㉢㔰㍡㘵昰㜲㑡㤰戳㕦㡡㤷〷捤ㄳ㔶㍤㤰愱㔰ㅥ㌶㠱㤱㔰慢㈹昴つ㤱㐴㍤愳ㅡ㉡㡣㝤收っ愸搴戰㥣㘰愳挵户ㅤ㕣ㄲㄲ搱慥㉣搸㜱戲㠰愲㈰㉤て㌲㜸つ㐴搳㈶つ戲ㅢ㈷㠸㠸㙣㤰愱搹㌱㜲㥡挸搸㍥㐳㐶愰㝤㤲〸搹晡㜰㜷ㄹ㐱㘲敦㈴㔲㜶敡捡㡦扢搲㙣㌳㕢㍥㤴㘶搷㘲攳昴晤〴搷ㄱ㕣㑦㜰〰㐰晣〹ㄲ㡥㔲づ昹㜴搲㕦㠱㘷晤㐶㠲㔷〲㐰㍥改㤴㌹㤱愸愲つ戵ㅤ㍢㤲敤㠶㘰㈷㉢愳㌸ㄴ㐵戴㡣㥢㜶收㤰慤㄰ㅤ㔹㥤㍢㐳搷收㤵㡥㝤㙤㜷摡㑣㉥㠷ㄴ㤹搱㌴戹搶㉤㥡㈶㌷㠲㑤㝢搴㕢㌷愱慢㍥㐶昰㉡㠰戲晥㙡㐲㈸ㄷㅡ扣摢戳攸㘹㔲扥㉣捣愲搰ㄸ敡㔱挱㐷㠴捣㈳㐰㠶㤰敢㌸扥散摡搰㌴〷挷捤㤷扤つ㝤愸㍢㝦㐷㐸㙦搳㥢扢㝡㠷晥愲攷㘹㐵摦っ昶ㄲ扦敦慡㘳㙥㐱戵晥㕡㠲㕢〱摡㜴っ㑦摦捦搷㔳愰捣㘲㍢㠱戹扤昴扡㈸㉢㜷㘹㘳㔵㉡つ㌴㘸㉥ㄹ摥㈵ㄹ挰㠳㜱㝡ㄶ戶戰敢㜹戲㡥㐳㙤㑤ㄵ昰晣㜲㕤扡搰㍦攱戹㌶换㜷㙤㘴晦㘵愱ㄸ昲㜹慤㉦搷㘶㈳㘷搸㥡〹㥦㔳㠲㜲愸㠳敦攸㉥㈴ㄲ㥤搲攴挵㝥搹攷换㕤㐹搲㠳㈴㜹㍤戶㔵扦つ〰㔲㐲晣戶慢㐴㌹挴㘶㙦㔰捤搲ㄶ㉢㍤㝣ㄹ愷㤳㌶ㅦ㘲㠷ㅣㄹ〸ㅤ戶搳昰ㅦ昸㐳昶愲㘵㌷㠵挵㠰扤㈰扤㉡㝣ぢ㔶㕤㤶㐳户㉣㐵捤慥慣㜸㤹挸㡡扥扥㡥昳㜴㠶㝦㑤搱㐹㥢㤴挸攴昶捣捡㡣戳㜸㡢愸攸㠶愴㔰挹㜰つ㌵㈵㄰㈹㡦㙤㜷㐵㑣て㈲收㜶㙣㥣㝥㤸㘰㤲攰〸㐰攱㔷㤰㌴摢摤㜸㠶挳晡搷攸搲慥㔴㜲㈵愲㐱戹〸㥦改㉡慣㡥昲㌵㙦㈴戸ぢ愰捤晣愱〳㌲㠳㄰ㄵ捡ㄳ㠴愸挲ㄸ收〵㑢㕥㈱つ散㌱ㄱ㔸㥡㘹昸㠱㙢㌳戲㌴㘴捥扡㘷摤㘰搶昲㔷ㄱ㠹ㅡ㌵愳捣晤㉢搲〱㜵㜹戰㝤摡捡摣搵㔵㔹搳捤㐵户〱搱㜶㝡㜶㈷ㅣ捣戱ㅤ戰㈵搵搹㕣ㄳ㐸扤㥤㡦㌱㠴挰㑥㉢㝦㉢扤戱摢昲㝥昳搰㌷摣摡搱㈵㉢愸换〱㌳㘴㍡收㑢㈶㜶ㄱ㤱㠳㕡扦戹戴攲㐹㌹㍢㘴㥥昴慣㕡摤㜲㈴㤱〱ㅢ㤳挱扡㌹㜹〹㔱㠲〵㤷㌱㐰搷ㄹ㌲㤷㍣挳昱㔷つ〶ㄴ㌷昶愶㥥㔴㔸愴㘰㑥㕢㡥㡦搷㈸㉣㌲㍦㙣㉥慥戸㔷㄰戱㙤搸捥㐹㘳搵摦ㄱ㔸㈱搱㠷㐹愱㐶㘸㐲搳㐴㐹㉢昵㡡ㅦㅥ挸㜳㌹昲㕥㥥㐰攱㉡㔷愰捦㍣㐳㝢搳慥㡦㘲㌴戴搳㌹愷㐱㐴㡦㥡㠵㝤㤹㔲㤸㥣慡摦捤㍥㙦〶戸昷攴昹搳慤挸摣ぢ㡡㔹ㄷ攸攵捦㤰昱㡡㉣㥡㠱㄰晡攸昶㠴愴挲㌲㔲づ㌸㄰ㄸ攷㔳㍢昹㤵㑤搵㠶搴户愷㤵㍤㠱㐸搲愰㌹㘷㉣换㍡攲搱戶ㄱ散〹ㅦ㘸挶摡㐶摤㡦敡㘶㕣摢㌶㐸㕡㈴换挵慡㐱ち㥥㙡〴敥ㄹ换搱㑤〰㐵㝦㔱㤱戱㡥㈲㘳㕤ㄵつ㥡攷ㄸㅡ㔴㜹㡥攵㕥㌲㍣㉢㔸戱慤㙡㠹てっ摦敤〸㥡〴㤳㔳昲挶㈹㤶ㄹ㘳㙤搶晣㜹㤸㙣晥〴搰㍤〱㌹捡慤㈳晡㐱戹㥡㈸攲㥦攸搱戱〴〱愳㍣愵晡㕢㌱㕡㐱摤㡥㠰挸㔱改㙡㝣〷攳敡㈳㈸〹㠵㄰戱㥥㐱㈲昰ち㈶㠴㍣㕤摣㐵昳扣㘳〵挰ㅥ㌱㜶挲ち㘶㝤愰ㅣ〰㔹㜵扣扤㐱㘱㌵搱㘹扣愹ㄵ㙥敡慣㑡愹㠹㠳㥤昵㐹扤昱㥡㑤慡㐳㡤㤲㔰㈴㕢㌵㔲㥡㘵㤳㌹敥㈴㔵㈳㤴攲㡥戵㡤挸㜲㥢戶昶㥤㔲攴〵㈸㈶㐵㌳㌹晤㙤㡡㔰㄰攸㡤㜴ㄴ㝤昶搹攴㤱㠸搸搰〶㈸㔳㑦㠵㘵㐳㔱㐸昰㌴慥㥤搴㘴㌹㝡〲㝦敦㠹戲昳㡤㈰㔵㘳慣㡦㐶㌵㔳昵晡扣〳㉢愱㙡㜸戵ㅤ挲搲㔸㕢愸㘱ㄴ㜷昶慡晤挳敤㑤㌰㘲挴㠶っ㡢㘴昸㠱挱㠶㘰慥㐴㐴㤵搶搹㄰户扡㔹㕣攲搳ㄹ㘹㌸ち〳㡢㐱㙤㔶慥㈹㌳慣㘵挹㡦慡づ捤搳愲㤲愳扡㌹戵散㐳愵〷㤴攳㔱㑥㌱戸㙥㥥愳㕢ち㤷ㄸ㈰㜶愳摣㐲㌵㐰㘸户㌹〰㑦〶㍢〷㍢搸㤱㌰㜴㐲敢㡣ㄲ戴㤸㐱戸改㐵㤰㜷㝡挴㈸〴愹愹搲摦㡥㡢㉦㍣挹昴㡤攳戹㌸ㄳ㌱ㄱ挳㕤ㄹ搶〳㤰㥢㡣㑣㤲㡢㐶攳㠰㜹㈸搹㤴搰ㅡ㡣换㘸㘲っ搱攴昳〲摣攲㘱㉣㙢㤸㙣㔳挷㍤户挰㠲㌶慤㙦散㌱㑦㍢搵㝡愳㈶㤵㉡㡥㘵戵搲挸㍢〲㕦敡ち㘰挸㑤ㄹ晢ㄲ㙤捡㘹ㅣ愵戸㘴㈲愹㜷扢㕢㍦㡥敥㑡挸㘱㡣㔰昵㌱〰㤹攱㤶㔳〱戱㡥㝢ち戴て昷戶㉥㌰愸换㜳㄰㘹ㅤ㐵㤴㘵㜳戸㡦搷㡣㈲㉢㙥㑢㌴㥢㜳攷㕣摡散㠹愲㔳㔶㔸戴㈳㜰㠴㜵㠶〲慦㔸㠴㌱搲㈳㜷㜰㤰摣搵㈸扡㝢昵ㄱ昵㤸扢ち㔴㈸っ〸挶㜸㜹ち捡㘱㔷挱㐸㌴戸戵㤶搵㉤ㄸ晤愵攵慤㑦〱〸㠶㠱㘹搰愲㘵㘸攰捣㈰扦戵㠱㜳ㄳ㕡㘵㐴㐸㤳挱㔴挶㈸㐷攱戰〷搲挰㑤㍣㐸㉦戹㔰㐲挱㍥㜵㌱㉣扥㥢㌸㙥攳〸攴㝡晢摢ちㄷ㡣〰搷㕦㥣〳㙤挵㔳戵ㅡ捤㕤昸攷㜶〴㔶㜱㜵㈳㌴㐷昷戵㕤捡㔲㙢愲㝤㜷㜳㕢㐵㜴㔹昰挸散挴㈹㈳愸慥㉣〶ㅢ攱挵慤㕥㐹愲昰㘳昸㈳㌶㝤㍢㙤收扣挳㡢愸㙢摣晢昲㘵挷扤攲愸㜹ㄵ㝣摥晡〳㠵攰ち㘵㍦㈷㔹捥晤ㅢ晦㔴搲㜲㠵ㅦ㘱挴敤㑣㥢〳戴ㅣ㈴ㅣ㐷愵㔰ㅡ㡣㈱㥦㐱㈷戰摤㥢户〶㐸㈷晢摡攸㐴〹㠲㕤㐲㜱㉥扤㘸㠴㈲㝥〸戴㤲㔸挲㈳㌹昶晣敢㘰㝤昱〳㤴㄰攱㜸㡥挴㐸攱㔵挸㘵愰㑥〹昲攸㡡〷㉦㠴晣晦㘰㈹收收㑤搹改扦挰捣攲晢敤㈸㍡㐸ㄴ㝤慦〳㐵㠲搷㐰ㄴ晦摥㡢㑣㥣ちっ捦㍥慦㐰㌸搷戴㝢〰㝤挹㉦晣晥てて愰㜳ㄱ㜱㈸ㅢつ愱戶㕢昰摣㌴ㄱ晡㍡㑣〴〶敦㤵㠹㜰〶ㄹ挱㈸㝥㘸㈲㐴㍥㤰㜹ㄴ㙣㙤㈲㌰戶㤷㘱〸㈶㐲慤〹户〶㑦㘰晢㙤晡挷㑥攱攲慤昴ㄱ捦㠷搲昲㘷攰㤱扡慥戳㜸挱昰っ晢㠰㉡㍦改㐹㈸㌳㙦〹㌷戹㔵ㄷ昶戸㘱搳ㅡ搵㘹ㄳ㕦㐵散㘵摦昵愷㙣敦晥㍡㌰ㄵ愶搰㝤㉦㑡愲昸〲㍣㈵㠲攷㠶摣晢昷㝤昳攴ㅦㅥ㝡散㌸㙦慢㐵戴㕡戸つ昹㕥㐲昶戴㈷㄰搴㑤㕣ㄴ戹㤶ㅦ收㥣挱㈷㑡搶㙡㕤㑥ㅢ㥥戲㠲㝣摤㡥戳㈱攱㈵〸㌳㈴扥㥤㘰㘲攲摥㐳㘸㘲㑥戴戹㍢搵㠷㑤捡㐵㌸㤱㤸戸昲改挵㘱㐳搱㔵㤱昵㘸㙤ㄶ扥つ㔵昴㍣㈷㤲戶ㄲ㜹敡㘴ㄲ攲㕢敤扡敥㈸㜵㕤㜸㤰㘱搸㍦㤶㔲㠸㍦㤰㐲㤲〷ㄹ㕥〸㔰㔲敡ㅣ㌲㠵摢〱㌲㈲㙢敤㈱㕥晡〳㜶㠵㠰㙣㕥晡敢昱㈳ㄶ散㈲戰ㄸ晢攲㝢㍤搱搲ㄶ㡤㔵ㄳ㐳戵捡愶㔹㐴㐶ㅤ㕥㔸㌰ㄹ㤷愶㉣㥤㈳㈸摤戶㍢㡡㉦ㄹ戲挳挰㕢挸搸〵㥢扥戶戲㝤㡦搳挰捤て攸㤹愲㔲ㄸ捥㕥ㄶ攳㐰慡㘲㜴㘱搳㜲㔸㐴㌸ㅣ㘶㥢㥤〶愲㉡攸㉣攷〰㑥愵〸晥昱㑢㈱搶㡦户㠶扥戶扤㠶㍡捥改挷〲昹㠳晤㜵㌰㠳戱昱㔶㜲っ㈴散戶㕡㤵挲敢攱攷搱㠵㡢捥〹扤㤵㔵捦攲㈸晥挴㥣搵愷㜵攸㝦㐶慦ㄵ㘷㕤㘰㙦㠶戱㔳晡晦㥤㈸搸㔲晦ぢ挶摥ㄴ㈲摦ㄵ㘵昸㔰㘰晣㘴换㤰つ㜷〴㥥㙤〴㙦搴挱㔸㔷㔹㠶扣挳摣㈲㍥㕥つ慢㤵〴㠷摦㉢摦㝥㌵愲搹㤷戶敤㐰㔷〱挸搸㔰攱敢㄰㐱㕤晢愷攵㔶㝣扡㉤扥ㅢㅤ昷㥤戱慡㥥敢扢㘶㌰戶㠸愰敦ㄸ扦㍤㌳㘱昳㑣㠹慦戵ぢ戵㥢戱ㄳ㠳敦㐵㥦戳昳㄰搸㘷㘵昰㘲挵㈲ㄹ㔹搸㕥㈴㠳摦㈱㡤㈴挲㑢搴づ晥㌵收㝤つ愳㡥㑦㔷攷攱敢っ㔸戴㈳㤴㕤攸㜱㙥扦愱挱慤挳ㅤ慤㜷挰ㅦ㈴敢ㄳ〸㡥愹㈵扣晢扤摣搷昶㍤㐸户㡤搶收戳㘵㙦㍥户㜲攱㘹攰㜴㝢㙦㐹㤳っ摦挹㉦㤲换㝡㠵㄰㤷昶㡦攳敦昶ㅤ戴ㅣ㙤ㄴ㜴ㅥ㝤搰㑤㐷搸㜸ㅤ敥戳㙤㐴扦㉦愲慢㤸㈲挰㑦㌷愲っㅦ〴扤㝣㘴㐵昱㘵㉣㡢っ㠰㝣慥㔸〵攸㑥搵㑦㙤㐶搵㈳戱㐰ㄶ㍣㘳㤰ㅣ换攲㡢㘸挸敤ち㤷つ㤶攰戲㠵㍡㑢㈰慦挷㍤㤰捦〹㥥㈵搴㐴㍥㡦づ捤㠹㔸㈸敤㍥㤱捦㙤㌶ㄱ㐱㉢㐰㉤㌴㌹晥㐸慣㐵昴㍡慡㜵㥢挰㈱㜰〱㠶㈹ㄶ㈹㙢㡡㘱㘸攱〷挴っ搲慦愳扦捦ㅥ晦搵㌳㑣㝦㍤㉥㤴㈰㐴㔵㝡昲ㄴ㠴㙡昲㥦㑡㑥摥㐳㘹昷挹㍦扥搹攴㐷㈸㈳㌹ㄳ㍤〰ㄸ敡ㄳㄵ晣㔱㡢㘹㈰挳㝤攴㑦㕣㈴挰㉦㌵㡢ㄱ〳㈵慡敦ㄵ㘴搰㤷ㅢ慥㕡慤㈳ㄳ昷㉤㜰晤ㄹㅦ昷㈸晢㠸ㄷ㈱改换㈹㠶捥搸㘲愸ㄵ㑢㜶攴㠵摤ㄱ戲〱㑢攲搷戲㕤㐵㝡戱挷〸扦昸㐸㡣㤸㔳愷攲㉦愷戴㈸收〴挲〸㉤㔲搲て㌷㔲㝣㌸㙥晣㥤敦戶㕣愶愸㐰〲昵㠴㡤㐹㘷慡昱㠷攲挶㐷昰㔵㤶㙡㤳攳つ〲愶㘷攳挶愴㐷搵昸戱戸昱㕦㡥ㅣ㘸㌶㡥改㌰ㅣ戹㐰㈲挹戰㜵㤵昵㥦昸㐲㝢ㄸ捤ぢ㈶昵攷㠰ㄹㄶ㔳㜲慡搰㜱㕤㘹搰㐱㕣〶昱昰㡤昴ㅣ敥㌶攱ち〸㠴㙣昸扦㑡㌸㡤㍢㑦戳㐶㘰攰ㄳ攸㌵〴㥢㍤㕤㍤戱㜳搱㥣昷㔰搰㙦㥥昶㜱愶慡敤㈸ㄲ㠱㌹㤰て昷㜷ぢ愷㝣㠶改搸摡㡦㌸㐸愶昱づ㐹㙦捡㐳〵㔶昲攲〳㌱㘶㜳㡦戶㘸㐶㝦〴挸㠱㜴〴㘴㐶㝦ㄴ㌰っ挴昰戶㜲㙥㠴晣慦㤸晢〳慣昸㈰挱㘳〰㘵㐱㘶㈷ㅤㄴ㍦〴㌰ㅣ晦㡦㉡挶搶㤴扦㐴ㄳて挵㉦㑢㤲㤱晥ㄱ㜶昸㈸㐰ㅦ摣户㈲㈲挲戲晥㌱㤴㈴㕦㑡挱愱㕥晡㜱㔶㝣㠲攰㜱㠰㜲㠱㤳摤昶慥㜱㑤㍤㙡慥㑦愲慢㜸㤴〰㍦晤㔳㔱㠶て〵敥挳㕢扡摢捡㍣ち挷ㅦ昶㈳搴㤹晡㠲晦ㅥ㝣㤱扦挱㐵昷攱㝦㐸㔲㔰㠶㝤㕥㝢㜳㙦㘳㤱〹㘸㤳慢摦㉡㌶晢〵㡣挳㜵戵㈲㈸ㅣ㤱㑡愵愴ㄵ〵昱捤〵ぢㄷ㙦攰㕢㡥愹ち㈱㐸〳慡挲㠹㉡㡥愳㐰晦㌴㥢ㄲ挷挴㤳晥ㄹ㍥ㄱ戵㙡ㄳ㍦ㅢ㘵昸㈰㠸㔷搵晤㠱愸㝢晣㐲攲㕡㔵㔸㙤㉦㈴晥㔵挵㑡昲㠵㑦㜲㌰㠵㉣㘴搲㕡㠹㐸㔳㌴昴㐵㘴㠶晡㠶㌹户晢昱搳搶㐵昵㘲敤攲挵㝦っ攷挷㙥挸扦昳敤㠳㑦㍥晢㡢攷㥥昸捤㝢㡥晤昹㕦㑦㍤昵㥢㍦㍥昱捣扦㝥扣㝣散㘷㑦㍦晤搳㝢扦昲捣㜳㝢捤慦㙡摦晤挷摣㔷ㅦ㥥扣晣昰㠳收昹摢㑥㍥晣慥〷敥㥢㕣戸㘶扣慦慦扦晦搶搱㥦㕦晦扡㤱㐷ㅦ晣扥昸挹敦慥㜳㠴㕡㉥㕥㤰㥥〶㤷慤愶昱㈵㘴㌰つ捥昸㈵㥤〶㤷慢㌶㙡㌹摡愸㘹ㄴ㤴攰搳攰〴㔴㠵㤱慥ㄸ昸て昹㐹戲㉢</t>
  </si>
  <si>
    <t>Nr of successful exploration wells</t>
  </si>
  <si>
    <t>Cumulative nr successful exploration wells</t>
  </si>
  <si>
    <t>Nr of successful appraisal wells</t>
  </si>
  <si>
    <t>Cumulative nr successful appraisal wells</t>
  </si>
  <si>
    <t>Nr of successful development wells</t>
  </si>
  <si>
    <t>Cumulative nr successful development wells</t>
  </si>
  <si>
    <r>
      <t xml:space="preserve">Nr </t>
    </r>
    <r>
      <rPr>
        <b/>
        <sz val="10"/>
        <rFont val="Arial"/>
        <family val="2"/>
      </rPr>
      <t>development</t>
    </r>
    <r>
      <rPr>
        <sz val="10"/>
        <rFont val="Arial"/>
        <family val="2"/>
      </rPr>
      <t xml:space="preserve"> wells (producers) attempted</t>
    </r>
  </si>
  <si>
    <t>Cum nr of producing well clusters</t>
  </si>
  <si>
    <r>
      <t xml:space="preserve">Sequence of events </t>
    </r>
    <r>
      <rPr>
        <b/>
        <sz val="11"/>
        <color theme="1"/>
        <rFont val="Calibri"/>
        <family val="2"/>
        <scheme val="minor"/>
      </rPr>
      <t>(worksheet planned to be improved by better graphics)</t>
    </r>
  </si>
  <si>
    <t>Main events:</t>
  </si>
  <si>
    <t>Start mandatory monitoring period</t>
  </si>
  <si>
    <t>Abd capex + transfer of liability to authorities</t>
  </si>
  <si>
    <t>Commercial Operation Date (COD)</t>
  </si>
  <si>
    <t>New prod/inj well clusters constructed</t>
  </si>
  <si>
    <r>
      <t xml:space="preserve">Note that, as a result of the modelling assumptions and the user-supplied input values, the </t>
    </r>
    <r>
      <rPr>
        <b/>
        <sz val="10"/>
        <rFont val="Arial"/>
        <family val="2"/>
      </rPr>
      <t xml:space="preserve">output is often saw-tooth </t>
    </r>
    <r>
      <rPr>
        <sz val="10"/>
        <rFont val="Arial"/>
        <family val="2"/>
      </rPr>
      <t xml:space="preserve">like, hence not smooth as one might expect. This is due to the model's </t>
    </r>
    <r>
      <rPr>
        <b/>
        <sz val="10"/>
        <rFont val="Arial"/>
        <family val="2"/>
      </rPr>
      <t>time-resolution of one year</t>
    </r>
    <r>
      <rPr>
        <sz val="10"/>
        <rFont val="Arial"/>
        <family val="2"/>
      </rPr>
      <t xml:space="preserve"> and the assumption of when to drill wells, and when to do workovers and stimulation jobs. In actual operations one would smoothen this type of profiles by spreading such activities over the days in a year. For operations planning purposes, the resolution of one year is clearly inadequate. However, for DCF calculations it makes little difference. </t>
    </r>
  </si>
  <si>
    <t>Flowing bottomhole pressure producer (MPa)</t>
  </si>
  <si>
    <t>Flowing tubing head pressure producer (MPa)</t>
  </si>
  <si>
    <t>Reinjection pressure at inj. wellhead (MPa)</t>
  </si>
  <si>
    <t>Discount rate for geothermal operator (%)</t>
  </si>
  <si>
    <r>
      <rPr>
        <b/>
        <sz val="10"/>
        <rFont val="Arial"/>
        <family val="2"/>
      </rPr>
      <t>Select</t>
    </r>
    <r>
      <rPr>
        <sz val="10"/>
        <rFont val="Arial"/>
        <family val="2"/>
      </rPr>
      <t xml:space="preserve"> turbine capex replacement method:</t>
    </r>
  </si>
  <si>
    <r>
      <t xml:space="preserve">P-D! cell AG14 = </t>
    </r>
    <r>
      <rPr>
        <i/>
        <strike/>
        <sz val="11"/>
        <color theme="1"/>
        <rFont val="Calibri"/>
        <family val="2"/>
        <scheme val="minor"/>
      </rPr>
      <t>constant</t>
    </r>
    <r>
      <rPr>
        <strike/>
        <sz val="11"/>
        <color theme="1"/>
        <rFont val="Calibri"/>
        <family val="2"/>
        <scheme val="minor"/>
      </rPr>
      <t xml:space="preserve"> inactivates time-series of row 75. This does not seem to make sense. Row 75 is not about turbine replacement. Cells AG14:AG16 should in facto work independently of O&amp;M, as turbine replacement is a separate O&amp;M category, ie on top of other O&amp;M. Moreover, turbine replacement should be capex, and not opex (which O&amp;M would normally be): check. </t>
    </r>
  </si>
  <si>
    <r>
      <rPr>
        <strike/>
        <sz val="11"/>
        <color theme="1"/>
        <rFont val="Calibri"/>
        <family val="2"/>
        <scheme val="minor"/>
      </rPr>
      <t xml:space="preserve">Is FTHP = turbine inlet pressure, or is there a </t>
    </r>
    <r>
      <rPr>
        <strike/>
        <sz val="11"/>
        <color theme="1"/>
        <rFont val="Symbol"/>
        <family val="1"/>
        <charset val="2"/>
      </rPr>
      <t>D</t>
    </r>
    <r>
      <rPr>
        <strike/>
        <sz val="11"/>
        <color theme="1"/>
        <rFont val="Calibri"/>
        <family val="2"/>
        <scheme val="minor"/>
      </rPr>
      <t xml:space="preserve">P across the facilities (e.g. choke </t>
    </r>
    <r>
      <rPr>
        <strike/>
        <sz val="11"/>
        <color theme="1"/>
        <rFont val="Symbol"/>
        <family val="1"/>
        <charset val="2"/>
      </rPr>
      <t>D</t>
    </r>
    <r>
      <rPr>
        <strike/>
        <sz val="11"/>
        <color theme="1"/>
        <rFont val="Calibri"/>
        <family val="2"/>
        <scheme val="minor"/>
      </rPr>
      <t>P, and further downstream until turbine inlet)?</t>
    </r>
    <r>
      <rPr>
        <sz val="11"/>
        <color theme="1"/>
        <rFont val="Calibri"/>
        <family val="2"/>
        <scheme val="minor"/>
      </rPr>
      <t xml:space="preserve"> </t>
    </r>
    <r>
      <rPr>
        <sz val="11"/>
        <color rgb="FFFF0000"/>
        <rFont val="Calibri"/>
        <family val="2"/>
        <scheme val="minor"/>
      </rPr>
      <t>FTHP = turbine inlet pressure, unless thermodynamics dictate one or more flashing separators</t>
    </r>
    <r>
      <rPr>
        <sz val="11"/>
        <color theme="1"/>
        <rFont val="Calibri"/>
        <family val="2"/>
        <scheme val="minor"/>
      </rPr>
      <t>.</t>
    </r>
  </si>
  <si>
    <t>discount rate operator (%)</t>
  </si>
  <si>
    <t>discount rate government (%)</t>
  </si>
  <si>
    <t>Transactions to govt</t>
  </si>
  <si>
    <t xml:space="preserve">Add KPI: CO2 emissions abated (Mton) - Use the applicable grid mix in Indonesia (ref Niek Willemsen, will send info) </t>
  </si>
  <si>
    <r>
      <t xml:space="preserve">Change all '$ MM' into 'Million USD': </t>
    </r>
    <r>
      <rPr>
        <strike/>
        <sz val="11"/>
        <color rgb="FFFF0000"/>
        <rFont val="Calibri"/>
        <family val="2"/>
        <scheme val="minor"/>
      </rPr>
      <t>No</t>
    </r>
  </si>
  <si>
    <t>Govt perspective (including tax, royalty &amp; other transactions to govt)</t>
  </si>
  <si>
    <t>Company perspective (including tax, royalty &amp; other transactions to govt)</t>
  </si>
  <si>
    <r>
      <t xml:space="preserve">Fig. Well success: explain what 'success' means: a well that is completed and hooked up for </t>
    </r>
    <r>
      <rPr>
        <i/>
        <strike/>
        <sz val="11"/>
        <color theme="1"/>
        <rFont val="Calibri"/>
        <family val="2"/>
        <scheme val="minor"/>
      </rPr>
      <t>production</t>
    </r>
    <r>
      <rPr>
        <strike/>
        <sz val="11"/>
        <color theme="1"/>
        <rFont val="Calibri"/>
        <family val="2"/>
        <scheme val="minor"/>
      </rPr>
      <t xml:space="preserve"> purposes. Often a threshold value is used of 3 MW(e)</t>
    </r>
  </si>
  <si>
    <t>Total nr of well clusters constructed</t>
  </si>
  <si>
    <t>Effective capacity of field</t>
  </si>
  <si>
    <t>Should we programme also injection well failures? Not for the time being…</t>
  </si>
  <si>
    <t>Power potential of field</t>
  </si>
  <si>
    <r>
      <t>Completion interval of well, i.e. 'h' in kh/</t>
    </r>
    <r>
      <rPr>
        <sz val="10"/>
        <color theme="1"/>
        <rFont val="Symbol"/>
        <family val="1"/>
        <charset val="2"/>
      </rPr>
      <t>m</t>
    </r>
    <r>
      <rPr>
        <sz val="10"/>
        <color theme="1"/>
        <rFont val="Arial"/>
        <family val="2"/>
      </rPr>
      <t>-factor (m)</t>
    </r>
  </si>
  <si>
    <r>
      <rPr>
        <b/>
        <sz val="10"/>
        <rFont val="Arial"/>
        <family val="2"/>
      </rPr>
      <t>Select:</t>
    </r>
    <r>
      <rPr>
        <sz val="10"/>
        <rFont val="Arial"/>
        <family val="2"/>
      </rPr>
      <t xml:space="preserve"> successful explor. and appr. wells re-used as injectors?</t>
    </r>
  </si>
  <si>
    <t>Read comment</t>
  </si>
  <si>
    <t>Later?</t>
  </si>
  <si>
    <t>Resource code</t>
  </si>
  <si>
    <t>Geological code</t>
  </si>
  <si>
    <t>Geology Code</t>
  </si>
  <si>
    <t>Geologic type</t>
  </si>
  <si>
    <t>Resource Code</t>
  </si>
  <si>
    <t>Resource fluid characteristics</t>
  </si>
  <si>
    <t>No. of fields</t>
  </si>
  <si>
    <t>No. of wells</t>
  </si>
  <si>
    <t>Granitic/higher‐grade metamorphic</t>
  </si>
  <si>
    <t>Moderate temperature</t>
  </si>
  <si>
    <t>High temperature</t>
  </si>
  <si>
    <t>Low temperature</t>
  </si>
  <si>
    <t>100 percent steam</t>
  </si>
  <si>
    <t>Younger volcanic/volcaniclastic (large‐scale volcanic structures (volcanoes, calderas) preserved)</t>
  </si>
  <si>
    <t>Ultra-high temperature</t>
  </si>
  <si>
    <t>Sedimentary basin (clastic, drilled above basement)</t>
  </si>
  <si>
    <t>Sedimentary basin (clastic, wells drilled into basement)</t>
  </si>
  <si>
    <t>Very low temperature</t>
  </si>
  <si>
    <t>Prevalence of fields and wells, by geology and resource type</t>
  </si>
  <si>
    <t>Injection pump electricity consumed (GWh)</t>
  </si>
  <si>
    <r>
      <t xml:space="preserve">KPI!A21: ambiguous or wrong. Let's decide whether or not to list nr of </t>
    </r>
    <r>
      <rPr>
        <i/>
        <strike/>
        <sz val="11"/>
        <color theme="1"/>
        <rFont val="Calibri"/>
        <family val="2"/>
        <scheme val="minor"/>
      </rPr>
      <t>additional</t>
    </r>
    <r>
      <rPr>
        <strike/>
        <sz val="11"/>
        <color theme="1"/>
        <rFont val="Calibri"/>
        <family val="2"/>
        <scheme val="minor"/>
      </rPr>
      <t xml:space="preserve"> well clusters automatically constructed, i.e. on top of the early development phase, which is input. </t>
    </r>
  </si>
  <si>
    <r>
      <t xml:space="preserve">Fig, Electricity: in legend say </t>
    </r>
    <r>
      <rPr>
        <i/>
        <strike/>
        <sz val="11"/>
        <color theme="1"/>
        <rFont val="Calibri"/>
        <family val="2"/>
        <scheme val="minor"/>
      </rPr>
      <t>"Injection</t>
    </r>
    <r>
      <rPr>
        <strike/>
        <sz val="11"/>
        <color theme="1"/>
        <rFont val="Calibri"/>
        <family val="2"/>
        <scheme val="minor"/>
      </rPr>
      <t xml:space="preserve"> pump energy consumed"</t>
    </r>
  </si>
  <si>
    <t>Back to Project definition worksheet</t>
  </si>
  <si>
    <t>Drilling success: nr of failed/P&amp;A wells</t>
  </si>
  <si>
    <t>Additional comment</t>
  </si>
  <si>
    <r>
      <t xml:space="preserve">KPI                                </t>
    </r>
    <r>
      <rPr>
        <sz val="8"/>
        <color rgb="FFFF0000"/>
        <rFont val="Calibri"/>
        <family val="2"/>
        <scheme val="minor"/>
      </rPr>
      <t>(for abbreviations, see comment of this cell)</t>
    </r>
  </si>
  <si>
    <r>
      <t>Maximum exposure</t>
    </r>
    <r>
      <rPr>
        <sz val="11"/>
        <color theme="1"/>
        <rFont val="Calibri"/>
        <family val="2"/>
        <scheme val="minor"/>
      </rPr>
      <t xml:space="preserve"> (undiscounted cashflow)</t>
    </r>
  </si>
  <si>
    <r>
      <t>Maximum exposure</t>
    </r>
    <r>
      <rPr>
        <sz val="11"/>
        <color theme="1"/>
        <rFont val="Calibri"/>
        <family val="2"/>
        <scheme val="minor"/>
      </rPr>
      <t xml:space="preserve"> (discounted cashflow)</t>
    </r>
  </si>
  <si>
    <r>
      <t xml:space="preserve">PIR </t>
    </r>
    <r>
      <rPr>
        <sz val="11"/>
        <color theme="1"/>
        <rFont val="Calibri"/>
        <family val="2"/>
        <scheme val="minor"/>
      </rPr>
      <t>(undiscounted cashflow)</t>
    </r>
  </si>
  <si>
    <r>
      <t xml:space="preserve">PIR </t>
    </r>
    <r>
      <rPr>
        <sz val="11"/>
        <color theme="1"/>
        <rFont val="Calibri"/>
        <family val="2"/>
        <scheme val="minor"/>
      </rPr>
      <t>(discounted cashflow)</t>
    </r>
  </si>
  <si>
    <r>
      <t>PV Capex / MW</t>
    </r>
    <r>
      <rPr>
        <vertAlign val="subscript"/>
        <sz val="11"/>
        <color theme="1"/>
        <rFont val="Calibri"/>
        <family val="2"/>
        <scheme val="minor"/>
      </rPr>
      <t>e</t>
    </r>
  </si>
  <si>
    <r>
      <t>$ MM/MW</t>
    </r>
    <r>
      <rPr>
        <vertAlign val="subscript"/>
        <sz val="11"/>
        <color theme="1"/>
        <rFont val="Calibri"/>
        <family val="2"/>
        <scheme val="minor"/>
      </rPr>
      <t>e</t>
    </r>
  </si>
  <si>
    <r>
      <t xml:space="preserve">Unit Technical Cost </t>
    </r>
    <r>
      <rPr>
        <sz val="11"/>
        <color theme="1"/>
        <rFont val="Calibri"/>
        <family val="2"/>
        <scheme val="minor"/>
      </rPr>
      <t>(undiscounted cost/MWh</t>
    </r>
    <r>
      <rPr>
        <vertAlign val="subscript"/>
        <sz val="11"/>
        <color theme="1"/>
        <rFont val="Calibri"/>
        <family val="2"/>
        <scheme val="minor"/>
      </rPr>
      <t>e</t>
    </r>
    <r>
      <rPr>
        <sz val="11"/>
        <color theme="1"/>
        <rFont val="Calibri"/>
        <family val="2"/>
        <scheme val="minor"/>
      </rPr>
      <t>)</t>
    </r>
  </si>
  <si>
    <r>
      <t>$/MWh</t>
    </r>
    <r>
      <rPr>
        <vertAlign val="subscript"/>
        <sz val="11"/>
        <color theme="1"/>
        <rFont val="Calibri"/>
        <family val="2"/>
        <scheme val="minor"/>
      </rPr>
      <t>e</t>
    </r>
  </si>
  <si>
    <r>
      <t xml:space="preserve">Unit Technical Cost </t>
    </r>
    <r>
      <rPr>
        <sz val="11"/>
        <color theme="1"/>
        <rFont val="Calibri"/>
        <family val="2"/>
        <scheme val="minor"/>
      </rPr>
      <t>(PV cost/MWh</t>
    </r>
    <r>
      <rPr>
        <vertAlign val="subscript"/>
        <sz val="11"/>
        <color theme="1"/>
        <rFont val="Calibri"/>
        <family val="2"/>
        <scheme val="minor"/>
      </rPr>
      <t>e</t>
    </r>
    <r>
      <rPr>
        <sz val="11"/>
        <color theme="1"/>
        <rFont val="Calibri"/>
        <family val="2"/>
        <scheme val="minor"/>
      </rPr>
      <t>)</t>
    </r>
  </si>
  <si>
    <r>
      <t xml:space="preserve">Unit Technical Cost </t>
    </r>
    <r>
      <rPr>
        <sz val="11"/>
        <color theme="1"/>
        <rFont val="Calibri"/>
        <family val="2"/>
        <scheme val="minor"/>
      </rPr>
      <t>(PV cost/PV MWh</t>
    </r>
    <r>
      <rPr>
        <vertAlign val="subscript"/>
        <sz val="11"/>
        <color theme="1"/>
        <rFont val="Calibri"/>
        <family val="2"/>
        <scheme val="minor"/>
      </rPr>
      <t>e</t>
    </r>
    <r>
      <rPr>
        <sz val="11"/>
        <color theme="1"/>
        <rFont val="Calibri"/>
        <family val="2"/>
        <scheme val="minor"/>
      </rPr>
      <t>)</t>
    </r>
  </si>
  <si>
    <r>
      <t>Levelized Cost of Electricity</t>
    </r>
    <r>
      <rPr>
        <sz val="11"/>
        <color theme="1"/>
        <rFont val="Calibri"/>
        <family val="2"/>
        <scheme val="minor"/>
      </rPr>
      <t xml:space="preserve"> (PV break even price)</t>
    </r>
  </si>
  <si>
    <r>
      <t xml:space="preserve">Pay-out time </t>
    </r>
    <r>
      <rPr>
        <sz val="11"/>
        <color theme="1"/>
        <rFont val="Calibri"/>
        <family val="2"/>
        <scheme val="minor"/>
      </rPr>
      <t>(undiscounted cashflow)</t>
    </r>
  </si>
  <si>
    <r>
      <t xml:space="preserve">Pay-out time </t>
    </r>
    <r>
      <rPr>
        <sz val="11"/>
        <color theme="1"/>
        <rFont val="Calibri"/>
        <family val="2"/>
        <scheme val="minor"/>
      </rPr>
      <t>(discounted cashflow)</t>
    </r>
  </si>
  <si>
    <r>
      <t>Nr of expl+appr+devt wells drilled</t>
    </r>
    <r>
      <rPr>
        <sz val="11"/>
        <color theme="1"/>
        <rFont val="Calibri"/>
        <family val="2"/>
        <scheme val="minor"/>
      </rPr>
      <t>, excl. matching inj.</t>
    </r>
  </si>
  <si>
    <r>
      <t>Nr of expl+appr+devt wells drilled</t>
    </r>
    <r>
      <rPr>
        <sz val="11"/>
        <color theme="1"/>
        <rFont val="Calibri"/>
        <family val="2"/>
        <scheme val="minor"/>
      </rPr>
      <t>, incl. matching inj.</t>
    </r>
  </si>
  <si>
    <r>
      <t>Drilling success: nr of completed wells</t>
    </r>
    <r>
      <rPr>
        <sz val="11"/>
        <color theme="1"/>
        <rFont val="Calibri"/>
        <family val="2"/>
        <scheme val="minor"/>
      </rPr>
      <t>, excl. matching inj.</t>
    </r>
  </si>
  <si>
    <r>
      <t>MW</t>
    </r>
    <r>
      <rPr>
        <vertAlign val="subscript"/>
        <sz val="11"/>
        <color theme="1"/>
        <rFont val="Calibri"/>
        <family val="2"/>
        <scheme val="minor"/>
      </rPr>
      <t>e</t>
    </r>
    <r>
      <rPr>
        <sz val="11"/>
        <color theme="1"/>
        <rFont val="Calibri"/>
        <family val="2"/>
        <scheme val="minor"/>
      </rPr>
      <t>/well</t>
    </r>
  </si>
  <si>
    <r>
      <t>MW</t>
    </r>
    <r>
      <rPr>
        <vertAlign val="subscript"/>
        <sz val="11"/>
        <color theme="1"/>
        <rFont val="Calibri"/>
        <family val="2"/>
        <scheme val="minor"/>
      </rPr>
      <t>e</t>
    </r>
  </si>
  <si>
    <r>
      <t xml:space="preserve">Initial and post-workover </t>
    </r>
    <r>
      <rPr>
        <b/>
        <sz val="10"/>
        <color theme="1"/>
        <rFont val="Arial"/>
        <family val="2"/>
      </rPr>
      <t>production</t>
    </r>
    <r>
      <rPr>
        <sz val="10"/>
        <color theme="1"/>
        <rFont val="Arial"/>
        <family val="2"/>
      </rPr>
      <t xml:space="preserve"> well skin factor</t>
    </r>
  </si>
  <si>
    <r>
      <t xml:space="preserve">Initial and post-workover </t>
    </r>
    <r>
      <rPr>
        <b/>
        <sz val="10"/>
        <color theme="1"/>
        <rFont val="Arial"/>
        <family val="2"/>
      </rPr>
      <t>injection</t>
    </r>
    <r>
      <rPr>
        <sz val="10"/>
        <color theme="1"/>
        <rFont val="Arial"/>
        <family val="2"/>
      </rPr>
      <t xml:space="preserve"> well skin factor</t>
    </r>
  </si>
  <si>
    <r>
      <t>Drilling success: % of successful wells</t>
    </r>
    <r>
      <rPr>
        <sz val="10"/>
        <rFont val="Arial"/>
        <family val="2"/>
      </rPr>
      <t>, excl. matching inj.</t>
    </r>
  </si>
  <si>
    <t>Add in Sequence of events: nr of matching injectors drilled</t>
  </si>
  <si>
    <t>Production constraint</t>
  </si>
  <si>
    <r>
      <t xml:space="preserve">Add worksheet to allow indexation of capex and opex items for input prices that are not referenced to the discount reference year. Use IHS/CERA's CEPI/UCCI/UOCI etc. </t>
    </r>
    <r>
      <rPr>
        <sz val="11"/>
        <color rgb="FFFF0000"/>
        <rFont val="Calibri"/>
        <family val="2"/>
        <scheme val="minor"/>
      </rPr>
      <t>Later</t>
    </r>
  </si>
  <si>
    <r>
      <rPr>
        <strike/>
        <sz val="11"/>
        <color theme="1"/>
        <rFont val="Calibri"/>
        <family val="2"/>
        <scheme val="minor"/>
      </rPr>
      <t>P-D!Row33 use conditional formatting for values: if time-series values N/A, give font same colour as cell so that value becomes illegible. Same for other invalid combinations: red-hatched cells……………..</t>
    </r>
    <r>
      <rPr>
        <sz val="11"/>
        <color theme="1"/>
        <rFont val="Calibri"/>
        <family val="2"/>
        <scheme val="minor"/>
      </rPr>
      <t xml:space="preserve"> </t>
    </r>
    <r>
      <rPr>
        <sz val="11"/>
        <color rgb="FFFF0000"/>
        <rFont val="Calibri"/>
        <family val="2"/>
        <scheme val="minor"/>
      </rPr>
      <t>No</t>
    </r>
  </si>
  <si>
    <t xml:space="preserve">Later </t>
  </si>
  <si>
    <r>
      <t>Mt CO</t>
    </r>
    <r>
      <rPr>
        <vertAlign val="subscript"/>
        <sz val="10"/>
        <color theme="1"/>
        <rFont val="Arial"/>
        <family val="2"/>
      </rPr>
      <t>2</t>
    </r>
  </si>
  <si>
    <r>
      <t>Estimated CO</t>
    </r>
    <r>
      <rPr>
        <b/>
        <vertAlign val="subscript"/>
        <sz val="10"/>
        <rFont val="Arial"/>
        <family val="2"/>
      </rPr>
      <t>2</t>
    </r>
    <r>
      <rPr>
        <b/>
        <sz val="10"/>
        <rFont val="Arial"/>
        <family val="2"/>
      </rPr>
      <t xml:space="preserve"> emissions abated </t>
    </r>
    <r>
      <rPr>
        <sz val="10"/>
        <rFont val="Arial"/>
        <family val="2"/>
      </rPr>
      <t>over evaluation period</t>
    </r>
  </si>
  <si>
    <r>
      <t xml:space="preserve">Cum. electricity produced </t>
    </r>
    <r>
      <rPr>
        <sz val="10"/>
        <rFont val="Arial"/>
        <family val="2"/>
      </rPr>
      <t>over evaluation period</t>
    </r>
  </si>
  <si>
    <r>
      <t>Avg grid-mix to calc. CO</t>
    </r>
    <r>
      <rPr>
        <vertAlign val="subscript"/>
        <sz val="10"/>
        <rFont val="Arial"/>
        <family val="2"/>
      </rPr>
      <t>2</t>
    </r>
    <r>
      <rPr>
        <sz val="10"/>
        <rFont val="Arial"/>
        <family val="2"/>
      </rPr>
      <t xml:space="preserve"> abated (Mt CO</t>
    </r>
    <r>
      <rPr>
        <vertAlign val="subscript"/>
        <sz val="10"/>
        <rFont val="Arial"/>
        <family val="2"/>
      </rPr>
      <t>2</t>
    </r>
    <r>
      <rPr>
        <sz val="10"/>
        <rFont val="Arial"/>
        <family val="2"/>
      </rPr>
      <t>/TWh</t>
    </r>
    <r>
      <rPr>
        <vertAlign val="subscript"/>
        <sz val="10"/>
        <rFont val="Arial"/>
        <family val="2"/>
      </rPr>
      <t>e</t>
    </r>
    <r>
      <rPr>
        <sz val="10"/>
        <rFont val="Arial"/>
        <family val="2"/>
      </rPr>
      <t>)</t>
    </r>
  </si>
  <si>
    <t>Discount rate for government (%)</t>
  </si>
  <si>
    <t>Monitoring opex after C/I until decommissioning ($ MM/yr)</t>
  </si>
  <si>
    <t>Fixed opex mandatory monitoring period</t>
  </si>
  <si>
    <t xml:space="preserve">In Cashflow! Row 82 I've added a fixed opex only valid for the mandatory monitoring period after C/I until abandonment. But when I want to add that in row 76 (total opex) I get a circular ref. Can you solve this? I'd like this monitoring opex to feature in Fig opex etc. </t>
  </si>
  <si>
    <t>Nr of completed production and injection wells</t>
  </si>
  <si>
    <t>Effective production capacity / production well</t>
  </si>
  <si>
    <t>To improve calculation of MW/well ?</t>
  </si>
  <si>
    <t>Check consistency of using a capex and opex multiplier (for uncertainty analysis): Logan, done?</t>
  </si>
  <si>
    <t>Geothermal life-cycle model (version 1.45, Aug. 2017)</t>
  </si>
  <si>
    <t xml:space="preserve">Temperature after breakthrough: rate should be based on volume produced after breakthrough volume. Also: rather use per million m3. </t>
  </si>
  <si>
    <t xml:space="preserve">Check in KPIs if well counts properly done. </t>
  </si>
  <si>
    <t>Discuss in P-D! How is pipe roughness use: see also comment P-D!U14, friction Dp? Mention in comment of P-D!H20 how pipe roughness is used.</t>
  </si>
  <si>
    <t>P-D!V10-V11 workover frequency: in calculation sheet / in formula set frequency to &gt;&gt;evaluation period of sheet if this is left blank, or if zero is filled in. This will ascertain that no W/Os are done. Also: add many more cycles for frequent workovers (now only 7).</t>
  </si>
  <si>
    <r>
      <t xml:space="preserve">The </t>
    </r>
    <r>
      <rPr>
        <b/>
        <sz val="10"/>
        <rFont val="Arial"/>
        <family val="2"/>
      </rPr>
      <t>tax regime</t>
    </r>
    <r>
      <rPr>
        <sz val="10"/>
        <color theme="1"/>
        <rFont val="Arial"/>
        <family val="2"/>
      </rPr>
      <t xml:space="preserve"> is a contractor / concession agreement with </t>
    </r>
    <r>
      <rPr>
        <i/>
        <sz val="10"/>
        <rFont val="Arial"/>
        <family val="2"/>
      </rPr>
      <t>royalty</t>
    </r>
    <r>
      <rPr>
        <sz val="10"/>
        <color theme="1"/>
        <rFont val="Arial"/>
        <family val="2"/>
      </rPr>
      <t xml:space="preserve"> and </t>
    </r>
    <r>
      <rPr>
        <i/>
        <sz val="10"/>
        <rFont val="Arial"/>
        <family val="2"/>
      </rPr>
      <t>corporate tax</t>
    </r>
    <r>
      <rPr>
        <sz val="10"/>
        <color theme="1"/>
        <rFont val="Arial"/>
        <family val="2"/>
      </rPr>
      <t xml:space="preserve">. The project is assumed to be </t>
    </r>
    <r>
      <rPr>
        <i/>
        <sz val="10"/>
        <rFont val="Arial"/>
        <family val="2"/>
      </rPr>
      <t>ringfenced</t>
    </r>
    <r>
      <rPr>
        <sz val="10"/>
        <color theme="1"/>
        <rFont val="Arial"/>
        <family val="2"/>
      </rPr>
      <t xml:space="preserve">. Royalty payments are optionally tax deductible. To calculate the fiscal income, capex is depreciated according to either a </t>
    </r>
    <r>
      <rPr>
        <i/>
        <sz val="10"/>
        <rFont val="Arial"/>
        <family val="2"/>
      </rPr>
      <t>straight line depreciation, declining balance depreciation, or double declining balance depreciation scheme</t>
    </r>
    <r>
      <rPr>
        <sz val="10"/>
        <color theme="1"/>
        <rFont val="Arial"/>
        <family val="2"/>
      </rPr>
      <t xml:space="preserve">. The number of depreciation years and salvage value are to be specified by the user. The depreciation schedule starts in the the year that the capital was spent. Specific conditions for the </t>
    </r>
    <r>
      <rPr>
        <b/>
        <sz val="10"/>
        <color theme="1"/>
        <rFont val="Arial"/>
        <family val="2"/>
      </rPr>
      <t>Indonesian geothermal market</t>
    </r>
    <r>
      <rPr>
        <sz val="10"/>
        <color theme="1"/>
        <rFont val="Arial"/>
        <family val="2"/>
      </rPr>
      <t xml:space="preserve"> (Geothermal law etc.) have not been modelled in detail. The Loss Carry Forward tax facility has also been implemented to delay capital allowances from years without any revenue. The allowance from these years will be shifted to years with a positive pre-tax net cashflow and be spent so as to obtain zero taxable income in the early production years. This is on top of the regular tax allowance in those years. In the current version there is no limit for the number of LCF years for delaying the tax allowance to years with a positive taxable income. Pre-production opex is included in the current LCF definition and will therefore be used for tax rebate. </t>
    </r>
  </si>
  <si>
    <t>LCF calculation, see reply Wed 26/07/2017 07:32 by Fitri Oktaviani. It would be best to have a user-defined max nr of yrs for LCF, with default 7 yrs in IND. Later</t>
  </si>
  <si>
    <t>In Sequence of Events!, rows 12-13: if field is C/I early, the calc'd values are not correct. 'Res inj' constraint should stop when C/I. And VALUE# to be checked a the row for Nr of well clusters.</t>
  </si>
  <si>
    <t>Cashflow!171-172: does total well count include well failures? Or only successful wells? Discuss implications for automatic construction of new platform / cluster: max # well slots may be taken up also by well failures. Also, total wells in operation (for opex calculation, see Fig Opex): does that exclude well failures? Platforms should be based on all wells drilled: successful + failed.</t>
  </si>
  <si>
    <t>Nr of successful production wells</t>
  </si>
  <si>
    <t>Cumulative nr of successful producers</t>
  </si>
  <si>
    <t>Cumulative successful wells (prod + inj wells)</t>
  </si>
  <si>
    <t>Cumulative attempted wells (prod + inj wells)</t>
  </si>
  <si>
    <t>The new platform calculation is based on total wells attempted, so includes successful and failed production wells and all injection wells.</t>
  </si>
  <si>
    <t>Cumulative nr failed exporation wells</t>
  </si>
  <si>
    <t>Cumulative nr failed appraisal wells</t>
  </si>
  <si>
    <t>Cumulative nr failed development wells</t>
  </si>
  <si>
    <t>Nr of attempted wells (prod + inj wells)</t>
  </si>
  <si>
    <t>Nr of successful wells (prod + inj wells)</t>
  </si>
  <si>
    <t>Tertiary and older volcanic/volcaniclastic (large‐scale volcanic structures absent)</t>
  </si>
  <si>
    <t>Not sure what caused this - it should also happen to the cell directly below it, since it divides by the same number.</t>
  </si>
  <si>
    <t>Cumulative production well count</t>
  </si>
  <si>
    <t>Cumulative injection well count</t>
  </si>
  <si>
    <t>WELL OPEX AND WORKOVERS</t>
  </si>
  <si>
    <t>Phased W/O opex 7th cycle ($ MM)</t>
  </si>
  <si>
    <t>Phased W/O opex 8th cycle ($ MM)</t>
  </si>
  <si>
    <t>Phased W/O opex 9th cycle ($ MM)</t>
  </si>
  <si>
    <t>Phased W/O opex 10th cycle ($ MM)</t>
  </si>
  <si>
    <t>Phased W/O opex 11th cycle ($ MM)</t>
  </si>
  <si>
    <t>Phased W/O opex 12th cycle ($ MM)</t>
  </si>
  <si>
    <t>Phased W/O opex 13th cycle ($ MM)</t>
  </si>
  <si>
    <t>Phased W/O opex 14th cycle ($ MM)</t>
  </si>
  <si>
    <t>Phased W/O opex 15th cycle ($ MM)</t>
  </si>
  <si>
    <t>Phased W/O opex 16th cycle ($ MM)</t>
  </si>
  <si>
    <t>Phased W/O opex 17th cycle ($ MM)</t>
  </si>
  <si>
    <t>Phased W/O opex 18th cycle ($ MM)</t>
  </si>
  <si>
    <t>Phased W/O opex 19th cycle ($ MM)</t>
  </si>
  <si>
    <t>Phased W/O opex 20th cycle ($ MM)</t>
  </si>
  <si>
    <t>Phased W/O opex 21st cycle ($ MM)</t>
  </si>
  <si>
    <t>Phased W/O opex 22nd cycle ($ MM)</t>
  </si>
  <si>
    <t>Phased W/O opex 23rd cycle ($ MM)</t>
  </si>
  <si>
    <t>Phased W/O opex 24th cycle ($ MM)</t>
  </si>
  <si>
    <t>Phased W/O opex 25th cycle ($ MM)</t>
  </si>
  <si>
    <t>Phased W/O opex 26th cycle ($ MM)</t>
  </si>
  <si>
    <t>Phased W/O opex 27th cycle ($ MM)</t>
  </si>
  <si>
    <t>Phased W/O opex 28th cycle ($ MM)</t>
  </si>
  <si>
    <t>Phased W/O opex 29th cycle ($ MM)</t>
  </si>
  <si>
    <t>Phased W/O opex 30th cycle ($ MM)</t>
  </si>
  <si>
    <t>Well opex calculation</t>
  </si>
  <si>
    <t>Yearly production well opex ($ MM)</t>
  </si>
  <si>
    <t>Yearly injection well opex ($ MM)</t>
  </si>
  <si>
    <t>Total phased production W/O opex ($ MM)</t>
  </si>
  <si>
    <t>Total phased injection W/O opex ($ MM)</t>
  </si>
  <si>
    <t>Now possibility of 30 workovers</t>
  </si>
  <si>
    <t>Now, the columns should stop once the field is closed in.</t>
  </si>
  <si>
    <t>Fixed.</t>
  </si>
  <si>
    <t>Linear decline rate for temperature (°C/million m3)</t>
  </si>
  <si>
    <t>Temperature is already based on volume. Changed units to million m3 now</t>
  </si>
  <si>
    <t>Cum water production since breakthrough (m3)</t>
  </si>
  <si>
    <t>DONE 22/8/17</t>
  </si>
  <si>
    <t>Yes</t>
  </si>
  <si>
    <t>Average flow per field m3/s</t>
  </si>
  <si>
    <t>Average flow per field L/s</t>
  </si>
  <si>
    <t>Average production m3</t>
  </si>
  <si>
    <t>Total production m3</t>
  </si>
  <si>
    <t>Average flow kg/yr</t>
  </si>
  <si>
    <r>
      <t xml:space="preserve">Mass flow rate per </t>
    </r>
    <r>
      <rPr>
        <b/>
        <sz val="10"/>
        <rFont val="Arial"/>
        <family val="2"/>
      </rPr>
      <t>well</t>
    </r>
    <r>
      <rPr>
        <sz val="10"/>
        <rFont val="Arial"/>
        <family val="2"/>
      </rPr>
      <t xml:space="preserve"> (kg/s)</t>
    </r>
  </si>
  <si>
    <r>
      <t xml:space="preserve">Mass flow rate per </t>
    </r>
    <r>
      <rPr>
        <b/>
        <sz val="10"/>
        <rFont val="Arial"/>
        <family val="2"/>
      </rPr>
      <t>well</t>
    </r>
    <r>
      <rPr>
        <sz val="10"/>
        <rFont val="Arial"/>
        <family val="2"/>
      </rPr>
      <t xml:space="preserve"> (tonne/hr)</t>
    </r>
  </si>
  <si>
    <r>
      <t xml:space="preserve">Mass flow rate per </t>
    </r>
    <r>
      <rPr>
        <b/>
        <sz val="10"/>
        <rFont val="Arial"/>
        <family val="2"/>
      </rPr>
      <t>field</t>
    </r>
    <r>
      <rPr>
        <sz val="10"/>
        <rFont val="Arial"/>
        <family val="2"/>
      </rPr>
      <t xml:space="preserve"> (kg/yr)</t>
    </r>
  </si>
  <si>
    <r>
      <t xml:space="preserve">Mass flow rate per </t>
    </r>
    <r>
      <rPr>
        <b/>
        <sz val="10"/>
        <rFont val="Arial"/>
        <family val="2"/>
      </rPr>
      <t>field</t>
    </r>
    <r>
      <rPr>
        <sz val="10"/>
        <rFont val="Arial"/>
        <family val="2"/>
      </rPr>
      <t xml:space="preserve"> (kg/s)</t>
    </r>
  </si>
  <si>
    <r>
      <t xml:space="preserve">Inflow rate per </t>
    </r>
    <r>
      <rPr>
        <b/>
        <sz val="10"/>
        <rFont val="Arial"/>
        <family val="2"/>
      </rPr>
      <t>well</t>
    </r>
    <r>
      <rPr>
        <sz val="10"/>
        <rFont val="Arial"/>
        <family val="2"/>
      </rPr>
      <t xml:space="preserve"> (L/s)</t>
    </r>
  </si>
  <si>
    <r>
      <t xml:space="preserve">Inflow rate per </t>
    </r>
    <r>
      <rPr>
        <b/>
        <sz val="10"/>
        <rFont val="Arial"/>
        <family val="2"/>
      </rPr>
      <t>field</t>
    </r>
    <r>
      <rPr>
        <sz val="10"/>
        <rFont val="Arial"/>
        <family val="2"/>
      </rPr>
      <t xml:space="preserve"> (m3/s)</t>
    </r>
  </si>
  <si>
    <r>
      <t xml:space="preserve">Inflow rate per </t>
    </r>
    <r>
      <rPr>
        <b/>
        <sz val="10"/>
        <rFont val="Arial"/>
        <family val="2"/>
      </rPr>
      <t>field</t>
    </r>
    <r>
      <rPr>
        <sz val="10"/>
        <rFont val="Arial"/>
        <family val="2"/>
      </rPr>
      <t xml:space="preserve"> (L/s)</t>
    </r>
  </si>
  <si>
    <r>
      <t xml:space="preserve">Inflow rate per </t>
    </r>
    <r>
      <rPr>
        <b/>
        <sz val="10"/>
        <rFont val="Arial"/>
        <family val="2"/>
      </rPr>
      <t>field</t>
    </r>
    <r>
      <rPr>
        <sz val="10"/>
        <rFont val="Arial"/>
        <family val="2"/>
      </rPr>
      <t xml:space="preserve"> (m3/hr)</t>
    </r>
  </si>
  <si>
    <t>Average flow per well kg/s</t>
  </si>
  <si>
    <t>Average flow per well tonne/hr</t>
  </si>
  <si>
    <t>Average flow per well kg/hr</t>
  </si>
  <si>
    <r>
      <t xml:space="preserve">Mass flow rate per </t>
    </r>
    <r>
      <rPr>
        <b/>
        <sz val="10"/>
        <rFont val="Arial"/>
        <family val="2"/>
      </rPr>
      <t>well</t>
    </r>
    <r>
      <rPr>
        <sz val="10"/>
        <rFont val="Arial"/>
        <family val="2"/>
      </rPr>
      <t xml:space="preserve"> (kg/hr)</t>
    </r>
  </si>
  <si>
    <t>successful expl wells</t>
  </si>
  <si>
    <t>successful appr wells</t>
  </si>
  <si>
    <t>successful devt wells</t>
  </si>
  <si>
    <t>failed expl wells</t>
  </si>
  <si>
    <t>failed appr wells</t>
  </si>
  <si>
    <t>failed devt wells</t>
  </si>
  <si>
    <t>devt wells drilled</t>
  </si>
  <si>
    <t>expl wells drilled</t>
  </si>
  <si>
    <t>appr wells drilled</t>
  </si>
  <si>
    <t>working wells (prod &amp; inj)</t>
  </si>
  <si>
    <t>wells drilled (prod &amp; inj)</t>
  </si>
  <si>
    <t>working production wells</t>
  </si>
  <si>
    <t>working injection wells</t>
  </si>
  <si>
    <t>injection wells drilled (NOT re-used expl &amp; appr wells)</t>
  </si>
  <si>
    <r>
      <t xml:space="preserve">Electric power per </t>
    </r>
    <r>
      <rPr>
        <b/>
        <i/>
        <sz val="10"/>
        <rFont val="Arial"/>
        <family val="2"/>
      </rPr>
      <t>well</t>
    </r>
    <r>
      <rPr>
        <i/>
        <sz val="10"/>
        <rFont val="Arial"/>
        <family val="2"/>
      </rPr>
      <t xml:space="preserve"> (MW)</t>
    </r>
  </si>
  <si>
    <t>Average MW per well</t>
  </si>
  <si>
    <t>DONE 23/8/17</t>
  </si>
  <si>
    <t>I added info also in the "Additional comments" columns, to try and break down the numbers a little more for the user</t>
  </si>
  <si>
    <t>CHANGED 23/8/17</t>
  </si>
  <si>
    <t>It determined the rate to drop based on TOTAL volume of water produced, instead of volume produced AFTER breakthrough. Now, there is a row that keeps track of volume produced after breakthrough</t>
  </si>
  <si>
    <r>
      <t xml:space="preserve">P-D!Q16: perhaps better in units </t>
    </r>
    <r>
      <rPr>
        <strike/>
        <sz val="11"/>
        <color theme="1"/>
        <rFont val="Calibri"/>
        <family val="2"/>
      </rPr>
      <t>°</t>
    </r>
    <r>
      <rPr>
        <strike/>
        <sz val="11"/>
        <color theme="1"/>
        <rFont val="Calibri"/>
        <family val="2"/>
        <scheme val="minor"/>
      </rPr>
      <t xml:space="preserve">C/million m3? Adapt calculations. Btw, why sudden drop in T after bt? </t>
    </r>
  </si>
  <si>
    <t>Reynolds number</t>
  </si>
  <si>
    <r>
      <t xml:space="preserve">CALCULATED VARIABLES - </t>
    </r>
    <r>
      <rPr>
        <b/>
        <u/>
        <sz val="18"/>
        <rFont val="Arial"/>
        <family val="2"/>
      </rPr>
      <t>DO NOT EDIT</t>
    </r>
  </si>
  <si>
    <t>Darcy-Weisbach friction factor (Swamee-Jain eqn)</t>
  </si>
  <si>
    <t>Darcy-Weisbach velocity (m/s)</t>
  </si>
  <si>
    <t>Velocity calculation, iteration 1</t>
  </si>
  <si>
    <t>Velocity calculation, iteration 2</t>
  </si>
  <si>
    <t>Calculation: flow through a pipe</t>
  </si>
  <si>
    <t>Assumed variables</t>
  </si>
  <si>
    <t>Water velocity through a pipe (m/s)</t>
  </si>
  <si>
    <t>Max flow per well (m3/s)</t>
  </si>
  <si>
    <t>Water flow through a pipe (m3/s)</t>
  </si>
  <si>
    <t>Turbine replacement capex (referenced above)</t>
  </si>
  <si>
    <t>Possible, but should check comment 110</t>
  </si>
  <si>
    <t>Would injector be larger than producer? Currently the injector flow rates are MUCH lower than producer flow rates. Main reason seems to be the high injected water viscosity, as well as the smaller injection drawdown. To decrease the viscosity, the user could change the "pressure after turbine" to be higher, but this might reduce the energy from the system.</t>
  </si>
  <si>
    <t>Remarks Christian post 10Aug2017, ref. version 1.45</t>
  </si>
  <si>
    <t>In Fig. Well success: comment on RHS to be improved. Definition of success is also Explor and appr wells that can be re-used as injectors. Also explain better in legend whether total nr wells include or not matching injectors.</t>
  </si>
  <si>
    <r>
      <t xml:space="preserve">PD! Cell B21: Value ignored as per user-selected calc. method. Change to </t>
    </r>
    <r>
      <rPr>
        <i/>
        <sz val="11"/>
        <color theme="1"/>
        <rFont val="Calibri"/>
        <family val="2"/>
        <scheme val="minor"/>
      </rPr>
      <t>Value ignored as per selected calc. method</t>
    </r>
  </si>
  <si>
    <t>PD! Cell U7: improve comment</t>
  </si>
  <si>
    <t>PD! Check protection B10:C11</t>
  </si>
  <si>
    <t xml:space="preserve">PD!M7: shorten text, and in comment P7 explain that "success" for expl and appr wells normally means something else. Here, it is meant that they can be re-used as injector. Also explain that in this version the choice has been made that expl/appr wells will never be re-used as producer. </t>
  </si>
  <si>
    <t xml:space="preserve">PD!P8-Q8: it should be explained that automatically included injectors to match the given ratio are always "successes", i.e. they cannot "fail". </t>
  </si>
  <si>
    <t xml:space="preserve">Also check how this is explained  in Intro worksheet. </t>
  </si>
  <si>
    <t xml:space="preserve">In Well Scheme: all numbers in formation to be formatted. Now far too many digits are displayed. </t>
  </si>
  <si>
    <t xml:space="preserve">PD!P19 comment: when discussing the RNG in item 1, it should be mentioned that the switch of Q23 has to be put on Variable. </t>
  </si>
  <si>
    <t>In KPI!A29 explain that matching injectors are assumed to be 100% successful</t>
  </si>
  <si>
    <t>Fig Rig: add text box explaining what a expl/appr well failure/success means….. Success = can be re-used as injector, failure = cannot be re-used as injector. "Failure" therefore does not say anything about the Value of Info which is normally the objective of ex/ap wells</t>
  </si>
  <si>
    <t>KPI!D24:D27, mention in comment the user-defined prod/inj ratio, although already in header of A2</t>
  </si>
  <si>
    <t xml:space="preserve">In PD!P8 comment: mention default value of 1, and explain geothermal doublet concept. Also explain that in volcanic rock the doublet development concept may not apply, and that often the injectivity of the injectors is the main production constraint. It may therefore be advantageous to increase the nr of injectors. </t>
  </si>
  <si>
    <r>
      <rPr>
        <sz val="11"/>
        <color rgb="FFFF0000"/>
        <rFont val="Calibri"/>
        <family val="2"/>
        <scheme val="minor"/>
      </rPr>
      <t xml:space="preserve">Check how to code the following Indonesian laws: </t>
    </r>
    <r>
      <rPr>
        <sz val="11"/>
        <color theme="1"/>
        <rFont val="Calibri"/>
        <family val="2"/>
        <scheme val="minor"/>
      </rPr>
      <t xml:space="preserve">The </t>
    </r>
    <r>
      <rPr>
        <i/>
        <sz val="11"/>
        <color theme="1"/>
        <rFont val="Calibri"/>
        <family val="2"/>
        <scheme val="minor"/>
      </rPr>
      <t>Gross Income Deduction</t>
    </r>
    <r>
      <rPr>
        <sz val="11"/>
        <color theme="1"/>
        <rFont val="Calibri"/>
        <family val="2"/>
        <scheme val="minor"/>
      </rPr>
      <t xml:space="preserve"> usually obtained as sum of:
</t>
    </r>
    <r>
      <rPr>
        <i/>
        <sz val="11"/>
        <color theme="1"/>
        <rFont val="Calibri"/>
        <family val="2"/>
        <scheme val="minor"/>
      </rPr>
      <t>Royalty:</t>
    </r>
    <r>
      <rPr>
        <sz val="11"/>
        <color theme="1"/>
        <rFont val="Calibri"/>
        <family val="2"/>
        <scheme val="minor"/>
      </rPr>
      <t xml:space="preserve"> based on Government Regulation 9/2012 the royalty for geothermal development is 2.5% from gross income
</t>
    </r>
    <r>
      <rPr>
        <i/>
        <sz val="11"/>
        <color theme="1"/>
        <rFont val="Calibri"/>
        <family val="2"/>
        <scheme val="minor"/>
      </rPr>
      <t>PBB- Subsurface</t>
    </r>
    <r>
      <rPr>
        <sz val="11"/>
        <color theme="1"/>
        <rFont val="Calibri"/>
        <family val="2"/>
        <scheme val="minor"/>
      </rPr>
      <t xml:space="preserve">: based on Tax Regulation PER-45/PJ/2013 about the Property Tax for geothermal development. The calculation is different for each geothermal area
</t>
    </r>
    <r>
      <rPr>
        <i/>
        <sz val="11"/>
        <color theme="1"/>
        <rFont val="Calibri"/>
        <family val="2"/>
        <scheme val="minor"/>
      </rPr>
      <t>Production Bonus</t>
    </r>
    <r>
      <rPr>
        <sz val="11"/>
        <color theme="1"/>
        <rFont val="Calibri"/>
        <family val="2"/>
        <scheme val="minor"/>
      </rPr>
      <t xml:space="preserve">: based on Government Regulation 28/2016 is 0.5% from gross income
</t>
    </r>
    <r>
      <rPr>
        <sz val="11"/>
        <color theme="1"/>
        <rFont val="Calibri"/>
        <family val="2"/>
        <scheme val="minor"/>
      </rPr>
      <t xml:space="preserve">
The </t>
    </r>
    <r>
      <rPr>
        <i/>
        <sz val="11"/>
        <color theme="1"/>
        <rFont val="Calibri"/>
        <family val="2"/>
        <scheme val="minor"/>
      </rPr>
      <t>Exploration/Exploitation fee</t>
    </r>
    <r>
      <rPr>
        <sz val="11"/>
        <color theme="1"/>
        <rFont val="Calibri"/>
        <family val="2"/>
        <scheme val="minor"/>
      </rPr>
      <t xml:space="preserve"> is a fee for geothermal exploitation as stated in Government Regulation 9/2012. The amount of exploration fee is USD 2 per ha/year, and for exploitation/production fee is USD 4 per ha/year. </t>
    </r>
  </si>
  <si>
    <r>
      <t xml:space="preserve">Add </t>
    </r>
    <r>
      <rPr>
        <i/>
        <sz val="11"/>
        <color theme="1"/>
        <rFont val="Calibri"/>
        <family val="2"/>
        <scheme val="minor"/>
      </rPr>
      <t>contract period/license period</t>
    </r>
    <r>
      <rPr>
        <sz val="11"/>
        <color theme="1"/>
        <rFont val="Calibri"/>
        <family val="2"/>
        <scheme val="minor"/>
      </rPr>
      <t xml:space="preserve"> as end-of-production criterion: COD+CP=C/I+Liabilitytransfer. Add C/I reason in Cashflow!: "End of license".</t>
    </r>
  </si>
  <si>
    <t>Mention in Intro! That daily/weekly/seasonal swing  + impact on capacity design is not included, as the time-reslution is only 1 year. If the plan does not produce flat-out but has to adapt production to variable demand, then the peak-capacity should determine the capex, not the year-avereage capacity.</t>
  </si>
  <si>
    <t xml:space="preserve">Stress in Intro! that XL model does NOT include low-enthalpy heat-sales, i.e. Geothermal Energy Product is electricity only. </t>
  </si>
  <si>
    <t>Typos in comment PD!H14</t>
  </si>
  <si>
    <t>KPI!D26: mention in cell nr of active producers and injectors</t>
  </si>
  <si>
    <t>Volumetrics!C25: clear CB Forecast</t>
  </si>
  <si>
    <t>Logan - compare thermodynamics with Robert's excel tool if MW is too high</t>
  </si>
  <si>
    <t xml:space="preserve">In future VFP work, add chart + explain objectives of case study in Intro!, i.e. Improve :
• IPR, by stimulating wells (acidizing / fracking, i.e. skin removal/reduction)
• VFP: by selecting right tbg size, right artificial lift, by removing/preventing scale (ID reduction, roughness increase). 
• Economically optimize W/O frequency of producer &amp; injector, given skin build-up model. 
</t>
  </si>
  <si>
    <t xml:space="preserve">Mention in Intro! That the tool has not yet been fully verified. E.g. MWe/well too high: needs to be resolved. </t>
  </si>
  <si>
    <r>
      <t xml:space="preserve">Check: </t>
    </r>
    <r>
      <rPr>
        <strike/>
        <sz val="11"/>
        <color rgb="FFFF0000"/>
        <rFont val="Calibri"/>
        <family val="2"/>
        <scheme val="minor"/>
      </rPr>
      <t xml:space="preserve">variable opex (wells) </t>
    </r>
    <r>
      <rPr>
        <strike/>
        <sz val="11"/>
        <color theme="1"/>
        <rFont val="Calibri"/>
        <family val="2"/>
        <scheme val="minor"/>
      </rPr>
      <t xml:space="preserve">consists of </t>
    </r>
    <r>
      <rPr>
        <strike/>
        <sz val="11"/>
        <color rgb="FFFF0000"/>
        <rFont val="Calibri"/>
        <family val="2"/>
        <scheme val="minor"/>
      </rPr>
      <t xml:space="preserve">varopex/well + WO for all completed (successful) wells, i.e prod+inj, starting in yr of drilling/completing well. </t>
    </r>
    <r>
      <rPr>
        <strike/>
        <sz val="11"/>
        <color theme="1"/>
        <rFont val="Calibri"/>
        <family val="2"/>
        <scheme val="minor"/>
      </rPr>
      <t xml:space="preserve"> </t>
    </r>
  </si>
  <si>
    <t>KPI!A2: change format of average flow rate into 0 decimals.</t>
  </si>
  <si>
    <t>PD!P23 comment, add: If you select "Fixed", then one specific realization of the RNG will be used, resulting in the following wells being failures (sequence number): 1-3-9-13-16-19-24-26-32-35-42-45-46-50-etc. (i.e. 14 out of 50 = 28% failures)</t>
  </si>
  <si>
    <t>PD!P23 comment: also mention F9 key (calculate) + suggest to open Fig Rig and press F9 key after setting RNG=variable</t>
  </si>
  <si>
    <t xml:space="preserve">See Fig rig: why no W/O on the two injectors? </t>
  </si>
  <si>
    <t>CHANGED - it was only using wells just drilled and not reused</t>
  </si>
  <si>
    <t>Later: Do in conjunction with extending number of years to time series</t>
  </si>
  <si>
    <r>
      <rPr>
        <strike/>
        <sz val="11"/>
        <color rgb="FFFF0000"/>
        <rFont val="Calibri"/>
        <family val="2"/>
        <scheme val="minor"/>
      </rPr>
      <t xml:space="preserve">Discussed with Logan on 10 Aug17, see row 113 above </t>
    </r>
    <r>
      <rPr>
        <strike/>
        <sz val="11"/>
        <color theme="1"/>
        <rFont val="Calibri"/>
        <family val="2"/>
        <scheme val="minor"/>
      </rPr>
      <t>: change T decline units in per million m3; check why sometimes calc error @ B17 = UTC;  ditto B16 = PV Capex / MWe; check why sometimes calc error @ nr of platforms; check whether all constraints work properly; check why well capacities MW/well too high: where in chain wrong code?; wrong sudden drop in T after bt; + more</t>
    </r>
  </si>
  <si>
    <t>(Exploration + Appraisal + Production development wells)</t>
  </si>
  <si>
    <t>Value ignored as per selected calc. method</t>
  </si>
  <si>
    <t>Nr yrs from end of prod to abd (monitoring period)</t>
  </si>
  <si>
    <r>
      <rPr>
        <b/>
        <sz val="10"/>
        <rFont val="Arial"/>
        <family val="2"/>
      </rPr>
      <t>Wells</t>
    </r>
    <r>
      <rPr>
        <sz val="10"/>
        <rFont val="Arial"/>
        <family val="2"/>
      </rPr>
      <t xml:space="preserve"> with individual, heterogeneous properties and separate field-sectors (e.g. fault-blocks) cannot be modelled. All wells are assumed to be identical, and the reservoir is just one body with a constant reservoir-boundary pressure that does not deplete in time. For input variables that are heterogeneous in space and/or changing in time, it is assumed that they can be adequately represented by field-wide average values. This assumption is a coarse simplification and should in principle be verified by calibration to more detailed models. But as a first approximation it may well be a valid assumption. The user inputs the scheme for all the exploration, appraisal, and development/production wells. As typically a fraction of the geothermal wells fail and a learning rate applies in most fields, the model allows a learning function to be specified, resulting in some wells to fail (ie not to be completed and hooked up), however with a decreasing probability as more wells are drilled in the field. For exploration and appraisal wells, 'failure' means that these wells cannot be completed as producers. However, they may be completed as injector if the user selects this option. A failed development (production) well will always be plugged and abandoned. The user specifies a producer/injector ratio, and the model will automatically include and capitalize (and depreciate etc.) the matching number of injectors. These matching injectors are assumed to be always successful. </t>
    </r>
  </si>
  <si>
    <r>
      <t>TWh</t>
    </r>
    <r>
      <rPr>
        <vertAlign val="subscript"/>
        <sz val="10"/>
        <color theme="1"/>
        <rFont val="Arial"/>
        <family val="2"/>
      </rPr>
      <t>e</t>
    </r>
  </si>
  <si>
    <r>
      <t>In KPI!C5 Change TWh to TWh</t>
    </r>
    <r>
      <rPr>
        <strike/>
        <vertAlign val="subscript"/>
        <sz val="11"/>
        <color theme="1"/>
        <rFont val="Calibri"/>
        <family val="2"/>
        <scheme val="minor"/>
      </rPr>
      <t>e</t>
    </r>
    <r>
      <rPr>
        <strike/>
        <sz val="11"/>
        <color theme="1"/>
        <rFont val="Calibri"/>
        <family val="2"/>
        <scheme val="minor"/>
      </rPr>
      <t>, and add in D5 the equivalent Joule (PJ): 1 TWh = 10^12 x 3600 = 3.6PJ, or in EJ = 1000PJ</t>
    </r>
  </si>
  <si>
    <t>Portfolio Index</t>
  </si>
  <si>
    <t>2017Q1</t>
  </si>
  <si>
    <t>UCCI</t>
  </si>
  <si>
    <t>UOCI</t>
  </si>
  <si>
    <t>DCCI</t>
  </si>
  <si>
    <t>NAPCCI</t>
  </si>
  <si>
    <t>NAPCCI without nuclear</t>
  </si>
  <si>
    <t>EPCCI</t>
  </si>
  <si>
    <t>EPCCI without nuclear</t>
  </si>
  <si>
    <r>
      <t xml:space="preserve">Year-averaged indices </t>
    </r>
    <r>
      <rPr>
        <i/>
        <sz val="12"/>
        <rFont val="Arial"/>
        <family val="2"/>
      </rPr>
      <t>(ref. https://www.ihs.com/info/cera/ihsindexes/index.html)</t>
    </r>
  </si>
  <si>
    <r>
      <t>CAPEX</t>
    </r>
    <r>
      <rPr>
        <sz val="10"/>
        <color rgb="FFFF0000"/>
        <rFont val="Arial"/>
        <family val="2"/>
      </rPr>
      <t xml:space="preserve"> (read comment!)</t>
    </r>
  </si>
  <si>
    <r>
      <t xml:space="preserve">For Well Cost Suggestion! Add UCCI index in </t>
    </r>
    <r>
      <rPr>
        <i/>
        <strike/>
        <sz val="11"/>
        <color theme="1"/>
        <rFont val="Calibri"/>
        <family val="2"/>
        <scheme val="minor"/>
      </rPr>
      <t xml:space="preserve">Sources and Refs </t>
    </r>
    <r>
      <rPr>
        <strike/>
        <sz val="11"/>
        <color theme="1"/>
        <rFont val="Calibri"/>
        <family val="2"/>
        <scheme val="minor"/>
      </rPr>
      <t xml:space="preserve">tab to convert cost to ref yr $. Check what ref yr is used for DOE calculation. (change also name of variable in PD!S24, "Example values for well cost:" to become "Example values for well cost (indexed to specified ref yr):"), and add some comments on UCCI. Add comments at all cells where costs need to be filled in + refer to indices to express all costs in same ref yr. </t>
    </r>
  </si>
  <si>
    <r>
      <t xml:space="preserve">KPI!D10: NPV without tax, royalty, special transactions to Govt. Change </t>
    </r>
    <r>
      <rPr>
        <i/>
        <strike/>
        <sz val="11"/>
        <color theme="1"/>
        <rFont val="Calibri"/>
        <family val="2"/>
        <scheme val="minor"/>
      </rPr>
      <t>without</t>
    </r>
    <r>
      <rPr>
        <strike/>
        <sz val="11"/>
        <color theme="1"/>
        <rFont val="Calibri"/>
        <family val="2"/>
        <scheme val="minor"/>
      </rPr>
      <t xml:space="preserve"> into </t>
    </r>
    <r>
      <rPr>
        <i/>
        <strike/>
        <sz val="11"/>
        <color theme="1"/>
        <rFont val="Calibri"/>
        <family val="2"/>
        <scheme val="minor"/>
      </rPr>
      <t>before</t>
    </r>
    <r>
      <rPr>
        <strike/>
        <sz val="11"/>
        <color theme="1"/>
        <rFont val="Calibri"/>
        <family val="2"/>
        <scheme val="minor"/>
      </rPr>
      <t xml:space="preserve"> </t>
    </r>
  </si>
  <si>
    <t xml:space="preserve">NPV before tax, royalty, special transactions to Govt. </t>
  </si>
  <si>
    <r>
      <t xml:space="preserve">All yearly average </t>
    </r>
    <r>
      <rPr>
        <b/>
        <sz val="10"/>
        <rFont val="Arial"/>
        <family val="2"/>
      </rPr>
      <t>production</t>
    </r>
    <r>
      <rPr>
        <sz val="10"/>
        <rFont val="Arial"/>
        <family val="2"/>
      </rPr>
      <t xml:space="preserve"> is corrected for a given load time (uptime) factor, or for the given number of running hours per year. Total field production is the sum of all individual well production rates, unless constrained by surface facilities or by the total injection rate. The number of production wells determined by the user to be drilled each year is then used to calculate the yearly drilling expenditure (drillex) and, hence, depreciation, tax and NCF. The user can supply a producer to injector ratio. When specifying / computing a new production well, the corresponding number of inectors will be automatically and accrued to the drillex, and later to the well-opex (e.g. for the number of workovers to be done). The skin value is the same for every well drilled in the same year (which increases yearly until a workover), while wells drilled in later years will have their own skin value (which also changes yearly).</t>
    </r>
  </si>
  <si>
    <r>
      <t xml:space="preserve">This version does not yet allow detailed calculations of the </t>
    </r>
    <r>
      <rPr>
        <b/>
        <sz val="10"/>
        <rFont val="Arial"/>
        <family val="2"/>
      </rPr>
      <t>CO2 footprint</t>
    </r>
    <r>
      <rPr>
        <sz val="10"/>
        <rFont val="Arial"/>
        <family val="2"/>
      </rPr>
      <t xml:space="preserve">. A rough estimate can be computed for the amount of CO2 abated by the geothermal project, based on a user-specified average grid-mix.  
</t>
    </r>
  </si>
  <si>
    <r>
      <rPr>
        <b/>
        <sz val="10"/>
        <rFont val="Arial"/>
        <family val="2"/>
      </rPr>
      <t>Surface facilities</t>
    </r>
    <r>
      <rPr>
        <sz val="10"/>
        <rFont val="Arial"/>
        <family val="2"/>
      </rPr>
      <t xml:space="preserve"> are implicitly modelled by allowing for a range of capex entries and by enabling alternative calculation methods to compute the conversion</t>
    </r>
    <r>
      <rPr>
        <b/>
        <sz val="10"/>
        <rFont val="Arial"/>
        <family val="2"/>
      </rPr>
      <t xml:space="preserve"> </t>
    </r>
    <r>
      <rPr>
        <sz val="10"/>
        <rFont val="Arial"/>
        <family val="2"/>
      </rPr>
      <t xml:space="preserve">of the field's mass/heat production to electrical power. This version therefore does not allow for a detailed breakdown of the computed performance (physics, cash) per facility item. What is enabled is a maximum flow rate through the facility, as well as number of hours in use before the turbine must be replaced. No downtime is associated with replacing a turbine, but its cost is included in the capex. Thermodynamic calculations and steam tables are then used to translate the mass flow rate (at a certain temperature) into electrical power. At first, the inlet temperature and pressure to the surface facilities determine how many flash chambers are required in the facility. If the temperature of the geofluid drops (due to water breakthrough) enough so that no steam is present at the wellhead, then a flash chamber is added (currently adding no extra costs, but affecting the thermodynamics). This pressure is the value used to determine the enthalpy of the vapor going into the turbine. The outlet enthalpy (leaving the turbine) is calculated from the vapor quality and the enthalpies of both the vapor and liquid leaving the turbine at the user-defined outlet pressure. From the inlet and outlet enthalpies, the </t>
    </r>
    <r>
      <rPr>
        <b/>
        <sz val="10"/>
        <rFont val="Arial"/>
        <family val="2"/>
      </rPr>
      <t>electrical power generated</t>
    </r>
    <r>
      <rPr>
        <sz val="10"/>
        <rFont val="Arial"/>
        <family val="2"/>
      </rPr>
      <t xml:space="preserve"> is calculated for the entire field. 
</t>
    </r>
  </si>
  <si>
    <r>
      <t xml:space="preserve">As the model's </t>
    </r>
    <r>
      <rPr>
        <b/>
        <sz val="10"/>
        <rFont val="Arial"/>
        <family val="2"/>
      </rPr>
      <t>time-resolution is only one year</t>
    </r>
    <r>
      <rPr>
        <sz val="10"/>
        <rFont val="Arial"/>
        <family val="2"/>
      </rPr>
      <t xml:space="preserve">, daily/weekly/seasonal swing  and their impact on capacity design is not accounted for. This implies that if the field's development plan foresees a variable production to adapt production to the variable demand, the peak-capacity should determine the capex, not the year-average capacity. 
</t>
    </r>
  </si>
  <si>
    <r>
      <t xml:space="preserve">Many of the remaining aspects of the model are calculated within a </t>
    </r>
    <r>
      <rPr>
        <b/>
        <sz val="10"/>
        <rFont val="Arial"/>
        <family val="2"/>
      </rPr>
      <t>time series.</t>
    </r>
    <r>
      <rPr>
        <sz val="10"/>
        <rFont val="Arial"/>
        <family val="2"/>
      </rPr>
      <t xml:space="preserve"> Thus, when each calculation is discussed below, it is most likely replicated for each year of the time series. Keep in mind that this is the smallest time step for this model, so variations throughout the year are not visible. To avoid requiring iterations within XL, as well as possible circular references, the time series calculations may use values from the previous year. 
</t>
    </r>
  </si>
  <si>
    <r>
      <rPr>
        <b/>
        <sz val="10"/>
        <rFont val="Arial"/>
        <family val="2"/>
      </rPr>
      <t>Purpose of the model</t>
    </r>
    <r>
      <rPr>
        <sz val="10"/>
        <rFont val="Arial"/>
        <family val="2"/>
      </rPr>
      <t>: The model</t>
    </r>
    <r>
      <rPr>
        <sz val="10"/>
        <color theme="1"/>
        <rFont val="Arial"/>
        <family val="2"/>
      </rPr>
      <t xml:space="preserve"> is a </t>
    </r>
    <r>
      <rPr>
        <i/>
        <sz val="10"/>
        <color theme="1"/>
        <rFont val="Arial"/>
        <family val="2"/>
      </rPr>
      <t>full-field,</t>
    </r>
    <r>
      <rPr>
        <sz val="10"/>
        <color theme="1"/>
        <rFont val="Arial"/>
        <family val="2"/>
      </rPr>
      <t xml:space="preserve"> Technical-to-Business model consisting of coupled volumetric (Heat-In-Place), production, and cashflow parts. Output consists of a range of Key Performance Indicators (KPIs) and of various graphs of time-series etc. When combined with a MonteCarlo engine such as Crystal Ball or @Risk, the XL-model can compute stochastic time-series and histograms of KPIs. A particularly useful feature is the sensitivity analysis that can be done using MonteCarlo sampling. The model is targeted at high enthaply geothermal assets (projects) that are relatively immature, i.e. assets with relatively large uncertainties for the non-controllable variables, and with a wide range of possible project definitions (controllable variables). Typically, such geothermal fields, or geothermal development projects, would be in the "pre-feasibility" or "concept selection" phase. Results from studies done with this XL model may be used to narrow down (i.e. further frame) the possible project definitions to be elaborated in subsequent steps (feasibility study, concept selection, FEED). In such further studies, more detailed models would be typically used. The model does not include low-enthalpy heat-sales, i.e. the Geothermal Energy Product is electricity only.  
</t>
    </r>
  </si>
  <si>
    <r>
      <t xml:space="preserve">The model consists of a volumetric part, which computes the </t>
    </r>
    <r>
      <rPr>
        <b/>
        <sz val="10"/>
        <rFont val="Arial"/>
        <family val="2"/>
      </rPr>
      <t>Heat-In-Place</t>
    </r>
    <r>
      <rPr>
        <sz val="10"/>
        <rFont val="Arial"/>
        <family val="2"/>
      </rPr>
      <t xml:space="preserve"> and the theoretically maximum possible electrical power capacity from this Heat-In-Place, based on a given economic life-time and some empirical correlations, based on Sarmiento and Steingrímsson (2007). This can be found as the "Power potential" on the KPI worksheet. 
</t>
    </r>
  </si>
  <si>
    <r>
      <t xml:space="preserve">The main part of the model is more physics-based, based on well-planning and reservoir input from the user as well as physical equations to calculate the </t>
    </r>
    <r>
      <rPr>
        <b/>
        <sz val="10"/>
        <rFont val="Arial"/>
        <family val="2"/>
      </rPr>
      <t>mass flow</t>
    </r>
    <r>
      <rPr>
        <sz val="10"/>
        <rFont val="Arial"/>
        <family val="2"/>
      </rPr>
      <t xml:space="preserve"> of the geofluid. Broadly speaking, these physical equations depict the production of the geofluid, electricity generation from steam, and injection of the geofluid back into the reservoir. The (volcanic) reservoir is assumed to be non-depletable over the asset's life-cycle, in terms of fluid/mass-in-place but </t>
    </r>
    <r>
      <rPr>
        <u/>
        <sz val="10"/>
        <rFont val="Arial"/>
        <family val="2"/>
      </rPr>
      <t>not</t>
    </r>
    <r>
      <rPr>
        <sz val="10"/>
        <rFont val="Arial"/>
        <family val="2"/>
      </rPr>
      <t xml:space="preserve"> in terms of heat-in-place. Produced fluid is assumed to be replenished by injected fluid and/or natural water influx (meteoric water, other groundwater),  Also, it is assumed that in practical terms Heat-In-Place and mass/heat production is hardly influenced by whether the reservoir fluids consist of steam+water, or just water. Existing studies argue that this difference can be assumed to be negligible. Based on the </t>
    </r>
    <r>
      <rPr>
        <b/>
        <sz val="10"/>
        <rFont val="Arial"/>
        <family val="2"/>
      </rPr>
      <t>steady-state well inflow equation</t>
    </r>
    <r>
      <rPr>
        <sz val="10"/>
        <rFont val="Arial"/>
        <family val="2"/>
      </rPr>
      <t xml:space="preserve">, the model then computes the mass production and the mass injection per well and per field. The user specifies the maximum flow through the surface facilities, and this value is compared to the mass production and mass injection per field, with the minimum value out of these three determining the flow through the entire system (as the limiting factor). The steady-state inflow equation corrects the drainage area per well for the number of (initial and incremental) wells. The given (initial) skin-factor per well influences the well's productivity. A user-defined skin build-up rate (factor/year) results in the well's productivity to decline over the years, until a skin-removal </t>
    </r>
    <r>
      <rPr>
        <b/>
        <sz val="10"/>
        <rFont val="Arial"/>
        <family val="2"/>
      </rPr>
      <t>workover</t>
    </r>
    <r>
      <rPr>
        <sz val="10"/>
        <rFont val="Arial"/>
        <family val="2"/>
      </rPr>
      <t xml:space="preserve"> is scheduled and the skin factor is re-set at the original value. The user can supply the workover frequency. The workover opex will be accrued to the cash-out cashflow. The skin variables function in the same manner for the injection wells. 
</t>
    </r>
  </si>
  <si>
    <r>
      <t xml:space="preserve">In this model, it is assumed that the geothermal wells are </t>
    </r>
    <r>
      <rPr>
        <b/>
        <sz val="10"/>
        <rFont val="Arial"/>
        <family val="2"/>
      </rPr>
      <t>self-flowing</t>
    </r>
    <r>
      <rPr>
        <sz val="10"/>
        <rFont val="Arial"/>
        <family val="2"/>
      </rPr>
      <t xml:space="preserve">. Thus, lifting costs are not included for production wells. However, in order to reinject the fluid back into the reservoir, it is assumed that each injector has a pump attached to it. The electricity required for the pumps is assumed to be the same for all pumps and independent of the mass flow, and it is deducted from the total electrical power production to compute </t>
    </r>
    <r>
      <rPr>
        <b/>
        <sz val="10"/>
        <rFont val="Arial"/>
        <family val="2"/>
      </rPr>
      <t>electricity sales</t>
    </r>
    <r>
      <rPr>
        <sz val="10"/>
        <rFont val="Arial"/>
        <family val="2"/>
      </rPr>
      <t xml:space="preserve">. 
</t>
    </r>
  </si>
  <si>
    <r>
      <rPr>
        <b/>
        <sz val="10"/>
        <rFont val="Arial"/>
        <family val="2"/>
      </rPr>
      <t>Capex</t>
    </r>
    <r>
      <rPr>
        <sz val="10"/>
        <rFont val="Arial"/>
        <family val="2"/>
      </rPr>
      <t xml:space="preserve"> can be specified per project phase, ie. exploration, appraisal, early development and incremental development. Capex uncertainty can be specified using a capex-multiplier. Similarly, the </t>
    </r>
    <r>
      <rPr>
        <b/>
        <sz val="10"/>
        <rFont val="Arial"/>
        <family val="2"/>
      </rPr>
      <t>drillex</t>
    </r>
    <r>
      <rPr>
        <sz val="10"/>
        <rFont val="Arial"/>
        <family val="2"/>
      </rPr>
      <t xml:space="preserve"> uncertainty is specified by the user for each type of well, described as the drilling and completion cost per well on the Project-definition worksheet. These are all user-specified, and it is important that there is no cash-in items before the first year of production. If there is a positive net cash flow before the first year of production, then it will not be possible to calculate the IRR listed on the KPI worksheet. 
</t>
    </r>
  </si>
  <si>
    <r>
      <t xml:space="preserve">The </t>
    </r>
    <r>
      <rPr>
        <b/>
        <sz val="10"/>
        <rFont val="Arial"/>
        <family val="2"/>
      </rPr>
      <t>fixed opex</t>
    </r>
    <r>
      <rPr>
        <sz val="10"/>
        <color theme="1"/>
        <rFont val="Arial"/>
        <family val="2"/>
      </rPr>
      <t xml:space="preserve"> and O&amp;M costs are input by the user as a time-series. Based on the user-specified input, the </t>
    </r>
    <r>
      <rPr>
        <b/>
        <sz val="10"/>
        <rFont val="Arial"/>
        <family val="2"/>
      </rPr>
      <t>variable opex</t>
    </r>
    <r>
      <rPr>
        <sz val="10"/>
        <color theme="1"/>
        <rFont val="Arial"/>
        <family val="2"/>
      </rPr>
      <t xml:space="preserve"> is automatically calculated for the following components: </t>
    </r>
    <r>
      <rPr>
        <b/>
        <sz val="10"/>
        <rFont val="Arial"/>
        <family val="2"/>
      </rPr>
      <t>water opex</t>
    </r>
    <r>
      <rPr>
        <sz val="10"/>
        <color theme="1"/>
        <rFont val="Arial"/>
        <family val="2"/>
      </rPr>
      <t xml:space="preserve"> (function of water rate); </t>
    </r>
    <r>
      <rPr>
        <b/>
        <sz val="10"/>
        <rFont val="Arial"/>
        <family val="2"/>
      </rPr>
      <t>well opex</t>
    </r>
    <r>
      <rPr>
        <sz val="10"/>
        <color theme="1"/>
        <rFont val="Arial"/>
        <family val="2"/>
      </rPr>
      <t xml:space="preserve"> (function of total number of production + injection wells in operation); and </t>
    </r>
    <r>
      <rPr>
        <b/>
        <sz val="10"/>
        <rFont val="Arial"/>
        <family val="2"/>
      </rPr>
      <t>well workovers</t>
    </r>
    <r>
      <rPr>
        <sz val="10"/>
        <color theme="1"/>
        <rFont val="Arial"/>
        <family val="2"/>
      </rPr>
      <t xml:space="preserve"> (function of cost per workover and workover frequency per well).  
</t>
    </r>
  </si>
  <si>
    <r>
      <t>Model output</t>
    </r>
    <r>
      <rPr>
        <b/>
        <sz val="10"/>
        <rFont val="Arial"/>
        <family val="2"/>
      </rPr>
      <t xml:space="preserve"> </t>
    </r>
    <r>
      <rPr>
        <sz val="10"/>
        <rFont val="Arial"/>
        <family val="2"/>
      </rPr>
      <t xml:space="preserve">can be inspected as </t>
    </r>
    <r>
      <rPr>
        <b/>
        <sz val="10"/>
        <rFont val="Arial"/>
        <family val="2"/>
      </rPr>
      <t xml:space="preserve">KPIs </t>
    </r>
    <r>
      <rPr>
        <sz val="10"/>
        <rFont val="Arial"/>
        <family val="2"/>
      </rPr>
      <t>and</t>
    </r>
    <r>
      <rPr>
        <b/>
        <sz val="10"/>
        <rFont val="Arial"/>
        <family val="2"/>
      </rPr>
      <t xml:space="preserve"> performance graphs</t>
    </r>
    <r>
      <rPr>
        <sz val="10"/>
        <rFont val="Arial"/>
        <family val="2"/>
      </rPr>
      <t xml:space="preserve"> in the pertinent worksheets. When linked to a MonteCarlo engine, </t>
    </r>
    <r>
      <rPr>
        <b/>
        <sz val="10"/>
        <rFont val="Arial"/>
        <family val="2"/>
      </rPr>
      <t xml:space="preserve">probabilistic time-series </t>
    </r>
    <r>
      <rPr>
        <sz val="10"/>
        <rFont val="Arial"/>
        <family val="2"/>
      </rPr>
      <t>and</t>
    </r>
    <r>
      <rPr>
        <b/>
        <sz val="10"/>
        <rFont val="Arial"/>
        <family val="2"/>
      </rPr>
      <t xml:space="preserve"> KPI-histograms</t>
    </r>
    <r>
      <rPr>
        <sz val="10"/>
        <rFont val="Arial"/>
        <family val="2"/>
      </rPr>
      <t xml:space="preserve"> can also be inspected. Probabilistic </t>
    </r>
    <r>
      <rPr>
        <b/>
        <sz val="10"/>
        <rFont val="Arial"/>
        <family val="2"/>
      </rPr>
      <t>sensitivity analysis</t>
    </r>
    <r>
      <rPr>
        <sz val="10"/>
        <rFont val="Arial"/>
        <family val="2"/>
      </rPr>
      <t xml:space="preserve"> can then be performed. The sales-tariff to Indonesian state monopolist PLN (the Indonesian State Electricity Company) can for example be computed and matched to an IRR hurdle rate.   
</t>
    </r>
  </si>
  <si>
    <r>
      <t xml:space="preserve">If you have Crystal Ball installed, </t>
    </r>
    <r>
      <rPr>
        <b/>
        <sz val="10"/>
        <rFont val="Arial"/>
        <family val="2"/>
      </rPr>
      <t>try out the default case</t>
    </r>
    <r>
      <rPr>
        <sz val="10"/>
        <color theme="1"/>
        <rFont val="Arial"/>
        <family val="2"/>
      </rPr>
      <t xml:space="preserve"> of this spreadsheet. Go to the KPIs-worksheet and click on the "Single stepping" CB-icon in the toolbar. To give you a further flavour, inspect the results in the various "fig" worksheets while "single stepping".  
</t>
    </r>
  </si>
  <si>
    <t>If the file becomes slow (because of iterating each time you enter a new value), do Tools-Options-Calculation-check the "Calculation Manual" box.</t>
  </si>
  <si>
    <r>
      <t xml:space="preserve">Open the </t>
    </r>
    <r>
      <rPr>
        <b/>
        <sz val="10"/>
        <rFont val="Arial"/>
        <family val="2"/>
      </rPr>
      <t>"Project-definition" worksheet</t>
    </r>
    <r>
      <rPr>
        <i/>
        <sz val="10"/>
        <color indexed="10"/>
        <rFont val="Arial"/>
        <family val="2"/>
      </rPr>
      <t xml:space="preserve"> </t>
    </r>
    <r>
      <rPr>
        <i/>
        <sz val="10"/>
        <color indexed="12"/>
        <rFont val="Arial"/>
        <family val="2"/>
      </rPr>
      <t>(input cells)</t>
    </r>
    <r>
      <rPr>
        <sz val="10"/>
        <color indexed="12"/>
        <rFont val="Arial"/>
        <family val="2"/>
      </rPr>
      <t xml:space="preserve"> </t>
    </r>
    <r>
      <rPr>
        <sz val="10"/>
        <color theme="1"/>
        <rFont val="Arial"/>
        <family val="2"/>
      </rPr>
      <t xml:space="preserve">by clicking on the tab at the bottom of this page. </t>
    </r>
    <r>
      <rPr>
        <b/>
        <sz val="10"/>
        <color indexed="12"/>
        <rFont val="Arial"/>
        <family val="2"/>
      </rPr>
      <t>This worksheet contains the main input parameters</t>
    </r>
    <r>
      <rPr>
        <sz val="10"/>
        <color theme="1"/>
        <rFont val="Arial"/>
        <family val="2"/>
      </rPr>
      <t xml:space="preserve">. Note the colour legend for the various types of input parameters. Note the cells with a red triangle in the top right corner: read these </t>
    </r>
    <r>
      <rPr>
        <sz val="10"/>
        <color rgb="FFFF0000"/>
        <rFont val="Arial"/>
        <family val="2"/>
      </rPr>
      <t>comments</t>
    </r>
    <r>
      <rPr>
        <sz val="10"/>
        <color theme="1"/>
        <rFont val="Arial"/>
        <family val="2"/>
      </rPr>
      <t xml:space="preserve"> first. Click on the Worksheet tabs at the bottom to inspect the appropriate figures, KPIs etc. Depending on the user input, an </t>
    </r>
    <r>
      <rPr>
        <b/>
        <sz val="10"/>
        <color rgb="FFFF0000"/>
        <rFont val="Arial"/>
        <family val="2"/>
      </rPr>
      <t>error message</t>
    </r>
    <r>
      <rPr>
        <sz val="10"/>
        <color theme="1"/>
        <rFont val="Arial"/>
        <family val="2"/>
      </rPr>
      <t xml:space="preserve"> may appear with a brief message about the incorrect input. More information might be provided in the comment for the specific input. These should be corrected before further using the model. 
</t>
    </r>
  </si>
  <si>
    <r>
      <t xml:space="preserve">Open the </t>
    </r>
    <r>
      <rPr>
        <b/>
        <sz val="10"/>
        <rFont val="Arial"/>
        <family val="2"/>
      </rPr>
      <t xml:space="preserve">"Calculated variables" worksheet </t>
    </r>
    <r>
      <rPr>
        <i/>
        <sz val="10"/>
        <color indexed="12"/>
        <rFont val="Arial"/>
        <family val="2"/>
      </rPr>
      <t>(output cells)</t>
    </r>
    <r>
      <rPr>
        <sz val="10"/>
        <color indexed="12"/>
        <rFont val="Arial"/>
        <family val="2"/>
      </rPr>
      <t xml:space="preserve"> </t>
    </r>
    <r>
      <rPr>
        <sz val="10"/>
        <color theme="1"/>
        <rFont val="Arial"/>
        <family val="2"/>
      </rPr>
      <t xml:space="preserve">by clicking on the tab at the bottom of this page. This worksheet gives an overview of various output variables. </t>
    </r>
  </si>
  <si>
    <r>
      <t xml:space="preserve">Open the </t>
    </r>
    <r>
      <rPr>
        <b/>
        <sz val="10"/>
        <rFont val="Arial"/>
        <family val="2"/>
      </rPr>
      <t xml:space="preserve">"Well success" worksheet </t>
    </r>
    <r>
      <rPr>
        <i/>
        <sz val="10"/>
        <color indexed="12"/>
        <rFont val="Arial"/>
        <family val="2"/>
      </rPr>
      <t>(output cells)</t>
    </r>
    <r>
      <rPr>
        <sz val="10"/>
        <color indexed="12"/>
        <rFont val="Arial"/>
        <family val="2"/>
      </rPr>
      <t xml:space="preserve"> </t>
    </r>
    <r>
      <rPr>
        <sz val="10"/>
        <color theme="1"/>
        <rFont val="Arial"/>
        <family val="2"/>
      </rPr>
      <t xml:space="preserve">by clicking on the tab at the bottom of this page. This worksheet shows you the success and failure of drilled exploration, appraisal and development wells. Wells that were attempted can either be a success or a failure, and this is based on the learning curve specified by the user, shown in the table at the right of the worksheet. 
</t>
    </r>
  </si>
  <si>
    <r>
      <t xml:space="preserve">If desired, open the </t>
    </r>
    <r>
      <rPr>
        <b/>
        <sz val="10"/>
        <rFont val="Arial"/>
        <family val="2"/>
      </rPr>
      <t>"Steam Tables" worksheet</t>
    </r>
    <r>
      <rPr>
        <i/>
        <sz val="10"/>
        <color indexed="12"/>
        <rFont val="Arial"/>
        <family val="2"/>
      </rPr>
      <t xml:space="preserve"> (output cells)</t>
    </r>
    <r>
      <rPr>
        <sz val="10"/>
        <rFont val="Arial"/>
        <family val="2"/>
      </rPr>
      <t xml:space="preserve"> by clicking on the tab at the bottom of this page. This worksheet shows you how the water density and water specific heat is calculated, based on the input variables from "Project-definition". This worksheet also shows you how the enthalpies for the geofluid throughout the system and the number of flash chambers are calculated. 
</t>
    </r>
  </si>
  <si>
    <r>
      <t xml:space="preserve">Open the </t>
    </r>
    <r>
      <rPr>
        <b/>
        <sz val="10"/>
        <rFont val="Arial"/>
        <family val="2"/>
      </rPr>
      <t>"Capex" worksheet</t>
    </r>
    <r>
      <rPr>
        <b/>
        <sz val="10"/>
        <color indexed="12"/>
        <rFont val="Arial"/>
        <family val="2"/>
      </rPr>
      <t xml:space="preserve"> </t>
    </r>
    <r>
      <rPr>
        <i/>
        <sz val="10"/>
        <color indexed="12"/>
        <rFont val="Arial"/>
        <family val="2"/>
      </rPr>
      <t>(output cells)</t>
    </r>
    <r>
      <rPr>
        <sz val="10"/>
        <rFont val="Arial"/>
        <family val="2"/>
      </rPr>
      <t xml:space="preserve"> by clicking on the tab at the bottom of this page. This worksheet shows you the different breakdowns of the Capex involved in the geothermal site. 
</t>
    </r>
  </si>
  <si>
    <r>
      <t xml:space="preserve">Open the </t>
    </r>
    <r>
      <rPr>
        <b/>
        <sz val="10"/>
        <rFont val="Arial"/>
        <family val="2"/>
      </rPr>
      <t>"CumCF" worksheet</t>
    </r>
    <r>
      <rPr>
        <b/>
        <sz val="10"/>
        <color indexed="12"/>
        <rFont val="Arial"/>
        <family val="2"/>
      </rPr>
      <t xml:space="preserve"> </t>
    </r>
    <r>
      <rPr>
        <i/>
        <sz val="10"/>
        <color indexed="12"/>
        <rFont val="Arial"/>
        <family val="2"/>
      </rPr>
      <t>(output cells)</t>
    </r>
    <r>
      <rPr>
        <sz val="10"/>
        <rFont val="Arial"/>
        <family val="2"/>
      </rPr>
      <t xml:space="preserve"> by clicking on the tab at the bottom of this page. This worksheet displays the undiscounted cashflow accumulated over the years.
</t>
    </r>
  </si>
  <si>
    <r>
      <t xml:space="preserve">Open the </t>
    </r>
    <r>
      <rPr>
        <b/>
        <sz val="10"/>
        <rFont val="Arial"/>
        <family val="2"/>
      </rPr>
      <t>"DCF" worksheet</t>
    </r>
    <r>
      <rPr>
        <b/>
        <sz val="10"/>
        <color indexed="12"/>
        <rFont val="Arial"/>
        <family val="2"/>
      </rPr>
      <t xml:space="preserve"> </t>
    </r>
    <r>
      <rPr>
        <i/>
        <sz val="10"/>
        <color indexed="12"/>
        <rFont val="Arial"/>
        <family val="2"/>
      </rPr>
      <t>(output cells)</t>
    </r>
    <r>
      <rPr>
        <sz val="10"/>
        <rFont val="Arial"/>
        <family val="2"/>
      </rPr>
      <t xml:space="preserve"> by clicking on the tab at the bottom of this page. This worksheet displays the discounted cashflow per year.
</t>
    </r>
  </si>
  <si>
    <r>
      <t xml:space="preserve">Open the </t>
    </r>
    <r>
      <rPr>
        <b/>
        <sz val="10"/>
        <rFont val="Arial"/>
        <family val="2"/>
      </rPr>
      <t>"CumDCF" worksheet</t>
    </r>
    <r>
      <rPr>
        <b/>
        <sz val="10"/>
        <color indexed="12"/>
        <rFont val="Arial"/>
        <family val="2"/>
      </rPr>
      <t xml:space="preserve"> </t>
    </r>
    <r>
      <rPr>
        <i/>
        <sz val="10"/>
        <color indexed="12"/>
        <rFont val="Arial"/>
        <family val="2"/>
      </rPr>
      <t>(output cells)</t>
    </r>
    <r>
      <rPr>
        <sz val="10"/>
        <rFont val="Arial"/>
        <family val="2"/>
      </rPr>
      <t xml:space="preserve"> by clicking on the tab at the bottom of this page. This worksheet displays the discounted cashflow accumulated over the years.
</t>
    </r>
  </si>
  <si>
    <r>
      <t xml:space="preserve">Open the </t>
    </r>
    <r>
      <rPr>
        <b/>
        <sz val="10"/>
        <rFont val="Arial"/>
        <family val="2"/>
      </rPr>
      <t xml:space="preserve">"Flow" worksheet </t>
    </r>
    <r>
      <rPr>
        <i/>
        <sz val="10"/>
        <color indexed="12"/>
        <rFont val="Arial"/>
        <family val="2"/>
      </rPr>
      <t>(output cells)</t>
    </r>
    <r>
      <rPr>
        <sz val="10"/>
        <color indexed="12"/>
        <rFont val="Arial"/>
        <family val="2"/>
      </rPr>
      <t xml:space="preserve"> </t>
    </r>
    <r>
      <rPr>
        <sz val="10"/>
        <color theme="1"/>
        <rFont val="Arial"/>
        <family val="2"/>
      </rPr>
      <t>by clicking on the tab at the bottom of this page. This worksheet displays how the flowrates are calculated.</t>
    </r>
  </si>
  <si>
    <r>
      <t xml:space="preserve">If desired, open the </t>
    </r>
    <r>
      <rPr>
        <b/>
        <sz val="10"/>
        <rFont val="Arial"/>
        <family val="2"/>
      </rPr>
      <t>"Volumetrics" worksheet</t>
    </r>
    <r>
      <rPr>
        <i/>
        <sz val="10"/>
        <color indexed="12"/>
        <rFont val="Arial"/>
        <family val="2"/>
      </rPr>
      <t xml:space="preserve"> (output cells)</t>
    </r>
    <r>
      <rPr>
        <sz val="10"/>
        <rFont val="Arial"/>
        <family val="2"/>
      </rPr>
      <t xml:space="preserve"> by clicking on the tab at the bottom of this page. This worksheet shows you how the max theoretical power capacity for the geothermal field is calculated based on Sarmiento's methodology.  
</t>
    </r>
  </si>
  <si>
    <r>
      <t xml:space="preserve">Open the </t>
    </r>
    <r>
      <rPr>
        <b/>
        <sz val="10"/>
        <rFont val="Arial"/>
        <family val="2"/>
      </rPr>
      <t xml:space="preserve">"Thermodynamics" worksheet </t>
    </r>
    <r>
      <rPr>
        <i/>
        <sz val="10"/>
        <color indexed="12"/>
        <rFont val="Arial"/>
        <family val="2"/>
      </rPr>
      <t>(output cells)</t>
    </r>
    <r>
      <rPr>
        <sz val="10"/>
        <color indexed="12"/>
        <rFont val="Arial"/>
        <family val="2"/>
      </rPr>
      <t xml:space="preserve"> </t>
    </r>
    <r>
      <rPr>
        <sz val="10"/>
        <color theme="1"/>
        <rFont val="Arial"/>
        <family val="2"/>
      </rPr>
      <t>by clicking on the tab at the bottom of this page. This worksheet shows you how enthalpy, entropy and power electrical output are calculated.</t>
    </r>
  </si>
  <si>
    <r>
      <t xml:space="preserve">Open the </t>
    </r>
    <r>
      <rPr>
        <b/>
        <sz val="10"/>
        <rFont val="Arial"/>
        <family val="2"/>
      </rPr>
      <t xml:space="preserve">"Cashflow" worksheet </t>
    </r>
    <r>
      <rPr>
        <i/>
        <sz val="10"/>
        <color indexed="12"/>
        <rFont val="Arial"/>
        <family val="2"/>
      </rPr>
      <t>(output cells)</t>
    </r>
    <r>
      <rPr>
        <sz val="10"/>
        <color indexed="12"/>
        <rFont val="Arial"/>
        <family val="2"/>
      </rPr>
      <t xml:space="preserve"> </t>
    </r>
    <r>
      <rPr>
        <sz val="10"/>
        <color theme="1"/>
        <rFont val="Arial"/>
        <family val="2"/>
      </rPr>
      <t xml:space="preserve">by clicking on the tab at the bottom of this page. This worksheet is the central location for the main calculations used. 
As part of this worksheet, the required number of new well clusters (production / injection sites) is calculated. This will involve additional capex. The </t>
    </r>
    <r>
      <rPr>
        <b/>
        <sz val="10"/>
        <color theme="1"/>
        <rFont val="Arial"/>
        <family val="2"/>
      </rPr>
      <t>Cluster calculation</t>
    </r>
    <r>
      <rPr>
        <sz val="10"/>
        <color theme="1"/>
        <rFont val="Arial"/>
        <family val="2"/>
      </rPr>
      <t xml:space="preserve"> calculates whether a new platform / well cluster is needed, depending on how many wells are drilled. Important to note is that all successful AND failed wells occupy a space on the platform. The reasoning for this is that the well will be connected to the cluster before knowing if is is successful or not. Furthermore, if there is a failed well in that area, then it's not likely that the operator will drill another production well in that vicinity, thus that slot in the cluster will not be re-used for a different well.If the user selects the option to re-use exploration and appraisal wells for injection, then those wells will occupy slots in the cluster. If the user says to not re-use exploration and appraisal wells for injection, then those wells will NOT occupy a space on the cluster during production. Accordingly, those spots will be available for a producer or injector.</t>
    </r>
  </si>
  <si>
    <r>
      <t xml:space="preserve">The model uses a simplistic representation of the </t>
    </r>
    <r>
      <rPr>
        <b/>
        <sz val="10"/>
        <rFont val="Arial"/>
        <family val="2"/>
      </rPr>
      <t>inflow rate calculatio</t>
    </r>
    <r>
      <rPr>
        <sz val="10"/>
        <rFont val="Arial"/>
        <family val="2"/>
      </rPr>
      <t xml:space="preserve">n. This may not always result in realistic values. E.g. the calculated MWe/well may be too high, which would need to be resolved. Given the user-specified formation properties and the Flowing Bottomhole pressure (FBHP), and the specified pressure difference from bottomhole to tubinghead, the model calculates the inflow rate per production well, which will vary in time dependent on the skin buildup. The production well inflow rate may however be constrained by the production well's tubing, the surface facilities flow capacity (turbine), the injection well's tubing, or the injection well's inflow performance (which will vary in time dependent on the skin buildup). Total field production is then the sum of all (constrained) production wells. 
In future IPR/VFP work, the following issues may be improved:
• IPR (Inflow Performance Relationship), by allowing more well configurations and more detailed descriptions of the effect of stimulating wells (acidizing / fracking, i.e. skin removal/reduction)
• VFP (Vertical Flow Performance): allowing to optimize the tubing size, the artificial lift, by removing/preventing scale (ID reduction, roughness increase). 
• A scheme to iterate and find the equilibrium inflow rate, given the IPR and VFP. 
• Economically optimize W/O frequency of producer &amp; injector, given skin build-up model.  
</t>
    </r>
  </si>
  <si>
    <t>Nr of turbines replaced</t>
  </si>
  <si>
    <t>Cum nr of turbine replacements made</t>
  </si>
  <si>
    <t>Constant</t>
  </si>
  <si>
    <r>
      <t xml:space="preserve">Post-tax </t>
    </r>
    <r>
      <rPr>
        <i/>
        <sz val="10"/>
        <rFont val="Arial"/>
        <family val="2"/>
      </rPr>
      <t>undiscounted</t>
    </r>
    <r>
      <rPr>
        <sz val="10"/>
        <rFont val="Arial"/>
        <family val="2"/>
      </rPr>
      <t xml:space="preserve"> return on investment</t>
    </r>
  </si>
  <si>
    <r>
      <t xml:space="preserve">Post-tax </t>
    </r>
    <r>
      <rPr>
        <i/>
        <sz val="10"/>
        <rFont val="Arial"/>
        <family val="2"/>
      </rPr>
      <t>discounted</t>
    </r>
    <r>
      <rPr>
        <sz val="10"/>
        <rFont val="Arial"/>
        <family val="2"/>
      </rPr>
      <t xml:space="preserve"> return on investment</t>
    </r>
  </si>
  <si>
    <r>
      <t xml:space="preserve">Avg </t>
    </r>
    <r>
      <rPr>
        <b/>
        <sz val="10"/>
        <color theme="1"/>
        <rFont val="Arial"/>
        <family val="2"/>
      </rPr>
      <t xml:space="preserve">inj. </t>
    </r>
    <r>
      <rPr>
        <sz val="10"/>
        <color theme="1"/>
        <rFont val="Arial"/>
        <family val="2"/>
      </rPr>
      <t xml:space="preserve">well W/O frequency (every </t>
    </r>
    <r>
      <rPr>
        <i/>
        <sz val="10"/>
        <color rgb="FFFF0000"/>
        <rFont val="Arial"/>
        <family val="2"/>
      </rPr>
      <t>n</t>
    </r>
    <r>
      <rPr>
        <sz val="10"/>
        <color theme="1"/>
        <rFont val="Arial"/>
        <family val="2"/>
      </rPr>
      <t xml:space="preserve"> yrs)</t>
    </r>
  </si>
  <si>
    <r>
      <t>If XL stalls (</t>
    </r>
    <r>
      <rPr>
        <b/>
        <sz val="10"/>
        <rFont val="Arial"/>
        <family val="2"/>
      </rPr>
      <t>error warning</t>
    </r>
    <r>
      <rPr>
        <sz val="10"/>
        <color theme="1"/>
        <rFont val="Arial"/>
        <family val="2"/>
      </rPr>
      <t xml:space="preserve">) after a CB simulation run, just restart the CB simulations. Note the error and check how this may be repaired. One known error message is that the </t>
    </r>
    <r>
      <rPr>
        <sz val="10"/>
        <color rgb="FFFF0000"/>
        <rFont val="Arial"/>
        <family val="2"/>
      </rPr>
      <t>PV Capex/MWe</t>
    </r>
    <r>
      <rPr>
        <sz val="10"/>
        <color theme="1"/>
        <rFont val="Arial"/>
        <family val="2"/>
      </rPr>
      <t xml:space="preserve"> (cell KPI!B16) gives a division by zero ("</t>
    </r>
    <r>
      <rPr>
        <i/>
        <sz val="10"/>
        <color theme="1"/>
        <rFont val="Arial"/>
        <family val="2"/>
      </rPr>
      <t>A calculation error has occurred in cell '[GeoCap_Excel_Model_v1.45_MASTER.XLSX]KPI!B16'.  You may want to check your formulas and assumptions for division by 0, etc.</t>
    </r>
    <r>
      <rPr>
        <sz val="10"/>
        <color theme="1"/>
        <rFont val="Arial"/>
        <family val="2"/>
      </rPr>
      <t xml:space="preserve">"). If this happens, click "OK" and re-start the Crystal Ball simulations. The histogram build-up will then just continue and ignore the sample giving the error message. </t>
    </r>
  </si>
  <si>
    <t>Q&amp;A with ITB (Fitri Oktaviani) on the current version of the tool (October 2017)</t>
  </si>
  <si>
    <t>㜸〱捤㕣〹㤸ㅣ㔵戵敥摢㌳㕤㤹摢㌳挹㌴㈴㘱㐷㠳㈴〸㈴づ搳㌳搳戳㠰㘳㌲㕢ㄶㄲ戲㑤ㄲ㜶㠶敡敥敡㑣㤳㕥㠶敥㥥㈴挳㈲〸㠲㠲〲㑡㈴㈸㡢㈰て㘴ㄵ㄰㥥㈲㍣昶㐵㜸挸愶㈸㥢㍥㐵㝣㍥㥥㠲㉣㝥昲㍤㝣㍣攵晤晦愹敡㤹敡敥敡挹㈲㝥ㅦ㤵敥搳攷㥥敤摥晡敦慤慡㜳敦慤㠹㑦昹㝣扥て㜱昰㤷㐷㉤㤹㝤〶挷昲〵㉢摤搴㤷㑤愵慣㔸㈱㤹捤攴㥢㝡㜲㌹㜳㙣㔹㌲㕦愸㠱㠱㌱㤴㠴㍥ㅦㄸ捡㈷㑦戱敡㠶㌶㕡戹㍣㡣〲㍥㕦㕤㥤昶㐳㕦敦㝣㐳挵㠲愶㤷慥㈵㠱㤵㑦ㅢ㈴㔳㐸敡㐸㌴㐹㤰㠴㥥扡㠱㘴㉡㐸挳㌴㤰㌵㝤扤㉢愲㈷愱ㅤ㠳㠵㙣捥㥡㌷㙢㥤㕤㕢㜷㌸摣ㄴ㙥㙡敢〸户㌷㌵捦㥢搵㌷㥡㉡㡣收慣敥㡣㌵㕡挸㤹愹㜹戳㔶㡥㐶㔳挹搸㔲㙢㙣㑤㜶㠳㤵改戶愲捤慤㔱戳慤㌳摣ㄶ㠹㈴扡扡㍡〳㙣㔰㑢扦ㄵ㑢戲攵㤶㤵㑢㘶搶㌷昵昵攲攳慡ぢ愵づ㠰㤰换㔹㈹㤳㈸慣戶ㄲ㙣改㥥改㥥㝣㝥㌴㍤㐲㔱昸挸㙣㙥㐳㝥搸戲ち㡢㐶㤳昱㤰㕢㐳㠱摢戴愵慡㘹ぢ㑤ㅢ搲㝤㔹㉢㤱㐸挶㤲㔶愶㌰搳㈹愰㝤㈸愱㕥㥣昳㥡散戴昴挰收㤸㤵敡戳㔲㈹㠸昲㔳搳㙢昳搶㙡㌳戳摥㕡㙥愶慤㐰㥡㔱㙡㜰昸晣戵扥㥡㝡愷て㈹摣ㅥ摥〸㙦てㄸ㈵昵戳㜳㤴㍢㌶〵戵敦㘲㌴戹㠵散㔱晦㤰改ㅦ㡡晡㠷㘲晥愱戸㝦挸昲て㈵晣㐳敢晤㐳挳晥愱愴㝦攸㈴晦搰〶搸ㄴ㡦扡㈹㔳晣捥昱挱敢敦ㅥ晦㠳攷ㄶ㉥㍦晦敥扢㙦㜸㈱ㄲ搸㐵扤㠳搸㡣晦㝦昷敦户愷㜱㔰㔷敦摤愷㐴搶捣㡦愴㔳敡㙤㐷㔱攱昱㤶愳㌸晣扢昷扣昷挱㤹㙡改㕤扢扤㜷㘱昶愱慦摦晢昴㔳㍣摥㥣ㅦ搴搳㔹戱㝡搳戱㍢敢攰㠳晡㥥㜹改愲挳扦晤搲㔳捦ㅣ搲昹攱㉢つ㌳愱㕤摥搷扢㌲〷挰㍦愲戱搷戰ㅢ㘳慥挰㘸㕢㙥ㄵ㍥慡㤸扢㈳㈶㐲昶㘷搳㘶㌲昳ㄱ〵つ昰㠲㡤㙣捦戸㤸戸㈰㥣挱㈹㤷㜵扡㍦㕦㔸㘹收搲昹㠶㌴昱戳㜲㔶㈶㘶攵换㐶㜱㕤㝡㥤㤹攳〰慥㈵搳㤸戶慦扦㈵㜱㡣晢㘴㘱捣㙢㡣慢摡㕡㝣㝣㌵㥦昶㙡㤹㜴㔴㔳㑦㍥摤㌷㙣收ち㔲㘲ㄷ敥摣攸㥥㔵㔶〳晢㙣㌰㤹㕥㙡攵㌲㔶㡡㤵戰㈷攷㤶ㄹ挹㕤挴敥㠷昱摢㐹昱㜴搸㑢ㄵ㤷㡣戱〷愳慣挹㈵㜱㈹㡦愶捣摣扣㈳㤲㤹敥㜰㜳㜳昳扣㘵挹つ㔶㉡㘹攵ぢ摤攱〸㡡㐷㤸㥢扢挳ㅤ㤱㘶扤㈷ㅣ昴㕥㈰挶摥㈰㌵摤〳敤㝡ㅦ㡡昶〵㔱敡㌵㘷㉣㜷晦㝥攰ㅢ㙦㝥昹㠲摥㉤搹㔷慥扤晥攲戵晢㉢摥㝡㜹摦㔳扦慤㜶戹扣敡㈸敥㌸攴晤摢㉥㡣扤戶攴慣慦㜶敦昲戳㥢挳㑦慢摦㔴昳昸戵愳愸㝥㠱敤㡦ㅡ㝤敡㔷㡥㕤捤挳㈳㐷敥㜳捦ㄳ㉢㙥昳ㅦ㝢改愳〷㐶ㅦ㔳㝣ㄴ㐸愳㝥㔹慤㡡㔷ㅣ挵㠳慦敥㕤㜳搷㐵㑢ㄷ㝥昷㕦挷昶晣攲㙤昵扢愸㤷慢㜹扣攴㈸慡㌷敡㈰㘹搴ぢ㡥㕤敢㘵㠷㥤㜷摢攳捤㡢㉦捣㍥戹昴戱摢户㥣愳昸㘸攲攰㌷收㠲捣㔸㥢㐹㈶戲戹戴昴换㘷㕡愴ㅢ㈲㝡ㅥ㌴晡㌳戴㘹〲愹敤ㅥ㘸〹敢㐳㈸㙢〶㔱敡㔹㈷昴ㄳ昳㝤㕦㌹㜰敥扤〳㕢摥㍦昰捦㜳㉥㌸收〶挵㉢㐳㐲户㠰搹换ㅤ扡戹愹㌳ㄲ㤱攸捤㑤㕤ㄱ摤捡㘰㙤㈰㐶〴愴愶㝢㘵扢㙥愷愸〳㐴愹㈷㥣昸敦昶扣㝣㘷挳㉢改㠵摦㍡㝦搷攷㕥㝢晤晢㕢ㄵ㥦㔰ㄲ扦ぢ㑣挵愸敡㉣ㄹ㔵㉤ㅣ㘴ㅣ㔵㉤ㄸ㙥晡㔰㐶㍦っ挴昸㉣㘳㜴て㠶㈳扡㥢戲捦㠱㈸昵㤰㔳攳㠷㡤敦扥晦㜴晤㡢㡢㙦㝥晤昳〷っ捤㝤㘹㔴昱挱㉤㌵㉥〰戳愷晢㡣㕡㍡㥣昸慤慤㠸摦〳戵敥〵㌱晡㐰㌰㙡㍢㜵㍦㐵〳㈰㑡摤攳㠴晦捥㝢搱挷捦扢攵㥡挵㘷㜷ㅤ㌰㙤攴ㅣ攳㔷㡡て㄰〹扦〸捣挱㘵㤷㐹㜳㔳㜳㠷敢㌲㘹㙥ち㍢〰㠶㕢昵㘲〶㕦〲㘲ㅣづ㠲晡㍡昴㔲㡡㤶㠱㈸㜵愷㔳摦㥦慦戹㝤戴昱愹㥦㉦扤改昱㔵㈱摦㡦捦㝢㑣㌱晢㤰晡㤶㠳㤹敥㍥ㅤ㍢㜶㡢㕥挱㈸㉢㐱㡣㔵戴㐵搷户敡搵㤴つ㠲㈸㜵㡢ㄳ戹攷攰㙢㍥戵晡搶㙦ㅥ㜱昳㍢扦㕢慥晦昰昴㔴挵㤴㐶㈲慦〵搳㔱㜶㈶攱㔶㕣攲㘵ㄷ㝤㥢㈳㤲ぢ扦㕤搴捤㝡ㅤ㙢㍡ㄲ挴㌸㡡昱扡〷挲㙤晡㘸捡㡥〱㔱敡㍡愷昶㤶〳㥥㍤敡扦昷㍢戹昷愶㠱㕣攳〹㔷摥扥㈵挰〷摤㡥摦〶㤹挱㘹㐹㉤㤰㑢攵〳改㠵搹㕣扥愶挶㉢㐳㕣㙣收㠷ぢ㘶㌴㘵㑤慡㘴㡥愰㡦㈳㌹ㅥ愴攱〴㤰㔵㑥慡搲㥦㌳㌷㈱つ㥢㜸㜸戵㌴愱㝢户㈷扢㐳㜲㤷㠸㈴㍡ㄲ攱㜰㍣搲㙣戶㥡〱摥㈰户昷昱㄰㘲㍢ㄲ㐷㈶㌳昱散㈶㜹㕥散搳㙢收慤㠹挷挷㕣㐷搷㥢ㅤ捤挴昳㝢㝢㉢〷ぢ㘶挱摡慢㕣㌷ㄱ愴挲㙤㄰㈹愷㤵㤷晡㍥㔱敥戶捥㑣㡤㕡㍤㥢㤳戶㝡摦㌲㌵㥥愵搹㘸㜵敤挲㥣㜵昲戸戶愲㐵㍤㐸攷㌷㑡散㡡戳戴㔵㜶扢㘶昵つ㘷昳㔶㐶㥡㌷㌷扤㌲ㄹ摢㘰攵〶㉤㑥〶慣戸㥣敡㑣慡㥣〷晡摣ㄵㄹ㥣㈸搲搰昸愷摣搲挴挰收㠲㤵㠹㕢㜱戴㜷挴捡ㄵ挶搶㜰㜰散㔶㘲㘲搷〹挵㥥㈵攲㠵搹搸㘸扥㉦㥢㈹攴戲愹㔲㑤㑦㝣愳㠹㈴㈲㝥㐴㌶㙥㈱〷愸攵攱㔳扥㥡ㅡ愵㝣〷㝢㍤㠸ㄹ㌷摦㈴ㅤ攱敡㘲愶〴㝢㤴づ扢愶搵㌸㍢㥣㐵捡攲㤸昴捦摥㐶㌰㠹换㌰〷㔵㌷㜴㥤ㄳ㘷㑥戴㍥戰扡戵戴㜱扣攷晥戹挶㝥晦㜴攷散〷㌶㈲搱㕡㙣㘶攲㈹㉢攷㜵攱㡥捦晢ㄴ㕢愴㠷㐰〲㔷攳ㄶ㔳ㄵ㍤摥攰搴㘶㌵ㄶ搸㤴㡣ㄷ㠶㡤㘱㉢戹㝥戸〰ㄹ收㠶㜵㜵㠴戶攲搰㈶㐴㍡㑡ㄲ〳〹〶㝤㐶㥣㐶㐶㔰㕢㜶㔹㌱搷攱晤㑢㈷㐸搶㠳〴㤸昰㙣㌳㍦㙢㠴㔱㉤搳搰愹改㝥㉢㘱㘲㤲㈸搷㤶㌲〳㘹㝢捥搴㙦攵㘳㥡㠹攷ㄲ㡣搴捤〶㌸㕣㝡㥣㡡㘵ち搶收㐲扦㔹㌰愷愴㤱挲〲㈳つ愳戹攲㘵㜳昴㥣㉡戲愲㜷搰㈹㈱㐲㐸㔸㔷㤴㝡ㄱ搸㤱㌰㙣㌱㕡㝤㌵づ㥤晣㈴搰㜶㈶㤹㐶昹㌰㉢㑤㐵㌱ぢ㡣㉦戲㌲㙢挶㐶慣㍣捤敢っ慦扥ㅣ扦㐳㤷て㙥〶㕢ㄱ㡢慥㉤㈴㔳昹㈶戴㜴㔱㉥㍢㍡昲㔱挶㘱㉣㍤っ㔲㍣〲㤷㘲っ㙤晦㌹㜱㔵㘲捡㐶昶捤搰㤰慦㡥搱㈸搱捣㝥㌵挷ち㠲㝤㠸ㅦ㌹㜴ち㍦挱挹㜴〱收挹㍢㤲戶㌳㜱㙥㐸〳愱㌵㌹㑢㈶摢㜵㔲〰摡㔳搳㥣搵㐷戳搹つㅣ㑦搳愴㌴扥ㅣ㔰敦㑣㘶㌸〷㔷㑡搵㔴㥤㤴㜳㕡㘰㡣㠰㑣敤㐹愵㘶ㄵ㈳收㡤㤳㈱慡挱㌴挳挸㠱㤹扤挸捡昶㤹㈳㐳㌲〷ㅦ攲つ㌰㌵戴ㄱ㉢㈰㤱愱㈳㝡〶搷っ慣㙥㍡㙡搹攰㔱敡〲㈰挱㈹㜲挵㑣昸慢㡥愲㘲㔶挰晣㕣慥慤㔱㌰㝡㈳㠸㘲㜶㉣愲㑤ㄴ㙤愶㠸改慥㑣㍢挶㔸㍡ㄷ挱㜸ㄷ〰㕦㝡攸㔳㔱搶愷㤱㥣づ㠲㙢㔹晡〷㤷昲ㄹ㜶㔱㌱㘵㤶搸㘷㠲搱㕦〰㔱㑣㥢㜹㌹敢戳㐰㡡㠷㍡ㅤ昱㌹㑡愴愷㤹㘳㔷昶昴戹㤰〶昵㈴㍡挵㘴㥣扤慤㠹慥㈶㥥㥡㔸慡㍣〲㝢挲㤴㜳ㄴㄵ㜹㝢㉢摣〴㠰㡢攸㍦〲㌳㙦〰扥捥㍡㉥㈶搹〲攲〲攰ㄲ扢愸㤸搲ぢ〰㕢㘹㜴㈹㠸㙡〷ㄱ〰扥〹愶㜸愸昵愸㘳ㅣ㠰〸挴㤵〰㕣〱㘹㔰㑦愲㔳ㅤ戰昰〲攰昸㙡〰ㅣ攷㈸㉡㈶ㄶ㥣ㅥ〸〰搷㠱㔱挷㔴〵攰㝡愸昵つ㈴㌷㠲戸〰戸搹㉥㉡㑥㌱〴㠰㕢㘸昴㍤㄰搵つ㈲〰摣ち愶㜸愸㔵㙥〰㍥ぢ㜱㈵〰㜷㐰ㅡ搴㤳攸ㄴ㈷㉦㕥〰㉣慡〶挰㐲㐷㔱㌱捦改㐱㈴〱攰摦挰愸晥慡〰摣〷戵扥㥦攴〱㄰ㄷ〰て搹㐵挵㌹㤰〰昰㌰㡤ㅥ〱㔱晤㈰〲挰愳㘰㡡㠷㍡捣つ〰㈷㑤㤵〰㍣〱㘹㔰㑦愲㔳㥣㕥㜹〱㄰慥〶㐰戳愳愸㤸㠹㜱㐲㈵〰晣ㄴ㡣㙡慡ち挰昳㔰敢㥦㤳晣〲挴〵挰㡢㜶㔱㜱㔲㈶〰扣㐴愳㤷㐱ㄴ㘷㘶〲挰㉢㘰㡡㠷㥡攳〶㠰戳戸㑡〰㝥つ㘹㔰㑦愲㔳换㘰攱〵挰摥搵〰搸换㔱㔴㑣つ㌹昱ㄳ〰㕥〷愳昶愸ち挰ㅦ愰搶㝦㈴㜹〳挴〵挰㥦散愲㕡㠹㕦〱攰㉤ㅡ扤つ愲㔶㠳〸〰敦㠰㈹ㅥ慡搱つ挰㉡㠸㉢〱昸ぢ愴㐱㍤㠹㑥つ挲挲ぢ㠰㐰㌵〰㙡ㅤ㐵挵っ㜶ㅤ㈲〹〰㝦〳愳晣㔵〱攰㠳㐱昳ㄹ慤㤹改戸〰愸戱㡢敡㐸ㄸ〸〰摣㜰搰〱㄰㜵㌴㐴〲㠰㠱㔲昱㔰㝦晤扢敢㈶挸〹㙦㈵〰㐱挶搴㤳攸ㄴ㘷挶㕥〰扣㡤攰㥥㑦㠱户ㅣ㐵昹㈴扡昶㌸㐴㥡㌴戵㥡〲㠳攰戲慣ㄹ㕦㘸挶戰㕦㌱挵搹慤愸敢换愶㐷㤰㐷收㐲㑣挲晡昰昰挶慣㘸㘳㌲㙥攵敡㈸ㄸ挴㍥㑡㉤㈷搸㠶㈴愰㜹㍣昶㙢㝣㠱㐰㝤㥤㔷㕤㑢㡡戱㘶㍢㌹扣㝢㥦㘶㐹㐵晣㌷㔷㜵捥㐷愳搰ぢ㌵愰㝡㍡〱㥦㐱挰㡦㐷㤱攷㔳㘶㌰㤳〶扢㠱〴㠶愰摣㠱㐹㔵㍤挳㈷搶㈵慤㑤捣㐳愷㈵戰㍢搱㌷㥡㉦㘴㈵㘹㥥㥡攸捦㉥捦ㄶ晡㤳昹㤱㤴㌹㌶㍤攱㌰㐷づ㕢ㄹ㑣㈸㜳㤸㔷㤶挹戲㈳㈳㔶㕣㈷〶戳愳戹㤸戵愴晦攳㌰攱挴昹〱㌶㤹㙢晡㤱捦愹㥤㥢㐳㘱㡤㐶愱㌳㜰昸〲㈶〲㤶㈷攳戲㝥散㥡戶ちㅢ㠲㘱攳〴愲㙢㤲㠵㤴㔵㥦㤰㈹愳昰㜵〹愰㠸㔹㝡㝣㑡㘲捤㌰㤲搴晥愹㠹㐵戹㘴㍣㤵捣㔸散㡣ㄹ戶改㌲㙢㍤㘶攴㉢戳昹㈴昷慥愶㈶搶攴捣㑣㥥挳㌲ㄳㅢ摢戵愴㈴挳㌰㤰攸㑤㘶昲愸㐶㝡㤱㝣㘳㘲㜰㌸扢〹攳㙤㌴㥤㔹㘴㡥攴㍦ㄶ扤㠲愱敡ㅣ搲㌵捡慦晣㝥㔵攷慦摢搹晥㌱㜶㐷挴摤㈷㤶攷㘶㘱慣ㄶ㜲挹攸㈸㐱㤳㥡㕡㐰㙢㐹愴ㅦ㝤〱捥㕤换㈷㌳慥㙥㉣㕢〷㘰㝢㑢㜶㐴㍣㤷搳挶㈷摥㌳㘱慥昷㠰㔳挳㥥㈰㠷㉦㕡扢㘴㘲㠵散ㅦ摢〳㡤㈱昲づ㉤㐸㑣戳㠷ㄱㄷ㈹㌸慡㜰㜵㘲㌴戰㔴㍥㌴㠳〹戱攱㈸㥤㌶挱㉥挴慣扡㈱戱捣㡣㕡㈹㉣㈳愶捤挲㌴扢挰㌵㤱戴㤹捡㍢㍡摣摥搲㈶㠷ㅤ㜷㜰〶㘳㘶捡慡㑢昴㡣ㄶ戲搸ㄶ搱〹㄰ㄹ㥢㡥挸摣っ㤱戹㔹㐴つ㠹搵㕣愲戳敦愰㠸㤵㕤㙦收㤲㠵攱㜴㌲㔶挷〲㤷搱㍥ㄶ攳ㄵ昷㤰㕡㈰㕦㍣㡡昷㤳昲㜵〰㝢㌶㡥敥㙥挲挲ㄵ愱㘳昷㘳㔴晢㤵㠱㝦㙡㈷㔷㜰㜰昷㤱㈷愸摥ㅢ搱〲㝥㌴㠲户㈳㌹摥㈹扥〵昰捥ㄹ㤰挸つ㑡㜱〱㠶㙡扤て㈸ㄹ昹㜲ㄵ愶昸攴愰挰㜹戴散ぢ㕥㝦〲㐴㜱㠵挶挳攰㤳㌴㤸〵ㄲ攰㕡㐰昹〹㤷㉥㘹㘰攱㐳挳愸㔶戶〶戹搸㔲㠷㠵〹㔹愵〹㐸て搷扢㔶㔷っ㝢㘱愵慥戸摦㘸っ㘲攸㔸昱愰㝤攳攲㉡づ捦搱㡦㝤㜱㝦㥤㔱扥㉥㕣㔱㉤㠲愵〷㉤㔹㜶㔱扢愱〹挶㝥㜰慥攷〸㐴晣㈱㙥戶㤵㉦㌹〴㠳㝡㝦搸昸㠲㡡㙢て挵ㄳ攷㑣㌷ㄸ㘴㐲愰㘷㐳慢攷㠰愸㔱㤷〱搸㈲㜴〷搰攰搳㌴搸攸㙤㜰㈰つづ愲挱㈶㙦㠳㠳㘹㌰㤷〶㥢扤つ收搱攰㌳㌴ㄸ㠳〱㥦敤慥㈷㤱攲扣摤愴捣㘸㠲㐹㜱换㙢㥢户㍥㜵ㅡ㕣㜸晢搳㠷㌰昲改攰㜸㔷ㄹㅦ㘵㘱㐸户㍤捡捥愰〷扥扡㠵㐱㥣㠲㍡ㄳ㑣ㄱ㑢ち㥤㔱搶ち㕥户搱昰ぢ摥〶ㄱㅡ戴搳攰㉣ㄸ㜰愴ㄹㅤ㈸㌵㑣昴㈰戶敡㍣扡戰ぢ㐶攸㐲㉥㉡ㄴ慢㜵㜵攱愱㡣㝡ㄸ愳㜲〱愰ㅣ㍥捥晡㑤㝣戱㜷〶㤳敤㠷敦㘲戸〸㝣摤㡣扣〵愵ㄲ昸收㐳扡㙤昸㉥㠱ㅢっ㝤㝡〱㠳㌸〵戵ㄵ㑣昱㍣㈸㜴攰敢〱慦㝢㘹㜸愹户㐱ㅦつ晡㘹昰㑤ㄸ〸㝣〳㈸㑤㕣〰搸㠸昴㐰㙦ㄱ㙣㠰摥ㄵ慥愰㉥昴ㄶ㌳攸ㄲ〶攵敡㐱㌹㝡搷㐳㘶攲㡢㥤㍡㤸散挸愳㔷摤〰㉦〱㜰㈹㠳㜳挵愱〴挰㈳㈰摤㌶㠰㕣㤹㠰愱㑦㉦㘷㄰愷愰戸㍣攱〱攰ちㄸ攸㤵㌴晣㥥户挱㉡ㅡ慣愶〱㔷㌳〴挰㐱㤴㈶挶ㅦ㌷㔶㍤㄰㕣ぢ㈳㈰㜸㠷㉢慡ぢ挱㜵㡣㝡㈴愳㜲昹愱ㅣ挱晢㈰㌳昱挵愶㈰㑣戶㝦晣㜱㤹㐲攰㍢㥡㤱ㅦ㐰愹〴扥㘳㈱摤㌶㝣て挱つ㠶搸搷㘳㄰愷愰ㅥ〶攳〱摦昱㌰搰㈷搰昰ㄱ㙦㠳㈱ㅡ㥣㐸㠳㐷㘱㈰昰㤹㈸㑤㡣㍦散ㅢ㝢愰ㄷ㠳つ搰㝢挲ㄵ搴㠵㕥㥣㐱㉤〶攵摡㐵㌹㝡捦㐳㘶攲敢㌳ㄲ㌰搹愱昱挷㘵づ〱㜰㍤㠳㜳扤愳〴挰㈴愴摢〶㤰敢㈲㌰昴改㤳ㄸ挴㈹愸㤷挰㜸〰戸〱〶㍡㐵挳㤷扤つ搲㌴挸搰㠰㙢㈹〲㘰ㄶ㈵ㄷ㠰ㅤ㕥〰㥥っㅢ〰挸昵㤴㘲慤㉥〰㜳っ㥡㘷搰搷㘱㔰づ㈰ㄷ㍣㑣㝣㝤㐶〱㈶摢㍦晣戸㐶㈲攸㡤㌲㌲ㄷ㑢㑡搰摢〴改戶搱晢ㄳ摣㘰㠸㠵㙡〶㜱ち㡡㉢㉢挵昳愰搰戹晤㡤㠱搷愷搰㤰慢㉥ㅥ〶愷搲攰㌴ㅡ㜰㈱㐶搰㍢ㅤ愵㠹慢㤷扢晤ㅥ攳㡦㌹ㄳ攰攳㙡㑣㌱慡ぢ扥㌳ㄹ昵ぢ㡣晡㌷ㄸ㤴挳昷㈱㘴㈶扥㍥攳㉣㤸散搰昸攳〹ぢ㠲㘷㌳戸〲㈹㐱昰ㅣ〸戶㡤㘰つ㝤㔱扤㍥搷㘱㔸㔰㕣㥡㈹㥥ち〵づ㠲㕦〲慦扦っ愲〲摥〶攷搱攰㝣ㅡㄸ㈰㠲攰㔷挰戸㄰挴ㅢぢㅥ〸㕥〰㈳㈰ㄸ挴㑦戱㕡ㄷ㠲ㄷ㐲慣㉦〲〹㜱〵㠳㐷㠸慢ㄸ挲㜰挹㐲ㄸ㉥㕢昰㔰㥣㉦㤱搷㕦㜳ㄸㄶ〲捣㜹换戳捥㡡㌴扢ㄶ㤶挱〴ㄳ敥挱挲㔸ち㤳ㅣ戲捣㐲㙤㡥㑢㌵戶ㅡ搳攰㙣づ㈰搵㤶敦㠵㡥晢㥥㠰㔰昵㌳捡昶㤹挵㡤ㅡ收昳㠱㉣㔶㥡慡晡戳搱ㄳ摢㕥昴攱㘱㕣っ昹㡣㈳㤲戱㕣㌶㥦㑤ㄴ㘶つ㘲ㄲ㍦㡢晢昶㐸换㥢㝢〲㘹㐴昴慣㤳㈷㔶㥢攱慢愲ㅢ戹㤳ㄶ摣㤰挹㙥捡㐸㙢〲㜹扥扥挰摡昴㤴㈹慣㈶㠸慦ㅣ晢〳挵㄰㜳㝦㍡敢㙦㠰㤹㕡ㄳ㘲㥥㑦㘳攳ㄲ搰㌹㝤扤㝤慢㠷慣㐸慣扤戹㌳摥搶摥㤹戰摡㕡㘳搱慥收捥收愸㘵戵㠶挳敤攱昶㐸慣㌵㈴搳〲挶搸ち㥦㄰㈷〲㡣愰㉦㘵㘹㔶戱㐴㕤㘰㝦㤰敤捤搱搹㉡ㄵ㔵㌱ㄵ㔷㔶敤㤴㈹㙡㑥搹昶㝡㐵㙥㍦扥㐳㙡ㄸ㑣敤〳敢〱搶昶㌹愱㔵慥扥愰戳ㅦ㕦㝤ㄹ攴晡㜲㤰㘰㘸㌶㈸ㅢ㘴㕣〱㘶㕡㕦敦㤰㙢摥㙦㕣〹㔹〳㘴㌲㜷㔹㡤㜷ㄲ㡣㙦㐳戲ぢ㈴愵㉦㍣ㅡ㔷㐱扣㉢挴搸昶㉢㙥〴㜲昰㠵收㐰㉥㥤㈰敢慦㝢戱敥㙢㈰㤲敤慣㄰愷て㍣㐲㥣㐲〸挳昹㠲㌰㥣㌳〸㜳㜰㤱攱㈴㐱㈴㥣ㄱ〸挳㔹〱て㈵㐹㍣ㄸ㝤㉤㈴ㄴ捡㤷㐹㍣㉦ㅤ㜵㉣搰攲㠰愵慤收㈸攴㠰㔳㐷㐳挲㐱㔷㍡㘸㕡愰㤶昶摥〰〶㠳㠶㘹㍢㍤㡣ㅢ㐱敤㐱ㄳ㡦㥢攱㜸㑢扢ㄵづ挷㘲㙤㕤㠹㔸㘷㕢㝢戸㌵㤶㘸㌷捤㡥㐸㘷㕢㙢㌴㈴㔹㍥敢扡〹㍥愱㠸ㄳ㐱摦捣㔲㝢戱㐴㥤㘲敥捥㠱愳〶搱㄰㜶㉡㜸㥦扥ㄵ㔴摦〶ㄲっ㌱㝤㤷收戰㜳㌴㝢㐳戳〳㌴攱づㅤ〶㈲捡㜹昴攲㑤㐷晦㤰捡ㅣ㌸搵つづㅦ㥦晥㤱挳戰愰收㠳ち㈶㡢㔰㔹㈵㈶〳㤰㔶㘲戲〰㑥㔲捦扤㘰㠰〹㜳㜱㝣㝣挶㝤愰㌶㈶㘶扣㍤摥搱搶㥥攸㘸㙦敢㙣㡢攲搳ㄶ㙤敥㌴摢ㄲ㜸㜱㉦㙡戵户㈴㐲㤲扡戳㌹昷挳㈷搴攷㐴搰て戰搴㕦㉣㔱愷㤸㤱ぢ㈶昳摤㤸㍣っ愹㝥〴㈴ㄸ㘲㔲㕥ㄵ㤳㈵㐵㘵㉢㉢㙢㈳㜹㤲慥㠲挹㔲㜰昸昸昴㔳づ挳㠲㘲戲㉤㤸戴扡㌰㌱㥥㠱戴敡摤㑡㠵㍤㠱㕡づㅦ㘹搹㜳㘰〰搴ち晣攰攳㌳㝥ち㙡〳ㄵぢ㜷㜶挵㕡㍡㘲攱㡥搶㜰㕢扣扤搳㡣戴㜵挴㘲捤㉤㤱慥捥戶捥㐸㝢㉣㈴㈹㍡摢昸㌳昸㠴㤸㤴㌳㠲㝥㥥愵搵挵ㄲ㜵㙡㉤㠸〰㌵搷〱㑡慥散ㄷ㈰搵㉦㠲〴㐳敢㐰慢〲挵㥣㕣㤴㠷㌲㍣㌷㌷昵慦改㉡㐰㐹㕡㑤搱慢㄰攱㘳㝦㡦〵㈷㐰㝤搲つ搴㙢㤰㔶〷㙡㕦㑦愰㡥㠳㡦㔴晥㥦㘰〰搴昱昸挱挷㘷晣ㅥ搴〶㉡摡搱ㄱ敦㠸㈴捣㑥戳ㅤ㘳㉡搱ㄶ㙤㡤戴户㕡搱㘸愴戹㉤ㄲ㙤㘹㠹㠵㑥㜰㝣昴㝦㠱〹つㄵ㑢慦戳㜴㘲戱㐴ㅤ敥戳づ㔰扢㍢㐰愱㡣㡤㉥㔰晤〶㐸㌰ㄴ〷慤ちㄴㅦ㌰愲散愱㔷㉦挹㥦㈱戲㠱㕡てづㅦ㥦晥㡢挳戰愰㤲愰〲㔴扤ぢ㈸㑤愰攴捥愳㍤㌱㌹〹㙡愹攷㝤㌰挰㘴〳㝥攸㘱晣ㄵ搴挶挴㡡挶㠱㐳愲ㅤ愷㥦挰攰㠹㤸㠹慥㐴愴戹慢愳搳㡣戶挶攲敤捤㈱挹慦攱愳晦ㄷ㍥㈱㘶搴㡣愰㍦㘰㈹㔳㉣㔱愷㤸㌶换攰愹㜱㌰㤱挱昳㜷㐸昵㠷㈰挱㔰づ戴㉡㈶捣愸㐵戹㤸攱㤷㤰ㄸ〸㘰㘳㌲ち㈵㍥昸㈳ㄹ㠸挸挸㤷㐹戱㘰昲㍦㝦㥢戸昳ㄸ㐱㤸㔴ㅦ㍣敦挱戴昲㜶挴㝣㔹㉡㙦㠰㌳㠰ㅡ㐳㤹㔵ㄸ㔳㔱戶㠱ち㐷捤㌰㙥搲㘶愴戳扤ぢ㙦愳㈶㑣戳戳戳ㄵて晡㔸挴敡㑣㠴攳㠹搰㈹㡥㡦㥥〶㥦搰愹挵㔲㈳㑢愷ㄵ㑢搴愹㌳㔰ㄲ愰摥㐶㘳挶㙦搱扢㐲愵愷㠳〴㐳㘷挲愰㉡㔰捣㥤㐵挹㍤㔸㜹昹㔶敦㐵㔷戹捡捥㉥㔶戴て㉢㉡〲㜵づ㌸〱敡㜷㉥愰㈶〶捦㙦㍤㌱㌹户㔸捦㉣㠴〲㈶㕦㜲㐲ㅢ晢愱㙣㘳㘲㐶㈳㉤ㅤ攱㜸愷搵㙥㜵戶㈵挲㕤㕤㕤㔶慢㤵㘸㙥㌳挳ㄸ㔱攱㜰㙢㐸㤲㘳㌶昳㔳昰〹㥤攷㐴搰晢戳㜴㝥戱㐴㥤㘲捡㉢㤸晣搲挱〴㐲㥦㍥〰㔴㝦ㅡ㈴ㄸ扡㄰〶㔵㌱㘱㌶㉣捡㜵昴攲㤶慡㙥愲㉢㌱〹㌱昱ㄵ㘵㌳㐴㔳㙢〲捣摤づ㉢㑢㡦扣昷㈸收㤶扦戸㌹㠰ㄷ㌱挷㄰挵㔷㠳㉤㑡㝢昵戵搶㝦攸捥挵㘲〲挶ㅤつ㝥〳捦攲慣晦㠱㌸㌸㈳㔷㑡挶㠸㥦挴㔷户愰愹㠱慤㔰㌶㝢㌵戱晣敦扢摣㝦搲㘴挰㝤㘶㝡㐹ㅥ昹㤹晣挱㔵捦昸㕦㔷敤㔲捣摢收ㄶ摦㠵㥥㌳㈱改㠹收戱㈳㔶戰㡡㙥㉢㜲攳㝥㜸㐳㄰愹㌶ㄴ㜳昹收昴捣㠹㤲㙢昵㝡敦〹改㤲㑣ㅥ㙦捡㕡昱㘲挴㍣愶㜴戵晥ㅡ攵戹ぢ敢晣㡤〹ㄲ挵㘲㠰㠱捣㘸㝡㜷㥣挳摥ㅥㅢ挳扤挹㠲㙣㈹㑤㠳㕥㘹㘶敥㐶ㅢ㠱敡㥥㍤㌰扢㍤昰ㄳ昴挴づ㔴㔲㡡㍣慢攴ㄱ搴敤㠸愸㤸搳㌳ㅥ㐵㡤㤷戱㈲㌰晣扡㡥㜷收㍢㠵〵昶㙦㥤昳ㅢ㜲㝥㘷㉣㘸扣扣攸㜹扣摡敦攲㥥挰慢㘷㕣昵敥㑤㠷捤戹昲戶て㥤摦㌳挴㜳挱㐵戶挷挸愵昶敦㔱㤷㉦㔰搷挰㜳㕦㘸换㕦晡晡㌱ㅡ攵戹摤晦㤸愳㈸㝦㌷㉥挴㌴㔸㉥愲捦攲挴愶搶㈸收戲扣㤰搴㈳昰攰攸㤵〱昷㌹㥥昵㑤㄰㜳搰㈹捤〴搷㔸〰㤹㐱㙣㕢挲敡〱ㄸㄶ〱〹敡㕥㕡㌳㠵㉤㡡ㅡ㙦㐵㈱㠰昶㙥㌷㐶㡤捣㘹挵㘳㔲㙣㝣扥〷ㄱㄵ挷㡣〵敡㠷昰昰挲攴ㅥ攷搴㉢摥ㄷ扣摢㔱㤴扦〸ㄷ㘲ㅡ㉣㤸㉣戶㌱㘱㉥㉢㤸摣〵㡦㜱㑣づ攷㔹㌲つ戵㌱㘱㠲㙢㉣㠳っ攳㙤攵散㜶㜵㘷〹㈴换㘹捣っ㜶ㅣㄲ㘶愹㍢〶挹㈳㐵㡦㙡㤰ㅣ㜷搱挳敦ㅤ㜸摣ㅢ昳ㄳ㜲扣㌵㕦㍤〹て㉦㐸㙥慤〶挹昷ㅣ㐵昹慢㜱㈱㘶挱〲挹ㅡㅢㄲ㘶慤〲挹捤㙥㐸搶昱㉣㤹㜰摡㤰㌰㤵㌵㡥㠲っ挳㘴㜰㜶㌸愲慥㉦挱攴ㄸ㕡㌳㔹ㅤ挷攴〵㍡愰㌷户㝢㤸㐸摦愳昳ㅢ㤹挵㡡㘷㌵㙣挴㜲搶ㄵぢ攴㜷挱㔵昶敦昰搵ぢㄴ㌳㔹㉦㡣慥愹㠶搱㜷ㅣ㐵昹摢㜳愱㔷ㄱ㐹㌰㍡搱挶㠸〹慢㘰㜴㤵ㅢ愳㈸捦㥡戹愶㡤ㄱ戳㔸㈳づ㤹摣愶㍡搵攵㈵㄰㈵㘸捣㌴㜵ㅣ愲㍦愲戰㘳挳㠶㜹敢戶慦愴㍤慥戳㈱㜹攲挶〵㡡㌹慢ㄷ㈴㕢慢㐱㜲㠹愳㈸㝦㥦㉥昴ㄷ㐴ㄲ㐸㔲㌶㈴捣㔷〵㤲㉤㙥㐸㌲㍣㑢愶㥡㌶㈴㑣㘲㡤㤱㈲㈴ㅤ敡愲ㄲ㐸㜲㌴晥〰㈶攳㤰㌰ㄳ摤戹㔱挳昴㜵搲㔱昳收慡ㅦ㝤攲㥣㌷扥㍦晦戲㙦昱戸㝢晥戵㈳摤挱ㄷ晦攵挱昹㡡㈹慣ㄷ㐴攷㔷㠳攸㍣㐷㔱晥挶㕤㠸㤹慦㐰戴ㄹっ㙥挰捣㔴〵愲㉦戹㈱㍡〵㔲挵㈴搳㠶㠸改慢㜱ㅡ㠹摣㠰㕢搵搹㈵ㄸ㝤㥥搶㑣㔰挷㌱㘲ㄲ扡㘳挳㠶ㄹ敢戶㠷㡤㙦攲㌱愷㤸慤㝡㘱昲昹㙡㤸㥣敥㈸捡㕦挲ぢ㌱挹ㄵ㑣扥〸〶㤸㌰㔳ㄵ㑣㑥㜵㘳㜲㉥愴㡡㐹愶㡤〹搳㔷攳换㈴挴㈴摣愶㌶㤵㘰㜲㍥慤㤹愰㡥㘳挲㈴㜴攷挶つ㌳搷㐹挷つ敦㌲㑦㍤㤰散攱敦㡣ㅢ㌶挸敦㤹㕦捣昴㈸㘶慦㕥ㄸ攵慡㘱㜴戲愳㈸㝦㑦㉦挰愴搷㌳㥦㜱扤㔸攵晡ㄳ慣㐶戴㈴㤰攰㍡㕢㝤挲ㄶ㌳㑦挵㌲㙦㌲㤵㤲ㄵ搲〶扣㘵㤲挳ㅦ㐱㉤挳ぢ㔵㜸㑦〵㝦〴散㉣摢攱㐵㉢扥㕦㔰㝣㥢㑦㑢㠹捥㐶㘲㐵づ慦昷㑤㐹㉣挹攳㐵戸㜸ㅤ晥㡣愴㔰挰ㅦづ㝦ㅣ㕥㐱挱㥡㜵㉤〰挲㘱扦㝣攲戹㕣捣㜵攰㐹摥づ㥡挰愳昸户㑤㝥扥㥣戲㜳敦挴ㄹ㕦㐳㜳摣晢ㅥ㜱搷㉢㔷戵㉡㡢㙥戶愷慦㘷晡㈴慤攴攲慢扥ㄸ㍥挶ㄶ㄰晥㠹㠴㑣晢㐰㠲晡ㅢ㤰挸昶㠲㄰㕦㠰搳㠱昲ㄳ攴㈲晥㐲挸㝤㘵㝦愵㔴㕦㕦㕣㘴㈷㌸戵㑣㘷㈷换愵㙢㘰㌴㈵㍤㘴昲晦挶愸㑢て愵慣捣晡挲昰昸晦㠷㠱㌷㍦昰㈷㑦㝡㉢㠲戰㉡㝥ㄵ昳㐸㡥㑤攳㔲㤰昱㝤戲搲戳ㅤ昶㍣摢㙦搱敢㌲㤰搲戳扤ㅣㄲ搷搹㉡收愲㍣攳攲愱㤸㙥昲㍣昴㤵㈰㔴昰慢㤸扢㐹㍢扥つ愶㑡㍢㑣捦㜶㕣つ〷捤㜶㑣㈰㝥つ㐵㜱㐸㙣挴ㄵ㜳扦㤲㌶㌰扦㤳㌶㕣ぢ〶ㅦ扢つ㑣㤶愴つ搷㠱愹摥昹挷㜸㌶攳㝡昸ㄸ㌷㠰㤴挲㜱㈳㈴敥愶慣㐳戹愴㈹挷㐰㈰㑤戹ㄹっ㍥㜶㔳㑥〴㈷㑤戹〵㑣ㄵ㌸〶㍤摢㜱㉢ㅣ㡣摢㐰㑡摢㜱㍢㈴敥㜶㌰慦㈹㘹㐷〲〲㘹挷ㅤ㘰昰戱摢挱㐴㐰摡㜱㈷㤸敡㤰㉣昳㙣捡て攰㘳晣㄰愴戴㈹㜷㐱攲㙥㑡〶攵㤲愶攴㈰㤰愶摣つ〶ㅦ扢㈹㝣攰㑡㔳敥〱㔳〵㤲〱捦㜶摣ぢ〷攳㍥㤰搲㜶摣て㠹扢ㅤ愷愰㕣搲づ㍥㤷愵ㅤて㠲挱挷㙥〷ㅦ㜲搲㡥㠷挰㔴㠷攴㜳㥥㑤㜹〴㍥挶愳㈰愵㑤㜹っㄲ㜷㔳昸慣㉣㘹ちㅦ㠷搲㤴挷挱攰㈳摦挰挵攰戶晢㡥㠸攴挹㌷ㅤ捦づ攷㝦搰改挵摢㠷㜳㔳晣晦㜳扣㕥改㉥㝤搹昳〹搴愳㜸ㅢ㘳っ晤敦づ挳㐲攳㔶愷㔰挷㕢㡦攲㍤㠱㡤搲㑦㔲捣㕢㠱㜸晣挴㘱挴㠳㤷㍤ㄹ摢攳㙡㤴挴攳㈹㡡㜹攱㡡挷搳づ㈳ㅥ扣㐸㈷㍣㜸愱㠹挷㌳ㄴ昳晡ㄲ㡦㘷ㅤ㐶㍣㜸㉤㑤㜸昰㤲㄰㡦攷㈸扥摤搱改㥦㍡㡣㜸摣攱ㄴ散㔶㜱攴㡡挷捦㈸收㠰㤵㍡㥥㜷ㄸ昱攰攰㥣愸㠳㘳㑣㍣㝥㑥㌱㠷㤶㜸晣挲㘱挴攳㐱愷㘰搷挱愱㈰ㅥ㉦㔰捣ㄱ㈰ㅥ㉦㍡㡣㜸戰户挹搸ㅥ搲つ㈸改㤷㈰㉥ㅥ㈱㜶㠷㘴㕦㉦㠳㐱昶㈵搰㔷㔸戱ぢ挴敡㤷戶㤵挰㕤㘱㐵搸挵敡㍦㙣㉢㠱戸挲㡡㔰㡢搵㙦㙣㉢㠱戵挲㡡昰㡡搵㙦㙤㉢㠱戲挲㡡㤰㡡搵敦㙣㉢㠱慦挲㡡㌰㡡搵敦㙤㉢㠱慣挲㡡搰㠹搵敢㘲ㄵ㉡挲愴㠸㡣㈴愴㝢攰愲攴㡡㐰㉦㝣敢㤴㑦ㄱっ㔱散㕥愶攰昹㡢㘲户㌲〵㑦㔹ㄴ㌳换ㄴ㍣㑢㔱捣㈸㔳昰挴㐴㌱扤㑣挱㜳ㄱ挵慥㘵ち㌶㕦ㄴ扢㤴㉡敡晦ㅦ㘸㙡搴㝥</t>
  </si>
  <si>
    <t>㜸〱捤㕤〷㝣㕢搵搵搷㜵散ㄷ㍦挵㠹㐵ㄲ㐶挲ㄲ㈱㘱㈵ㄸ㕢㤶㍣㠰㐰ㅣ㘷㤳㐵㥣㠴㔹ㅣ㡤愷㔸㠹㙤〵㑢捥㘲〵㑡㈹㘵ㄵ挲㥥㠵昲戱搲㤴㐲搸搰㝥ㄴ〸愳㌴昰〱ㅦ㔰㔶㔹㘵愴㡣㐲㕢愰ㄴ㔲昸晥晦昳㠶㥥愴㈷㈷攵慢㝦㍦㘴改昸㥥㜳捦㌹昷扣㜳敥㝡昷㕥㍤昹㤴捦攷晢ㄶ㉦晥攷慢㥣㠹㕤摡㔶㘵戲㐶㔷㑤㙢扡戳搳㠸㘷㔳改敥㑣㑤㑢㑦㑦㜴搵捣㔴㈶㍢〰っ㕡㝢ち昹㤹㡡昶㑣㙡戵㔱搹扥摣攸挹㠰愹挲攷慢慣搴换㤰㕦㙤㝤〲㌶愲㔳㑡㉦㈷〰㤷㑦搷〸〶ㄲ㔴ㄲ攸〴㝥㠲㐱〴㔵〴㠳〹㠶㄰㔰㥢ㅥ㈰搸づ愰㙡㈸挰晣搶㠹㜳㘲㑢㘰㕢㕢㌶摤㘳㡣ぢ㉥㌴㉤ㄸ㕦㔷㔷㔳㔷ㄳ㙥慣㙢愸愹ㅤㄷ㙣敤敤捣昶昶ㄸ攳扢㡤摥㙣㑦戴㜳㕣㜰㙥㙦慣㌳ㄵ㍦捣㔸㌵㍦扤搴攸ㅥ㙦挴㙡敢㘳搱㜰㔳㕤㌸ㄲ㐹㌶㌷㌷㔵つ㠳收搹慤ㄳ攷昶ㄸ挹捣㝦㑡攷㜰敡㥣搳㍡戱㘶戶㤱晤㑦改摣ㅥ㍡愱㜲㔲扡㉢㥡敡晥て㈹慤㘰㠴敡㈷ㄹ昱ㄴ㐳㘹ㄸ㍤愹敥挵㌵㌰㍢捦搱挰ㅡ㙢愶挰攳昱㘸㈶摢㙡㜴㜶捥㌳㤲㡣㘲㔵ㄷ㝤㘶昴ㄸ摤㜱㈳㌳愴㙢昲捡戸搱㘹㘵㘷㉡扢ㄶ㐶㝢㘶㐷扢㡣㜲㈶慡扢捣戸㑤㑦ㄸ摤搹㔴㜶搵攰慥〵ㄹ㘳㕥戴㝢戱㐱㤶㡡慥愹扤愹㐴㜹戹㉡㉦昷つ搸摢换ㄸ㠹㑤捤㤴㥥㜸㙢㐷戴㈷㉢ㄸ愳㔶攷挵敢慡㈱㘲㜸㥥㔹慣㐵挱〲㈹㠶愹㉤搵㜵㤸搱搳㙤㜴戲㄰〶㙦㙣〱㤳昸挴㜴扤攳ㅣ晢㙡ㄸㄸ㌵挸㙡㍤扣ㄴ㤶愲敦㐰戰㈳㠰戶ㄳ㐰昹昸㤶晡戰㍥㠲戴㤱〰慡晣㕤㌴㍦户っ㥢㐰㔹㝢戴慣㍤㔶搶ㅥ㉦㙢㑦㤴戵ㅢ㘵敤挹戲昶挵㘵敤ㅤ㘵敤愹戲昶㈵㘵敤㑢挱㘳扦㉡〷づ㉣戳㕥挶慥户づㅣ晤挰ㄵ㤳㑥㍦晣㠴㕤㌷慦㍤愱㑥戱挵㐹搳摢〵〹㝤㔷〰㙤㌷〰摡㄰搲㜷㈷㉤〸愰搴ㅢ戰㠱㜶㑣ㅦ㝤摥㍤慤搳捥㥥戰㙥攴㑢㠱昷㐷ㅦ扣㕥戱戵㡡㠲㔱㘴摥ㄳ㐰ㅢ㑤搲昸㤶㘶㝤っ㐹㝢〱㈸昵戲㈵晦㡦㔳㌷㝥㜹㠰㜱㝤敢㈵つ㕦捣㔹㜱㘳晤㘷㡡つ㕤攴昷㈱昳扥〰摡㝥㈴㡤㙦㘹搴挷㤲㌴づ㐰愹晦戵攴捦摥搴㍥昰戰㕢敦㥥昳昳昳㜶晡㘴换戴㈷㜶㔵慣㕤㈲㕦㐳收〳〰戴㕡〰㕣㐰㕤㐸慦㈳㉤〴愰搴㔳㤶㠲摦捤㝢慢慡㝢昸〹㤳㝦㤱昹㘸昴㌳㤷㡤㌹㑤戱㝦ㄱ〵㘱㌲㐷〰戴〶㠰挶搹㍤挱㜴㌲㘸慣㕣搶㌹㌶扡㙣㔹捦搸㠴戱㍣ㅢ㕣㠱㉡㥤〹㈶㝡㔲攸昷ㄲ攳㠲愹敥㜸㘷㑤戰㉢㥡㡤㜷愰㌵〰㕤㔲愳㌷㔲㑤ㄳ㠰㔲㡦㕢㘵㙥戸晦㡤㡥㐷㕦㥣㍥昳㤲挹㔳㥥㝢攸㈷㥦㕥慥搸㥤㐹㤹〷㤲昹㈰〰敤㘰㠰㕤愷捦㥢ㄷ摣愷挷㠸㜶愶㔶㐷愵㔷つ慥㐸㘵㍢㠲戳攷㉥㍣愴㜶㕦㝤㍣㤹て〱㔰敡㈱㑢㜳攷㤰戵愳㕥㝤戹㜲捥㘹愹昳ㄷ摥㝥昶㍦摦㔴散㈳㐵昳〴㌲户〰㘸ㄳ㐹ㅡ摦ㄲ搱㕢㐹㥡〴愰搴〳㤶晣晢㌷摣㜹攵㑤㠷㍣㍥晤挲昷㙢昶扦晡晤㌳㜶㔵慣㕢㈲㍦㠵捣㔳〱戴㘹〰愳㈶㈷㤳散攸㤷ㅢ挱㘵㍤改㐴慦昴昹攲㡤㘰㍣扡㉣ㅡ㐷㐳搵愷㔳㘲〶㠰㔲㜷㔹敡㌷ㅤ晡捣㑢㔷㕥扤㘴捥扡㑤戵㔵扥搳㍦㝣㐱戱攳ㄶ昵㌳挹㍣ぢ㐰㥢つ㌰㘴敥挲㘰㙢㜴㤹戱㌲㜸㐰㜰搶ㄱ㠶㍥㠷戹㜳〱㤴晡㤵愵㉡戳㜱搳挵㙢㝥㕦㌶攷㘷㤷扥㌰散㤹㜳敦晣㕣戱晢ㄷ㔵昳挸摣〶愰捤〷㘰捤㙤搰ㄷ㤰戶㄰㐰愹㕢㉣〵愷扤㌹昸晤㈱㜷ㅣ摣昲㡢捤扦ㄹ昱挹摦〷晤㑡㜱攸㄰〵㐷㤲昹㈸〰敤㘸〰搶㥣㐶晤ㄸ搲㡥〵㔰敡㝡㑢挱㠶慡㜷ㅡ昶㍥㘷挷㔹扦㜹㌸㝡搳攷敤㐳㥢ㄵ㠷ㅤ㔱㜰ㅣ㤹摢〱戴㐵〰㔰㄰慡搷愳愴挵〰㤴扡摡㔲昰挵愰㡦昷摡㈳昵摡㥣晦晥㉡㜲搳摢㥡扥㡢攲㤰㈵ちㄲ㘴㌶〰戴㈴〰ㄵ㠴昴挵愴㜵〰㈸㜵愹愵攰挰ぢ摦㑣づ㜸㙣昶㥣㜵て㍤㜲搱挶戵搷扤慥㌸摣㠹㠲㈵㘴㘶㥢搷㍡㐹ㅡ摦搲愰㜷㤱搴つ愰搴〵㤶晣戳㤷㍣摥昸攸㤱ㄵ㠷㕤扦攵㤶㜷㌷晥㝤㔶㘷搵㌲㘴ㅦ㙥昵㐶㤳㝡愲㉢㔰㠹㜳愳㐵愸愶㤶㝦㕢ㅦ㈶㌱㑡㈶㈳挹挶㘴㕤㕤㈲㔲ㅢ慤㡦㔶戰㍦摢搶捥㤹㍤㘸㔵昲㠸㔴㜷㈲扤㐲㝡敢慡攴㤴㔴㘷搶攸ㄱ愴㍡㠹㝦收㠸㈳昸攰攴攴㤵ㄸ慡攳㘶挷㍥㍣搹㙡昴㘴㌱挴㘵㔷攵㝡晢㕤㈶㐶㌳㐶づㅤ㙢改㥥㤸敥敤㑥㘴㜶昶捥㙣换㐶戳挶挸挲扣㥣㤲㈲戱㌶っ㝦㐶㐶㑣摡慤㔰㙣㘱戴戳搷㘸㔹㤹㌲戳㜷㉤挸挶㐰㤸㡥㤵捥㥤搲㘳ㅣ敦攴ㄶ㔹搴㈲㑤㤰昹㐵㔷㘹㘶㤹㜶〵㕢㍢搲ㄹ愳㕢捣ㅢ摢㌵㌷ㄵ㕦㙡昴戴ㄹ㥣愹ㄹ〹戹搴敤㤹㘵㡤挶㘳攷㜴攳㐲㌱扥㈶㐶戹愹㜴戴搱㥤㌰ㄲ戰㜷ㄹ扣扣㙡㝥㌴搶㘹散㤰挷㘲㤶㠹㡣ㄱ㜹攴㈹改㜸㙦愶㌵摤㥤敤㐹㜷收攷戴㈴㤶㐷㌱〳㐸捣㑡㈷㡣㜲㜹昹㑣愸㝣〳〶㈸攵摢挷㙢㈸愵敥っ〷㕢㔷㈵攱㤰摥㌷戳慢ㄲ㤱搹㜳㤰㜶㌴㈳攱慡㘴攴摦户㑦㑢摣㤵㤰摣戵㝤㜲㝢㔴㔲ち敤㤴摦昰㙡收㈱㍥㠸㐳愷挱㔶㔹㌶扡戴捡㕣扤摣㡡愵慥愸㜰㘲㑥敥㍥㥣㈶㙡㥤扡搷扦捣㘵㘵挳慣慢㥦扣ㅣ昳扣㘹搱敥㐴愷搱搳攷㙤㠵愲㐵晡昱〴㍤〴ㄹ㠲㉣㐱㉦㐰挵㔹攸攳㑡㝡㤴戳ㅣ戵㔲慤慡㔸㤱㑡㘴㍢戴づ㈳戵戸㠳愲戸ㅤ愹慣愴扢㤷㘳ㅡㄳ挱扤㐸㉦㍥扦攷ㅤ㡥扥㠲㘰㈵挱㉡〰扦摦愷慤挶㝦㥦收搷㑦攰扦ㄳ〱慡敤㠹㙥搰慣㤹㝥㕦〵㈷㜱晦晥㔴ㄳ㠵晡㜴㤹搹攲搶㈳㔳搱〵扤㤹〱〳扣扣㌱㉤㥡改挸戲㈱昶㤹㈹㤳捡㤳愸昴㘴㠰慡㔳〰㘶㑦㌳㍡搱㡣晦㔳㜷㉤ㄵ㥣㥥㙥㜵㜶㑣㍢㜶攸㙡㕢搵ㅤ敦攸㐹㜷攳㑥㜰㔲㌴ㅢ㙤㠹攳ㄶ㈰愳愲㕡搷捣㜴㙢㙦㔶敢㥡㤶挲扦慡慥㜹挶㌲㈳㥡㙤㐵㌷㥤ㅤ摣㌵ㄳ户て搲㡦㑥㑦慣慣攸㌲㘷晥㤳㡣㑣㕣攷㉤挲㜴㜴㑢㉢㌵愴搰捦㔶㜵戱愳㌱㔶㘶愹㝡㘰搷摣㈸㙥㌱戲㍡㤸挶㡡㤴㤹愲攴㘰愱搹搲㝥ぢ㠳㠶㠰㈴㕤㕡〶〹挱搴攴㘳捤挱〸㡡㌱戵摣㠲㠵㉤㘸㐱㌶搵㤹愹戱摣㕢㌳㈹㡤㕢㐸㐳敥㠵改㜶㑤㐳〵搳晡っ㔶㘱㐳攷㍤挶㥣㜸捣㔴ぢ㔳愶昶愴㝢㤷㜱㤴晣㑦改愱㉥㥦扥〶攰㘷㝦㕤㜷搰㤸慢㝦昵慤昵晦ㄴ㌴㈱㜹改扣つ搱㔹摦㠹攲㥦扣昴ㅦ攲㥦扦慦扣㡡㤱攰昰散㘹㑢摣づ愱搵攱搶㄰㔷㍢扦挷㤰晢扢㑡㐱㔶㉤㌳〶㜷ㅤ㤱敥㔹ㅡ㑢愷㤷㌲昸㐳〴换㜴ㄸ㐶㤶㌷㑤㠳慣㝢㐴愶㤵㔲〳〶攴摤ㅤ戹敥慥㜸扢愵晤ㄸ㘰㜰㑢㘷㘷搰搶㤸搱捥〴㘹〰㐶ㄴ敤㈷㐸㡣㥥㙡愴㌱昹㙣㤷扢扦㜶づ㑤㥤敤换戱㐸㄰㘹㥦搵搲㌶㝦昲扣㥡㈳㘷戶ㅤ愹㤶挳ㄳ扣〱晡㐹摢㝤㥢扦晣换㘱搳㝥昲搶㌵换捥㜸昱攱㐷㔵慦㤵㔱㜴㙢挵㍢㉡戹戳㍢〷〹晤㕣㠲昳〸㝥㑡㜰㍥㠰㑡㐳㤴晤搶㈱昰〳敦㘳㜲扤捦㕡昲㕣㐸㜰ㄱ〰㝡ㅦ㠹〶㍡㥦㑢㐸㘳攷攳昷㈹摥慤戱挳搱㉦㈳戸ㅣ㐰敤づ挰愶改搳慦〰㈸ㄹ㕦摥攲ㄵ挷昷㙡㔰晤㝡ㅦ㜹㉡〸づ挶㔸愷㑦㜵㝡㔱愷〷搵戱㤶て㡡㥣㜳㡣㤵㔱㜴摢㌸ち㘲攲㥣ㅢ愹攴㈶㠲㥢〹㙥㈱㔸〷愰ㄶ㔸捥昹ㄲ晦搹ち搷㘰愲㝢戹昴㤴敢挹昳㑢㠲㕢〱㕣捥戹つ愸㜶㍢㐰㜱捦慣昶〴㔹㥣戵〱〹晤づ〰㌵〶挰㜴搶㥤㐸㤵㜴搶㘸ちㄴ㌵㠶㝢㐰昵敢㝤攴愹扤挰攱攵慣㠹愵㥣搵㘲㘵ㄴ摤㈳敦〳㑤攲慣摦㈲愱㍦㐴昰㌰挱㈳〴ㅢ〱搴㐱㤶戳攸搶っ㝡慢㕣㑤㝡㡣㍣㡦ㄳ㍣〱攰㜲搶㤳愴搱㔹愸㐹晢攲㥦㌸㘷ㄳ㠹㑦〱㈸摥㝢㥢捥㜹ㅡ愹㤲捥搹㡦〲㐵捥㜹ㄶ㔴扦摥㐷㥥ㅡ〷づ㉦攷散㔳捡㌹㝢㕢ㄹ㐵ぢ〰㌵搰㈴捥㜹㠵愶扣㑡昰ㅡ挱ㅦ〹㕥〷㔰㝢㔸捥㤹㡢ㅡ㐴㙥㍡攷㙦㌲挸扦㐹㥥户〸摥〶㜰㌹攷ㅤ搲㉣攷㜰㑤㐱㥣昳ㅥ㠹敦〳愸㍡〰搳㌹㥢㤱㉡改㥣㕡ちㄴ㌹攷㐳㔰晤㝡ㅦ㜹㉡〴づ㉦攷っ㈹攵㥣挱㔶㐶搱攲㐶ㄸ㥡挴㌹㥦搱㤴捦〹扥㈰昸〷挱㤷〰㙡愰攵㥣搹㐰㙥挸慢㌹㕦㤱攷㙢㠲㉤〰㉥攷㝣〳㔴攳戰愰㔹昳ㅥ愵㈲挰挴㐷㍥愸搰㌹㔲慡㐶㤰㑣ㅦ㤵〱㉤改愳〶戰ㄵ晢愸〲㈲㝥扤㡦㍣搵〴㌹㉦ㅦ㝤昶㑤㠹㝥晡敦㔶㐶搱㘲捣㠱搰㈴㍥ㅡ㐲摢慢〹〲〴摢ㄱっ〵㔰ㅦ㐳㤴晤昴㜳攰っ愲昲攴㕡搷㜰昲㙣㑦戰〳㠰换㐷㍢〱搵㐶㄰㤸㌷㈲㘸㘴〷㐱㕡㝣㌴㤲晣㍢〳愸昱㈰㤹㍥摡〵愸晤戲㝣㜵ち㑡㤴㤷㝥㌰㜲㡡㝤戴㍢㐴晣㝤攵愹㐳㈰攷攵愳㔷㑡昹攸㘵㉢愳㘸㔹㘹〲㌴㠹㡦昶愱敤晢ㄲ散㐷㌰㤶㘰ㅣ㠰晡㕦换㐷㤳㌱㤶㕤〴㐲捥㐷㌵攴㌹㠰愰ㄶ挰攵愳㄰㘹㔶㈳㙢㐱〱攲㥣㌰㠹ㄱ〰搵ち㤲改㥣〶愰㈵㉢搰㐴戰ㄵ㍢愷ㄹ㈲㝥扤㡦㍣㌵〹㜲㕥捥昹㙤㈹攷㍣㘸㘵扣㕦戸㘶㌶〵㥡挴㌹ㄳ㘹㝢㉢挱㈴㠲挹〴㔳〰搴㝤㤶㜳㔶㠳昳㈹㄰㜲捥㤹㐶㥥改〴㌳〰㕣捥㤹〹㔴㥢〵攰㌱㤶㑤㠵ㅡ㜱搶㙣ち捥〱㔰搳㐱㌲㥤㌵ㄷ㘸㐹㘷㑤〳㕢戱戳摡㈰攲搷晢挸㔳㌳㈰攷攵慣ㅢ㑢㌹敢〶㉢愳㘸〵㜰㈶㌴㠹戳㡥愵敤㍦㈰㌸㡥愰㥤㘰ㄱ㠰晡㤹攵慣㤳搰㕤户㠳㍢攷慣ㄸ㜹攲〴〹〰㤷戳㤲愴搱㔹㘸㘶戳㈰㈲捥改㈰㌱〵愰戸㥣㘸㍡㘷〹搰㤲捥㘱ㄷ㔸散㥣㉥慡搵晢挸㔳㜳㈱攷攵㥣㜳㑡㌹攷㙣㉢愳㘸㑤㜳ㅥ㌴㠹㜳㤶搳昶ㄵ〴㉢〹㔶ㄱ慣〶㔰㍦戲㥣戳〲捤散愷㈰攴㥣㜳㈲㜹㑥㈲㌸ㄹ挰攵㥣㌵愴㔹㔳挶㌶ㄴ㈰捥㌹㡤挴ㅦ〲愸〵㈰㤹捥㌹ㅤ㘸㐹攷捣〷㕢戱㜳㝥っㄱ扦摥㐷㥥㕡〸㌹㉦攷昴㤴㜲捥昱㔶㐶搱㝡敤㤱搰㈴捥㌹㥦戶㕦㐰戰㤶攰㐲〲㜶㌹㙡愹攵㥣㍤㔰㜳昸捡㌹攷ㄲ昲㕣㑡㜰ㄹ㠰换㌹㔷〰搵慥〴昰㘸㘶㐷㐱㠵㌸敢㉡ち㕥つ愰㡥〱挹㜴搶㌵㐰㑢㍡敢㘸戰ㄵ㍢敢㍡㠸昸昵㍥昲搴戱㤰昳㜲搶㤱愵㥣㜵㠴㤵㔱戴㌶㝤ㅣ㌴㠹戳搶搱昶㕦㄰慣㈷昸㈵挱慤〰敡㜰换㔹㔳攰慣捡扣㐱敤㌶昲摣㑥戰〱挰攵慣㍢㠱㙡㜷〱㜸㌸㡢㉤㔵㥣㜵㌷〵敦〱㔰㔱㤰㑣㘷摤ぢ戴愴戳ㄶ㠱慤搸㔹て㐰挴慦昷㤱愷㘲㤰昳㜲搶㈱愵㥣㌵摥捡㈸㕡㠷㑦㐰㤳㌸㙢㈳ち搵ㅦ㈵㜸㡣攰㜱㠲㈷〰㔴愳攵慣摤攰慣㠷㐰挸搵慣㈷挹挳㈵㈳㝤ㄳ㠰换㔹㑦㤳挶㥡㠵㍥挹㐰〱攲㥣㘷㐸㝣ㄶ㐰㉤〶挹㜴捥㜳㐰㑢㍡㈷〹戶㘲攷扣㐰戵㝡ㅦ㜹慡〳㜲㕥捥ㄹ㕤捡㌹㝢㕡ㄹ㐵㝢っ㑢愰㐹㥣昳㍡㙤㝦㠳攰㑤㠲户〸摥〶㔰扢㕡捥戹〱㥣㥦㠳㤰㜳捥㍢攴㜹㤷攰㍤〰㤷㜳㌶㤳㘶つ晤摣戶㄰攷㝣㐰攲㠷〰慡ぢ㈴搳㌹ㅦ〱㉤改㥣㑥戰ㄵ㍢攷ㄳ㠸昸昵㍥昲㔴㌷攴扣㥣攳㉦攵ㅣ摤捡㈸摣㐰愹㌸ㅥ㥡ちㄷ㠴㘴晦搷㔹㕡㜶㉤㕡て〱戳㤶㕣搰㥤捡㘶〶㈵㕢㝡戳改㈹愹散愴㑣戶㉡〹㠰愴㠸㡣㤴㔵㔸㤷搰搸攴挲㤴戱㘲㍥㤶㐴㜶㉦捥挲搶㜸㙢㙦㈶㥢㤶戵慥摤㡡昳㈷愵㘷愷戳㤳㔲㤹㘵㥤搱㔵愳㍤戲捤㥣㈳㍡㡣㙥㙣ぢ昴㘰㜷㘰㙢㑣改㘵换㡣㠴㠷㡤㙤改摥㥥戸㌱㝤搲昷㘱㘳㐱㤹㡢㜶㍥慣ぢ攱㐶㐴㡤㈹扤㤰敥昲晢㌰挴愶っ㙢㐹敡扢慤㑢㙢㕦愲搲つ挰搶愵㑦晦㈷㔲㍥㤴㡢敡慥㝦挵慡㠸㘵攱㥥慤㔶ㄳ搷㜶挵㈰㌰晢㤳〸慤㐹ㅢ㙣敤㠷㑤敦捥愴ㄲ㠶摦挲㘶愵扡㠷㔸挹㌹扤搹扣㥣攸捡㘱㔶づㄶ扤收㜴㈳晣昱㘸㑦攲晢㄰ㄹ㕣ㄸ㕥㘶㔸㤴㠶扦敦收㙣㔳㡤捦昷愹㝤㈸改搳㔳搰攰扦戶㝣㥤㐱戶攷ㅡ愴搳㈴㤱㜰敤昶㜰ㄷ㜷㌰摤敤㤰㉢㠹捤㌲愲摤ㄲ㠵戶㙣㘲㤲戱㝣㠸㜰ㄸ愸攴㌸㤵搲㘹っ换㐷㘵㈹㕡㑦戶挴㌲改捥摥慣㌱挴㐹㐹㘳搷㤳昳㡣㑥散攷㉦㌷慡㥣搴摣㜸ㄶ㝢㥢㡥㍥敥捡㝤㝦㈲〴㡦㤴㕢㔱㔲ㄲ㈷慤㡦㍥㉥晦㈲搸㡥扥㘳㔴ㄱ扦愴扣晥㜲愸扡攲㜲扥㙥㌹搴㘷㈷晣㝣昹㉡戲㔰扦敤㕢㜳㙣㐹挳散ㅤ㘳戳㤷㤳づ慣捡愶㜱㔷㙣㜰㔲晡㍥㙣㝤昳㐰㔲㌵㥢㑥㈷㑥㡢㘵㔳昱㘸㘷攷慡㈱挹改㌸攳搱㥢㌰㘶㐶㘳㐶愷摤㙦愷㝢㜰收攳㝢ㄱ慦㜲昶㌶㘶慣晡昰㡢戵㕦㌹ㅤ㘷昲散㡤挰敦摣搵㘱㌹〸㘵捡戰ぢㅤ㝥晤ㅢ慢摤昵挲㤰㝦㝢ㅦ搴て愱愱戹㕤㝣㌹攷㠵慥慤㠸挴㍥㡤㝢㐲捥㔶慡戴㌸ㄷ摢捣昴捣㌴戶戹ㄳ㉥搲戴㤴㐹晡㕥挴〹搷㘹㠶㐹搳戴敦㍡挸㔰〷㝢㍤敢晦㈹搶晦㐳㌹挶戰㜱慣〰愱㜰㌷挹㌵ㄹ㤱昱㕦㍡挱〰ㄸ慢搹㠳㤹㤳㠷昹愹㙣愷㌱㈸㈹昹㤲慥㘴㤳愰㌷〷㈶攷㜷㘰㘷㘶搲攰攴搴㥥㔴愲㌳搵㙤㜰㈲㠲㘳ㄷ㍣㕢㌷搳㔸㡣〳〲㜳搳㤹ㄴ㡦㉡つ㑥捥敦㠹㜶㘷㤶㜱〳㉥扥㙡㘸ㅥ㈶挱慡㐸㑥㑣㜵愳〱㤹㘵㌲㕤㥤㙣敢㐸慦挰ㄹ搲摥慥敥愹搱㘵㤹敦㐵愰搸㥥捣㤷搹慡捡㔴㔹㤹慡㉣慢晣慥㘳㤵挶㐱㙡攷摣昱㈹晢戸ㄴて㤷㈵㔳㐶㈷敥㍤挰挰ㄵ摦㌲〲㉢㤴㉢㤱敡愳㍤㌳㡡搶昱つ戶㘷摡㥣㜷挲搲㜳敦搸㌹愰换㍥㕡昷攱㤶慦㑡〱捣㤸扡㘰㝡敥搰捦晦敢㝣㙣挵㉡㘸敥㘳愸㤰㙡攳㥣㌰搸ㅥ捣㐳捣慡㐴ㅡ㙢㤶㉥㌵㠲㔸㘱昵昴㈷㠵㠷㌵ㄵ愳㉢搹㤹㥣㠲扤摦㉡㜴っ攸㥡戱㘷㡥㍥㜹㠸㠹㜰捡搷ㄵ敤捣㔸㜹慤改慥慥㈸慢ㅥ慢㙤ㅢ晡㜵愳㔲收摦攸㘹昴㈴㠰搴㑦㡢ㄴ㕤〹㔲㜴愵㤰㌰㕣昳搴㤰愴愹㉢扤㌸摡㠳昳㜸㕤愹㜸㈵ㄱ㥥散昹㕥搴㔹㔴愱㜲㌸搳㝥㐹挵挵㘴戶㜰㝦摥摣㔲㐶戸㙢㜰㝦㐱搷㌱晣愸搹㘵㌲挶慢敦㜸㈴〳搵㔷攷散㔷ㅦ〰㙤ㄵ昸㘰扢㥣ㄵㄲ㉦搷〴つㄴ改愴搴〹愰㌳㕢㉦〷㉢ㄳ晣㤴㥦〴搰攷㉥昹㐰㌰昸㘷愶愳㠹㈹搱㌸㑥㜴て戴捥㜳㔷㈲戴散㜲㝡〲㍣ㄹ搱㡡扤㕢ㅣ㔷㕡㡥㜹㜲㑦㈵〹㙤㌸㜳㔰捥㌳ㄵ㥡ㄹ㐳昶挱扥㡡㡡㐱㤵㕥㘵㑤户㜵㡤戶㜶㤰摤愷摢愷ㄷ改晦攸昰愶㐳㜹戵㝥㍦㔷㥢㜴㕥戹慥昱㥡㑥〶捡敢㈹㘰ㄸ㐸〶㉥戴㔴慣㐱㘶㘱㉢㈹㜹㡡㠰捡㉢扡㜸扡愱戲㡢㤷㠳改㠸㠶㌳て㌸㈵〱㤷㘸㠳㉡㌹ち攸㍣㔳晦搴愶㑤摣㑥昰愹ㅦ〲搸攵敦㡥戴摦㑦攷改㝥㤶㍦〸㐰㥤〳㤴㌷慥㕡ㄵ慤㔹㘵㐴㝢㌲㌸㑤㡦㌴㘲㈱户㉤㐳㤰挶㠰愲捥〵㠹户㉥昶换ㄵ㑦㑣戸慢㉤慥昳㤰捤㐹㌷㈳戹戵〹㥣攲收㌷㈷㜱搸㘳㠱㜸㙥ㄶ㌱搴㔲㜶㍥戲㌸㤳㌰㕦㈵挷㍡戵ㄶっㅣ敦㝣摡㌰㐸敥㠴愸换愱㔴㥣㑦敤㑣㈵つ㜶慥搱㑣挶㐰㐹㌰慡愰㜳㔵ㄷ㐲㡣ㅤ慣㍥ㅣ愲敡㈲愴搸㙦㠱㔳愷㐳昴ㅤ〰戶㕥㡦㉦ㄱ〹戰敦㐸㈵ㄶ愲㉥㐳挲昶㍤攸㜶攵搸㠹㝡㐷㤰昱㜲㙦㠶㤱㘴搸㤹っ㔷㠰㘱つ㍥晡㉥挰㥣㤸㕥敤ㄲ㜳挵㜴㔷㡡敤㐶戱ㅢ挱㈰㌱摤ㅤ㔸昹攸攰慣㔹㌸戹㡤㘴㤹ㄵ搲㍤㤰㘶㐸㙦〲㕦改㤰㡥戲戸㙥〶搷㌶㠷㤴㕢昶㘶㐸昷㠴㜸㉥愴㘳㉣㘵敢㤰㥦ぢ㈹㄰㜹㝤㝡捡㔷㌳㘶㝣㌳㜷慦搷づ㘵㤵愳㘹敢㐱㌷㐳扡ㄷ㈴㠳㤸㔸㘴昷捦㐶㔷昲昴㜳㜰㐲㄰愰㉥㌴㘶㕣㄰㈳㕦㑤㌰㔴㕢搷㈸㕥㉦っ敤㉦愱㐳㐲扢㌷㔴愸㕢㠱搹愱愵㕦昴㝤〱戶ㅥ摡摢㈰挶㠸敡晢㔱㠹㠵愸つ㐸㜸㠴㜶㉣昵㡥㈳攳ㅤ摥っ晢㤳愱㠶っ㜷㠲㘱つ㍥晡〱挰㥣搰摥攳ㄲ㜳㠵戶㤶㘲㜵ㄴ晢㉤ㄸ㈴戴㈱㘰㔶㘸敢㤱㠴㘹搲㕡挳㐸搳㝦て㠱㔴㍡戴ㄱ㡢敢㘱㜰㙤㜳㘸ㅦ〱戳ㄹ摡〶㠸攷㐲摢㘴㈹摢㠸晣㕣㘸㑢户搶挷挰㘷㠶戶ㄹ㤲攳㕡㝢扢㙡㠲㔳搳昸㔶㔰㜷ㄷ敥愷㠳昳愳㑢つ㠴㜸㜱ㅡ㈷散ㄳ㔸慥㘰敦ㄶ散挱㤱摣㘰敤ㄸ㕥㘶㔱ぢ㝥ㅣ晡㈴捣〷㐲㥤㝡〲㤸ㅤ㘶晡㐸㍦ㄸ㘰敢㘱㝥ㄲ㘲ㄲ收昱㔴㘲㈱㙡ㄳㄲ㜶㤸㐹戴扡昷㐳愸㤷晤扤㝡捡㥢㘱〲ㄹ㕡挸昰㌴ㄸ搶攰愳㑦〴收㠴昹㔹㤷㤸㉢捣慤ㄴ㥢㐴戱㔷挰㈰㘱㥥っ捣ち昳ㄴ㈴㘱㥡㠴㜹㉡搲っ昳慢㈰㤵づ昳㌴㡢敢㌵㜰㙤㜳㤸晦〸㘶㌳捣搳㈱㥥ぢ昳㘱㤶戲搷㤱捦㌰㝦晣挹扢㔷㡤搸㜰摡㙦㤱昴昹㠲㈷晥昶㤲ㄷ扥㌹晡㜷攱㘷づ挵㙤愰戴攰㌷㐱㌶挳㍣ㄳ㤲晢㘰ㅡ㤵敡敡敤攲㜷㈸搲ㄹ㝣捦㉡戸て㈶㔳㔶㜸㡤〴扥㌸㤰改㐸㜶愶㔷攰昰㠹㐷㠸摦㠲㉥〹昱㉣愸㔲㙦〳戳㐳㑣晦攸㜳〰戶ㅥ攲㜷㈰挶㈰敡㜳愹挴㐲搴㝢㐸搸㈱〶摤づ昱攱搴㍢㡦㡣敦㝢㌳戴㤱㘱㍥ㄹ㌶㠳㘱つ㍥晡〲㘰㑥㠸㜹戰挳搶扢〷搲搶挰扢㤰㘲㐷㔰散㌳㄰ㄹ㘲昱㌰扥㜲〰ㅡ慣㤲攸ㅥ㡤㌴愳晢㌹㐸愵愳㝢㡣挵昵〵戸戶㌹扡晦〰戳ㄹ摤㘳㈱㥥㡢敥㜱㤶戲㉦㤱扦㉤㡤昸㉢昰㐹㜴攵㕣〶㉤㉦㙡㤷㕦㠳㐵㠲戶〸扡搵ㄶ㘰㜶搰㔶㈳慤挷㐰摤㝡搰扥〱慢〴㉤㑥㈵ㄶ㐲㌷㌹捥〵捤づ㕡〲㍣扡㐱㐶㑥㍡㙤敦扢ㄸ㤲㘴㔸㑣〶っ㠵㘶搰㍡㠰㌹㐱攳㐹ㄳ㕢㙣㐷搱㍢㄰㔰㑦㔱㙣〹挵㠶㠰㐱摡攵㔲㘲㘳㝣㝡㈷晥挳ㅡ〹㕢ㄷ搲っ㕢㌵㤸ㄸ㌶晣戳㕥㔶㑡㤶㈶扢㉤慥〰㠸摢ㅣ㌶ㅥ㍦㌱挳㤶㠶㜸㉥㙣挷㕢捡㠶㈲㍦ㄷ㌶扢㔸㤴㈷慦㑦㥤㘱㜵㌸昸捣戰ㅤ㉣㌹㐰㐳㐸㤴ㄱ挰㜶㕡扦㍤㘸ㄲ戶っ㜴慢ㅤ㠰搹㘱攳㌵敢摣捦搹㝡搸㜶㠲ㄸ摥㍥㝤㌹㤵㈰㈱ㅦ㥥㜵戱摤㙢ㄶ㈸戳攵ㄵ搴扢㤲㡣㍢㝢㌳慣㈲挳㙡㌲散〲㠶㌵搴㝢〲㌰㈷㙣扢扢挴㕣摤改㠹ㄴ㍢㠹㘲晢㠰㐱挲㜶㌲戰昲昹㔸晤昳改愷㈰㘹㑦㠸搶㈰捤㙢攷㔹㤶搲つ敥㔴㡢㙢㍦㜰㙤㜳攴㜸㈸挶㡣摣㘹㄰捦㐵敥㜴㑢搹㌸攴攷㈲㜷挸〴晡〵㌷㑢愷㍣㜸㘵敡㤹㐳昷㐰㜷㙡㠵愵〶㝣ㄲ㌹敤㐷㤰慣㤵㔱㔳扥挵搱㤳攲ㄷ慥慣㙦㘲愱㈷攵㐸ㅡ㌴㤶攳㍣戴㝣㙢㉣㠸㠳摥愹㜴㐲㈲㔰ㄸ敡〳愰㔳㐲㝤〶㔴慡㕡㘰㜶愸改㈷晤㑣㠰慤㠷㍡〴㌱扣㜱昸㤳㑡㤰㤰㑦ㄸ搰づ㌵攸戸〸〹昵㔹搴㝢㌶ㄹ㈳摥っ攷㤰攱㕣㌲㌴㠰㘱つ昵㥥〷捣〹㌵㡦昲搸㝡㠳愲㔷㕡攸㑦㈹㜶㍥挵㈶㠲㐱㐲㝤〱戰㑡㙣挲ㅣ挰慦改攱㜴〰㔰㤸㈶つ昵㐲愴ㄹ㙥㥥捥㈹ㅤ敥㡢㉣慥㐹攰摡收㜰昳㤸㡦ㄹ敥㡢㈱㥥ぢ昷愵㤶㌲㥥〰捡㠵ㅢ㈶挹慢㘶挲㝤㕤㔳㌶㑦㝡敦ㄵ㘷昴㥣〶㍥戳愱㑥ㄳづ愰㠵搱攳㐱㈱㠹摥攵搰慤㘶〰戳愳挷㑢搷慦〴搸㝡昴㘶㐲っ㙦㥦㝥ㄵ㤵㈰㈱㥦搹㠰戶㤷㔹扣ㄵ扤慢愹昷ㅡ㌲捥昱㘶昸ㄹㄹ慥㈵挳㕣㌰慣㠱愴㝥ㅤ㌰㈷㝡㍣㕢㘴敢摤㐵昴㑡昴㝥㑥戱敢㈹㜶㉣ㄸ㈴㝡晦〵慣㤲㜷㉥〷挸㍥摡つ㐰㘱㥡㐴敦㐶愴ㄹ㍤ㅥㄷ㉡ㅤ扤㥢㉣慥攳挰戵捤搱㙢〷戳ㄹ扤㥢㈱㥥㡢摥㍡㑢搹㈲攴攷愲㔷㝡㡡ㅢ〳㥦ㄹ扤搹戰㥢㤶ㄷ㐵㡦㈷㤷㈴㝡敢愱㕢㈵㠰搹搱攳愵敢户〲㙣㍤㝡㍣敡㠴户㑦晦ㄵ㤵㤸〵昹㔴〷㔲戶㤷㐹戴愲㜷ㅢ昵摥㑥㐶㥥㠳昲㘰搸㐰㠶㍢挸戰〴っ㙢愸昷㑥㘰㑥昴㜸昸挹ㄶ摢㔹昴㑡昴敥愲搸摤ㄴ㕢づ〶㠹摥㍤挰捣つ搰㝢㤱㠲㘵ㄲ戸晢㤰㘶攰㜸㤴愹㜴攰敥户戸㔶㠲㙢㥢〳挷㌳㔱㘶攰ㅥ㠰㜸㉥㜰扦戱㤴昱戸搴戶〴敥㐴昰㤹扤散㝦㐳㌲戰㘰ㄹ㌷㔳㠳换搲昸昶㕢㌶ㄵ挵㌱〲攴ㄷ戶㐳ㅥ戳㤲㐸㍥〸ㄱ㜵㌲㌰㍢㤲㜴㠳晥㄰挰搶㈳戹〶㘲㜸攳㉣㌷㤵㠸捦昰晦㌴愴㙣㡦㠳㙥㐷昲ㄱ敡摤㐸㐶ㅥ摡昲㘰㜸㤴っ㡦㤱攱㜴㌰慣愱摥挷㠱㌹㤱攴㐹㉤㕢㙣戴攸㤵㐸㍥㐱戱摦㔱散㝣㌰㐸㈴㥦〴愶㡤㐶㈳攴㤰昹㝢㈰㌰㑥㠲戹〹㘹〶㤳㐷慦㑡〷昳㈹㡢㙢㉤戸戶㌹㤸㍣挳㘵〶昳㘹㠸攷㠲昹㡣愵散㈲攴攷㠲〹㤳攴㌵㝤㐲攷㕢晢㥤㌹敦摣户㥣㍥昴ㄲ昰㤹挱㝣ㄶ㤲攳戸晤ㅡ㥣㙦挴㍢扡㔳㔸昵つ戶㘲㐹愱昰㈶〴㈴戹㔴敦扢㄰ㅥㄹ㤳㐰㍦〷㜵敡㌲㘰㜶愰改㈵晤㜹㠰慤〷㥡㘷捣昰昶改㉦㔰〹ㄲ昲戹ち搰づ〸攸㜶愰㕦愴摥㍦㤰㤱〷捥㍣ㄸ㕥㈲挳换㘴戸〶っ㙢愸昷ㄵ㘰㑥愰慦㜳㠹〵㐵慦〴晡㔵㡡扤㐶戱㜵㘰㤰㐰晦ㄱ㤸㌶㉢ㅢ㙣㥤ㄳ挲㐹㜹㈰㌰㑣〲晤〶搲っ㌴㡦㡤㤵づ昴㥢ㄶ搷㝡㜰㙤㜳愰㜹晥捣っ昴㕢㄰捦〵晡㑦㤶戲㕢㤱㥦ぢ㜴改敥昶㌶昰㤹㠱㝥〷㤲㤱挹㤹㉣ㄶ晣㜱㠰㠵ㄷㄳ㌴扡㔲ㄹ㍥愴㈲ㄳ㡣挶㠴昸㙦㑣㤰㜸敥㑤㈲晥㉥昴慡つ挰散㠸搳㕤晡晢〰㕢㡦昸㥤㄰挳摢愷㙦愶ㄲ㜱㉣晥摦㡤㤴㐷㐰晦㑣扤ㅦ㤰㤱愷收㍣ㄸ㍥㈴挳㐷㘴戸ㄷっ㙢愸昷㘳㘰㑥挴㜹㔴捥ㄶ摢ㅥ戹搶㝤攷㕦㈸昶〹挵㌶㠲㐱㈲晥㈹㌰㝢挱昷慦㐸摢〱晦ㅢ搲っ㌸㡦扥㤵づ昸摦㉤㉥㥥㡤摢收㠰昳っ㥤ㄹ昰捦㈰㥥ぢ昸ㄷ㤶戲㈷㤰㥦ぢ㌸㑣㤲㔷捤㠴搴戵愷㌷㕥㜱攰晦㌸㉤晢㐹昰㤹〱晦〷㈴㐷捤㡤慥摡㍦摤㥢つ㈲散㔸㔷搸收㔵〵ㅥ搴㤳攸㝥〹㈵㙡ㄳ㌰㍢扡㜴㡤晥ㄵ挰搶愳晢㌴挴昰挶㤷㈳愸〴〹昹㍣〳㘸㐷〱㜴扢㍤㙦愱摥㝦㤱㤱挷晥㍣ㄸ扥㈱挳户㘴㜸づっ㙢愸㤷摦改㜷愲换戳㝥戶㤸敢㑥㐷㠱㐷㉦〳㔰慦㠳㐱愲㡢扤つ㝢攱愸ㅣ㐹㍢戸㝣㜰ぢ㠳晢〶昸㑡〷㔷戳戸摥〴搷㌶〷昷㉤㌰㥢挱ㅤ〸昱㕣㜰昹㌴ㅦㄶ昹㌶昲㜳挱㉤摤㥡摦〱㥦ㄹ㕣摥㌳散㡤戵摥挹晣戶扡㜵㥦㤳挱㠶㕤㈶㤸户〴㕣㝡〵㤸愷つ㈵挲㠳愰㐹昱搸愱ㅤ㘱扡㐷ㅦっ戰昵〸㙦㠶ㄸ摥㜸扣㄰㤵㠸㉢昱晦〳愴散㐸㈰㕥㜶㠴慢愹㌷㐰㐶㥥㕤昴㘰搸㡥っ㐳挹昰ㄱㄸ搶㔰敦㌰㘰㑥㠴㜹㘰搱ㄶ㜳㐵㜸㌸挵戶〷愸攰㤱戲㙤㍢挶挶慥㍥攰㍡㕢挸㑤搵捣㜶挹挳㝢昱㐸㤱散慡㌹㌸摣㤲㈵改晢戰㙢㔹㙥ㅥ㌱㉡㝣㑥㐴晥㈳㜶㜰㐲㑦㉥攱㤸ㅦっ挷㤵ㄵ晡㈰㥦搷扡戶っ㌹扦摢ㄱ㈴㝦挵〷㕢扥晤㜶摢㑡㐱㐸㝣〳㜹换㙤戴户晢㉡㔹㈶㈲㠵㕤戱ㅤ昱㡦㔵㥦㐷晦挸愳敦㐴扡昵㔲㍣愴㔶㐴慤搸〲㔲ㅦ扢晤〵愷㜷㈸㍦㉣户㌷挹㕤攸戱㥤㝣敥㤶搷愶㘶晥愶晦〸搸愲扥昱戲㐱昹搸〳㐱戳扥㌳㜹㤰攰愷㘲〰愸㕢摤㐶㉥〷㈷捥㈵㘲㐳戹㉤扢慡ㄳ㥢昸㑣昲㙢扢㘶㡡扢㤶㘶㌶㡣㑥昷㤴攳㝣㘶攱ㄷ昵ㅤ搹㘵㔰㌵㘸㜸挱㠳ㄱ㐴㡣㌹ち搶㔴扣㠳㄰㤵㤴愷搱戹愸㔰㠶㉦㙤㔷㕣搳昰㔹愹㜸㑦㍡㤳㑥㘶㠳㙤㌸愸ㄲ攴愳㌲㜰㠲扡戶愵攲㙤㘸昴㉣㤳ㄷ㔶摥捤挷㑥㐹愰晤㑢扢搳㉢扡挵㥡㡡っ㥦ㄸ㈲晥ㅡ㌸㤰挵昰㈰㤳扣昶㠴攳〲攵㌰㤴挲晡敥㈸㜸昰㠰〰㝢ㅣ扣㝤㕡㄰昸㤸搶㠹慤昳摡敢ㅢ㈳戱㘴戸摥㠸㌴挷㘲攱㐴㙤㝤㜳扣愱慥㈹搲ㅣ㑦㐶㈲つ㤱㘸戸㑥攳㤷ㄸ㑣㔶㈳ㅣ㡡㠶攲戵挹㐴㌲㘴㠴㈳㐶㘳㌴搶ㄸ㙥㌶ㅡ攲搱㘴㜳㙤㘳㝤㌴ㄴ搰㉣昵晡㈸挸攸㝢〲〴〶摡愴搱㈴㡤㈱愹搲㈶㌹㕣搵㍡㐸戴㕣ㄳ搳晦㠳㈰攰㠷㘶ㄴ敡搳昶〱ㅣ搲㍡戱摤㜵㘴㐵摢ㄷ戴㉡搰㘴㔳㝥ㅥ㥥敥愱敤〷捡㜶愰攴㍦晢㉢㌰挸搲㤲㝢㐲㤶扥㍦㌸搵㘰搰搹㈹晡搵㜳㠸ㅤㅢ㉤愸㘸㝣〷攰ㅦㅢ摦㄰攴㑢㜰昲ㅡ㕦戵㈷㌵〰㉡ㅢ愰㕥㐷捤㐳㍤㜹㠶摢搴㝡昲愰㈸昹散〰㉡ㅢ㠸摡〴〳㔸㉤改㐰㥤㜵㡤搵㑡㍤〹ち慢㔶㝥搵搸ㄱ〲㔲㌵ㅡ挱㠷慡戱ㄳ㜰扣㝤㕡ㄳ㜰㉢摥昵戱㔸㐳扣戱㌶ㄶ慢慢つ㠷㡤㔰㌴ㅡ㠹㈷愳㤱愶愸ㄱづ㌷挴㐳㡤㕡戳挳ㅡぢ㌵㠶敢ㄳ㐶㙤㈴摣ㅣぢ挷挲挹㔸慣戹慥戹㍥㥣㙣㠸㠴ㅡ攳㡤㜵戱挰〸㑢扤㝥㈰㘴昴㠳〰〲㈳㙤搲挱㈴㡤㈷㘹㘷㥢攴㜰㔵敦〲㔲晦㔴㡤㕤愱ㄹ㠵晡㜴㔶つ㥤㜵㐱㘷昸〳扢搹㜴㉥ㄳ挹愳挸昴挹愰慢㈰攸㘶戰敦㠷㌷㜳挱㥥㡡㑣〶㝢て攴㑢戰愷㠱㠰户㝣搴㈸㥢㥡㔷〵昶〴㔵㠲㍤㠳㥡挷㜸昲散㙤㔳㘷㤲〷晡攴戳㉦愸ㄲ散㍢㘰㐴㜱戰㙦昷っ昶㝥㄰㤲㘰昳慢挷〸昶㔸攰㜸晢戴挳㠱㥢挱㑥ㄸ㤱㠶㜰㝤㘳挸㠸㐴㐲攱㐸㐳〸てㅢ㙣㙡愸㡤挶㥢昱搸挱㜸搸愸搵收㌹慣㌱搴㠸愶㜰慣㌶搲搸㔰〷㤱㘴捣〸㌷挶㥢㐲つつ㐶㙤㤴㡦㕦ち㡣戳搴敢㙤㤰搱攷〳〴昶户㐹ぢ㐸㕡㐸㔲㡤㑤㜲戸慡て〰愹㝦㠲㕤ぢ捤㈸戴㈸搸㜵㌶㝤ㄴ㌳昷㈴㌸づ㝣慡ㅥ㜴㌳搸搷攵〵㝢ㄱ㌲ㄹ散㌰昲㈵搸㔱㙡戵㕥㉡攲㐹㙤〰㔵㠲ㅤ愳收㈶㑦㥥〳㙤㙡㠲㍣搰㐷戵敡㘰㔰㈵搸㔷扡㠲慤㈵㤱㔷㜲ㄴ㔱㤷㝢搶㠰昱搰㈴㌵愰〳挲愸〱㠷㔸攵㘹㈹攰㘶つ㐸㠶敢敡㐳㠹㜰㘳㌸摥㄰ぢ㐷㙢㈳搱㔰㕤㜳㍣摡搸ㄸ㑦㐴敡敡㌰㉥〴づ戵㙤㕣〲㤹挰〴ㅢ㕢㑡慣挵挶㤸㔷㍤ㄱ㔸晦挴戱ㄵ㥡㔱㠲㑦敢〲㉣散捦扢㐱换敦捦搳愰㜸昴攷㤳㉣㉤晡㍥㔰㈵て晢搳㝢挰愹愶㠰㙥㐶晤摣扣愸昳㔹愲㡣晡㔴攴㑢搴昳ㅡ昳㌴㑦敡㜴㔰㈵敡换愹昹㌰㑦㥥㔹㌶㜵㈵㜹ㄸ㜱㝥收㠰㉡㔱晦戱㍢敡慢挱㔲㍡敡㍦昲㡣晡㕣㘸㤲愸㥦〸㘱㐴晤㜰攰㜸晢㌴㝥愷搵㡣㝡㙤㔳摣㌰㐲戵昵㜵昵㑤攱㜰愸扥戹㌹ㄲ慢慤㙤〸㈵ㅡㄲ㜱㈳㠹㈹㠰㜶戲挳㡡㠹㐲㍣ㄱ㡢㠴敢敢敢㥡挳愱㐸愸㌹搲ㄸ㘹㌰愲㑤攸改㥢敢ㅢㄲ愱挰㍣㑢扤㝥ち㘴昴㌵〰㠱㌶㥢㜴㉡㐹愷㤱㌴摦㈶㌹㕣搵ぢ㐰敡㥦晡戲㄰㥡㔱㘸㔱扢㍦挲愶搷㌰㤳㡦㔶搰捦〲㥦㍡ち㜴戳〶昴收搵㠰㜳㤰挹ㅡ㜰㌴昲愵〶㥣㑢慤搶㑢ㅤ攳㐹㍤ㄶ㔴愹〱攷㔱昳㜱㥥㍣㡢㙣敡昹攴㠱㍥慡㔵㌱㔰愵〶愴摤㌵㘰㉤昲㑡搷㠰㉥捦ㅡ㄰㠷㈶愹〱ㄷ㐱ㄸ㌵㈰〱㥣慦㠰㘱㈷㤲㜶㘲戱㤵愸敥㐰愲㝦愲㤱㠲㘶㕥愰㜶㌱㘰㘱敢扤〴戴晣搶㝢㈹㈸ㅥ慤㜷㠹愵㐵て㐳㤵㍣㈹㔳扦〲㥣慡ㄳ㜴㌳㜶㐶㕥散慥㐲㈶㘳搷㠵㝣㠹㕤㕥敢敤昶愴愶㐱㤵搸㕤㐳捤挷㝢昲㘴㙣敡戵攴㠱㉤昲改〵㔵㘲搷敥㡡㕤㙥㌶昶〳捦㌰㉤㠷㤰㠴改扦愰ち㘱㕡〱㥣慦挰㑡㍢戱捡㑥慣戶ㄲ搵㈷㈰搱㍦㘱㍡ㄱ㥡㘱㐷㔱愳㌹挹愶ㅦ挸捣㠳〸搶昱搲㑦〱摤㜴晣㠲㍣挷慦㐷㈶ㅤ扦〶昹挵㡥㍦搵㤳㝡ㅡ愸攲昸㕢愹昹㜴㑦㥥㌳㙣敡㙤攴㠱ㄹ昲㌹ㄳ㔴㜱晣ㅣ户攳搹㙤捡㌴㜸㤶愷攳㝦〲㈱㜱晣㥤攰㠳攳捦〲㡥户㑦扢ぢ戸搹㐳㐶㥢ㅢ㈳昵㐹愳㈱摡搰ㄸち㈷ㅡ㡤㈶㍣㠴戹㌶ㅥ㡦㈵敡㥢㐳㠹愶晡㠸㜶户挳摡摣㡣㐱㌳㔲㔷㥦慣ぢ㠵挳挹摡㔸戴㌹搱㥣㐸㐴㐱つ㌵㌶挵愳昱挰搹㤶㝡晤ㅥ挸攸昷〲〴捥戱㐹昷㤱㜴㍦㐹攷摡㈴㌲〸㙢昵㜹㈰昵㑦戰㝦ち捤㈸愶㈸搸攷摢昴〹捣㙣㈱㜸ㄸ㝣㙡㉤攸㘶戰挷攷〵㝢㈳㌲ㄹ散ぢ㤱㉦挱㝥㤴㕡慤㤷扡挸㤳㝡㌱愸ㄲ散挷愸昹㔲㑦㥥换㙤敡ㄳ攴㠱㍥慡㔵㔷㠲㉡挱㙥㜴〵㕢㝢ㄲ㜹愵㝢挸㠸㘷つ戸ち㥡愴〶㙣㠲㌰㙡挰搵挰昹ち㕣㘳㈷㝥㘶㈷慥戵ㄲ搵搷㈱搱㍦搱昸㌹㌴昳〲戵愷〰ぢ㝢挸愷㐱换敦㈱晦〷ㄴ㡦ㅥ昲㝡㑢㡢㍥〵慡攴改戹晡㜳攰㔴㌷㠰㙥挶㙥晦扣搸㍤㡦㑣挶敥㐶攴ㄷ挷敥㈶㑦敡捤愰㑡散㕥愴收㜵㥥㍣敢㙤敡㑢攴㠱㉤昸㠷攳戰愰㑡散昶㜶挵㑥㘷散愴愱㡥昱っ搳慦㈰㈴㘱㝡つ㝣〸搳㙤㤶㙡敤㡦挰慤㠶ㅡ慦㡦挷㥢㙡㘳㜵㜵つ㡤攱㘴㌸摥ㄴ㌱㥡ㅡ㘳挹〴㕡㕥㝤㉣ㄲ㡢〵㙥户捤㜹ㅤ㌲㠱つ㌶昶〶戱㍢㙣㡣㜹搵㜷〲敢㥦〰摦〵捤㈸〱㑦户〲搴ㄹ㔱㥤㐱っ摣㙤搳㘷㌲㜳ㄶ挱㝢愰慢㝢㐱㌷㐳㌶㈲㉦㘴㥢㤱挹㤰摤㠷㝣〹㔹摥愰㜶扦㈷昵〱㔰㈵㘴ㅦ㔰昳㙦㍣㜹ㅥ戴愹ㅦ㤱〷㘶挸攷㈱㔰㈵㘴挳摣㈱㜳晡搶敤㍣㐳昶㌰㠴㈴㘴㥦㐲ㄵ㐲昶〸㜰扣㝤摡㕦㠱㥢㈱慢㙢㘸愸㡢㈵㡤㐶摣㘳㈲㘴つ㡤捤㜸ㅢ㜵〹㉣㈰ㄸ戵挹㔸愸㐱晢㥢挳ㅡ挲㔴㌳㡣搵㈷愳挹㠸㠵敢愲つ搱㔰㌲ㄲ㐲㌷ㅢ㙦㙡㌲㙡㐳挹㘸㘰愳愵㕥晦㍢㘴昴捦〰〲㡦摡愴捦㐹晡㠲愴挷㙣㤲挳㔵晤㌸㐸晤ㄳ散㈷愰ㄹ㠵ㄶ昵慤扦戳改昳㤸搹㐶昰つ昸搴敦㐱㌷㠳慤昲㠲㑤㌷㌲搸㥢㤰㕦ㅣ散愷㍣愹㑦㠳㉡挱㉥㠳戰㝡挶㤳攷㌹㥢㡡挷搸攷㠲晤㍣愸ㄲ散慦扦㜶㉤㌱㌸挱晥㈷愸挵敢㐹㉦㐰㐸㠲㕤〹㠸㘰扦〸ㅣ㙦㥦挶ㅦ㔳㌰㠳ㅤ㡡㌴㘰改戰搹㠸挶敢㥡搰㍥敢㥢搱㑥戹搸㔸ㅢ㌶攲昵愱㐶㐳昳㍢慣つ㠹㘸㍣㔴摢搰搴ㅣ挶㙡㔲慣戱扥㌹㠶搱㌳㤶㠸挷敢愲㑤つ愱㜰㐳攰て㤶㝡㝤㄰㘴昴㉡㠰挰㑢㌶㘹㌰㐹㐳㐸㝡搹㈶㌹㕣搵慦㠰搴㍦挱㝥ㄵ㥡扤㠲晤㥡㑤㍦㤲㜱㍥㡡㘰〷ㄸ愷㕥〷摤っ昶㥦攱搱摣㝡搲㑥挸㘴戰摦㐰扥〴㝢〴〸昶㑢扤改㐹㝤ぢ㔴〹昶㐸㙡晥㤳㈷捦扢㌶㜵ㄷ昲㐰㈱㡤㔵敦㠳㉡挱晥㤳㉢搸摡㙥㘰㈹㍤㤰扥攵㔹〳㌶㐳ㄳ㉤搵㠳㠰愸〱㝦〶㡥户㑦摢〳戸㔹〳㡣晡㘸㘳㉣ㅡ慤攷㉦㔹㠴㐳㔸㕦〸ㅢ捤捤㜸づ㜳㘳ㅣ㉢㡢攱㔸戳㌶捡㘱慤㑤搴挷㜱扦ㄹ慢㡦愲㘷挰ㄴ慣㌹㔲搷ㄴ慦ぢ㈷㥢㐲㤱㈶㈳㥡っ〵㍥戰搴敢㝢㐲㐶ㅦつ㄰昸搰㈶㡤㈱㘹㉦㤲㍥戲㐹づ㔷昵挷㈰昵㑦つ昸ぢ㌴搳愹摡扥㈸扡㜰昰摥て戴晣挱㝢㉣㈸ㅥ㠳昷㈷㤶ㄶ㥤捦捥㤱挷戹敢㌵攰㔴㝦〵摤慣㉦捦收搵㤷㕡㘴戲扥晣つ昹挵㥤挳摦㍤愹㥦㠱㉡昵㈵㐴捤㕦㜸昲㝣㘹㔳挳攴㠱㉤昲昹ち㔴愹㉦扦㜷搵ㄷ摤改ㅣ㝥攷㔹㌵扥㠶㄰㤴攰昷〸〰㔱㌵戶〰挷摢愷㌵〳㌷慢㐶㈲摣㕣㤷㑣㌶㌴㠵戰㄰㈹慢㑦捤攱扡㈶散㐷㐴㐲㠹㔰㔳㈴㘴㘸〷㍡慣愱㠶㔰㈸搹㕣ㅦ㑦㘰〰〸搷搵挵㘲戱挶㜸ㅣ㕢ㄳ㜵ㄸ攴㈳㐶慣㈹昰㉦㑢扤㝥㄰㘴昴㠳〱〲摦搸愴昱㈴ㅤ㐲搲户㌶挹攱慡㘶昴晡愷㙡㜰㥢㥣㔵愳㜰戱戹捣愶㈷㤸挹攷昳攸㔳㘰㥣㉡〷摤っ昶㝤㜹挱㥥㠶㑣〶㥢㥢改挵挱收收㜹㌱㤵㝢攲ㄲ散ㄹ搴捣㍤昱㘲ㅥ搹愵㘶改㌳挹㠳㠴㝣〶㠳㔷㠲㝤㠷㍢搸捥捥挲敤㥥挱ㅥ〲㈱㈸挱㤷ㅤ〰ㄱ散㙡攰ㄲ散挳㠱㥢挱慥㡤㐷ㅡㄳつ㐶㜳扣戹㌹ㄹ㑥攰㌶愹㤶ㅤ㝣㝤㌴ㄲ㡡㈶ㄱ晥戰㌶捦㘱慤㡦㈴㤳㠹㔸㘳〸㌷㔱搸㠳㌰敡㘳愸㈵昵㐶㌴㡡攵㈹愳愱ㄶ㈳㐱挰㔲慦户㐱㐶㥦て㄰攰㐶㌷㑢搴ㄷ㤰戴㤰愴愱㌶挹攱慡ㅥ〶㔲晦〴㝢㌸㌴攳㕤ㄴ散敤㙤晡ㄲ㘶昲㜹㐳晡㜱㌰㑥㜱慦㔶㐲搲づ㡣㠲晣〴散〹㥤㤲摤㔲㌲㍢ㄴ㘶㜳㝦ㄴ散㍥㍤ち㌸㜸㐰挵敥挰て㉡晤㡣ㄹ搷扥搷㔸㙣攴收㍤㔲㝦㌲ㅥ㤱㉦敢ぢ〳昰ㅤ搵ち搹つ㉢㉦㍢昰扢改攲㌶昹㌰㤸挵㑦挵㌵愸㈰晦て㍤昴㐹㙥ㄷ㤵ㅡ㜹㉣㐱㡦攳㠲㉢㐶攱㜲㍤ㅦ昳搰搷㡦改㜰㝦㜱晢慥改ㄹ散昵攱ㄹ攴昳搳㉤捥て晡㙣㘷敦〱㡥戵㥦㝦㍥㈶㐷戱㥦愷㘲㡢捤改㜱攴昰㌸㙦㙣扤㈳㘳㉣㥦㤶扥㝤づ㜳㍤挸㝢攷ㅣㄵて捦挱㈳㍤㡣㠴慤㌱㠳敦㡢㤴㤷つ㔰晢㜹㌹摢㝡㔸㌵㥥て㙤㉢㤸摣摤摢挵㤳㔵㍢㝢㝣㌳㜸㘲㉡㉢㥢散㐳㤱慦昴㈰摣愳ㄹ㜰㤴㌶㝥㜴敢攸晡㜰挵ㄵ〸挵扦㔱㑡扥敢㔹㈶㈹㝥㝤㌱㔴㉡敥散搲晦㑡攷收戰㤶㌲㡢㘹㐱㌱敡ㄲㄴ挳愲挰っ敥愵攴ㅥつㅥ㤲愸㐰㜱〷搸捥㔷晢〳ㄹ〹㙡攱㘳㥣㉦〰户攷㌳慥捦户㌲㡡㥥㜱㝤〰㌴㔱扦㝥㍣㑡㐴㕡㍥㑡㜶㔲㐹捤㙢㌸昵挸〷ㄷ㥥摣て㌸㜸㠰攲〶㈸ㅢ㡦㍡〷摡㔹㘳愵㤲昵搲昴〳㐱㌶㉦戴〹㈹㙤〵㘸愶㍦㐳敡㑣㌰摡㔷攵搷㔷㤱㥢扢㥡㈶㌷㌷㐶戵ㄳ㑣㙥戸㈵愴㑥户戸㔱㉣摣㜲ㄲ戹戹敢㘹㉢㔰摣晤㜴摣挲摤㐶㉦户㥣〲㈵㥥㙥㌹搹捡㈸㝡扡㌵户㈶挵㉤㍦㐴㠹㐸换㈷㌰つ㈹攰㍥晤㜴㐰晤㐷〴㘷〰昸搵っ㥢㍤捦㕦㌳㙤昶㌳挱〴㝦捤〵㉥晥㕡㠱㘲ㅤ㝦㥤㠵㑣搵㠶㉣搳〳摣㔸搴捥〱慤㠲昵慦㔹㘵㉣〷㤸戵攸㍣㌲捦㜷㤸攷㤱昹㝣㤳戹〵捣㘹㡢搹昴搶㕡㌲㉦〰㡢攳慤㠵ㄶ挲㝣㜵ㅣ㄰㉦㙦㉤戱㥣㔲昴㉣昰㤴㤵㔱昴㜸敢㐵搰㈴摥扡っ㈵㈲㙤㝡换摥攰㔳㌱㍢摢愶㤰㈵㤰〰〴㍢ㅥ㜴づ〸敦㜰㝦㑤扣㘳愰ㄸ挷㍢㔷昱ㅡ㤶㈰换昴づ㌷摤戴㙢㐰㠳㜷㕡㐶㌷慡㘸摥〵㕦㑢㘶敥慡㌹㌵愲〷㠸搷㌵ㅥ㕢敡ㅡ㡦戱㌲㡡㥥㔲㥤㠵㈶戹挶ㅢ㔱〸搲昲㔱换㙤㙡㕥攰㔷㠲ち㉥㍣ㄱㅤ㄰㤷挶㑤㈴戹戴㈳摣㤷戶㡥搶㥥㠲㉣昳搲戸戳愴慤〷㑤ㅡ㑡㕤㐸戵㔹搷㘶㐶晥㔶㜲慦㜱戸㑦㈶昷㙤㈶㜷换㘸㜰捦戱戸㔱㉣ㅡ捡〶㜲㥦ちㅥ㈷昴愷㔹〸昳搵㔹㐰扣摣㌲挳扡晡愲搰㑦户㌲㡡㥥㑦㝤づ㌴㠹㕢敥㐵㠹㐸换㈷㜰㉥㔳㜸愹昳散㙣㥢挲搹㐵攰㝣㔰挱㡥㐵㕢㐰昸攷㈲攰攲㥦挹㈸挶〹晤慦㜹つ㔷㈰换换搲〹愵㉣㍤搴捡㈸㝡㑡㌴㌷㌳挴搲㠷㕤㤶慡㙢㙣慡ㅤ㐰攰扥挰戵㠰㘲攰㐶搳挰晦〲㉥〶ㅥ攴㌶昰㌱ㅡ戸づ㔹㕥〶㌶㤴㌲㌰㘲㘵ㄴ㍤愲㜹㍤㌴㠹㠱㥢摣〶摥㙡㔳㙤〳挹ㄲ戸つ㔴㌱昰㘹搳挰㍢㠱㡢㠱㜵㙥〳㥦愱㠱㕣㌰㌷㙢ㄸ㔷收戵攷㐰㤳挶ㄳ㔱晢㠳搷㙥㈹㝥晤㜹㌲摦敢㌰摦㑤收ㄷ㑤收搶搱ㄱ戵慦挵捣攲晤晡㑢㘴收扡扢㔳扦敥户㄰㘴晢搴挳㐰扣㥣㌲摡扡昶愲晡戵愷㤵㔱昴㘸收㡤搰㈴㑥㜹ㅤ㈵㈲㙤搶㉦㝢㠵㕣挹昲㌷愸扡㐳〱ㄲ攰㠲㌷搸昱㥣㑢㐰搴慦㑤挰挵㍢扢愳ㄸ愷㝥扤捤㙢㜸づ㔹㕥㤶㡥㉣㘵改〸㉢愳攸戹挸捦㐳㤳㔸扡搹㘵愹㝡搱愶收ㄹ昸ㄲ愸㘲攰〷愶㠱㕣㥡ㄵ〳户㜷ㅢ昸ㄱつ㝣ㅤ㔹㘶昸戸㕥慢晤〵㌴戳㠳㘸㔰摢㠱搹昶扦㕦晦㤴摣㙦㠰挷㈶㈹㉥㠳㝡㕤㕢㔵愹㙢ㅢ㘴㘵㘴ち㝦慡㡤㙢愶㜲㙤㕦愰㄰愴攵愳㍥戰愹㜹㔵昳㈳㔰挱㠵㘷捡〰挲昹㥦〲㤷㙢ㅢ攸扥戶慦㘸㉤㔷ㄲ捤㙢攳挲愶戶〵㌴㜳㤶搰愰〶攴㕤摢㌷攴晥捣攱晥ㅢ戹㝤ㄵ挲㡤㔹㐲㠳晡昶㉢㜷㑤㉥㐳㡥攲挲愵攳㠹㉦㉣〴㘶攱昸㈴㄰㉦户㝣〵㈵㥥戳㠴㝦㕡ㄹ㐵て㌴收㜵㡡㕢㉡㔱㈲戴㥡㙥㤱㘵㐳㍡挰㜶ぢ㑢つ㜰愱㄰㙦㍣挶〵扣㜰㑢㈵㄰㜱换攷搰敥搴挹㉡㥡捥㌵㌷搳㉤㕣〲搴㠶㠰㘶㠶扣㔱晤搵扡㔰㤶敡搷〳攴慥㜲戸晤攴ㅥ㙡㜲㘳㑣㘸㔴ㅦ㕢摣㌴挰慦て㈷㌷㤷昸ㅣ户っ戱㄰收㉢㉥慤㜹戹㘵戳㜵昵㐵㙤昶㝤㉢愳攸搱挵㍢㐱㤳戸㘵㈴㑡戴摤ㄲ戰ㄷ攳搴㐸㍢摢愱愰昸挰㉥愰攲㡤挷愶㐰〸晥〹〲ㄱ晦晣〹挵㌸晥搹㡤搷挰ㄵ㈹搳㍦㕣㈰搳㠲愰㠹㝦㐲昵敡つ敢㡡㑤晦㡣㈲㌷ㄷ戸㑣㙥慥㤱㘹愳㑤敥㤶搱攰㝥搵攲收昵晢昵扤挸捤〵㌰挷㍦㝢㔹〸昳㔵つ㄰㉦晦扣㘸戹愱挸㍦㉦㔸ㄹ㐵㑦㉢慥㠵㈶昱捦㌸㤴㘸晢㐷㠵㙣㙡㕥戵攱ㄲㄲ摥㜸〰〹㜸攱㤶㈶㈰攲㤶㘷愱摤㜱㑢㉤㑤攷㙡㡣㜹愱㕣ㅣ搲㐲愰㤹㙥〹愹愷慣ぢ㌵摤ㄲ㈶昷挱づ昷㠱攴㙥㌰戹攱㤶㤰晡㥤挵捤换昶敢㑤攴收攲㡦攳㤶㐳㉣㠴昹㙡ち㄰㉦户㙣戴慥扥挸㉤㡦㔸ㄹ㐵捦㈹㥥〶㑤攲ㄶ晥㥡㡥攳㤶ㄹ㌶搵㜶ぢ㔹〲㌳㐱挵摢愷㑦〰㉦摣㌲ㄷ㠸戸攵㐱㘸㜷摣㌲㤱愶㜳摤挲㜴ぢ㤷㔱戴㐹愰挹搴扡㐱㍤㘰㕤愷改㤵㈹㘴收㉡㠸挹㍣㡦捣搳㑣收㤶搱つ敡ㅥ㡢㤹ㄷ敤搷㘷㤰㤹㡢㈴㡥㔳戸㔸㐲㠴昹敡㌸㈰㕥㑥搹㘰㕤㝢㤱㔳㙥户㌲ち㥦㑦ㅣ攰挲〶摥㔸ㄳ㐲㠹晡攱〴昳〰晣ㄵ㕣扣昰扣㉤㤵〷〴搶㤸㑦㑡换晤挸㈱ㅦ㤲㕡㤱攴㤹敥㐱㐹昳㌷〶戹摥㈰て愳敤㤴〳搱㔵㜸㘸㕡て㝥㘶㜰㈶㥥ㄱ㠸㐷愵攱㐷㜲慤愳扣㜸㜶㈰ㅦ㕥㘵㍦㤶㑢ㄷ㡣挲㕡㜲㑥て㥥搳㌵㌰㌹㍤㠳㈷ㄱ㈶㉡昱摢㕤㔹晣散㘳昷昷攱扢〹㌸愲㕥捥愹㈶㉡ㄲ㥦㈱㕣收㜹㍡㥣挷扥ぢㅦ攳攵㝡摣㘲捥ㅦ昶㈳㌷换昸慣戵敦昶捤〴慤つ㔱换㍤㜵㝤㌹ㄷ㍦㌲㘵㙡㍤攲㉥㕢㐲ㅦ㠶㐶㐸搵攱晡㥢扥〰扣摡㐲〰晥挴㤵㤲敢挰搷晡昴㈳㐰㤱慦攸〸昰㔵㜰㌹愷昰挲㜸㔶㝦ち㈵ち㝥㈹㙦搰㈰㕥敤㉤㠷晥㜹挲挹ㄳ捥㙡㈹攷㙡㐴㕦㙢㈱㙣㝥〳扢摡愳晣㐹昰捡慥昶㑥愳㝢㜱戶挳昹ㄹ㜰㝣㐹〵扦㡡愶ㅦ〵㝢㔸ㄴ㍦㡡㉢ㄶ搴慡ㅦ敤愲〶戸慡㠰户㑦㍦㠶戶ㅦ㑢昰〳〰扦攲ㄲ〲慢戰㑥扦㤴愹敢㍣晤戰㠸晣昴㐳捥〷㌱㤲㔶㔳㈳㠱㑦㜱戵㠱㝥戰慦㑣㜱㐱㐱散㐸㔰㌱㔸挴㍡㉥ㅣ〸搵㜰㔱〳扣戹挷摢愷㈷愹㜵㌱㐱〷㠰㕦昱晥㕥扡㤳㑢㘱ㄷ扢㤳敤挰㔵㠹攵㈶摥昳㑢挶㈵㔶〶捦㐱㔶攲搱㈵㘷搸ㄹㄷ㕢ㄹ昸㍡㉡㥥㌴〲㙤敡㑣㘴戹㉥㜵慤攷愵愶㔹㜸晥愵ㅥ㑦㤲敢㔲捦㠲㥥扣㑢㍤て〴戹愸っ㌸㥤㑢㕤㙢㔳戳㉥㙡攰㌲㔰昱挶戳㐰愸㜵㌹〱㝦㠱挲慦慥〰搵㘵摤㡦㍤慤㕢㑤晥㝣敢㑥㈴挹㘵摤㔵搰㤳㘷摤戵㈰㠸㜵㈷㠳搳戶㉥㜰㈳愸㜸攳㔱ㅥ㤴㕦㐳㜰㉡㠰㕦摤っ慡换㡥㤳㍣敤㌸㥤晣昹㜶㥣㐱㤲换㡥㜵搰㤳㘷挷慤㈰㠸ㅤ㘷㠲搳戶㐳㙤戰愹㍦㜱㔱〳昷㠲㡡㌷㡥㌴㔲敢搹〴攷〰昸搵晤愰扡慣敢昱戴敥愷攴捦户敥〲㤲㕣搶晤ㅡ㝡摣搶〵㜸㌳㉡㈵㕥㐸捥㡢〸㉥〶昰㉢摥㜹扡㑡㑣㜹㤶㜸ㄹ昹昳㑢扣㠲㈴㔷㠹㡦ㄵ㤶挸扢㑢㈹昱㉡㜲㕥㑤㜰つ㠰㕦㍤㥤㕦攲㈲捦ㄲ慦㈳㝦㝥㠹搷㤳攴㉡㤱㜷㥤敥㙢㔴扣戳㤴〸摣〰㑥㈷〲㉦搹搴ㅢ㕤搴〰㙦昳昰挶㉦捡㔱敢捤〴户〰昸搵㥢愰扡晣戱挰搳扡昵攴捦户敥㔶㤲㕣搶昱慥捦㙤㕤㘰戳㕤攲㙤攴扣㥤㘰〳㠰㕦㝤㤰㕦攲㑣捦ㄲ敦㈲㝦㝥㠹昷㤰攴㉡㤱户㜱敥ㄲㄵ敦搴挴ㅦ昷㠱搳昶㐷㠰户㔶㜸㘳㔱㠴昲て㄰晣ㅡ挰慦扥〴搵㜵攵ㄳ㍤敤㜸㤰晣昹㜶㍣㐴㤲换㡥慦愰㈷捦づ摥㔵㠹ㅤ㡦㠰搳戶㐳昱敥㐹愸ㅢ㕤搴㐰㈵㄰戱敥㔱㈴昴挷〸ㅥ〷昰㉢摥捥戸慣㙢昴戴敥㐹昲攷㕢户㠹㈴㤷㜵㔵挰昳慣攳捤㡤搸昱㌴ㄲ㡥㜵扣㠹ㄱ敡晦戸愸㠱㤱㐰挴扡㘷㤰搰㥦㈵㜸づ挰慦㜶〱㜴㔹㌷捥搳扡ㄷ挸㥦㙦摤ㅦ㐸㜲㔹挷晢㡥㍣敢㜸㙢㈱㜶扣㡣㠴㘳摤㕥㌶昵ㄵㄷ㌵㌰づ㠸㔸昷㉡ㄲ晡㙢〴㝦〴昰㉢捥改㕤搶敤攱㘹摤㥢攴捦户敥㙤㤲㕣搶搵〲捦戳㡥㌳㝣戱敥ㅤ㈴ㅣ敢㌸㤳ㄷ敡扢㉥㙡㠰戳㙤戱敥㍤㈴昴昷〹㌶〳昸ㄵ愷搶㉥敢㜶昰戴敥㐳昲攷㕢昷㌱㐹㉥敢㈶〲捦戳㙥ち〸㘲挷㈷㐸㌸搶㜱㑡㉤搴㑦摤搴戹㐰㘴挰慤㐶昱ㅣ㠹昹っ慣捡㌲㑤ㅤ㙥㘷っ戱㌲挶㑢㠶㔲㥣ㅥ㡢挴㘰㉢攳㔰㌶慡捦㐰慤㔸〰戰捤ㄳ㍥摥ㄵ㝣挷㙦㘹㝥㡥㜲ㄴ㘷㙢㜲㍢昳〵ㄲ昶㔵㔶㜳捥㐴㙡㈵㘷㔸搵㐷扢㌱挵㌹㤲㔸慥ㄷ㕣敢戱㜶㐶㘵挱戵㜲㉥㈵ㄲ〳摤搷晡ㄵ戵㜲敥挴敢搵扦㈶ㄶ㈳愰ㅦ戶㈰攱ㄸ挳㈹㔲捥ㄸ㑥㡤ㅣ㑣㈵㠱㠹敡〱〵挶㜰㥡㈴ㄹ㘵〵挶㜴搸ㄹ捡㙤っ扦㥡㔸摤㠹慣〰㡡ㅦ昸㙣㤹挲敦㠰㕥㕥㌶戴扣户㉣㔶昶㈹㌶昱捡㝣晦㐲〶㝥〳ㄶ晦换昱㡢慡攰ㄴ戳ㄵ攴搴昱挰挴散㌲㘰㡥搹㥣敥㌸㠶㔶㘷摤㤸敡〵㈶搶晤敢㥦昹昵㘵戹㥤戱挵捡戰敢ぢ愷㐱㈲昱戵㤵㈱昵㐵㘳昱慢㤱㈵挶っ㈴㜶㈲㌰㌱愶搲㙤っ㘷㌷㡥㌱㡡戳ㅡ㔱昶㡦㠲攲㌹搳㤱㡣㉦ち㡡攷散㐷㌲㍥㜷ㄷ㕦挵〲㌹摢㤱攲〷ㄳ㍢〳㤸ㄴ㍦挴㕤晣㤹ㄶ搵慣㑦㥣捣攴㡣攱㈴㐶㔴晦戵挰ㄸ㑥㙣㈴攳搳〲㘳捥戱㌳㍥㜱ㅢ㌳㤴挵㜳㜲㈳挶っ㈳㜶〱㌰㌱㘶戸换ㄸ挵㌹㡣攸晤戰愰挰㡢散㡣てちち扣搸捥昸戳扢挰㥤㔸〴攷㌶㔲攰〸㘲㔷〰㤳〲㐷扡ぢ扣捡ㄶ㝦户愰㐰㑥㙢挴㤲㜷ちち攴㔴㐷㌲晥攴㉥㜰㌷ㄶ挱愹㡤ㄴ戸㍢㌱捥㙡愴挰愰慢挰㙡捥㘰ㅣ〷㔷摦攸挶ㄴ㘷㉣愲晡㡤〲㘳㙥戶㌳㕥㉦㌰㠶㌳ㅢ㤱昸愳摢㤸搱㉣㝥㍤戲挴㤸㌱挴㌸㠹ㄱ㘳昶㜲ㄹ愳㙥戳挵㕦㉥㈸昰㜶㍢攳愵㠲〲㌹戱㤱〲晦攰㉥㜰㍦ㄶ㜱ㄷ戲愴挰戱挴㌸㠷㤱〲挷戹ち慣收㝣挵戹㝡㜵扦慤散㝦ぢ㡡攷摣㐵㑡㜹慥愰昸㕦摢ㄹ捦扡㡢慦㘵㠱㥣扦㐸昱㜵挴㌸㜵㤱攲㐳敥攲㌹㑤㜱㡡慦收昴挴挱ㄴ愷㈵㔲收㔳〵挶㍣㘶㘷㙣㉡㌰㠶搳ㄷ㤱昸扤摢㤸〶ㄶ捦改㡡ㄸ搳㐸㙣ㄳ㌰㌱愶挹㙤っ㘷㈵㑥昱搵㥣㡤㌸㤸㝡〶㤸愸㝥扣挰㤸㘷敤㡣挷ち㡣攱㙣㐵㈴ㅥ㜵ㅢ㜳㌰㡢㝦〱㔹㘲捣㜸㘲㥣㤸㠸㌱㠷戸㡤攱㈴挴㈹扥晡ㄵ㌷愶㌸改㄰搵てㄵㄸ昳㥡㥤昱摢〲㘳㌸㌹ㄱ㠹〷摤挶㑣㘴昱㥣㡣㠸㌱慤挴㌸てㄱ㘳㈶戹㡤攱㥣㈳㘷っ攷ㅡづ愶摥〳㈶慡ㅦ㈸㌰㠶昳づ挹戸扦挰ㄸ捥㐵㈴攳㍥户㌱搳㔸㍣攷ㅥ㘲捣㜴㘲㥣㜶㠸㌱㌳摣挶㜰㡡攱ㄴ㕦捤愹㐵づ攳㥣攰〸っ㍥㘵㉢㔵㝣㔱㘲搱愲㉦慢换㠳㈳换㡦㥣㔰㜵昹㥢㑦扥扤昶昹㘳挷扦扦攵慡慢㥥㝦㘷敤愶㉤扦㡥㡤㝦晣攷㍦摦㌸攳㘷㥢摥ㅥ㥡扣戶散敥㉦㘷㕥㝢㘲摤搲ㄳ㡦㑦㉥搸㙦敡㠹㐷㉤㌹扣㙥敥㜶㘳〷っㄸ㌸㜰敦㘱㑦散戴㑦㘰捤昱昷慡㠷㕥摥戱㕢㝤㙥㥢㜴ㄸ㑣攲㡢昳慣〰攷〳㌲攱㥡〹慡㍥ぢ㘰㜰㔹昵㔷晤㙤㡢㑣〳㔰扣㍥摢㙤换ㄶ摢㤶㌹戴㘵慥㘹ぢ㠷散㝥昵㡢㡣敤戴攵㜰㤴挴㜸散㐸扦㜰㡣ㄷ扦捣㐳㐲㙦〳㠰㕦㌸づ昷慢㉤㌲戴搳㤶昹㈸㠹㉦㠹ㄱ㠷㜸戱㘵〱ㄲ晡㐲〰搸挲㐱戹㕦㙤㤱㜱ㅥ㈶攸㐷愰㈴扥㉡昱〹㜰扣ㄷ㕢㡥㐴㐲㍦ち〰戶㜰㑣敥㔷㕢㘴㤸㐷昱晡搱㈸㠹㉦晥ぢ㜰戸ㄷ㕢㡥㐱㐲㍦ㄶ〰戶㜰戸敥㔷㕢㘴〶㠰攲昵ㅦ愰㈴搶ㄷ㜹㑡づ㘷〲㘲换㜱㐸攸敤〰戰㠵㈳㜹扦摡㈲㤳〳摡戲〸㈵昱㐵ㄳ〲㐱㈰㘲㑢ㄴ〹㍤〶〰㕢㌸㤰昷慢㉤㌲㌷㐰昱㝡ㅣ㈵昱㈵戶㜰㡥㈰戶㈴㤰搰つ〰搸挲㌱扥㕦㙤㤱㘹〳㑣搰㤳㈸㠹㉦戱㠵搳〷戱㘵㌱ㄲ㝡〷〰㙣攱㠰摦慦戶挸ㅣ〲㈶攸㈹㤴挴㤷搸挲戹㠴搸戲〴〹㝤㈹〰㙣攱㜸摦慦戶挸ㄴ〲㈶攸㥤㈸㠹慦㈱昸〴㌸㤵㄰㕢扡㤰搰扢〱㘰ぢ㠷晢㝥戵㐵㘶㄰㈸㕥㑦愳㈴扥挴㉦㥣㐹㠸㉤换㤰搰㡦〷㠰㉤ㅣ敤晢搵ㄶ㤹㐰挰〴扤〷㈵昱㈵戶㜰㈲㈱戶㘴㤰搰戳〰戰㠵㠳㝤扦摡㈲昳〷㤸愰昷愲㈴扥挴ㄶ捥㈳挴㤶攵㐸攸㉢〰〶㤷〵㌸㤲㤳㌸戸㕣㜱昸㤶㤹挹㤹搶捣㘴㈲攸㤵㜸〲㈳㠷㜴挹昸戱㤵挱㕢㕦㝤㌵愸〱づ扥㤶㌸㐷㕣攱晡㔱㠱㌸㐷㘱挹㌸摤㉤㝥ㄲ挵㌹㕥㡡㐹㈷㈳㠱㙤㑦㡥㤴挲㝡㙡㠱づ㡥㥥㤲戱挶慤攳㔴㔰〳ㅣ攷㉣ㄳ㌸戸〹搷挹〵攲ㅣ昰㈴攳㈴户昸改ㄴ攷搰㘴㠹㜳㍣ㄲ慥ㄳち挴㌹㐶㐹挶㙡户昸㡦㈹捥搱挴ㄲ攷㄰㈲㕣㉢ぢ挴㌹慣㐸挶ち户昸㔹ㄴ攷〰㈰づ㌸ㅢ〹㌸㠰㕤扦戰㘶ぢ㜴㜰㌸㤰㡣㡣㕢挷㜹愰〶搸㜱㕢㈶戰户ㄶ慥攳ぢ挴搹㠳㑢挶㌲户昸〵ㄴ㘷㕦㙢㠹戳㠳ㄵ慥敥〲㜱㜶扡㤲搱攵ㄶ扦㠸攲散ㅥ㉤㜱昶㠹挲戵戴㐰㥣晤愴㘴㉣㜱㡢㕦㑡㜱昶㘸㤶㌸扢㌱攱敡㈸㄰㘷搷㈶ㄹ㡢摤攲㔷㔰㥣㥤㤰㈵捥㥥㐷戸㡣〲㜱昶㐶㤲㤱㜰㡢㕦㑤㜱昶ㅢ㤶㌸㍢ぢ攱㡡ㄵ㠸戳〳㤱㡣愸㕢晣㕡㡡戳愹㕢攲㙣摦挲搵㕥㈰捥㌶㉦ㄹ挷戹挵慦愷㌸㕢愷㈵捥㈶㈹㕣挷ㄶ㠸戳㤹㑡挶㌱㙥昱ㅢ㐱㔵㙣㠰㜲扢㜰ㄳ㌱戶㈷挱㙥㐶愲㠲敤愹㡦㕦摥换㙤〵㜳㐶愶㜷攱搷昵戲摣ㄴ昶㜷昱㘰戹ㅣ㌲搷扡昸㕢㜸摤摢㔹捦㝡ㅢ敢昰っ㜵㈸づ敦㄰㠷㈴㌲㈳捣摦慤㡡挶㍡つ戲㡣捤㈹摤扥㌰㐷昸攱〳扡挱㌷捡敢散扢戹晤㙦ㅢ挸愳晦㤵㙡㥢ㄹ昱㈳㜹扣扥㕢攰つ扥㔴㉥㈵愸㘲〷㈲㑥㕢㠷㠴㘲㝦㈰搸㉦㠸戱㜹ぢ戶㥥ㄸ㕢慢㘰扦㈴挶搶㑡ㄷ敢户〲㠸慡㕣捡搴捣㤶㈹晣扦㐲㐲戱愱〹㜶ㅢ㌱戶ㅢ挱㙥㈷挶㘶㈰搸〶㘲慣搵㠲摤㐱㡣㤵㔴戰㍢㠹戱捥〹㜶ㄷ㌱㔶㈱挱敥㈶挶ㅡ㈱搸㍤挴愴㐶挰㄰晤㕥㘰昶㑢戱㘶㜰戶㤹㐷慤愰㜳戶挱愱ㄴ晣㡥换挷昷戱㕣昱㜰㘱攱㑡㍣㑤敡〳㙥㐳挵攳㐵扣攲昹㈲㕥㐶㠰㤷愰晦㌷㑢ㄱ㙦ㄷ㐹㡡搷㡢愸攲晤㈲㝤ㄲ㠵㈲慡㐴愳㐸㠳㐴愵㠸㉡搱㈹搲㈰㔱㉡攲㤵㘸ㄵ㔲〳㜶搴㤴㜸㡥搹ㅢ㕤敥〹搸扥㔲㜲挹㐵搹㌶敦愰晦〳挸㤱搱㌲</t>
  </si>
  <si>
    <t>㜸〱捤㕣ぢ㤸㈳㔵㤵捥㑤㜷慡扢搲摤搳㠱ㄹ㕥㈲㐳㌳っ捦ㄹ㥡㈴㥤㜴㜷㘶ㅣ愶㕦㌳挳㌰㑦愶㝢㜸㠸搲㔴㤲捡㑣散㍣摡㈴㍤て㤰㠵㔱ㄱㄷ㜹〸挸挳搷㡡づて㐱㐵摣㑦攵㈱挸换㜵㔱㐱㄰〴〴㜵㍦ㅦ挸戲愲愲敢慥扡㝥㉢散晦㥦慡㑡㔷㤲敡㥥㠷散昷㔱搳㌹㌹昷摣㜳捥扤昷扦户慡捥戹㔵ㄹ㥦昲昹㝣㙦攰攰㌷㡦㘶㌲㙦ㅦ摤㔹慥㤸昹敥攱㘲㉥㘷愶㉡搹㘲愱摣㍤㔸㉡ㄹ㍢搷㘶换㤵㈶㈸㘸攳㔹搴㤷〳攳攵散昹㘶敢昸㌶戳㔴㠶㔲挰攷㙢㙤搵晤愸㙦戵㍦㈱愷愰搳㑡㙦㈶㠱㤶㑦搷㐸㕡㐸愸慡敢㈴㐱㤰昶㌶㤰戱攱愱つ挹昷愰攱搱㑡戱㘴㉥敥㍡挳㜲扦㉣ㄲ改㡥㜴挷晡㈲扤摤攱挵㕤挳㔳戹捡㔴挹㕣㔶㌰愷㉡㈵㈳户戸㙢攳㔴㌲㤷㑤慤㌱㜷㡥ㄵ㈷捣挲㌲㌳ㄹ敥㐹ㅡ戱晥㐸㉣ㅥ捦㈴ㄲ晤敤敤昰扣㝥㜸㘸㘳挹捣㤴摦㉣㥦ㅤ昴戹㘱㜸愸㝢扤㔹㜹戳㝣捥㠱㑦戸ㅣ㈹收㡤㙣攱㑤㜲ㅡ㈰晣昱ㄱ㌳㤵攵㍣㤹㘶㈹㕢搸搲㡤㙥搷〰㡤㔲㕦昷㘰戹㍣㤵㥦攴㤴て㥢戹摣㈶㌳㈳昳㤳ㅦ㈹㔷㌶ㅡ愵㝣戹㍤㑦晣捣㤲㔹㐸㤹攵㌹昹ㄵ㍢㔲㘶捥㔶㉣户收捦㌰㑡敢㡤扣搹㑣愶㌳㙦捤攱敡戴㔹愸㘴㉢㍢㍢昲㥢换收㈶愳戰挵愴㑡㈰扦㙡㉡㥢㔶捤捤昸昳㌵ㅤ攷搵㌳㤹㈸昴㈷㍦扣搵㈸㔵愴挴㈹㡣㜸改扡㤶㡢㡣愲愶㕦㕣㔲㕤㜵㔶㥣戳搱㙣㝥㡤㔹㉡㤸㌹㌶挲㤹㕣㔴愷㈴〰㔹昳㔰㐵捡ㄹづ㘷㐹戵搹攷〹挷挲㔶戴㑥㤰ㄳ挷㑡㔹っ㜳㉡㘷㤴ㄶ慦换ㄶ㤶㠵扢晢攳㡢搷㘶㈷捣㕣搶㉣㔷㔸散㕤扣捥搸〱㈶愱㠷愰慦ㅦ㐰换〳㐱づ㔸㌶ㄸ改㍤㜶㐱搷昱ぢ㡥ㅤ㈲㜳挲〲㝤㉥ㄵ收㠱愸收㔷㜱㤶搶㌷攸ㅦ㌷晣攳㐹晦㜸捡㍦㥥昶㡦㥢晥昱㡣㝦㝣㡢㝦㝣慢㝦㍣敢ㅦ㝦㡦㝦㝣〲㤶捥搱摡搲攲户㡦〷晦昱戵㕢收戴㕤戸收㡡挴慤扢㕥戸㝢摥㑡挵ㄳ㔳捥敢㠳挱㉣慡ㅢ㐰㈴ㅣづ扢〶㄰㠹愳挸〱㐴㈱搷て㠱㠱㝥㈸㠸㜶ㄸ〸㐷㄰㜵㐶〰〶㈳㜸ㅢㄵづ〷㔱敡㈵㡣㠰愳㤸㤷戹㜱晤戵㕤㘷慤晦攴㤵ㅢ㍦㌹戲㝢晥搷ㄴ㉦〹搲晣ㄱ㘰㡥慢㙢扥扦愶㜱扢敤㐸㌴慣捦愷攷㈳㐱戴㉥㄰㌶ㅤ㜱㥡〶㠳愶㡦愲挲〲㄰愵㝥㙡㌷摤ㄴ扣㌴昸慥敤搹挱㑦晦昷㉢㑢慥㍥改㤱㔶挵ぢ㤱㌴扤㄰捣昱㜵㑤㐷㘳敥戶愳攸〹挷摤㠳戶㡦愱敢㘳㐱戴攳㐰搸㜶㥦搳㌶ㄸ戴㝤㍣ㄵ㑥〰㔱敡㌹扢敤攳㙥晡敥慤愳扥㤷㔶摦㜳搵敤换㤷㘶晥昰戴攲昵㑦摡㕥〴收㠴戵挵㉤敢㡢愵㍣㉥㘵敢㑣㠳换㈶戲㜸戴㤲ㅥ㌱户㠱つ㐷ㄷ慦㉤愶っ㥥㤶换挲晡㘲晡㍥〹㐴敢〶㘱攳㌱愷㜱㌰㘸晣㘴㉡㠴㐱㤴㝡搲㙥晣㈳ㅦ㍡昳慡摢㐷づ㕥昷昵ㄷ晤〷昴扤慦ㄸ㔳㍣慦愵昱㈸㤸㜵㜵〳㐷攳㍤搱㜸㌴㤶愸ㅥ晤慥ㄵ挰摡㠴慢づ㑡昶㡡㡥挴㝡㘳㝤㜱扤㠷敤挷㐰戴㌸〸㍢㤸㜰㍡〸〶ㅤ散愵㐲ㅦ㠸㔲㡦搹ㅤ扣攵昱搷㉦昹挱㙤㝦ㅤ扥㕢㝢敥攱㥦捣㝤㜹戱攲㍤㐱㍡㤸〰㔳扦㈶愳㝤㌵㙢戲㠷㑢㔴收〶㥣扥㠴摥㤷㠲㘸敦〰㘱昳㍤㑥昳㘰搰晣㌲㉡㥣〲愲搴挳㜶昳㥤昷晦昶慢㝦㍢敦摥つㅦ㉦ㅥ㝥搴㡢愵攵挷㈹摥㡤愴昹〱㌰㡤攷㜴愲〶㡦㐴摣〶㈰搱愷て㐲㕦ㅦ〲搱㠶㐱搰㝡搴㌹㈳挸愰昵ㄱ㉡慣〰㔱敡㍥扢昵㡢㍡扢㡦ㄹㅡ晢攳攰㑤扦㝢攴㔳ㅦ㥡昷㥥㙤敤慢㔰㝤扡㝤㜵ㄹ㈹ㄹ摢㜱扤㥥扥ㄵ㐴扢戱㈲昶收ㅥ㠸㕢㘰㈶㥥改换㐴㈲改㜸搸攸㌱〲扣摥散敤挵㤶扡敤㤹㌳戳㠵㜴㜱扢㕣㝤摦㍥㘴㤴捤改㡢昱㈲扢㙥愸㌸㔵㐸㤷て昷慥ㅣ慤ㄸㄵ昳㙤昵㜵搳㑥ㅡ捣㐶㜱㙦㌲换搲摥晣㝡戳㌳㡣摣㤴㌹戸㈳㙢㔵ㅦ㔱㔷㡤㍢㔳㌱㌹㜳敤捡㤲昹摥㙡㙤㐳㡦〶ㄱ攵㙣ㄳ摦つ愳戴慡慣㝥㜵つ㙦㉤㤶捤㠲㜴㙦㔱㝥㘳㌶㌵㘱㤶㐶㑤挶㐸㘶㕡㠶㝡㄰慢散摢攳愲つ〵っㄴ㌷扣昴〲户㌴戳㘲㐷挵㉣愴捤㌴晡㍢㘹㤶㉡㍢挷㡣㘴捥㍣戸㐶挵㙡ㄳㄵ㠷搵㠸㔷ㄶ㔳㔳攵攱㘲愱㔲㉡收㙡㙢〶搳摢っ摣㤲搳敢㡡㘹ㄳ㜷搴㘶ㅥ㍥攵㙢㙡㔲捡㜷愲搷㙤㡤㝥换摤㌲ㄱ慥㈹收つ昶搰摡㘵搷扤〹愳挳㈸㜲㈶搷愴㝦攱ㅥ㥣㠹㕦扡㌹㘱㘶㐵搷㤸ㄸ㔰㔲晢昸㤹戵愵㡦搵㤹晢晦㔵昶晢攷摡愳㕦戱つ㘱换愹㐶㈱㥤㌳㑢戳㠶挳㡡㍤搲㑦〵〹摣㡤戳㜹㐶昴㜸㡢㔵㍢搴捥挰昶㙣扡戲㔵摢㙡㘶户㙣慤㐰㠶㤰戹戵㤵搰㌶ㅣ晡㘹㄰改㙢㐸搶㠲〴㠳㍥㙤ㅤ㤵戴愰扥摥㉡〷ㄸ㍡散㝢㐰挴愰㕣㤷〰っ搱㜲㌹㤰㕦㔹㉣㤵㥢㥡扣㐶㜹慡㔱摥㕡攱昲㥣戵㤲愱㡦扥㠱㘴㈳㐸㠰㌱换ㅥ攳㉤㐶㑡捤っ㉢㍢昲㈳㘶挶㐰㌰㉦㘷户㌲〲㜹㉢㍥ㅣ㌱换㈹㥤㠱攴㙡㥣㉢㍢㌴㜰㌸昹摢昳㕣晤收㡥捡㠸㔱㌱㕡昲〸㐹㌱㑢㍡㤴ㄶ㠹㤵挵搱戲㐳㘴㡥㜵搰㉥挱㐳㐸㔸㤷㤷㌶ㄱ㔸㥥㜰攲攰㝣昱㌵搹㜴昶㐱戰敦ㄸ㠴㔶扦搰㙢㐳㑢㐴扣改㔵㘶㘱㙣攷愴㔹愶㝡慢㌶㉢㤴昵愷ㄷ㥤㙤㐸㈵㌷㔷戲戹㜲㌷㝡扡慡㔴㥣㥡㝣㌳晤搰㤷㝥㍡㠸㜳〴敥挴㉡摥晢㌱㌱㕤㙣搹挶戹ㄹㅦ昷戵搲ㅢ㈵㍡挳㔹㝤ㅤ〸㥣扤㠱㉦㌹昴捤昸ち捥㔶ㄷ㘰愸扢㉦㘱㌸㈳挷昶㍣㄰ㅡ㉢㤹㤲㔸戴㑡〱㘸㜷攴捦㉣㤶㈶㤲挵攲〴搷搳ㅣ㈹㤵户㥡㘶㐵㠲㜵㍢㌹㤱㈴㐴愹愶愶㥡挰摡ㄵ搵㌳捣搷捥〶改ㄸ捣攵扡ㅣ㡦㘵敤㥤㄰㌵㈱㙤搰捥〱戳㜰㤵㔹ㅣ㌶㈶挷㈵敢ㄸ攷㈵㌸㌷扥つ㤹㙡㝣㝣摤攰攸搸㡡㑤摤㘷慤ㅤ㍤㑢摤っ㈴ㄸ晤㐶晤㝦㝥挷㈵㥤㝦㕥㜹挹㘳㥢挷扦搱摣㔶㔰扢敤㡡㠶愸㥣戱㌵敦挲晡戹㈰敡戳㔰攳ㄵ〶㝣敤愱㥦㠷戲㙥㤰㈴㐱㜰㥤㄰攴㜱㤹㐸㕢㐵挵昸㥣㤷ち摤㈴挹㠰㈸㠶攵㤲㕣㙣〱攳ㅣ敡㐶昸攷晣换ㅣ㌲愰㙦㥣㐳愶ㄴ㐱㝤㤶㍡挵㘰㥦昳愸ㄳ㌷㥤㐸改㐴㐹㕤〹挷㥥〰㕣㘱㔷㌴攴〵㡣昰〵〰㕥㈸搵㐷愰收つ挰㌶戶戱㥤㘴〷㠸ぢ㠰昳慤愲㘲㤶㈰〰㕣㐰愵昷㠱愸愳㐰〴㠰ぢ挱㌸㠷㝡㍦摡愸〲搰〵㜱㈳〰扢㈰つ敡戳搴㈹愶ㅣ㕥〰散㤸〹㠰敤㜶㐵㐳㜶挲㌴㐳〰戸っ㡣㥡㥡ㄱ㠰换㔱慤㕦㐱㜲㈵㠸ぢ㠰㡦㕡㐵挵㔴㐵〰戸㥡㑡搷㠰㈸㘶㈸〲挰戵㘰㥣㐳攵摣〰ㅣ〷㜱㈳〰㌷㐰ㅡ搴㘷愹㔳捣㝢扣〰㐸捥〴㠰㘱㔷㌴愴㐸㡢攱㐹〰戸〹㡣ㅡ㠷㥡昷ち昸ㅣ慡昵摤㈴㌷㠳戸〰戸搵㉡慡㤳昰㉤〰摣㐶愵捦㠳㈸㘶㐹〲挰敤㘰㥣㐳㥤㠱㌶慡㉢㠰昹㔵㈳〰㕦㠲㌴愸捦㔲愷挲搰昰〲㘰慤㍤捥㠶㙢挰ㅡ扢愲㈱㑤敢㠱㈷〱攰敢㘰搴敡ㄹ〱戸〷搵晡扤㈴昷㠱戸〰戸摦㉡慡ㄸ扥〵㠰〷愸昴㑤㄰挵㉣㑣〰㜸㄰㡣㜳愸〱㌷〰捣摦ㅡ〱㜸ㄴ搲愰㍥㑢㥤㘲㙥攷〵㐰敦㑣〰挴敤㡡㠶㌴㜰〹㍣〹〰㡦㠳㔱㍤㌳〲昰㝤㔴敢㑦㤲㍣〵攲〲攰㘹慢愸㤶攲㕢〰㜸㠶㑡㍦〴㔱捣〳〵㠰㘷挱㌸㠷㍡搱つ〰㌳挸㐶〰㕥㠰㌴愸捦㔲愷㤸㕤㝡〱搰㌵ㄳ〰㐷摡ㄵつ㠹攸㈰㍣〹〰扦〰愳㡥㠰㥡昷㈹昰ㄲ慡昵㕦㤱扣っ攲〲攰ㄵ慢愸㠶昰㉤〰晣〷㤵㝥つ愲㐶㐰〴㠰㔷挱㌸㠷㥡㠷㌶慡愷〰㤳搸㐶〰㕥㠳㌴愸捦㔲愷㔶㐰挳ぢ㠰愰㍤捥㠶㔳㐰户㉢敡㜳攱挰愹昰戴て㌹㡣㐴愳㤹㌳戲收㜶〶㕤㜳㌲搸㜶ㅣ㥥㉡㔷㡡ㄲ㈱㜶㘴㐶㡡敢㡢㤵㤱㙣㜹㌲㘷散㥣㥢戱㤹㌳户㥡〵攴㙦㈵愴㜱㜵戲攲攴愴㤹搶㌳愳挵愹㔲捡㕣㍤昲㔶挸敦〰〷愶㑥㔲㍢扦挲戱㝦㈹ぢ㜶ㅦㄴ㔶〹づ㕦㠰㠹㐶㝤攴㈹㥢㥦慥㉣㔱㔸慥挳捥㘹㐴挷戲㤵㥣搹㤶㤱っ㑤昸搶っ㔰㐴㔲㥣㙥挹㡣㙤㐵㐴㌶搲㤱㔹㔵捡愶㜳搹㠲挹挹㤸㘷愹慥㌵户㈰〱摥㔸㉣㘷戹愱搵㤱ㄹ㉢ㄹ㠵昲㈴㘳昹搴捥〳㙢㑡ㄲ昴〷㌲㐳搹㐲ㄹ捤挸㉣㤲敦捣㡣㙥㉤㙥挷搳㠹愹㝣㘱㤵㌱㔹㝥㑢捣ち㘳㈶敢㤰愹㔱㝥攵昷慢㔶㝦敢晥捥㡦昶ㄷ㜸㍢㘴㝡㘳慥ぢ㙢戵㔲捡㈶愷〸㥡㌴挴㥤扢㘶ㄲ㤹㐷㕦㘰つ戸晡挸摤㌵㡤㜵㘹㌷晢㕢戳㥤敦㤹〱㔶ㅦ晢戴㐳㕤晦ㅦ摡晣ㄵ攴戴㔵㥢㔷㑦㙦㐸晤㕤て㘶〲㙢攱㙦慦昳晦㠳愰㍣挷㕡㐶摣ㄳ攰慡挲搹㠹搵挰㔲晤搲っ㘶㐴㠷慢㜴捥㌴扢ㄲ㈹㘴㝢㘶慤㤱㌴㜳挸㝣昳㐶㘵㡥㔵攰ㄶ〴戶㕦换㜶摤㜰㌱㥦㌷戸散昸昸㘱㌴㘵攴捣搶捣攰㔴愵㠸㍤㝤㍤〳㈲㙢搳ㄶㄹ㍢㈰㌲㜶㔸㌹㙡㘶ㄳ㜷挴㠴愷慦攲ㄶ愳㤴慤㙣捤㘷㔳慤㉣㜰搷敡㉤戱㕥㜱つ㘹〶㤸捥攱㕣㑦敡㤳㕥㉢昵挴㜴㜷㘳㥦㠸搰㜱晡戱慡晤㑡挳㍦戵㥦ㅢ㈶戸晡挸㑤㐵晦㕦㜸ぢ昸㐱㜸㌹㤲攳昷捥戳挸摦㕦〴㠹㕣愰搴㝡㉡攰愳晦捤㘶㔸㘸摥〰㌲㙢㌶摤〲㠵攰摡愲㤱㕥㘹愴昰㈸戱挵㝥㤰搸㡡愹攵攵愶ㄴ攲晥挶㌰昲㌵㙣挵㙤换愶捤㔲㉢〵愳㜸愶搹捣㥤ㄱ捤㥡㐳㘴㝡㑤扥㐰愰慤搵慢慤搵㡥慦㠵㜶搶攸㝥㘶扡扡挱晦㙦㑥敦㕦捥扥〷㠳㑤愰晡敢㈴捣攸搴㐶㄰㡥愷㑥㠱愳搶㠹㑣攰㜴㔴搶捦㑤敤㔶〳㌶㈴戸㘷摥㉣㡦攰戸〹搲㡡つ〳搹㍤〹挸㐰摡㕣扢ㅥ㥡戵攱搱敡㍣搷搳㐶戱捡捤㜴搰扡挶㜲㜷㠵㡤晡晤捤㤸㙡慤㝥挷戸愱㔹㌸换㡦㥡戲ㅤ愲㍡搰〵捤て攳戹㍣㔹攰㝦㝣攲戴慥㤳扢㈶戶㜴㍦㜲搷㜰㐳㈰ㄱっ敡昲挴㌹愸㌶挳捥〱㘰ㄵ昸㘰㤰戳愷〷〸㠰〶愲捥㐵㤱愱㠰敢挶愵捥㐳㤱㌷㉦㥦搶〲㤵㝤戹㔸㉡〳㔶扣㘰敡慤㜴㥥〴挷敢㔰㜵㕤〶㈱摤昳扡㑣搳〲ㅦ扤㡤㑥散㠲㘲㤶敤っ㠵㐲㝢戲摢挱敢ㅤ㔴㘴〶敥愱㌰㠷ち㥤㔴搸〲〵㑥戸ㄶ愲挸〱㌲敦〵摦㠱搰昰〵搵㠴换愵ぢ扥戹戴㥦㐷㤷ㄵ㈸搴挳挷扣搹㠲敦㈰愸散ㄳ㝣捣戶〵扥㠳改㥣㘹㜷つ㝣㠷㐲扡㘷昸捥㠷ㄹㄴ㝤晡㘱㜴㘲ㄷㄴ㜳㜴て㜴摥〶〵晤㜰㉡扥捦㕢攱敤㔴㌸㠲ち㑣改〵扥昹㈸戵㌹昰㑤攴愳㕥〰㜶㐱〷〰敥㜲㌹㕤㐹㠹戵晥㡥㐲慤扥〰㐴㕤〶㘱㍤㠰㤷㐳㘶〱㜸㌴㔴昶〹㐰㘶敢〲攰㐲㍡扦ㄲ愵ㅡ〰㡦㠵㜴捦〰㝥ㄴ㘶㔰昴改挷搱㠹㕤㔰㔷㠳昱〰昰㜸㈸攸㈷㔰㤱昹扦㠷挲㠹㔴㔸㐴㠵㙢愱㈰〰㉥㐶愹ち攰っ㈷㜰㌷㜴〰㈰户〵ㅣ愷扣㕥〷㠳〷㠰敡㈷搳㘹㤸㑥㙦㐲戱ㅥ挰捦㐱㘶〱ㄸ㠱捡挱戸㍦ㄶ攴ㄹ攸ㅥ㠳ㅤ戵ㅢ㤶㠲㕦㤴扥㙦㐶愹〶扦ㄸ愴㝢挶㡦扢〳㔰昴改㜱㍡戱ぢ敡㌶㌰捥㐸㈸戴捦摦㕥昰㝡ㅦㄵ㍦敦慤搰㑦㠵〴ㄵ戸愳㈰昸㉤愱挸㔹㠰㈷㜹㉤扦㜷㐰〳攸㜱㑦挱㘹㤳㠰搸换㙦ㄹ敤㑦愱㑢收晦昵攸㌱改户搰攳㑤㘵㥦㤶ㅦ户ち〴扥〱㍡扦て愵ㅡ昸㠶㈰摤㌳㝣昷挳っ㡡㍥㝤㤸㑥散㠲攲〶㠳㌳㤴〰㜸㝢㈸㈳㔰搰㔷㔰㤱㥢てㅥち㉢愹戰㡡ち摣㡦㄰昸㑥愵㘸㔶昸㑥㠳〶攰㝢搴攵㜲㠸ㄲ敢散㕤㐳晢戵㜴昹㌸㠴昵昰㝤ㅦ㌲ぢ扥㜵㔰搹㈷昸㥥㠴愹挰户㥥捥㥦㐲愹〶扥㡤㤰敥ㄹ㍥敥㑣㐰ㄱ晢敦㜴㘲ㄷㄴ户㈷ㅣ㜴㈸戴㔷摦㈶昰晡㈸ㄵ戹㜵攱愱㌰㐶㠵捤㔴攰㙥㠶挰㜷〶㑡ㅤづ㝣ㄳ㕢㑥捥昷㜸慤挰戳愰〵〸戹愷攱戸㜵摤㐱捥愶摢㜷搲敤㉦愰㔰て攱㑢㤰㔹㄰㥥〳㤵㝤㠲㤰㕢ㄵ〲攱扢攸㥣㝢ㄶ㌵㄰㥥ぢ改㥥㈱㝣〵㘶㔰昴改攳㜴㘲ㄷㄴ㌷㌸㥣愱㔰㘸㐳㜸ㅥ㜸摤愰攲慦扤ㄵ㤲㔴㐸㔱攱㔵㈸〸㠴㘹㤴摡ㅤ〸㑦㕡ㄲ㕤攲㠵㘰〶㑡㐰昰㌵㤷㔷〲㘵㉦挲㉤昴扡㤵㕥㤹㍥㔱㔵捦戲〴㠶㐱㘰㠰㈱㜰㝤㘴搷㄰㜵㌷㐳㈹㤸㘱晣㍤㕡搹㤹㐳捥㐳㤶㤱㥥挵㌱㘶戵慡ㄱ㝦ㄶ㑢㠸愹㥡敢㥦㐴㔶㙤㌹戹㙤昳敡㥥昲㡡ㄹ㙢ㄸ摥〷慥㝦扤昱㐹㘶搵㥥ㅤ㥦㝥攴㐳ㅢㅥ摡〴攴昳搶㘵㔳愵㘲戹㤸愹㜴㡤㈲愷敦攲㔳㜳〴㍢攱挱挰挷攰搱戳㑤づ慣戹挰㔷挲戶昱㈹㔲㜰愲㔰摣㕥㤰摥〴捡㝣㜹㠰慤改㉤㉤戲㈲搹づ㡦愳〱㕥㠸愹〰㡤昵㍣㔴㍡㥡㐲㡣愵愹慣ㄵ㐰㡦ㄹㅥㅡ摥㌴㥥㑡挷㝡晡ㄳ㘱㈳ㄱ㐹㠴㘳㐶㕦愶摦〸挷㈳改㘸㉣ㄲ㐹㠵㈳戱㜰㈲㈴愱㌷㝤ㄴ㘱ㄳ愲㌹㍤攸㤳㉣㌱〰㤶ㄲ敢〲㐰戴攱捤㠹㤹攲㘰昶㑡㈵㔵㑡愵㤵搹摣搲愲㡥愹㝢戸摤㘰㔷㝤㍡愸㘹っ㥦〳㔷〲慣扤㌳㘲〷愷攷㠲挶㝥㝣昴㌲攴㝡〵㈴ㄸ㘲〰捤づ㘹㔳㘰收って㡤扢戶〱戴㙤㤰戵㐳㈶昹〱㕥昶㉢㙢摢㈱㌹〰㤲摡㤷昷戴ㅤ㄰ㅦ〸㌱ㅥ㜹㌹て挱戸昸㐲㡣捣㘵ㄲ戸㌳㈴㙦戲改ㄷ㐰㘴㍤昰㤱挸㥡昲ぢ㈱挲㥦㉣㜷挵挸㥡㑢㕥扤ㅦ愳攴㐲〳敦搳戹㝡戸㔰搴挵㤰㜰戱〴㔹收㈱㤳摤㠶㙡㘹㘷ㄷㄸ㑣㌶㘳㘹㕡㘸敦〷戵㈶扢㍦ㅥ㌷㔳㘶愴㈷㤹㐸愷㘲㠶㤱㌱愲戱晥㤸ㄹ㑢昴㐵ㄳ㈸昴昴㠶㈴昴㠶㡤晥〱搸㠴ㄸ㙣搳㠳晥㐱㤶㈴敡㜶敡ㄴ㘳㙡㑥戸㍡ㅦㅤ攱㘴〸愸㤷㐲愲㝦ㄸ㈴ㄸ㘲㔸㉤摤㈱愸㍡㔱搴〹㥣㑥㤸㐲っ户愵昲㄰㍡㍣㤴攴㉡㔶捡㐳戰㠳挱攱捦愷㕦㙤㌳㉣愸㐳㐱〵㤳〲ㅡ㙢挴㈴〷㘹㈳㈶っ㥡愵㥤敢挰〰ㄳ〶挸昸昳㘹搷㠳㕡㤸昴愵攲晤㔱㈳ㄲ㌳㌲㝤攱㔸㍦㡥㔸慦搹ㅢ敦㠹昴㥢㘶㈲㤵攸㡦㠴㈴㥥㘶㜷㙥㠰㑤㠸ㄱ㌴㍤攸㌷戲㈴愱戴㔳愷扡㈰ㄲ㑣㌲㙥㑣㍥〹愹晥㈹㤰㘰㠸㤱昲㡣㤸㌰㠲㤶捡昹㜴㜸㈴挹㙥㥡ち㈶ぢ挱攱捦愷摦㘲㌳㉣㈸㐶挰㠲挹㍢㍤㌱㌹换ㄳㄳ挶挱搲捥敤㘰㠰挹昱昸挲㥦㑦扢〳搴挲㈴㥡㡥ㅢ改晥㡣㤹攸つ㈷㘳㝤改㌰扦㤳㤹㐸㌸㠱户晤㡣摥㜸㌸㈴㈱㌲扢昳〵搸㠴ㄸㄴ搳㠳晥㐵㤶ㄶ㌹㈵搶㈹㐶扥㠲挹㈶㌷㈶㕦㠶㔴扦ぢ㈴ㄸ㍡㤹ち㌴收挲戰搶㠹慣ㄸ㉥㤶㄰㠳㘲愹㈴〸昲㌲愱昵㕡攱㍤㤰㉢㠹㙡㈹扦㤷㈵㌰扣㔵㈸㐶戵㠲挹㑡㑦㑣㐶㍣㌱㠹挳㐸摡㜹〰っ㌰改挵ㄷ晥㝣摡㌷㐱㉤㑣ㄲ㘶㕦㉣ㄵ㡤昶㈴㈳攱㑣㉣搲ㅦ㑥㠴㔳㤹㐴㉡㥡㌱ㄲ改摥㘸捣攸て昵搹㌶晡㠳㘰㐲晤㑥改㈱㤶㈴攲㘵㔷㔹愷ㄸ捦ち㈶愷搸㤸㐸搳㡦㐲慡㝦ぢ㈴ㄸ㘲㐸㉢㌲慦㜳㠷愱慥㔴㉥愶挳㤳㐸扥㐷㔳㔹㈷〳攰昰攷搳㥦戰ㄹㄶㄴ㐳㔵挱㈴敡挲㐴㝢ㄲ搲ㄹ敦㐶㉡散〹搴㌰㙣愴昱ㅦ㠰〱㔰㈳㜶㔹㝢ㅡ㡣〵㔴挴㠸ㄸ㤹㘸㑦㕦慡㍦㤶㡡攱つ㐹㈳㤶敡つ㠷攳晤挹㥥扥㥥晥㔴㌸愶㍤㔳㔵敤敤敦㡤昴昵愵㤲戸晦愴㘲攱㔴㍣搹㥦㐹㐶㤲㤹㜸扡慦愷慦㉦㥣づ㙢㍦慣慡攲㕤换㔸㌲摣摢搳ㄷ㑤昵挵㡣摥㘴㈲㤹㠸昵昴挰㈶摡搳ㅦ㑥㐷㤲摡戳㔵㔵㌳㠹换ㅣ㑥㘹㌴搶ㅢ㌳搲愹㐴戸㤷㝥㘳㈹㌳搵㡦户晤ㄲ㈱㐶搸㌲㠸攷挰攸捦㤳晣㠸攴〵㤰㄰㐳㙣愹㝣㤱愲ㅦ㤳晣㠴攴愷㈰㈱㠶摥㔲㐹㔵换㐸捣改㐸㌱捥㤶㘹㥤㙦㑦慢㕣ㄲ㝦㐹捤㤷㐰㠲愱㌵㔴挰㝣㘸扦〲㔳㝦㥦㜹ㄹ戲摡晢捣扦㐳攲㜱㥦㜹〵㘲慦晢っ㘳㜸改㕢て攷㍦㐶昲㉡㐴搶扡㤰ㄸ㥣愲摦㐲㠴㍦敢挳ㄸ㕣搶挵㠱慥㜵㌱㝤㥦〹㜹㉥〱㐶攲搲捥ㅦ挰㘰〹㌰敡挶㥦㑦晢㑦㔰㙢〹愴㌳挹戴㤱攸改㑢ㅢ攱扥㔸㈴ㄹ敦㌷㔳㤱㜴㉣㤱㑡愶捣㥥㔸㌴ㄲて㐹㤰捥敥晣ㄱ㌶愱㌱摢㠳晥㕦㉣㙤㜶㑡慣㔳㘷㠱〸愸㐱㌷愸㝦㠶㔴晦ぢ㐸㌰㜴㌶ㄵ攸捡敢㕣㘱㔰㉥㤵㑢愸戱㤴攴つ㥡捡戹昲㉥㜰昸挳收㈱㈶㡡㡣㝣ㄸ㔴ぢ㈶慦晦捤敢㍥昳扦㤰㌶摥㘷ㄸ㕡㑢㍢っ挷㠱挹㜹㈸搳㥢愶愱㙣㘱㤲挹挴㝢挳愶㠹㕢㑣㙦㍣搶搷ㅢ㑦昶愶搳㐹㈳ㄵ㡦㐷晡ㄳ搱㘸㙦㈶㈴㔱㌷扢搳〲㥢㄰攳㙣㝡搰㕢㔹㑡㌹㈵搶愹っ㑡㠲挹㥦搰㤹敡扤户つ㔵㝡㍢㐸㌰戴㠵ち㌴昶挲㘴慢㔳㌹㐸㡤㈱㤲戹㌴㈵㈶㈱㐶摤㘲㜹㄰㐴ㅤ㑤〱〶㡥㑢敢㘲㌳敦攷㈵㡢敡摦搹㕣㠱㜷㌰㜷挲㡢慦〹ㅢ挵搶昶㙡戳㝦挹晥昹㘲昴搷づ㔷晣〴㝥㡤㔱晦ㅤ㝥㌰㈲㔷㍣㐸㡦㜲慦㍤〴㕤つㄴ㔱ㄹ昶敡攲㙣扦㥥搰攰攲愰晣敡㌲㠲㐳晣ち㘷慣㌸㔸晤〹挷〱㑥搰戸挸㜹㤵昰㤸㘹挹㘰戲㡣愷㜳ㄵ搳㌱摢㔰慡摡攱搵㍣挴昹愸㔸挴ㄷてて㥡㉥戹戶愷て㥦㤶慥㉥㤴昱㤲慣㤹㜶㍣㤶戱㐵摢散㙦㔲㥥㑦㠴敤ㅦ㙢㈰㑡㜵ㅣ慣㈸㑣攵攷㘰っ㠷㝢㙣捦て㘵㉢昲㜸慢つ昵㑡㘷摡愰ㅤ〶愰づ㕡戶㜰㜰愱昳㐳㡣㠵㐳挲㥥戰㈰昰㌲㘶㘶ㅦㅡ慤㥤〹㜶㠱㐷㔰㍦ㅣ㉤㈸㈶ㄸ昴㐷㔱㘷㤹つ㠳攱挷㜵晣㝥戹㕤ㄸ戰扥㕢敤敦㤰晤㍤㙦愰戳攲㔸扥㕢ㅤ㜵捤㘰攰㘷ㄷ㝤收て㜷㉣㍤收搳㕦㝥挳晥扥愸㐷㡥㔷㤷㕦昲敡改昷捣扦攴搵攵㑦㍣捥攳㌷换ㄵ㠳㜴慦愷昳㍦㐷愷㍣摦搱晡㤹㕤㔱晦㤲㕡攸㐲㜸㤲㤳敡㈸っ慣愳㐹㌱㐰攷㠹愵晥つㄶ㕣捤戲〰㡦收愸㍦〰㌱ㄷ愱搲ㄹ戵㙢挷㔴戱戶㕦㤰㈷搶昲㡡扣㝡ㄱ㜶づ㍥㜸搵㠸挶ㅦ㠴㠹㈳敡扣㤴昶㠰㘵摦㈱㘳晣㉥㤶㌳㐱㈶㘰て㕣㘵㠱㍣㜹㠳昵㍤昰㤹〱㜵ㄵ㉣扤㈰㝢搶㐶愶攱㠵㠶ㅦ摡ㄵ昵慦戵㠵ㄸ晡ぢ㘴㈷㔹㤰㕤㠷戲㐰昶㌴㉣慡㤰㥤捣㔱摦㠰㉡ぢ㌲〶昵㕡愴ち㤹晤㔳ㄷ㐲㈶㍦㜶㔱摦慦㠱慣㠷挶㌷挲愴ちㄹ㈳昵晤㠳㡣攱晤㥥㈱昳㡤㔹㔰昹捥戶扦捦ㅤ㔰扢㘱改〵搹㜷㘶㠲散㌱扢愲晥㐵戸㄰㌳〳㠱㉣㘱㐱挶昰㕥㈰晢戶ㅢ戲愵ㅣ㌵㈳㜳ぢ㌲挶晣摡戲㉡㘴昶㉦㜴〸㤹晣㐶㐷㍤㔲〳搹㜲ㅡ㌳挸慦㐲昶㘵摡晢慣て扥㥣㘳㉦㑥㑣㐶晦㝢〱㔹㘱㐰㝣㕥晣㕥敢摢㔷ㄹ㔰昷挰搲ぢ戲〷㘶㠲散㝥扢愲晥搵戹搰扤昰㈴㤰慤戰㈰㘳昴㉦㤰摤攷㠶㙣ㄵ㐷捤挰摤㠲㡣㈹㠱戶扡ち㤹晤扢㈲㐲㈶扦㉣㔲㕦慦㠱㙣つ㡤ㅦ㠲㐹ㄵ戲㐷㔱攰㥥㉦〷敦㍡敡㈱㥢㌷㘰㔵ㅥ㍡搰昹慤㝡㡢晡㙢搸㈷㍥捥攳摥攵ㄷ捣扢㜳搵捦捦晦搸㜲挵㠴挰ぢ愲慦捣〴搱㕤㜶㐵晤换㜵愱㈷攰㐹㈰㍡摤㠲㠸㜱扦㐰㜴愷ㅢ愲㔱㡥㤲㐱戰〵ㄱ㤳〱㙤㜳ㄵ㈲晢㤷㑤㠴㐸㝥摢愴敥愸㠱攸㑣ㅡ㌳㡣戶㡣㥦愱昱搹㤰㘹换ㄶ㡥挰㈲㜰㉢戴㍤㕦㝥戰㙦㘵㝣戴捡ㅢ㈳㝥昱戱㍡つ㘳搷摤㥤昷ㄴ㜸挲㍤攵ㅣ㌶昲愳㙡㈳㑣㉣戴㜷㕢㡤慣㐰㈳敡㜳㘸㠴つ㌱㠷っ敡攳搴㘶㡣㙦㜵改㔹㙡ㅢ㤶昶㑡㙡晦㤳慤㑤㘴㠲㝡㡡摡㑣ㄷ攸㠰㈲挵戴挱昱愶㤸㍥戰〰㉤㥦㘲ㅡ昱㌲ち攰㝤㥤扦㐴㘱晦捥㥥㤷ㅣ换㤹慥搱捦敦㉡慦晣搸㥦ㅥ㕡㍥㜸摥慦㥥㕡昰攳㠷㤷㝦攱㤴㌳捦昹捡㠳㡦㉣㔷捣〹扣㤶挶挷搱㈹捦摢摡㡤㜶㐵晤㙢㠷愱摦挲㤳㉣㡤㉣㐶㠶摢ㅡ昳〱㔹ㅡ搷挳愲㝡㡤㥥㈰㌸っ攵㉤㈸㤹㈴㘸㜹挸慣㄰挲晥搵ㄹ㤷㠶晣敥㑣㕤〳㕢〷㥦愰㕥愴㌱戳〲㐷搴挹挸㝦晦㈰㘳扡戰攷ぢ捥愱户っ㜰㙡㝣㤳户㔹摦㡦摤㍥愰㤸㌲㜸㐱㜶挵㑣㤰㕤㙥㔷搴扦愸ㄸ㘲愶㈱㤰㑤㠱〱㘴㑣ㄷ〴戲换摣㤰㙤攷愸ㄹ改㕢㤰㌱㠷搰ㄸ㐹ぢ㘴捥㑦攵〰㤹昵㘳㌹昵愱ㅡ挸㉥愰㌱㤳㠶㉡㘴㑣っ昶て㌲㘶ㄳ戳㐲收〴㑢ㄹ㌹㝥户㍣昸晣敥挹㘵挱搷㤶㉢㘶ㄴ㕥㤰敤㥡〹戲㡢敤㡡㠶㔷ㅢ㤹㠸㜸挶㤴慥ㄷ敦㕣扦㠸敢挴摣〵㌲摣㜸㙤换㔸㘲收づ搸昷捦收㜲戲㘵摥㡥户㤰㑡昸㑤摡㕡扣㜰㠷㜷㡦昰ぢ㘷㝢ㅦㄷ㉦攲昱愵づ攷㍤ㄷ㕤㑡㌴搶㌲ㅢ㑡㜸昱愵㈵戳扡㡣ㄷ㈵搳慤昸㑤㑤愵㠲㕦㐵扦ㄵ㕥㔱挲㐳㡣㘶〰㠴挳㝡㌹挹昳昹〱ㅦっ㜸㕥㐰㉤〸愷昱㜰㝥㙡收攷换㑢晢昷捥愴戶ぢ摤㜱㍦攴㑡扢㕥挹㙢㔶晦㠰㘹戶搲攷㡢㝤㜲つ攴昵㔹晦〰㙣戴て㠲昰昷㈲㤲昶㠲〴昵㑢㈰㤱㘷㐹㐲㝣〱愶㘸昵〳攴㔳㥤㤵㤰晢敡㝥㌴搶搶收㍣㜵㈱㌸捤㑣㈹㘶换㙦㜸搹㙦挹㡦ㅢ晣ㅦㅣ㕡昳攳㌹戳戰愵戲戵晡扦㌶戴挸㑦搰昴㑢攱㠴㘷慦㕣攲ㄹ换㜳㙤㙡ㅦ〶㤹㜹挰摢㍤〷㝣ㄹつ㍦〲㔲㍢攰换㈱㜱つ㔸㌱㈵攰愰㥤㐳㌱捣攷㔰昴㉢㐱慡㕤㘱㡣㉣㕤戹ち捣捣㕤㤹昴散捡搵戰搱慥〱愹敤捡戵㤰戸扢挲㔰扢愶㉢っ㥦愵㉢搷㠱愹㜶㠵戱愷㜴攵㝡敡扢摥捣慣㕤〶㔹捦慥摣〸ㅢ㥤㕤㤹㕥〲㥦愰㘸ㅤ㈴搶ㄲ㔰㑢改㤶ㅡ昶愱ㄸ㤲㑡㌷㍥〵愶摡つ挶㜳搲㡤㑦㠳㜱扤㌲㔱摢㡢愴㘷㉦㍥〳ㄳ㥤㜳㌳摤㡢捦㔲攴敡〵㈳挲㥡㕥慣㠱㐰㝡戱ㅢ㑣戵ㄷっ㤹愴ㄷ㌷㔳㝦㐶㌰捥昱散挶慤戰搱㜹㑥㑣㜷攳昳ㄴ戹扡挱愸慢愶ㅢ㘷㐲㈰摤戸〳㑣戵ㅢ攷㌸搲㉦㠰挱㥦㝣ㄴ㐳ㅣ搱晤愲㕢捡㔰㐶愴㕦㜲㑢㜹㠳㤷㠱摣〹㘶收㠱㥣敥㌹㤰扢㘰㔳㠷攷㍦㔳攴ㅡ挸〴摤攲攳ㅣ㡡昷㝤改挶㔷挱㔴〷㌲㠵㠲㜴攳㙢㘰㘶敥挶㘹㥥摤戸ㅢ㌶㜵㜸摥㑢㤱慢ㅢ摢改ㄶㅦ攷㔰ㄷ愰㈰摤昸〶ㄸ愷ㅢ〱㕥慤昶晡㜲㡡搰挱㌷ㄷ㌷ㅥ晢㍦㠹ㄹ挲慢慤㡢㜲晣㉦㘲扣摥㤴慣㝤㤳昸㝥戴愳㜸つ愴て晤〱㥢㘱愱㤳㔷㈲㌲慤扣摤㈹㕥㑤搸㈹晤㥢ㄴ昳㈲㈲ㄶて摡㡣㔸昰㠲㌱㙤挱㤳㕥㉣ㅥ愲㤸攷扡㔸㍣㙣㌳㘲㜱㥤㕤戰摡攰戹㈹ㄶ㡦㔰捣搳㔲㉣ㅥ戵ㄹ戱攰㈹㐸挶戲攰㜹㈴ㄶ摦愲㤸愷㤰㔸晣㡢捤㠸挵㙥扢㘰㔹㜰挹㡢挵户㈹收㙡ㄷ㡢㝦戵ㄹ戱攰捡㈶㈳ㄶ㥤㕣搱㔲攲昵扢㤳㉢㜹扡挴ㄵ㕣㉤㈹慥㐲昱晤ㄸ挵㕣㠰慣搳扦㘳㌳㉣㜴㜲戱㠹㠵愰捡〵㈳ㄶ摦愵㤸㙢㐵㉣扥㘷㌳㘲挱㜵㌱㙤㈱ㄳ㐶慦㡦㐳散ㅣ㈱㑥ㅣ搷㡥晥〴ㄸ挴㝣㌲㐹㉣搷㘸㜱戲㐴敢㐹㑢㑢㈶㠶㕡㑦愱散ㅣ㈱㑥㤰㘸晤挰搲㤲挹愰搶搳㙥慤㐷ㅤ慤㘷㉣㉤㤹〰㙡搵戴挸㠹㄰㕦捦㕡㕡〲㍡戵㥥㐳搹㌹㐲〴㕦戴㥥户戴〴㍥㙡搵昴㡢㌰㡡搶ぢ㤶㤶㐰㐶慤ㅡ㕦㠴㑥戴㝥㉣㕡㈱愷㍢㡡挸㐸ㄸ扣㄰愷㉥㌳㠷㈱搸戶㉡㥦㈲ㄸ㔲㜱㜴㙤㐵挸㘹㕤ㄱ〸搱㔸㔰愷攱㈰愲〸㠲㘸ㅣ㔵慢愱㌸㙥愹攸慡慤〸㌹㥤㔶ㅣ戳㘸ㅣ㔹慢愱㌸㑣愹㤸㕦㔷挱㤱㐹挵ㄱ戵ㄵ㙤晦〷戱敤戲ㅡ</t>
  </si>
  <si>
    <t>㜸〱捤㔸㕢㡣ㅢ㔷ㄹ昶ㄹ㝢扣ㅥ慦㌷㜱㙥捤㠵愴ㅤ㑡ち㘹㌷㜱搶扢搹摣摡戰扢戶昷㐶戳㤷挴㑥㔲㉥挵㥡戵㡦搷搳昵捣戸㌳攳扤㈴ㄱ㑡摢ㄴ㔴㔴㐱㕦㐰攲㉡〱㉡愵ㄲ敤㐳愱て㙤挵㑢〴㔲㕥㤰㜸愲愲て㔴㤵㐰ち㔲㠵昲㤰㈶〵〹㤵敦㍦㌳摥戵扤摥㌴〹㐱捡散捥敦㜳晥晦㥣晦晣攷㍦晦敤㑣㠰〵〲㠱㑦昰搰㉦㍤㈱㙡散捣㉥㌹㉥㌷ㄲ㘹慢㔲攱〵㔷户㑣㈷㌱㘴摢摡搲㜱摤㜱㠳ㄸ㄰捥敢愰㍢㜲摥搱捦昲㐸㝥㥥摢づ〶挹㠱㐰㈴愲㐸愰搳ㄸ㝡攳昵㡥㐲㍤㈵㐴〰愳〲戱㌰㐰㉥㥤㥡㥡㜹ち晣戳慥㘵昳扤敡㘹㡦换戱㘴㌲㤱㑣ㅣ㌸㤴㍣㤸攸搹慢愶㙢ㄵ户㘶昳㘳㈶慦戹戶㔶搹慢㑥搷㘶㉡㝡攱㜱扥㤴戳收戸㜹㡣捦昴昴捤㘸〷づ㈷て昴昷㤷㡥ㅣ㌹ㅣ敢〰攷改㜴㙡㡣㔷慡攰㜷户戸㐶挰㜵㌲㥤㥡戶㜹改㙥昱㤴㐹㈵挹っ㉦攸愴㍢捥㙤摤㥣㑤愴㔳昸㙦搰ち㝡㠷ㄲ㔳搹㉣㌷ㅤ摤搵攷㜵㜷㠹搴愷ㄸ㔳㠵㤹搳㕡愵挶挳㠶㄰㈹㘲㥣搶散㐹捤攰㕤挶㈹㠷㥦搴捣㔹㑥㍤搹ㄸ慤改挵㄰捥㌴昸㜰扢㠵㝣㈵㈵愶搲愹㜴㔹戳㕤挱㤲ㄴ戸扦摤㘸戱㔲愲㐱ㄴ㌱挷㕢ㅦ㜳㔸愷㙦㌵戴㈶㥤慦愲㄰㠸〲㠴㍢〱㌶㌵捣㔴挵㔴戵㤷㠵慥挱昶ㅡ㈷搲㐸㈹慦㐹昹ㄹ㈹㕦㤰昲㐵㈹捦愵㝣㐹捡捦㑡昹戲㤴搷愵晣㔳㔲㝥づ㘳敡㑦愴愳㐳昲㥦敢捦扥扣晦昲搵㤷挷㉥晥㐸㥥晥昷ㄱ愹捣挸摣㠴摤㜵愱愱慣〳〸慦〷㘸㈳㐸ㅦ㘳㔷㈱〸〹㜳攵摡搵㜷户扤昴搱搴㑢㍦㌴ㄶ㡣㐷扥晢㉦㐶ちㄷ㕣㌶㄰㤷㡤挴㘵㔳㝢㉥㐹挶㍥昴戹㈴昸摦攳㕦㑣㌹挳扦㝥攵㡤昷愷㍥ㅢ扤ㅣ摢㠲㈹㤳搰㜳㘲㤲扢㜷挹㈸㘵搲敦慤㥦㙢っ愳㘵挳㌳㡢っ㜷ちち搹捣戸㔹攴㡢㘱戴㘰㑢㌱㈳㙤㤹㉥㕦㜴㌳㥡慢㜵ㄸ搳㥡捤㑤㔷挱愰㙥㌱换㙢搱捣㉥㠱慢捦㡥晡㍤㜰㠸㡢㘶〳㤷㑥㠱昰㌸㌱㐴㤶㘰挸㠳㤱㜰扢㄰㌳愶㌹㘵㔷㥢愹昰摤㉤收㐷㝡㠳挵㥦㜲昵㡡㤳〰换㔱摢慡㔵㐹愳㜷㡢て搹扣㐲愶ㄷ摥ち㈰〲㈲晤㘲㠱㐱㘵ㅢ㝥愲㠲愸㄰ㄱ〷晣〹㔱㔶㘸戱㥤攸㐰挴㡣㘵㘸扡㜹㤷づ㌷戶ぢ㑣㑦昸ㅥ㤵戱戵〵㐴㠷ㄵ搶扤㠹ㅥ晡晢昴昰㠸攸㔸敡㉦ㅤ㉡㈵㤳挵晥ㅥ慤㑦㤳挹ㅤ㙦搷扢㌷㘳㑥捣㌸愳㥢㐵㙢㐱戸晢㐶〳扥㉣㕣㌸户㔴攵〲ㄵ㉢攵㌴㝢㤶㈳㠴搸攳㤹捤愵戴㘵摢扣愲戹扣㈸㄰㤴㌷戶㌶㈳㥤ㄱ摢㌲〸扦㌳愵㌹㝣㈵㤴㜴㤷扣㠵㔲㔶捤㉣㍡㥦㘹㑦捣扡㘰扤愳㤵戶挲㘴搵戴㉣挲㉢㜷㠴愴昷户㑥ㄳ挶㍦戴愸㝢攴㕤㉤㘴〴㔸㙢㘶㙤敡㠸捤㥦㕥愶慥㤲㘸〸挹㜳㥥ㄳ㝤搵㉥㍤㤲㈷ㄷ挲愱攵㜰㔳㠸搷㙤㑣敢㠵㌹㙥㘷㌹愵㕥㕥ㄴ㕢摤㐲㈴づ㝦㉣㜰愷㝢㡡㔴㡦〸㕦㝣戰ㄱ㕢ㅡ㕥㜴㌹扣戹〸㜹㤱昹摣愵ㅣ㜹搲㝤㑤㐳扣㌵㐱搸摥㠴ㅥ戱ち㌵㠷扣搶戶㉡捤㤴愱攲扣㠶㌵㡢ㄳ㔶㤱㠷㐲㔲㌰㄰ち㠴攸〹㈰愳〴攱捡㍤㉤㡥㉡搲ㄷ昱㜶ㅡ昳㐴㠳攵㔰ㅥ敤扢愵㐹捤收㐵昳摡㠵㡣攵慡㠴㙤㙢昶㤵挴㐹㘸て㕡慡㜰㜲㈴愹㌵愲㌴〸扡㘲㌵戴㐸摢㜸敡敤愸㐱㘷㘴户㌴㝡捦摡㕢ㄱ㙣㤷㉤攳晦㍢㔸㤲㌶昹扢ㅦ㥥㐷捣ㅥ搳捣㘲㠵摢㌷搷ㄷ㐹愴摣㑦攰〱〲㉡㐰㌴㈰扦㡦攸戶愶㈶㈹㥦戲㐵戶㈴㉦攸㐵户ㅣ㉥㜳㝤戶散〲㠷慡㉦ㄲ㈱㌵敦㐵戹㐷昵攳㔹㡣扣㉥㜲收㠳攸㈹㥦〳㠸㐶愳〱ㄱ㍦挳㔱攵㈱昴挳㥦〷攸ㄸ攵㈶㐷㔵ㄷつ㌰㤱愲㘹㌰㘵攸搵㠱昶㘱㘰愳㌷愳㌱㑡敦ㄴ摣㤴㝤〴ㄲ〴昶ぢㄴ晢ㄳ昶㐴晢㔲搱愵㜷〳愴晢㥥㤰㉥㠹㥥搲ぢ搰㈸摤〱搱て㌰㤱敥㘹〰㘵晢搵ㄲㅤ愲㘱㌷愳㌱㉡ㄵ㠴㐴㡦ㄲ㠳挷〸ㅣㄳ㈸㜶挹㤷㈸っ㘵つ攲㍤て扤㕤㈱挵㈹〳〴〶㘹㔴㠳扥㔲攸㠷搳〰㉢晡ち㔱㔶㙡㜷挰换㌹㤴㔲㕡昴戸愵ㄵ㐷戴〲敡敢づ扦扡㡥愴㉤愳㡡捣㙥挷㘹㘴ㅡ㝥㡤㜸㌱慦ㄷ戹ㅤ㈱㐴ㄶ昵㝣〸挵戵ㄳㄶ㔱搱㐱捡づ〶㘴戹㌳搲㙥慤昱㍡慦摤扥昵㌵摥ㄷ挶㔷昱晦昰挴攱〱㙣ㄴ㕢ㄳ捡捦愰愹っ〳挸㘴㠵户ㅤ㐹挸㑥敥㌳戲㘵㙢㘱っ㘶挸ㅤ慦㜸㜵搲戶敥㙥㕤㡤㐶〹愲ㄹ摢〵㝥搴收㐸ㅥ㜶づ㌱㔴散㤱㘶散㘸㑢ㄱ㤳㜶〸㐷㙥〸㘱摤愵搳㍡㕦愰挴昷挰㙡ㄲ慡敦㜴捤㜱㉤㔱㌱摤扦㥡㥥戱㈶㉤㌷愳㍢搵㡡戶戴扢つ搹愳㥣㈹㜳ㄳ㜱摦㐶昸晦戴㐱㔶戵捡㡢㙤㘴捣㕡㌵扢挰挷㌳昷㐲收挰㐹㜹てㄳ㐹㠳㐵㔸㔸㘲㜸敥㉣㘸戱敤挴散摣收搷㐷㍦㌸㝢㜱㈰㡣㠰挳攰㉣㜰ㄷ㤹〲搹㥤㈴ㄷ慡愳扢㥡㑡㥡㉤㜴㡤㥡挰搵㔳慦㔶㜸㑡戳㘱搸㤶敤㈸㐶扤改ㄹ㕥挳㠵挶昳㤶㝢㐱搹挸搰㕥㙥㑥慣㥤㥢ㅡ〴ㄷ㌶㐸挶㑣昹㠰㙤㙥㐹愲㘲摦ㄴ搹敦昰慣攴户ㄱ改㙥㔳㄰㡡㠳ㅤ昳㜴㈱挹攷㤱㔹搰愳㠷挹㙦㠱㔵㕢昹㈸㉤㠵㑣扡敥㡡㔹搱㌹搳㕡㌰㠵攴戲㐳㜵愲〸慣ㅤㅤ戴つち挷攲改慦㥢㑤㐰㔶㠱攸㙥愷㉢慦㥥㕦扥㡦㡦ㄷ㤱㕡晤ぢ㜸㡣㉥攰㌹㥢㡢㕢㜶㐴㜴愰挲㉥攳㡣㘵捦捤㔸搶ㅣ摤戲搶㠹㥥㔳收摣愵ㅢ㜱愷攱㕤敢愹つ摢て〶㥢㙥扤扥摥㠹㐸户〹㉦㔳㡥愳ㄵㅣ戱ぢ愲挷摥挴晥改㠲晡㐲昶慤㉢ㅦ晦昳昱戱ㄷ㍥昸㘹昵㥢㝦扥昴〷昶㕢㥦㜰攳㤹摦㝦扣㥦晦㈲晤晤㠳搷愷ㄶ㝥搹㜷㑤愶攴㝢㑢㠵㑦ㅣ〳搷㤷㤶㘳㔷㑥㜷㉢扣戳攴㤹〶戵㈳㈵㐴㈳ㄴ愵挵㡥㔲慥㡣㕤㘷扡㑡愳戶㕥慣攸㈶㈷搳㐱戹㑦㕦て㡥昳㔹ㄴ愰搳ㄶ㝤愹戰捣慥㔲捥搶㑣㠷㜲㡤㔹㔸摡搸搴ㄳ摥㈲㤷㔲扡改㘰ㄹㄱ㉦愹扤扥㐴攱ㅣ㈷㔷㌳捣㔱慤敡摣ぢ敥〴㍢愹㍦㕥昰㤲㤸㈴戱㠸ㄴ戹㐳㡦〸㠴㈷挰㙦㕦㠳〷ㅥ㔵愱㌲㜷㥦慢㉤慡㤳搳愷搵㐱ㄵ㈰搹晢搰㕥ㄵ㘵㜴㐲敤敤㐹愲搲挰㤲ㄴ昵㈴慡㔵愸㌴㐰戰愳愲敡搶㡢㔵摡㐵㑣㝣㉢昲㙦ㄱ挱㜶〹㝤戹㥡ㄶ挵攱㈴收㌰慡搵㠴〳㑤昹つ敡㌰㉡挷愸〲㘹㐹改搳㐰㈹㈷㘸〰ㄵ㘱㤴搶搷っ搶㡣㉡㌴ち搸散㜵㤸㉦㠵〹戴〳㡣扤㠶ㄶ㜹㝡ㅢ㑦㘵㔴捦愹㜸㠵㍦㈸攴ㅤ㥥㘷扣㡡昱㙤㍤攳㔷㍥攱㡤搸摦づ㝥攱挵慤ㄳ扦扢愴扤昲㔱㝥攳ㄱ㐶㠵ㅦ㜹㐷㈰晣㘵㠰㈳㑤愷㜱捡搴㕤㌵挷ぢ㘵㔳㉦㘸ㄵ㌵㡤挳㔱昷攰㉥慡㍢〵㕣㐹㤱㤲搵〲㔰晢㈷㤰愴愱㠶搵㈷挳攸㤰攸㜴㤴慦〰㌰㉡㈷㠵〲扦敡㌷㠴〲愹㝡㙣愳挰慦〱慤㍣㐹〳愹㘶扣戹〲愹愰ㄴち晣㌹㜶戹愲挰㥦愱户㤶〲愹晣㔴昱㝡攱㐵㐳㙢㈵扣晣挴搷㔵慦㜴攳戱攷搷摦ㄸ㜹晥昲愹晣㍢愱㑥㤳晤搸㈷㕣㈹㝦㝤搷㈳戳敦㘵㕥㥢㝦昳挵摦昴っ㜴戰〱捣昷㤴挸搱敡㙥㔲攲㠴戶㤸㔰摤㌲户散㠴㕡戵ㄶ戸慤ㄶ戴慡㔶㐰昸㔴昷㑣户㔷摢㈰㤸〸戵㤵搰㘰㈹〲㜸㤵㔹扦㐱㥤㌸搵㡣ㄲ摥㜰ㄹ㘰㕤㍡㤵㙦戸㤳㠵㜵攰㌶〰攷挵搹㝡戸㡥㔳㠹㐹㜳挴㤷㐸㠵扥ㅤ㌲㘱搹㠴慡〰搴㥦㌸㔹㌸攵ㄲ挵〰攸ち挶挹㥡挵㐴㕡㑣㈱敥㜱戲㙤㠱㕡㐷愸愷〱㤸㌸㘴敡㌵昱愲挳ㄶ扣㔰㐱ㄳ㉦㍡搸ㄶ㕥㜴捣〲㐵昷〴㘵〱㠰㠹㥤㔳㙦ㄱ愰晥挴㐹〳㠲搷ㄲㅡ㕤㐱㐶㕢㔰昱㠶捦㔲㝦愸㔲㔱敢㘹挷〹㥦㈳㔴搳攷摣昰㜹愰㜶㡦㜲㉢慤㔵昳挳㡢〵㕥挹搳㙤扥㤲㥦挷㐷昶晥晣挴㔰㌶㌷㝣㌲昱挴昱散ㄳ散㌹晦愴摦扤愶扥㜳㍤昶摥昰挵扥㉦晤昵㡦㐷晦ㄲ㘶捦晡㠴搶㉦慣昱晡㥥㘵㔲搹愳敤㤲攸慡慢㜳㜷敢㜷㡡㘱㝣㜷㔸㈲㐵〴㜱敦㤰㐵㙡〸㐹㐷敦㡣㔷扤㤰愱昸㈵㍦〳愹晦〷㍥㘴㜰捤㜵〸㜹㥢㜲〱㠰搱挹慢㜸ㄵ㍡〲㠵㤴慥㤰㥡搹昹戵㌴㜸捥㈷慣晡扡㑣昶㐱捡㘳㘷㌱㠲㈴ㄶ㡢㝣㡢㌰㘴ㄲ㉡摥搶㐵㙡㙢㉤攲晡㠴搶㡦捦昱扡㌹㌱戲㈰戱㥡搳戸摡㜷㠰㤵㉦〰戴㤶㔷㜴ㅢㅣ愱愳㘹戹昱㜷㜶㔲㌱昵敡挰㍦〶扦㌱昸敤㈱㐶搲㕥㘸㐴㄰㐳㐲攴㝥昰昶攰㝦晡㥥ㅣ敡晣㉦㉢ㄴ攸㔵</t>
  </si>
  <si>
    <t>㜸〱捤㝤〷㜸ㅣ搵搵戶慥㉣㡤㜵搷㌶㕥戰つㄸ㔳㙣㘳㘱挰㘰㜶㔷㕡㐹ぢ〸㑢㉥ㄸ攳㡡㘵搳㐱㙣㤹戵㠵㔵㡣㡡ぢ〴㌰㍤昴㐰㐸㐲ぢ愶户〰㠶搰㙢〲〴〸㄰㐲て〴㐲㈸㈶㠴ㄲ㕡〸〹〴㠸晦昷㍤㌳㜷㜷㜶㜶㔶戶昹昲㍦㑦挶摡攳㌹昵㥥晢捥㥤㝡捦捥㤶愹戲戲戲㜵㔸昸㍦㤷ち慥㙣摤戲戲愷搷敥㤸㌸愵慢扤摤㑥昷戶㜵㜵昶㑣㙣敥敥㑥慥㥣搵搶搳㍢〰〶㔶㙢ㅢ昴㍤㤵慤㍤㙤㐷摢㔵慤换散敥ㅥㄸ㔵㤶㤵㔵㔵改㜲攸㐷扡㥦戰㘱㌴扤㜴〵〹慣捡戴㐵㌲㤰愴㡡㐴㤳㠴㐸〶㤱っ㈶ㄹ㐲戲〹挹㔰㤲㌰挹愶㈴㥢㤱っ㈳ㄹ㑥㌲㠲㘴㜳㤲㉤㐸戶㈴㘱晢㝡㉢㤲㔱㈰㠳户〶㔹㌰㘵昲摣搴㤱攸㑤㑢㙦㔷户扤换攸晤㥤㥣ㅢ愳搱㠹搱㠹戵昵搱扡㠹㤱㕤㐶㑦改㙢敦敤敢戶ㅢ㍢敤扥摥敥㘴晢㉥愳攷昵愵摡摢搲㌳敤㤵ぢ扡㤶搸㥤㡤㜶㉡㔲㤳㑡搶㌶㐴㙢攳昱㙣㈲搱㌰㜸ㅢ㐴㥥㌳㘵昲扣㙥㍢摢昳摦㡡戹㉤㘳捥㥤㌲㜹攲ㅣ扢昷扦ㄵ㜳㍢挴㐴挸愹㕤ㅤ挹戶捥晦㔲搰㑡㙥搳昸㔴㍢摤挶㡤㙦摢摤㙤㥤㡢㈶㈲敤〲愰挱搵㑦㙣敥改改敢㔸捡㜱㌴挵㙥㙦㥦㙦㘷㘵愳㜷㑣敤改㥤㤷散敥攸ㄹ摣㐱晣散㙥扢㌳㙤昷㙣搲㌱㙤㐵摡㙥㜷つ㝢慡㍡昶㑦㜶捦㐹㜶搸ㄵ㕣ㄹ摡攱㙣挳ㄹㄹ扢戳户慤㜷攵㤰㡥㠵㍤昶晣㘴攷㈲㥢㈶㤵ㅤ搳晢摡㌲慡愲〲㝦㘵〳挶〷㘵㈶ㅢち昹㜴㑣㔹㥣散敥ㄵ㡥㥢㌰ㅡ㘴敢ㄹ㉥搲㡢㠲扣㌸愴㐶晢扣戸捤㕡摡㍡㘶摡摤㥤㜶㍢ㅢ攱㤶㥣攰㌳ㄲ㠰㥣敤㤰㐳捡㜴㠷㕢㐹つ㜲㜷㍥昶㠵慤㔸愳㐱㠶㉤散㙣换㜶㜵㜷散㌲扢慤戳㌱扡换散攴㡡挶ㅡ㍤〶ち㍤㤶㈶摢㠳㔴㌴㑥㡢搵敡㜱㤴㔵㠳愸㡡搷戰㕢㝢㠳㜱搷㉡㙦㑤㤶户愶捡㕢搳攵慤㤹昲㔶扢扣㌵㕢摥扡愸扣㜵㜱㜹㙢㕢㜹敢㤱攵慤㑢㘰㘳㤶慡㠱〳换摤攵昰扡愷摦㍤攱㠹捤㘶摣昶昴晢摢晦㘳昴搹㕦㈸敥挹㜲㈰ㄸ㡦㤵戱ぢ扡摢戰つ晡摡㤳摤㤲㕦捤㉥戳摡㤶搸敤㙤㜶㑦㙦㘳慤攴㕡愷㜷㠴㥤摥〹挴摡ㄹ愴愲戱㈵摡愰㈷㔰戶ぢ㠸㔲㉦㈲㔷收晢敢户㐶つ戸晢摣㤹㝢㕦㝢挷捡㤱㈷慦ㄹ戴愹攲搱㐲ㅡ㥡㠸㤵ㄱ㔳扤㌰搴㐹攸㘸㐴敦挶㌸ㄱ㄰㉢ち挲搸ㄱㅤ愳慣〶㐴愹摦戹戱㔷摦㜲昹㜶昶㈹㥤㌳㑦扥晤挵㙢挶㉣戸㍡愳㜸㄰㤲搸㜱慣㔴晢㍡ㄱ㡤㜸㝡ㄱ㡤㍢㤰挷㜵ㅤ攳搶㠳㔸つ㈰挴㍣慥ㄳ㤴敤づ愲搴㘳㙥㕢晦搸晣挳ㄱ敤搳㕥㙡扡㌱㝣捣㤴㈳㤶㕦㜶戰攲戱㑥摡摡ㄳ㉢㕢㜹扢ㄱ㤹ㄸ㠹㌵㐸㜸慣搵改㐶〶摢ぢ挴㥡〴㔲搱㌸㍢㕡愷㥢㈸㙢〶㔱敡㈱户㠱㕦㕥㜹攸搲ㄳ㕦㍡㘳捥㥤捤户户戵㙦昹㐱戳攲㉥㈵つ㑣挱捡㡥㐵㥤昱昶愶㈶ㄲ㤱昶攲㤱㠸㥥捡搰搳㐰慣扤ㄹ愰㜱㜶㐲㑦愷㘸ㅦ㄰愵敥㜶㕢㥢㌴扥敡捣㌵㉦慤㤹扥㙡攸㘳て㥣扦捦〵㡦㈹ㅥ戰愵戵㝤戱㔲敦㙢㉤ㄶ㐳㘴㉣ㅥ〰㕤㠹搳㙥慣摥搱敢㤹㙣㘹ㄶ㠸㌵ㅢ〴㘰㐶㘳㝡づ㘵㜳㐱㤴扡搵㙤㝤晣扢㥢㥥搷昰挶㑤㌳敦㜹晢攱换㐶㝤㜲㙤慤攲㤹㐲㕡摦て㉢ㄳ㝣慤〳挵〶㑦换㤱㠹敥挶㡢㑣挴愶㥡捦攸㉤㈰搶〲挶㘸㍣㌰慥ㄷ㔲戴㍦㠸㔲㌷戸つㅥ㜳挳扦㍦晡换㍦づ㥣㝡昹㌷㜳㕥晦昶搱戹て慡㐱㌴挶挷㍡㤰㘴㑡㕦㑦㙦㔷㠷㍥〸敢晡㘰ちづ〱ㄹ搰搸㔲愷て愵攸㌰㄰愵慥㜴㘳ㅤ㍥搲㍡昴㤹昳㐷㌶㥦戰昷㤳㑢㠶㌵扣戹㑥昱攴㈶戱㕡戱㌲搲㌷ㄲ㥣㜱㠶㉥㈴昴ㄱ㔰敢㈴㠸㤵〲愹㘸㥣ㄷ㡢改㌴㘵ㄹ㄰愵㉥㜱攳て晡晡昱ㅦ㙤戹挷攷戳㝥㜹摤㙦㉢摥ㅢ摥㍤㐲昱扣㈹昱戳㔸昱㙦㥡㘸扤㙣ㄹ敦愶㠹㌶戸㕢㡢〷㤵㤸愳㡥攸㐵㙣㘹㌱㠸搵〶挲㑤㔳愳㡦愴㙣〹㠸㔲ㄷ戸慤慦敥㥡搹㜶㜵摢昰㌹㘷捤㍥㝤摥㕥捦㙤晥㥡攲〹㕢㕡敦挰捡昶扥㑤㔳敢搹㉥戹扤户㤳㔱扢㐰慣愵㈰摣㝢敢昴㔱㤴㜵㠳㈸㜵戶摢搲扥搷摥昷攵㌷慢搴捣扢㌷晦昲㥣慥㠷捦㝢㐰昱慡㐰㕡敡挵捡ㄶ㠵㌸㍡㌰㐶㈷挶㜵ㅦ㈳㉤〳戱㤶㠳㈰㝡㉣慡㔷㔰戶ㄲ㐴愹㔳摤攸㘷㔵㑦戹㙣慢㍦慦㥢㝢搱㈹㔷晣㘳搷扥ㄹ愷㈹㕥㙥㐸昴㘳戰戲㠳慦ㅦㄸ㑡㥥㥥㐴㈶扡捤改ㅦ㌰昰戱㈰搶㜱㈰㙣㉣愶㡦愷㙣ㄵ㠸㔲挷扢㡤晤攲扤㈵㉦㠴挶挴愶㥤㝣攸戸㌵㤵〷㕤户㔲昱戲㐶ㅡ㍢ㄱ㉢〵㠷㝡㜷㐷搵㈷㐱愱㑦〶戱㑥〱攱㘱㈷愶㑦愵散㌴㄰愵㔶戸㤱㡦㥦㜵㘷搷敡敦挶捤㍡攱攴㐳㡦晦晡戴扤㡥㔳扣㔶㤲挸愷㘳㘵ㄷ㕦㌷㘲㜵㜱愴㥥㍦㔶挷ㄲ敥㘱㉥㔶ぢ攴捥㘰昸㌳㐱慣戳㐰㌸〲愲晡㙣捡捥〱㔱敡㈸户挹捤㌶ㄹ㜹攴攱昷㍥㌳敤㠴㘷㑥晣敡挴攷㙦扤㐰昱捡㑣㥡晣ㄱ㔶晣挸攱㘲换搳㈰㌶㤰ㅣ㠸㘲晡㍣〶㍥ㅦ挴晡㌱〸㤱㡢攸ぢ㈸晢〹㠸㔲㐷扡㡤摤㌵敢㔷扤搱㘹〷捥扤㜲搴㔹㡢て戸㙥㤳扢ㄵ慦〰愵戱㥦㘱㘵换挲㐱攰㥣㝡戰㜵ㅡ昴㠵っ㜵ㄱ㠸㜵㌱〸昷愵愸扥㠴戲㑢㐱㤴㑡扢攱扦攸ㅢ㝢捤换㡦ㅥ㌴攵昲㙦慢攲ㅦ㡥捣晣㐸㡤㠰㕡挲㕦㠶㤵昱㝥昸愲ㄳ敢㍣㥤㠹㌹敤搵挴昴㙡㐶扥ㅣ挴扡〲㘴㐰攳戴戸扥㤲愲慢㐰㤴㍡搴㙤㙣挴㔷㔳㠷晤晤愳扥愶搳㑥晢㜲晣㔰㝢搵㍦ㄵ慦㘱愵戱㙢戰㌲搶摢ㄷ㘷〷㜵㡦摡搱〶戳㡦㕥换愰搷㠱㔸搷㠳昰㔴ㄱ搷㌷㔰㜶㈳㠸㔲ぢ摤㠶ㄶㅤ晣晥㠳〳扦挸㑥戹㜵挵㈳㍦㝦㔲㌷慣㔵扣㑥㤶㠶㙥挲捡昰㠲㜳慡戳㍤ㅡ昴捤っ㜳ぢ㠸戵〶㠴㍢㘵㔴摦㑡搹㙤㈰㑡捤㜱㐳㕦昲收愸敤㍢㜷扥㘲昶慡㌵扦扤昰戹㠱㠷晤㔶㙤〹戵㠴扥ㅤ㉢ㅢ㜲㕤㜰〷㠳摥〹㘲摤〵挲㠶ㄲ晡㙥捡敥〱㔱㙡扡摢搰户て㡤ㄹ㘹敤㤴㤸㝣敦搱昱〵㤳攲ㅤ敤㙡㈴搴搲搰㝤㔸搹㘱㔶搷愲㌹戸㍡挲ㄵ晢㙣㍢搹搹ㄸ㡢敦搲搲㥢㤹㙡㉦㙢挴戱㝦㔶㔷㍡挹㑢捦挶愸扥㥦㠱ㅦ〰戱ㅥ〴攱㤰㡥攸㠷㈸晢ㄵ㠸㔲㑤㙥㘳て㡤晦散搲ㅢ㜶扥㙡收改㌷㥥㔰昹㐲昵㤷〷愸慤愰㤶挶ㅥ挶㡡敦㔰㘳㑥摤〹晤〸㈳㍤ち㘲晤㠶昶㡤搳ㄲ晡㌱㡡ㅥ〷㔱㉡攱〶ㅦ晣捤戳㉦扦㜵昴㌹㜳慥㝣㍥㝥搷搵㙤攳㥡搴㈸ㅡ攳㘳晤ㄶ㘴㥣㙦㡣㜹㡦㤸搸㈹㘵㙦愹搷㑦挲㔲㍦㐵㥦愷㐱〸㕡扤晥ㅤ㘵捦㠰㈸ㄵ㜳㥢晡攵㙥㕦慤㌹㈷晤捥㡣ㄳ捦㙡摣昴㠵㕦㐴㥦ㄹ晣㉣搴晢戹㤷㤷㔳扢㤳换㜱挱㥥扦ㄷ㠸㑤挴㘹㘷㐳㙥㠲㜰て㤴㡤㘷敢戳搱㘸㈶ㅥ㐹搶㈴㉢挷㈰散㠶㕥㙤昳戸㍡㌸㝢㐰㕢㘷愶㙢戹㕣㝥㙦㍤㌹搹㘳攷慦挶㈷戸扡挹㕤㝤㥤㤹㥥㔱挱捡㤶摥㘴慦扤㤵㕦㤷て㔲攴搶㠲㥢ㄳ扢㐷摡摢搶敦戶㝦戲扤捦㙥㕥搱收愸户昱愹㜱㙢搲㤵㉡慤摤扢摢㍥㉡愷㉤捡愸ㄹ昷捥换㈴㜶㔱㉦ㅤ㤵㤳搷攸㈹㡢扢㝡散㑥㐹㙦㐲挷扣戶昴ㄲ扢扢挵收㥤户㥤㤱慥㡥愰捡扤㍦㥡㌰户ㄳㅤ挵ㅤ㑦㘶慣㔷㥡㥤戶愲搷敥捣搸ㄹ攴扢搴敥敥㕤戹㈰㤹㙡户㌷㉦㌰㜱摡㠴㘲㘴㠱㜸敦慥㜴㕦捦㤴慥捥摥敥慥昶㐲㑤㜳㘶㔹ㄲ昷㘴㤹搹㕤ㄹㅢ户㔴ㄵ㕣捡㔴搹㠰〱㑡㤵敤ㅣ㜴㕦挳戸㍤ㄳ㘵㐳㜸㌶昱㌶搸收㕢ㄶづ扢㠹昳搱㍢昴愲摤收㤸㉣ㅦ户㥥㘰ㄲ㤷㘱㜶㉡㙤攸改ㄳㅦ㔳搰㝡挷搲搶㤲㘳㙥换晤晦㌵㉥㉦ㅦ收昶㝥摡㌲摣户敥㤳散捣戴摢摤晤㍥㘴㔱捣㐸㍦〷㔲戹ㅢ昶收㤲攸㔵挰㐲慤㔰㉢㉢㤷户㘵㝡ㄷ㕢㡢敤戶㐵㡢㜹㍤㠴〷㌱㔵㔵㠴戶㘸搱㉦㐰愴㕦㈴㜹〹㈴ㄴ㉡戳㕥愶㤱ㄵ搲㝦㜰昸捡戱昸㝦攳敦㠸换攱愵攵づㅣ㡦㑢㝡㉡㍢昶敥敡敥ㄹ㌰㈰愸㤷晢㈴㝢ㄶ昷㜲㜸昶慦㘴扣㔷㐸㕥〵愹ㅣ〷戲摥ㅢ敥愱㌰慡攰㜳㠵㈱ㅤ㔳敤㙣ㄲ㑦㜳㘴敦㔶挹捡づ攷〱挱㔴扢㈷慤昹㈴㘱〶昶㤵ㄵㄶ搶戰昳て敥攰攸户㔷昴㑥㑤昶㈶〷㜶攰㤹〴戶㤲㠶搱〴昱㜲搶攸㌹㐴㘴挶㍢攴㜲㠸㄰㤶㔵㑦㤴㐱㈲㜰㈲㘱挷挱晥㔲㌶挰愵晤㜷〲戹㙦㡢㑥㔸晥㠱㕥昸㙣〱㡦㍣㌲搳敤捥〵㉢㤷摡㍤㌴慦戲晡㠵搲扦㝢㌱搸摣㜴㙡㘱㙦㕢㝢捦㐴㘴㍡扤扢慢㙦改㝦㌳づ㘳改㍦㠲㤸愵㜲〷㡣攲つ敦ㄳ攰㉡ㅢ戸㡣摢愶戵戵慣㡡搱㈸搱摢㤳㜰戴㈲搸㍡晣㈷㡢㝥〳晦㠵晡搳㔵㔶挳㘲㘳㥥挳㔴挲㝥㜰〷㄰㕡搰㙤换㤳愵㉡㘱㠰昶㤰㡥〳扡扡㤷愴扡扡㤶㜰㍣㙤㈲㕣捦㘲摢敥攵搳㥡㐱敥搳㈹㜹ち愵搴㠰〱〵㑦㕦㍣㡦㜵戶㐳㝣敢㙤㤰㈱捤敤敤愳㑤挴ㅥ敢ㅤ㠸〶攰戹㤱戵ㄶ㉢攳愶摢㕤㔳㤲㑢㕢攵戱㔳㉢て挱敤慤换昰愸㌲摥㍡扢戹㘵挱戴昹ㄳて㥣搵㜲愰摡ㅡ㐸昰挱挹㌷㝦晤晣戰㍢㥦摢㝢捥ㄹ昷摥㝢晤ㅦ攲㤵㥢慡㔱慥愲攸搱捤㡥㠸㍤〶ㅦ晤ㅥ㠸ㅡ〹㌳ㅥ㘱戰㕥戸攸昷挱敢て㐸㍥〴挱㜱㐲㤰挷㘱攲㙦づ慢㜶挲晦㍣㔴攸㡦㐹㍥〱㔱ㄳ㐰戸愳敡㑦㐱捣愲挲㠸捦敤㉦摢㜰㘷㠸㡢户攱ㄷ㤰㠶㜴㍦㍡戵ぢ㉣戸ㅤ㌵㜱搳㐴㑡ㄳ㈵㘵㈱㜰㈰〰㤵慥愲攸㤱搲㙥㜰ㄳ〰扥愵晦〰㤸〵〳昰ㅦ戶㐱㘰㌴㐷㥦〷㠰㜲㠷㔵ㄱ攸〴㠰〱㄰㘸㍥㌹㔷㌱㠸〴㠰㑡㜰㘶㔱晦晥㡦〷㠰㈸挴挵〰㘸挶搴晤攸㔴つ晣㠲〰昸っ挱〳〱昸搴㔵ㄴ㍤昷慡㐳愴㌱捣㘲㌳愶晣㌱捣㠲〱ㄸづ戵ㅥ㐱戲㌹㠸〷㠰㉤ㅤ㔶搵㈳㠸〰㌰㤲㐶㕢㠱愸〴㐴〲挰㈸㜰㘶㔱敦㝡〱㘸㠰戸ㄸ㠰敤ㄸ㔳昷愳㔳扢挳㉦〸㠰搷㑡〱昰㐷㔷㔱昴㌰慥ㄱ㤱挶㌰㡢ㅤ㤹昲㉢㈵〱搸ㄹ㙡㍤㠱㘴ㄷ㄰て〰ㄳㅤ㔶敤㠵㈰〲挰㙥㌴㡡㠰愸㈶㠸〴㠰㈸㌸戳愸摦㝢〱㤸〴㜱㌱〰㜱挶搴晤攸㔴㌳晣㠲〰昸㑤㈹〰ㅥ㜵ㄵ㐵てぢ愷㈲搲ㄸ㘶戱ㄷㅡ㔵て㤷〴愰〹㙡摤㑣㌲ㄹ挴〳挰㔴㠷㔵搳㄰㐴〰㤸㐶愳扤㐱ㄴㅦㅦち〰搳挱㤹㐵摤攳〵㘰㙦㠸㡢〱㤸挹㤸扡ㅦ㥤摡〷㝥㐱〰摣㔲ち㠰㥢㕤㐵搱昳换㤹㠸㌴㠶㔹㉣㘰捡扦㈸〹挰晥㔰敢〳㐸づ〴昱〰㜰戰挳慡㔹〸㈲〰ㅣ㐲愳㐳㐱搴ㅣ㠸〴㠰挳挰㤹㐵㕤改〵㘰㌶挴挵〰㈴ㄹ㔳昷愳㔳㜳攱ㄷ〴挰㠵愵〰昸㤹慢㈸㝡㠴㍡ㅦ㤱挶㌰㡢㈳㤹昲㑦㑡〲搰づ戵敥㈰改〴昱〰戰搴㘱㔵ぢ㠲〸〰㐷搱愸ㅢ㐴㉤㠴㐸〰攸〱㘷ㄶ㜵㤶ㄷ㠰〵㄰ㄷ〳戰㥣㌱㜵㍦㍡戵㍦晣㠲〰㌸戱ㄴ〰㈷戸㡡愲㐷扡〷㈱搲ㄸ㘶戱㡡㈹ㅦ㕦ㄲ㠰ㄳ愱搶㈷㤱㥣っ攲〱攰㔴戰搶㘹㈰㤵愳㜹ㅦㄱ㔲敡㘰㠴ㄳ㈸㝥㐸昳搳㐱搴愱㄰〹ㄴ㘷㠰㌳㡢敡昳㐲㜱〸挴挵㔰㥣〳晢㤰敥㐷愷づ㠳㕦㄰ㄴ㑢㑡㐱㜱愴慢㈸㝡㈲㝤〴㈲㡤㘱ㄶ㍦㘳捡㡢㑢㐲㜱ㄱ搴晡㘲㤲㑢㐰㍣㔰晣摣㘱㔵ㄲ㐱〴㠰换㘸戴ㅡ㐴愵㈱ㄲ〰㉥〷㘷ㄶ搵敡〵㈰〵㜱㌱〰㔷挳㍥愴晢搱愹っ晣㠲〰㔸㔸ち㠰〵慥愲攸㤱㌹ㅦ㜶㡦㘱ㄶ㌷㌳攵昹㈵〱㔸〳戵扥㤵攴㌶㄰て〰户㍢慣㕡㡣㈰〲挰ㅤ㌴扡ㄳ㐴ㅤ〹㤱〰㜰ㄷ㌸戳愸ㄹ㕥〰摡㈰㉥〶攰㍥挶搴晤攸搴ㄲ昸〵〱㌰愹ㄴ〰㝢戹㡡愲愷昶㥤㠸㌴㠶㔹㍣捡㤴昷㉣〹挰㘳㔰敢挷㐹㥥〰昱〰昰愴挳慡㉥〴ㄱ〰㥥愲搱搳㈰敡㈸㠸〴㠰摦㠱㌳㡢慡昱〲戰ㄴ攲㘲〰㥥㘳㑣摤㡦㑥㜵挳㉦〸㠰㥤㑡〱戰愳慢㈸㥡㑣攸㐳愴㌱捣攲㡦㑣㜹㠷㤲〰扣づ戵晥ㄳ挹ㅢ㈰ㅥ〰摥㜴㔸戵っ㐱〴㠰户㘸昴㌶㠸㕡〱㤱〰昰づ㌸戳愸㙤扣〰㉣㠷戸ㄸ㠰昷ㄸ㔳昷愳㔳㉢攱ㄷ〴挰戰㔲〰㙣收㉡㡡收㍢㝥㠰㐸㘳㤸挵愷㑣㌹㕣ㄲ㠰捦愱搶㝦㈷昹〲挴〳挰㤷づ慢㡥㐵㄰〱攰㥦㌴晡ㄷ㠸㍡ㅥ㈲〱攰㉢㜰㘶㔱〳扤〰ㅣ〷㜱㌱〰摦㌲愶敥㐷愷㔶挱㉦〸㠰敦扥㉢㜱㔱晣慤慢㈸㥡㠳㌹〹㤱挶㌰㡢捡㜲愴晣㙦㤸〵㕦ㄴて㠴㕡㔷㤱戰搲挵〳挰㈰㠷㔵㈷㈳挸㔸〶ㅡ㑣愳㈱㈰敡㔴戰〲挰㈶攰捣愲㍥㐷ㅢ戹摢愲㔳㈰㉥〶㘰㌳搸㠷㜴㍦㍡挵昹㥦㈰〰晥㕡ち㠰昷㕣㐵搱㔴搱ㄹ㠸㈴〰㡣㘲捡敦㤶〴㘰ㅢ愸昵戶㈴摢㌱扢晣㝤攱ㄸ㠷㔵㘷㈲搰㔸㜶㘷㉣㡤戶〷㔱㘷㠳ㄵ〰挶㠱㌳㡢㝡摤ぢ挰㔹㄰ㄷ〳戰㈳散㐳扡ㅦ㥤㍡〷㝥㐱〰㍣㕦ち㠰攷㕣㐵搱挴搵㜹㠸㈴〰㐴㤹昲敦㑢〲㔰〳戵慥㈵㠹㌳扢㍣〰昵づ慢捥㐷愰戱散㑥〳㡤ㄲ㈰敡〲戰〲挰敥攰捣愲ㅥ昳〲昰㘳㠸㡢〱搸ぢ昶㈱摤㡦㑥晤〴㝥㐱〰摣㕦ち㠰晢㕣㐵搱㘴摡㠵㠸㈴〰㑣㘷捡昷㤴〴㘰〶搴㝡㕦㤲㤹捣㉥て挰㙣㠷㔵ㄷ㈱搰㔸㜶㘷づ㡤收㠲愸㑢挰ち〰昳挰㤹㐵慤昱〲㜰㌱挴挵〰㉣㠰㝤㐸昷愳㔳㤷挲㉦〸㠰㙢㑡〱㜰戵慢㈸㥡敥㕢㡤㐸〲挰㘱㑣昹捡㤲〰戴㐲慤㡦㈰㐹㌲扢㍣〰㘹㠷㔵㤷㈳搰㔸㝣㜴㠶㐶㌶㠸扡ㄲ慣〰㤰〵㘷ㄶ㜵㤱ㄷ㠰㉢㈰㉥〶攰㐸搸㠷㜴㍦㍡㜵ㄵ晣㠲〰㌸户ㄴ〰攷戸㡡愲㈹挸㙢ㄱ㐹〰攸㘱捡㘷㤵〴愰て㙡扤㡣㘴㌹戳换〳戰搲㘱ㄵ㘷㈵挷戲㍢㐷搳攸ㄸ㄰㜵〳㔸〱攰〷攰捣愲㑥昲〲㜰㍤挴挵〰慣㠲㝤㐸昷愳㔳㌷挲㉦〸㠰㤵愵〰㔸攱㉡㡡愶㐶㙦㐶㈴〱攰㜴愶扣慣㈴〰㘷㐲慤捦㈲㌹㥢搹攵〱㌸搷㘱搵㉤〸㌴㤶摤昹ㄱ㡤捥〳㔱户㠲ㄵ〰捥〷㘷ㄶ搵攱〵㘰つ挴挵〰晣ㄴ昶㈱摤㡦㑥摤〶扦㈰〰搲愵〰㐸戹㡡愲〹摣㍢㄰㐹〰㔸捤㤴㡦㈸〹挰ㄵ㔰敢㉢㐹慥㘲㜶㜹〰慥㜱㔸㜵㈷〲㡤㘵㜷慥愵搱㜵㈰敡㙥戰〲挰昵攰捣愲づ昰〲㜰ㄷ挴挵〰摣〴晢㤰敥㐷愷敥㠱㕦㄰〰戳㑢〱㌰换㔵ㄴ㑤㉣摦㡦㐸〲挰㥤㑣㜹摦㤲〰摣つ戵扥㠷攴㕥㘶㤷〷攰㝥㠷㔵て㈰搰㔸㜶攷〱ㅡ㍤〸愲ㅥ〲㉢〰㍣〴捥㉣慡搹ぢ挰㠳㄰ㄷ〳昰〸散㐳扡ㅦ㥤晡ㄵ晣㠲〰愸㉦〵㐰㥤慢㈸㥡散㝥〴㤱〴㠰愷㤹㜲㙤㐹〰㥥㠱㕡晦㥥攴㔹㄰て〰捦㍢慣㝡ㄴ㠱挶戲㍢㉦搰攸㐵㄰昵ㄸ㔸〱攰㈵㜰㘶㔱ㄳ扣〰晣〶攲㘲〰㕥㠵㝤㐸昷愳㔳㡦挳㉦〸㠰㌱愵〰ㄸ敤㉡㡡㈶攴㥦㐴㈴〱攰㙤愶扣㙤㐹〰搶㐲慤摦㈵昹ぢ戳换㡦㠰扦㍡慣㝡ち㠱挶戲㍢敦搳攸〳㄰昵㍢戰〲挰㠷攰捣愲㐶㜸〱㜸ㅡ攲㘲〰㍥㠱㝤㐸昷愳㔳捦挰㉦〸㠰㐱愵〰〸戹ち㝦㤹㐰攵㜳㠸戴ㄱ搳扢㠳㤸㜰㜶晦㌶㝢㌹攷愳㌶挹愲㈴搷愹㤰攳ㄴ挹㤰散搴慥㌹㕤扤㔳摢㝡㤶戶㈷㔷づ换扡㉢〷㉣戶㍢㌱戵摤㡤ㄹ㙥㥦慣㙢改㔲㍢愳戳㉤㕤㝤摤㘹㝢挶搴晦㠵愹㙦昴て㥢㑥㘶扤换ㄵ㤶敦㌷㥢㕢〶㑦㡣ㄲ㉣㘵㤵㉦㈰愰㝦㔲㑥ち㠳㍤ㄳ攸戲ㅡ㠶攱搰㍣愲ぢ摡㝡摢敤㐱㔹㤹扣㤶昵慡㉣㔰㐴扤㐰㘶㘰㜶挱㘲㑣㔶㑤ㅤ㤲㥤摥摤㤶㘹㙦敢戴戹㌱㠶㍢愶戳散㐵愸つ㤸搷搵搳挶㐲㤸㈱搹〵摤挹捥㥥愵㥣收㑣慦摣慣㠰㤳昹搰捡散攴戶捥ㅥ㌴㈳㜵㡥㕣ㅦ㥡㙤㔹摣戵ㅣ㕦〷攸敢攸㥣㥥㕣摡昳㍦戱㔵ㄴ㌷㡢㉣戲㘹㔴戹㉡㉦㔷㔵攵㔵摦㜷晢㔸晦挲㍥㌶摣慤扢ㅡ㡤㠱摡摢摤㤶敡㈳㘲搲㐸っ戴㠲㐴㌶㘲㔹攵㡢㔸昳捦㘸㝡戶愱慦ㅣ㠱挹ㄶ搴戹〷捥㡣攷扥㘴戱つ捣昵㔷挸㘷昰搷㈰晢㑥㕦㌸㈳㕦愸昳㝦晡挶㐲攵㑢㠸扣挱㜵ㄱ㈳㘰扣㠹㌳㠶昸㡣㤳㐳ち扢㈶㠶〲㌹晦戸っ㘵挵㠶㐳㜴㤳晣敡摥㤸㕡ㅦ㥣㥤㤵㑣搹敤愸〸攸㐸昶㙥攲㌰㉣捤㐰挱㔶㡦慢㥢搲搵搱㤱攴㤸㘳㕤㝥㑢㍡搹㙥㔷㘵㥢晢㝡扢㔰敦慥戳㈰㌲㌰㕤㔱㜲〵㐴挹ㄵ捥摣㝤㜶㍥㉢㠵㘴㥤戱扡ㄶ㈵扢摢㝡ㄷ㜷戴愵慢挸戰㥡攷㝦㘲戰攲〰㔲〱㌰捤㘲づ㈶晥㘲〰㘷㑡ㅥ㥢㝢㈲敡㘷〸ㅤ㌷㍦㠶㜴戹戲昰㑦㝤捦㐲ㄲㅣ㝡攴㡣愲扦㐱㌴㍥摦㤰㘳㤱攴昲㤹捣捡㘲昵戳攳㌱㐴攵攸愴晥㐰〳㝣昴户㌰攵ち㍦ㄵ慦㠰昴㕢㘵㌰㄰〶愱㔹㕤挹捣摥挹㌴扥㘳㌳搰晤㠶㑤ㄵ㌶㉤㡦㌵摤㘱搶㝤㑣挱㍣㌶㑡㤴㤶戵㘵散敥㉡ち㕡昰つ愲ち㔶㡣㔸捥㌶挴っ昸㠰戲捡捡㐱㔵㐱㙤捤㌰戱挶戹戳改摥㙦㈸捤㈸㡡晦户晤ㅡ㈶㌱昷㔰㘸〰愸晥づ摤搱晦㘱㥦㕥〵换晥昸っ搶搱㠰挵㜸㤵㝦㠴搲扦㙤ち㑢㌰㔰愸愱㘱㔴挱㤳㕣〵㡢㐳慡㔰㐸㈱㔵㈵㤵搲㤱㐱㥥㙡㄰换㈹〴愹㌲㕦㜸戱㕡㌰捡敤㑣挸㌹挰戲敡〴愷㠶戲昲昲ち㙣㙡换㕦㐹㔷搴㉣㠲㜵戴搸㔲㈶愲戶㐵ち㤶㐲挶㠳戹戳㈰㝥慢㝣ぢ攴㘵㠸㌱慦扤づ晦挹ㄲち㘹愰ち㈰搴ㅢ愰愶攷ㄳ㈹〹㜱戳改ち㘸㌵扦搰愳摥〳换ぢ〰捦改㑡扤て㤶愷慣㌲换㠲挹ㄶ昹ㅡ挵昵ㅥ㈵搵〷昰攲㤱㔲て㘴昰て戱挶〳㔰㙥㐰昲㝢㘱敢ㅦ㤰㝦愳〷㍥㥡摢㤱㉢昲昹ㄸ㉢愶㉢ㄴ戸㕢㜹㄰㙣昴㘰ㅡ㝥ㄲ㙣㌰㠴〶㥢搰攰㔳ㄸ㜰㑢㕢㐳挱攵ㄱ攴㜷㔳〲㄰摣ㄴ㐶㐰昰ぢ㑦搴摤㈸㜱㄰摣㡣㔱㠷㌱敡户㄰晡ㄱ晣て㘴づ㠲挳㘱戲つ㑥㉥改㙥扢搷ㅥ扤愱㘷ㅢ挵㑤㈹㌸㡥㘰ㄳ〴愰〰挷㉤㈰㕤㍦㡥攵㜰㈳㔲㝡㑢〹攲㌰㡡搵ぢ〱㌸㡥㠴㡤摥㡡㠶慣㙣〸㌰ㄸ㐵㠳慤㘹挰㘲〷挱㜱ㅢ㜰㕥ㅣ㈳㐱㌸㙥〷㈳攰挸㡡〷ㄳ搵㌳ㄲ㐷㌳敡ㄸ㐶㘵㜵㠲ㅦ㐷㤶㈴㌸㌸㡥㠵挹㐶㡤㐴ㄶ㌲〸㠲摢㌳㌸㉢ㅡち㄰慣㠶㜴晤〸戲昲〱㝦㘵㝡〷〶挱㡡㝣㔸晥㘰扡㐲㠱㍢ㄲ挷挳㐶敦㐸㐳㤶㐶〴ㄸ散㐴㠳㥤㘹挰㙡〹㐱㜰〲戸㍣㠲晣㜶㔱挰㐸摣ㄵ㐶㐰㜰㍢㑦㔴て㠲ㄳㄹ㜵㌷㐶㘵㜹㠳ㅦ㐱搶㌴㌸〸㐶㘰戲挱㤷㍢㡡㘵㄰〲㕦㤴㤱㔹て㔱〰㕦つ愴敢㠷㡦㜵ㄳ昸挳攳㔳〶㌱昰戱㜸㈲〰㥤㌸㙣㜴ㅤつ㔹㔸ㄱ㘰㔰㑦㠳〶ㅡ戰搶㐲攰㑢㠰换挳挷敦㑥〵挰户〷㡣〰ㅦぢ㉥㑣㔴捦㡥扣㈷愳㌶㌲㉡㡢㈳晣昰㌵㐱收挰户ㄷ㑣㌶㙡〰㌶挳㔵㄰㥣挴攰㤳挱ㄵ㈰搸っ改晡ㄱ㘴攱〵晥㔰㤰挱㈰〶㐱㔶㕦㤸慥㔰攸づ挰㈹戰搱㔳㘹挸捡㡣〰㠳㘹㌴搸㥢〶㉣搶㄰〴愷㠳ㅢ㤴㍢㤹攰敢㘰〱〰捥㠰つ〰㘴挱㠶〹敡ㄹ㝦晢㌲攸㑣〶㘵㜱㠵ㅦ㐰㔶㔴㌸〰捥㠲挹㐶〱挸㍡っ〱㜰㌶㠳戳㈰愳〰挰戹㤰慥ㅦ㐰ㄶ㙥攰慦㑣捦㘳㄰〳㈰慢㌷㑣㔷㈸㜴〱摣て㌶㝡㍥つ㔹搹ㄱ㘰搰㐲㠳〵㌴㘰戱㠷〰戸㄰㕣㝥〸昲㉢㙤〱〸ㅥ〰㈳㈰㤸昴㐴昵㈰㜸㈰愳ㅥ挴愸慣捥昰㈳挸㤲っ〷挱㠳㘱戲㔱〸戲㤰㐳㄰㍣㠴挱㔹搱㔱㠰攰㘱㤰慥ㅦ㐱㔶㝥攰慦㑣ㅦ捥㈰〶㐱㤶㝦〴〰搴ちㅢ㝤〴つ㔹ㅡㄲ㘰㤰愴㐱㡡〶慣ㄶㄱ〴搳攰昲㐳㄰㕦搱ぢ〰搰㠶つ〰㘴挵㠸〹敡〱㌰换愰㡢ㄸ㜴ㄵっ㍣〰敡挵㄰攲づ㕣㥤〸戹〳㘲ㅢ㈴挳㥣㉢戱昵㕦捥戰㄰㐴〰㍣㤲挱㔹ㄱ㔲〰㘰㍢愴戲攰㠲㕤晥扦㜴㜵㤳戳㜲慢慣㌸搷搷慣ㅣ愱㔴㜷挰ㅣ㤷㥣昲㔱㉣ㅡ㌱㕤愱搶ㅤ㠲㥤戰搱㕤㙣㡤〵㈵〱〶㑢㘹㜰ㄴ㐸㈵㙢㑣搶㝢搱ㅡ㐲攸晦搲㐵敢攰ㄹ㍤㉤昶㔱㝤晣㉡㜶戲摤㕣挱づ㐰㌱昲㐶㕤挲〶㕤攷攷敥㠳㥤ぢ摣㙥昴㉥㍦㈰昰㍤换㠰〱㈱敦㈵搰㝤戰㉣㔳㉣㥥㌱㐸敤㉡㔰捡㐵敥㌲㈲戵ㅣ㐴戱搰挵㌳㉡昸㑣㐶戱扡挵ㄹㄱ㉢㘰戲攱㈷㐶ㄶ挴挸㤰㔸挹挸慣㡣㈹ㄸㄲ挷㐰扡晥㝤㡡ㄵ㌴昸㉢搳㍦㘰㄰昶㠱ㅦ㤶搱㤸㝥㔰攰づ㠹㘳㘱愳㡦愳攱敡㘰㠳攳㘹戰㡡〶㤷挳㐰昶愹ㄳ挰㡤㌶㠷昵〳昰㉤晣搱昸㥡挸㡡搱㍢㡥ㅢ㍤㝢昶㙥换挱敦戶戲㝢愷㈰㕣㑦㠲㈳㜶㌴㤶攳㤸㔴㍣㤰㥥捣㤶㑥㘱㑢㉣㥤昱㐳捡㝡ㄹ〷搲㔳㘱戲㔱㐷㉡㔶搹〸慡愷㌱㌸换㙤ち㔰㍤ㅤ搲昵愳捡戲ㅣ晣㤵改㌳ㄸ㠴㠸昲挳摡ㅣ搳ㄵち㕣㔴捦㠴㡤㍥㡢㠶慣摢〹㌰㌸㥢〶攷搰㠰愵㍣㠲敡戹攰扣挷晡㥡㈰〴捦㠳ㄱ㄰㘴㍤㡦㠹敡㐱昰㝣㐶晤㌱愳戲昶挶㡦㈰ぢ㙥ㅣ〴㉦㠰挹㐶㈱挸㌲ㅤ㐱昰㈷っ捥㝡㥤〲〴㝦〶改晡ㄱ㘴㕤て晥捡昴㠵っ㐲昴昸㘱㜱㡦改ち〵㉥㠲ㄷ挱㐶㕦㑣㐳ㄶ晥〴ㄸ㕣㐲㠳㑢㘹挰㕡㈰㐱昰攷攰昲〸昲扢扦〱晢昶㙡ㄸ〱㐱ㄶ〴㤹愸ㅥ〴㉦㘷搴㉢ㄸ㤵挵㍢㝥〴㔹戱攳㈰㜸㈵㑣㌶㝣户㘶㤱㡦挰㜷ㄵ㈳戳摡愷〰扥㙢㈰㕤㍦㝣㙦挲つ㝦㤸〴㘳㄰㐲挷捦㕢愰愶ㅦㄴ戸昰㕤〷ㅢ㝤㍤つ摦づ㌶戸㠱〶㌷搲攰ㅤㄸ〸㝣扦〰攷㠱て㕦㙢つ㠰敦㘶ㄸ〱㍥㤶ㄳ㤹㘶㍤攷捡㕢ㄸ㜵つ愳戲昴挷てㅦ敢㝤ㅣ昸㙥㠵挹㐶つ㐰㔶〹〹㠲户㌱㌸换㠵ち㄰扣ㅤ搲昵㈳挸戲㈲晣㤵改㍢ㄸ㠴攸昱挳摡㈲搳ㄵち㕣〴敦㠴㡤扥㡢㠶慣㍢ち㌰戸㥢〶昷搰㠰愵㐸㠲攰扤攰扣〸〶㕥慥摤て㈳㈰挸㝡㈴ㄳ搵㌳〰ㅦ㘰搴〷ㄹ㤵晤昱㈳挸㠲㈱〷挱㠷㘰戲攱〳㤰㌵㐶〲摦慦ㄸ㤹挵㐶〵昰㍤っ改晡攱㘳㔱ㄲ〱搲㡦㌰〸愱攳㠷㤵㐹愶ㅦㄴ戸昰㍤ちㅢ晤ㅢㅡ戲㙡㈹挰攰㌱ㅡ㍣㑥〳ㄶ㌲〹㝣㑦㠰换挳挷慦愵〷っ挰㈷㘱〴昸㔸捤㘴愲㝡攰㝢㡡㔱㥦㘶㔴㔶ㅥ昹攱㘳戹㤱〳摦敦㘰戲㔱〳㤰㐵㑡㠲攰㌳っ捥㙡愵〲〴㥦㠵㜴晤〸㡥㠱㥢㈰昸ㅣ㠳ㄸ〴㔹摡㘴扡攲㐱昰㜹搸攸ㄷ㘸挸戲愷〰㠳ㄷ㘹昰ㄲつ㔸〹㈵〸扥っ捥㠳㈰扥㘸ㅤ㠰攰㉢㌰〲㠲㉣㠷㌲㔱㍤扢昰慢㡣晡㐷㐶㘵改㤲ㅦ㐱搶㉢㌹〸扥〶㤳㡤㐲㤰㔵㑥㠲攰敢っ捥㜲愷〲〴摦㠰㜴晤〸戲㉣㑡㄰晣㌳㠳ㄸ〴㔹ㅢ㘵扡攲㐱昰㑤搸攸户㘸㤸〸㌶㜸㥢〶敦搰㠰愵㔴㠲攰㕡㜰㜹〴昹敡㠰〰〴晦〲㈳㈰挸㝡㉡搳慣㘷っ扥挷愸㝦㘵㔴搶㍥昹ㄱ㘴挱㤳㠳攰晢㌰搹昰㕤㤸㌵㔲〲摦〷㡣捣㘲愹〲昸㍥㠲㜴晤昰戱愸㑡攰晢ㅢ㠳ㄸ昸㔸㔹㘵晡攱㠱敦㘳搸攸㑦㘸挸慡慢〰㠳㑦㘹昰ㄹつ㔸㠸㈵昰㝤づ慥㍡㜷㘹㠸慦户㜵攱㝤㕥愳搳㕤㍤扤愳昱㑤攲搱扣㌸㜴慥ㄳ〳慦て扦㠰㌷㜰㘵㤹㤶㘹捥㌳㌲晦挱收扥㘴㜳㉣愹昲攳捡㍡㉡〷搷㝦挲㘴愳㐶收ㄱ㜰ㄵ㘸晦挵攰㐹㜰〵搰㝥つ改晡愱㘵戹㤶㐰晢㙦〶㌱搰戲㘶换㜴挵〳敤㌷戰搱摦搲搰づ㌶昸㡥〶晦愱〱㑢扣〴摡㜵攰昲㌷㉥㜸て㐴挰挰㤴㜹愱㤰㘲㤹㤷㘹搵㌳㌰㌱㈷㔰愶〷㠰㈸㤶㘴昹〱㘴ㅤ㤶〳㈰扥㤸扤ㄱ〳㤳愵㕢㠲㕥㈵㈳戳㠶慢〰扤㠱㤰慥ㅦ扤㤵㜰ㄳ昴慡ㄸ挴愰挷㠲㉦搳てて㝡㝣昷㥢づ搱㤰挵㘰〱〶㠳㘸㌰㤸〶慣てㄳ昴㠶㠰换敦搷㝣扢㐵〰㝣㐳㘱㠴昱户捡ㄳ搵〳㕦㤸㔱㌷㘵㔴ㄶ㜴昹攱㘳ㄵ㤷〳摦㘶㌰昹ㅥ㑦攵㔹〱㈶㌸づ㘳ㄳ㉣〵㉢挰㜱〴愴敢挷㤱㈵㘳㠲攳收っ㘲㜰㘴摤㔸〰㑣㕢挰㐶㙦㐹㐳搶㤴〵ㄸ㡣愴挱㔶㌴㘰㤹㤹攰㌸ち㕣ㅥ㐷扥捡㈳〰挷㙤㘰〴ㅣ㔹㙢㘶愲㝡㜰摣㤶㔱户㘳㔴搶㠵昹㜱扣〲㌲〷挷搱㌰搹愸晤㤸㈵㘴㠲攰ㄸ〶㘷㉤㔹〱㠲摢㐳扡㝥〴慦㠱㥢㈰㌸㡥㐱っ㠲㉣㍣㌳㕤愱搰扤捡愹㠶㡤摥㠱㠶㉣㑡ぢ㌰ㄸ㑦㠳ㅤ㘹挰㍡㌵㐱㜰㈷㜰㕥〴〳㥦㡡㑥㠰ㄱ㄰㘴戱㥡㠹敡㐱㜰ㄷ㐶摤㤵㔱㔹㔸收㐷㤰搵㘴づ㠲ㄳ㘱戲㌹㘶慥㍢攵㝤㈶敢㝦㈲挵ㄲ㌴〱㜰㌷挶扥ㄷ㕣〱㠰㔱㐸搷て㈰㙢搶〴挰ㄸ㠳ㄸ〰㔹戸㘶㝡攲〱戰〶㌶扡㤶㠶㉣㙡ぢ㌰㠸搳愰㡥〶慣㜳ㄳ〰敢挱攵〱攴㝢㔷〲㠶㘰〲㐶〰㤰挵㙥㈶慡〷挰摤ㄹ㜵て㐶㘵㘱㥡ㅦ㐰㔶愳㌹〰敥〹㤳つ㍦㐵戳㠰㑤攰㙢㘴㘴㔶戲ㄵ挰㌷〹搲昵挳挷㡡㌷㠱慦㠹㐱っ㝣㉣㝢㌳晤昰挰搷っㅢ㍤㤹㠶㉣㠹ぢ㌰㤸㐲㠳愹㌴㘰㤵㥣挰㌷つ㥣攷㍣ㄲ㌸晣愶挳〶攸戱㔲捥〴昵愰户て㠳捥㘰搰户㘱攰㐷㡦愵㙣づ㝡晢挲㘴愳㜶㘰ㄶ挰〹㠰㌳ㄹ晣㉦攰ち〰㥣つ改晡〱㘴挵㥣〰㌸㠷㐱っ㠰㉣㥢㌳㕤昱〰㌸ㄷ㌶㝡ㅥつ㔹㔲ㄷ㘰戰ㅦつ收搳㠰㔵㜶〲㘰ぢ戸晣昸攳晢㜲〲挶摦㐲ㄸ〱㐱㤶摡㤹愸ㅥ〴昷㘷搴〳ㄸ㤵㜵㌹㤲敤㠱攴摣㙣㉢㔹㕢攱㝦晡㕡㔴捥㈱㉤㘴㔹搸搱搲扢戲ㅤ挵㌴㕣㘵〹㠱戳挶㘲㠸㤰挸㔰搸搰搵㡤㠹搷ち晦慢㍦㜲扥捦愲攱㐱挳㝤慦㔵ㄱ㌷㙡㔸㌷㔲㜹摤㌷挵慦づ挹昹㌳昱晣㍢ㄶ攸挳挵㍡ㄸ㈹づ㥦摤㤶敥敥敡改捡昶㡥㙥㐱愵搸㘸扥愶㈶㕢㔶ㄶ㘹慥扣〶ㄱ〳摢㘴挷㉡㍡搱㤱捡㘵㝣㙤㐳㘸㐹㘷搷昲㑥挹愶戲㠷㙦敢ㄱ扣〶づ㘴㌳㝣〲㉤换昶〰㉦捣ㅡㄳ㍡敢㐳㐱㠷っ〸戳㐸㠳挶搶㘱攰慢愷㑣㥥㌲扦㌵ㄲ㡦摢挹㜴㉣㥤㐹搸㤹摡㐸扣戶愱㈱ㅤ㡢㘴㘳昱晡㜴㈲ㄳ换㐴ㄲ㘱愹改㘰㡣挳攱ㄳ㘶ㄵ㠷㌴搷㑡慥㡣ㄷ㘴㐶㔷㌹〰摣㠶㍥㥤㠶㜷㤹㑡愹戴捡㈸扢㘲攰㐰㔵敤㝢㥢㑣㔱㘱㐶敥㜵ㅣ㤶挵扡㡣捡搵〰㙢挳㥣㤸㘰㝥㕢搰㔹㔲㑥㈱〵㥤〶〹㠵㔹愰挱㠴慣っ攸㈶㔳㈶户㝡敡换㉣ㅢ戲挱㤰㐹攱〹㕥慦摡㘳㘵㈱搹ㄴ㤲挲搷愵㕡㡢㈰摥っ㘲扣㘳挲扣㜵㠲㠳㉦㕣改㐶搷㘳搰㠴ㅥ㑢㜲㈴㑣昵㕡㘶㌲㄰㑡㐹愷ㅤ㈲慥挸㐷㐳捡㈱慦㝥㡣㕥㜲愰㐱㔱㘶㜵挲愴攴攸㔱攷挱㡣㈳愸㜰〴㠴㑣攳㑢攱㡣ㄱ㌰挸㙤捦㍡ち扣㌳〲搲つ昵愹㔸㐳㐳挴慥㑦搵搵㈶搳改〶㡣〴扢㈶㕡㥢㠹愵敡愳改㘸㐳㜸戰挹戱ㅢ㍥攱㈱㠶敢㈱户㠹攱愸㔳㥢㠲攳㈸㔰㘷㈲ㄱ㙥㈱昴〱摦㘵㠰㑡㉦〷〹㠵㌷㠳ㄲ㉢㘵搶ち㔰㍦搲㉢㈱㉢㐴晡㘸㐸〲㤰㍥〶攲㈰愴㠷戹搱昳㉦㐴搵挷挱搴㐱㝡〴昳㘲㍡慢㈰捡㈱扤〵愴㠲昴昱挸㌶㠷昴㠹㌰㈹㡤昴戱㌰㉤㐶㝡㑢搳昸挹㜰〶搲㈳摤昶慣㔳挰㍢㐸搷挶㙢ㄲ㠹㑣㙤愲㌶㤲愸愹慤㡢㐵ㄳ㠹㜴㍡ㄶ换㐴㙢㙣㍢ㅢ换搶㈷挲㕢㤹ㅣ㑦㠵㑦㜸㤴攱㑥㈳户戵攱愸㔳摢㠱ㄳ愴㤷扢㐸㙦捡慥㥤〱㤵㍥ㄳ㈴ㄴㅥつ〳慣㤴㘹㈲慤〹慤㈶㥡㥡搸㠵挷ㄸ攵㙥戴㠸㤰㥣㑦攵㕡慣愹敤愱ㄴ愰㉥㠰㈸〷㔴㌵愴〲搴ㄲ㉦㔰㍦㠵㐹㘹愰摡〲㠱摡挱㌴㝥㈱㥣〱搴㜸户㍤敢㈲昰づ㔰㜵戵㤱扡㠶㠶㥡㑣㌴㥥㐹搵搶愴㔲つ改㐴㌶㕢㕦㔷㔷搷㤰㡤㌷搴搶挴挳㔲昸挱戴㉦㠶㑦㜸㈷㤳昱㈵攴㜶㌶ㅣ㜵㙡㔷㜰〲㔴摡〵㑡㠶攴㘵㔰改搵㈰愱昰㐴ㄸ㘰〵㕦㈷愲㡣㝢扢收づ慥戹㍢㠷㜷㌳捡㍡㕡搴㤳㕣㑢攵㕡慣愹㈸㤴〲搴昵㄰攵㠰慡㠱㔴㠰㍡挰ぢ搴㡤㌰㈹つ搴挲㐰愰㙡㑤攳㌷挱ㄹ㐰挵摤昶慣㥢挱㍢㐰㌵搴㐷㈳㤱㜴㈶㥤捡愶搲戵㌵ㄱ㍢㔵㥦㑣搶㘵敢㤳㠹㐸慣㍥ㄶ换㈶挲㔲攲挱戴㙦㠱㑦戸摥㘴扣㠶㕣㠳攱愸㔳㝢㠰ㄳ愰收扡㐰㐹搷㝥〹㤵扥ㅤ㈴ㄴ摥ㄳ〶㔸〹〶慡搱㈸ㅢ㘹戱ㄷ挹㝤㜴㕤㡢㌵㌵〹㑡㠹昶〰㐴㌹愰㥡㈱ㄵ愰愶㜸㠰搲〷戳〹㥣つ㔵㜳㈰㈶㤳㑤㍢扦㠶ㅤ㌰㤹攲㠶戶ㅥ〶敦㘰ㄲ戵昱づ挷㑣愲挱㑥搶挴㙢敢ㄲ㠹㐴愴戶㈶搱㔰ㄷ㡦搵搶愵㘲昱㥡㘸㔸㡡㌶㤸攱㈳昰〹㑦㌳挹㍤㑡㙥㙦挳㔱愷㘶㠰ㄳ㑣昶㜰㌱㤱挱昳㌸㔴晡〹㤰㔰㜸㕦ㄸ㘰㈵ㄸ㤳㤹㐶㌹㤵ㄶ搳㐸㝥㑦搷戵㔸㔳戳愱ㄴ㑣㥥㠳㈸㠷挹㕣㐸〵㤳摤扣㤸㜰昰〸㈶扢〶㘲㌲捦戴昳ㄲ散㠰挹㝥㙥㘸敢㘵昰づ㈶㜶㌲ㅢ慦㑦㐶㌳㤱㐸慡扥㌶㔹搳㤰捡搸搹晡㥡晡㜴㈶㔲搳㤰㠸挵搲攱昹㈶㥤㍦挰㈷摣㘲戸㔷挸㉤㌰ㅣ㜵敡〰㜰㠲挹㜸㉦㈶慦㐱愵㕦〷〹㠵て㠴〱㔶㠲㌱㌹挸㈸㘷搲㘲ㄶ挹㍢㜴㕤㡢㌵㜵〸㤴㠲挹扢㄰攵㌰㌹っ㔲挱㘴㤴〷ㄳ敢㍤㤸㤴摥愱㐶〶〲㜵戸㘹晣㝤㌸〳愸㔶户㍤敢〳昰づ㔰戵㌵㤹㐴㍣㘲㐷戰ㄷ搵搶挶㤲搱㠶㔴㙤㈴㥡㑤㐶ㄲ搱㜸㕤㙤㑤㝤㐳昸〸㤳攳㠷昰〹㈷つ昷ㄱ戹㤴攱愸㔳㌶㌸〱㙡㤸ㄷ愸㑦愰搲㥦㠲㠴挲㔹ㄸ㘰㈵昸㄰扤挸㈸攷搳愲㠵攴㥦㜴㕤㑢愰㔸㘸㈱㐰㝤㐵㝦㜷㔱㐷ㅡ改搷㤰收攰㙢㠷㔴攰戳㍣昰改摣㤰慡〸㐴慡〳㑥㤲摡㜷㙣昳㍦㈰㐳捡挳㥤㙥㝣㙢ㅤ㜸〷慥㑣搴慥㑢㘷戳㜵搱㑣戲戶戶㈱㔶㥢慡㐹㘵敡搲㌵搱㐴㍣㙡搷搷搵挷挳㕤㈶愷戲㑡〰戴搴㜰㡡摣㔱㠶愳㑥昵㠲ㄳ戸扥晢户㜳敤㄰㐶扦㜴〵㔴扡ㄲ㈴愴晡㡣戹〵搶㠲㤲㥦㌰敢づ㈴搳愰挳昷㜲愳㍣㠸戱昸ちㄱ㍤㠴〱搷㘲㑤慤㌴昱㠶㐲㤴㠳敢ㄸ㐸〵慥捦㤰㠶戹㈰挸挳昵〹愴挵攷晥ㅦ㤸㜶㠶㈱ㄴ〶搶戱㙥㘸㙢㌸㜸〷愹㜴ㅤ㝥摦〰㐳㈸㔹〷愴㤲昵搱㠶晡慣㥤㑡㐴昰㝥㘸扢㌶㙢愷戳攱攳㑣㍡㈳攰ㄳ㍥摥㜰㥢㤳㕢㘵㌸敡搴㐹攰〴愹昷㕤愴㘴㈸㡣㠴㑡㙦〵ㄲち戳㜰愰㈴㈶愷ㄸ攵ㄱ㠴㈳㐹㌲㠶慥㙢㠹挹㘹㔰㑡戴敤搹㄰㈵晣㥣づ愹㘰昲㈷て㈶㔶㌵㑣㑡敦㠱慦〵〲㜵㠶㘹㝣㍣㥣〱搴㤹㙥㝢搶㡥攰摤㍤㌰㔵㤷㐸㘵㙢㜰㑥换㘴㙡㙢愲㜶挲捥㘶ㅢ散㔸㍤㉥㔳愳搸㉤㈳攱戳㑣㡥㍢挱㈷㝣戶攱㜶㈶㜷㡥攱愸㔳攷㠱ㄳ愰㕥㜲㠱㤲挳昷慥㔰改㠹㈰愱㌰敢〳㑡〲昵㘳愳㕣㐴㡣昸昶ㄱㅤ愷敢㕡㐲昲ㄳ㈸〵愸㝡㌶㐴〹㍦㍦㠳㔴㠰晡慤ㄷ愸〴㑣㑡〳昵㜸㈰㔰ㄷ㥡挶昷㠰㌳㠰扡挸㙤捦摡ㄳ扣扢敦㌵㈴㔳愹㙣㈶㔹搷㄰戳㙢搳㠹㔸搲戶㘳愹㘴㐳㌲㔹㥢㑤㘶㜰㤸て㑢戵〰搳㙥㠴㑦昸ㄲ㤳昱㕥攴㉥㌵ㅣ㜵㙡㌵㌸〱敡搷㕥愰㥡愱搲㤳㐱㐲攱换㘱㔰ㄲ愸㉢㡣戲㤳㡤㜵㤱捣愰敢㕡㐲㜲ㄵ㤴〲搴㑣㌶㐴〹㍦搷㐰㉡㐰摤攱〱㑡昳㤸㉥攷戹㕦〶㘲㜲慤㘹㘷㉥㐲〱㤳敢摣搰搶㍣昰戹攳㔱愲扥扥㌶㥢㡥㈵ㅡ㙡㜱㘶㙢㐸挶㙢攳挹㐸戶愶愶挶㡥搴㈶ㅢ挲㔲〲㠰㐶昴㝥昰〹摦㘰㤲㥢㑦敥㐶挳㔱愷㙥〶㈷㤸摣攴㘲㈲扤㔸〸㤵摥ㅦ㈴ㄴ扥〵〶㠲㐹搰ㄵ昶ㅡ愳散㘳㘳换㐸づ愳敢㕡慣愹摢愰㤴㘸慤㙣㠸ㄲ㝥㙥㠷㔴㌰戹摣㡢㐹愷挱攴戲㐰㑣敥㌰敤愴ㄱち㤸摣改㠶戶㌲攰ㅤ㑣攲㌵㤹㔴㌴㤵慡挱攵㄰慥㠴㘲搹㠶戸ㅤ慤㐹㘷散㜸扣㈶㤹慡慦㠹㠵㘵㔲㥦ㄹ摡昰〹摦㙤㤲换㤲扢挷㜰搴愹晢挱〹㈶ㄷ扡㤸挸づ搵〶㤵㍥ㄲ㈴ㄴ㝥〰〶㈵㌱㜹搰㈸昹㍥ㄴ㜹㤵扢㍥㡡慥㙢搹晢㕦㐱㈹㤸昴戰㈱㑡昸㜹ㄸ㔲挱攴㉣㉦㈶戹㙢挴㌳〲㌱攱㜴扣㈴戱ㅣ愱㠰挹愳㙥㘸㙢〵㜸〷㤳㐸㑤㕤㉣㠵慢挴慣㥤戴㙢㘳戸〱挶㝤㐶㉣㤹挴㉤㜰㐳慡づ挳㈵㉣㌳昵㑣㜳㈵㝣挲㡦㤹攴㡥㈶昷戸攱愸㔳㑦㠲ㄳ㑣㑥㜶㌱㤱㕥ㅣぢ㤵㍥づ㈴ㄴ㝥ち〶㤲㑥搰ㄹ敡㘹愳㍣㠹㡤㥤㑣㜲ち㕤搷戲昷捦㐰㈹搱㑥㘳㐳㤴昰昳㉣愴㠲挹ち㉦㈶戹ㄳ晡戲㐰㑣㌸挱㉥㐹㥣㠹㔰挰攴㜹㌷戴㜵ㄶ㜸〷㤳扡㜴㕤㕤戴㈶ㄲ慢㠹㘷敤摡摡㜸㍡㤵㑥愷戳㠹㜴ㄴ〷㤳㙣㕤㍣㥡づ换摣㍢㌳㍣ㅢ㍥攱ㄷ㑤㜲攷㤰㝢挹㜰搴愹㔷挰〹㈶㑢㕤㑣㘴㥣㥣〷㤵㍥ㅦ㈴ㄴ㝥ㄵ〶㈵㌱昹愳㔱㥥挱挶捥㈴戹㠸慥㙢搹晢搷愱ㄴ㑣㉥㘱㐳㤴昰昳〶愴㠲㐹挶㠳㠹昵㜳㤸㤴㍥昰愶〲㠱攲㍣扡㘴戶ㅡ捥〰敡㑤户㍤敢㜲昰づ㔰愹晡㙣慡愱㉥㔹㤳挱㘹扣㌶㘵㐷㔳挹㙣㝤㈴㠱扢搴㔴㕤㌴ㅡ㡢搵㠶摦㌲㌹㕥〱㥦昰摢㠶扢㤲㥣捣慥戳㑢搴愹扦㐰㈷㐰ㅤ敡〵敡ㅡ愸昴戵㈰愱昰㝢㌰㤰㜴㠲づ㌲㝦㌵㑡扥㕤㐵摥昰慦㙦愶敢㕡㐲昲〱㤴〲搴ㅡ㌶㐴〹㍦ㅦ㐱㉡㐰捤昳〰㤵扦扣㤹ㄳ㠸〹㈷挷㈵㠹摢ㄱち㤸㝣散㠶戶敥〰敦㘰㤲挸挶㙢敢ㄳつ戱㔴㉡ㅤ慢㡤攰扡戹㍥㔲㙦㐷愳昵昵㠹㜸戲慥㉥㔱ㄷ晥挴愴㜳㈷㝣挲㥦ㅡ敥㉥㜲㌲㘵捥㉥㔰愷扥㠰㑥㌰搹挷挵㐴㝡㜱㉦㔴晡㍥㤰㔰昸ㅦ㌰㈸㌹㜸扥㌴㑡扥㜰㐵㝥㤶㐰㍦㑣搷戵散晤扦愰㤴㘸㡦戲㈱㑡昸昹ㅡ㔲挱㘴㑦㉦㈶戹㠳捣敥㠱㤸㜰㔶㕢㤲㜸〲愱㠰挹㌷㙥㘸敢户攰摤ㅤ慡㈱㤶㡥㐶搳㌵〰〴㌷愲改晡㐴㝤〲昷敡昱〶㕣㌰㈷㙡㙣㍣敥昹搶愴昳㈴㝣挲摦ㄹ敥㈹㜲㌲搷捤㉥㔰愷㌸㡦㉤㤸搴扡㤸挸づ昵っ㔴晡昷㈰愱㜰㌹っ㑡㘲㌲挰㈸㔷㌳攰攵㈴㉦搳㜵㉤搶㔴㈵㤴㠲挹㉢㙣㠸ㄲ㝥〶㐲㉡㤸散ㄸ㠸挹づ㠱㤸㔴㤹㜶㕥㐷㈸㘰挲㜹㘹㐶戳晥〴摥挱愴摥捥搴㘵戲挹㜸っ户〷㌸ㄹ㐵㤳㔱扢〱挷ㄷㅢ㑦㝣散晡㘸㝤㌲ㅣ㌲改扣〱㥦昰㈰挳晤㤹㥣捣㘰㈳㥥愶㑥つ㠵㑥㌰ㄹ敤㘲㈲扤㜸ㅢ㉡晤づ㐸㈸捣昹㘹晣〵摦㠸㜲摥㕡㤴搷搲攲㍡㤲て攸㉡㤸っ㠳㐶愲㝤挴㠶愰㤳て㘷㥣〵㤳攱ㅥ㑣慣㡦㘱㔲晡㈰戳㔹㈰㔰㥢㥢挶㍦㠵㌳㠰摡挲㙤捦晡っ扣〳㔴㍡㠶昳㜳〶㤸愴ㄳ㜸㉡㕢㥦㐹㘴㌳昵昱㜴㈴㔳ㅢ捤挶敡㈳愹㘴㜸㑢㤳攳攷昰〹㡦㌴摣摦挹㙤㘵㌸敡ㄴ㘷㥦〵愸挱㉥㔰昲慣昰㑢愸昴㍦㐱㐲攱㙤㘱㠰扦攰ㅢ搱敤㡣昲㘶㕡摣㐲昲ㅤ㕤〵㈸㤹㔸愶㘸ㅤㅢ挲㡡㝣戶㠷㡢〰㔵收〱㑡昳㘸㉣㔷㜷晦昹㍡攸ㅥ㙡㥣㘹㘷〰敥敢㠰㐹㌵㜸㐶戳㉡挰㍢㤸愴愲搱㘸戶愶㌶㠹㥢换㔸㙤㑤㕤ㅡ挷㕦㡣㥤晡㐸㡤摤㤰㙡㠸搶㘵挳㍢戸㍥扡ㄲ㍥攱昱㠶戳挸敤㘸㌸敡搴〴㜰㠲挹㔷㐸㈶昷愴㥡㍦㥤愷㐳㈰愱㌰愷㤴昱ㄷ㡣〹愷㥡㐵㜹〷㉤敥㈴搹㤴慥㠲挹㙥搰㌰㜱㍤㡣つ㘱㐵㍥㥣㉢ㄶ㑣晥㠶〶捤㝤愵㌵〲㈶愵〷捦㠷㠱㐰挵㑣攳㕢挰ㄹ㐰搵戸敤㔹㕢㠲㜷㠰慡慤户㙤摣㤹㐷㤲㜶〶捦昱ㄳ㜵㠹㥡㘸っ㘷昰㜸㈲㔶㤷挲攱㌸ㄹ㤶ㄹ㘶收㌸ㄲ㍥㘱捥㈹㑢挶㕢㤱慢㌳ㅣ㜵㉡〱㑥㠰㝡搷〵ち㝣㤹摥〶㉡扤㉤㐸㈸扣㍢〴㈲ぢ扡扣搹挳㈸昹收ㄷ昹㜵㄰㕤㑤㔷〱㑡㘶㠵㈹ㅦ捦㠶戰㈲㥦㐹㜰ㄱ愰㕥昵〲戵ㄳ㑣㑡〳昵㠷㐰愰㥡㑣攳ㄳ攰っ愰㌸㌹捣㈶慣㕤挰㍢㐰㘱㈴攱㕣㥥捥搶㈶㜰愳㠰ㅦ㝦㘹㘸愸㙦挰改㉢㤳攲ㅣ㔸慡㌶ㄳ㥥散晡攸㕤攱ㄳ㥥㘲戸㠹攴愶ㅡ㡥㍡㌵ㅤ㥣〰昵㥣ぢ㤴㈰ㅡ㠵㑡挷㐰㐲攱㝤㘰㠰扦攰挳ㄱ㘷㡦㐵昹〸㉤ㅥ㈵㐹搰㔵㠰㥡〹㡤㐴摢㠳つ㐱㈷ㅦ捥晥ち㔰扦昱〰愵ㄳ㘶㉦㝢㈴㄰㤳㌹愶㥤㐹〸〵㑣收扡愱慤㈶昰づ㈶戱〸㘷〰攳つ搱㔸〶搳㠱昵㜶㈲摥㔰㡦㕦㌳㡡搷㐵昱〸㌵ㄲ㑤㠴㘵㝡㤸ㄹ㌶挳㈷捣〹㘱㐹㙥㌲戹昹㠶愳㑥㜱搲㔷㌰㜹挰挵㐴㑥㕢搳愰搲㝢㠳㠴挲晢挳〰㝦挱㤸㜰㍥㔸㤴㝣㘹㡣晣㈴㡢㥥㑤㔷㘲ㄲ㍥搰㈸攷㐲㌴㘴㐰㈵㘷㌸昷昰㑤㈲〶扦㌱㘲㠲晦搷㍣愶攱搷㌹㔸㙦㔵㌶〰㕦㤵㜷扥㘰㕥㔱扥晢昷㡢挵㘹㑡扥㕦㠲㥦捡㕢搱敢晦㐳ㅣ愲㥡㥦戸㘴挴敤昰搱晢愱挳㤵㠷愳扢㤱愰ㄴ晢晢㘱㐵㌸㤶㡤攸㤸搱㠳㔹㑣晣㐰攷㠲慥收摣慦㍢㙥㙡㘶㌷㈷㤸ㅦ㤹愸捥㑢㥡㔳㍤㜸㌹㐹慦㙤摣收㜶攷晣昰愳つ㤸㤰㠶㘲〲㝦㤲㘲㐴㥥昳㝣㐱㝦㔴㕥㍡愳戳〷㍦㥦㘲㘷㑣挴ㅥ㕥搹㤴て㔰㠱㉦挴㜱㝦挷ㄱ搳愹㈶挰戴捥扥づ㐲㌰㉡攰〵〵㤳摢㝡攵㡢㑤㕢㐳慦㌴攷户慤ㄶ昴搷㙡ㅣ㌷㙤㕣慣戶昲㈶㙣㡡㡤㘸愵㄰㝡戶挹㈵愴ㄷ㈲愴㙡㐵㜰挶愳㘸㘸ちっ㜷㌹㘲敢㔹㍥㥢攴㌲㑤捥晦㔵敥晦攱愶愱㘹攳㜱㤸ㅡ㜳㝥㜳攵㕢挷慦晥晣挶㍤慡㝦扥㘶㥤晢晦昱㡥㠷㠹㔰搵愴㡥㠴㐷㌵愴晡㙤㤲㜷㐸攴戸㜰ㅤ㤲㜸つ㙦㈲㈸晡㝤㠲㙢㕤㠵晦昷〹挲㥣㘵挶㕦㤹㍥〴昹づㄹ愰㌸㉢捣㍤㐷㕤つてづ㔷㜶㔵ㅦ挶㕥㜶㐳捣㔱愶㌴愷㡡慤㔶挸〰㘶换戸㘸㠳扡ㅣ㠶〶㠰㤰㑥搲㥡㤳挱㐶㌴㜴ㄹㅤ㄰㠸ㅦ捦㘲㝡㔴搶攴〸昳㤸㌸晣昰愶愱㥣㈵ㄶ捦晥戱昱㝢㙥搹愴㡥㠳㘷㄰㐶㤷戸㔰ㄴ㘱㜴戱慢昰晦㠴㐱㜸ㄵ㈲攱て㌳㠰挸〴ㄸ㥤っ㐶㌰扡㄰ㅥ㌹㡣摡愰㔴愷㐲攵㘰挴㐹㕥㙢〹㘴づ㐶ㄱ㜵㐱〱㐶ㅤ戴㍥つ㌶㌹㡣捥〰戳㜱攳收㑣攳搱㍦㌶㕢扡攸攲搷慦捥㠷㐷㄰㈶攷㤶挲攴ㅣ㔷攱晦㔵㠳㌰愷㠲昱㔷愶㝢ㅣ㑣㉥〴㈳㤸㥣攵挵愴㡦扤扣ㄸ㉡〷ㄳ捥攷㕡换ㅤ㑣戰ㄳ挶搵てぢ㌰㔹㐹㙢捥搸收㌰戹㡣づ㘸㠵ㅦ捦戲〱攳㘶戵昱散ㅦ㥢㜱㑤㑥搸㠹捥晦慢㥡㥢搴戵昰っ挲攸愴㔲ㄸ㥤攸㉡晣㍦㝣㄰扥ㅥ㤱昰㔷愶㡦㐷晥ㄸ㌷㥣戵ㄵ㡣㔶㜹㌱㍡〱㑡㜵ぢ㔴づ㐶㥣捡戵㑥㠲っ攳㘶昶戸㘸㥤晡㐱〱㐶愷搰㝡つ㙣㜲ㄸ晤ㄲ捣挶㡤ㅢ捥摥㡡㐷㈹㙣㔶㝥戰㐳戴敡愶㑢㈷摤戳敤㈹ㅦ敤㜷捦㉤㤳搴㝤昰〸挲㘴㜹㈹㑣㤶戹ち晦㙦㈱㠴ㅦ㐰㈴晣攱㈹㡥㠳挹慦挱〸㈶扤㕥㑣捥㘶㉦ㅦ㠱捡挱㠴㔳戹搶戹㤰㔵ㄲ㤳㠴㕡㕡〰挹㜹㌴㝥ㄴ㈶㌹㐸ㅥ愷㍤ㅡ攱挷戳㙣挰戰㜹挲㜸㤶㠲挶〹㜷㔰㤳晣晦敢㙥攷晦愶攳㥢搴敦攱ㄹ〴搱㤲㔲㄰ㅤ改㉡晣扦㤶㄰收晣㉦晥昰㠲㜸攴㡦㘱挳㐹㕣㠱㘸戱ㄷ愲㡢搸敢㍦㐰攵㐰挴㤹㕤敢ㄲ挸攴晣ㄶ㡤愹㑣〱㐶㍦愷㌵攷㙥㜳ㄸ扤㐶〷戴挲㡦㘷搹〰㡣㌸愹㉢㥥晤㘱戴㜳㕦㕦㌳挳㥥晣捡㜲昹晦捦㠹愳㥢搵㍢昰っ挲愸戵ㄴ㐶㠷扢ち晦て㉡㠴摦㐵㈴晣攱㝤㤸挸〴ㄸ扤て㐶㌰㍡搴㡢搱㌵㔰慡て愱㜲㌰攲愴慥㜵ㅤ㘴ㄸ㐶〷㡥㡢慢〳ぢ㈰扡㠱挶ㅦ挱㈴〷搱㈷戴㐷㈳晣㜸㤶つ㠰攸㔳攳㔹ち愲㘳㠶摦㌲晤敤愳敦㤸㠴㘹〸㉣㡦扡搷〶捦㑤㔲晦㠴㘷㄰㐴㉤愵㈰㥡敦㉡晣㍦戹㄰晥ち㤱戸㠴㌹昹换㜵扤〶ㅤ〱㔶㥣挱ㄵ慣收㜹戱扡㡤摤晦㡦㔱捤㜱㔵〳攸㜷㍢㔵㍣㘲㌸㌰慥㠳㤱㜵㈷㘴㠰戱㘵㕣㥤摡ㄷ戶〶戳㤰扥㥢挶ち挶㐶㌴㤴㌳戶㡣〳㠵㜷挹挳㌸戴搲㔸㤴㠲㉢㙣㘶㜸昵㍤㠸愲敦㈵戹㡦攴㝥㤲〷㐸ㅥ〴㔱㐳㄰愸ㅡ㡤昸慦㡢㈶戹㈰ㄵ㥤昳昷㜲ㄵ晥㕦㘹〸㜳ち㔸㐰㝢ㄴ㜱〱ㅡ攷㜱〵戴㍤㕤㘴攴扡攸㌱㌶㍡〲㉡〷ㄹ㑥敥㕡㑦㐰㠶㥤㜰摥戸㔸㑣㌵ㄴ㐰昳㈴慤㌹㝤㥢㠳㘶㈴ㄸ晣㤵㠶挶〱㉣㝦㜵㌳㤴昳戹攲㔱ち慡㡢㉦攲㜲挳愴搰㉢㔷㉤㙤っ摤㍤㐹㡤㠱㜹㜵〰㈶㌵愵㌰㠹戹ち晦て㌷㠴㌹〵㉣㤸㍣敢㘰挲㈹㕢挱㈴攲挵攴㜹昶㜲㈷愸ㅣ㑣㌸㡦㙢扤攸㘰㌲㙤㕣戴㐶敤㔲㠰挹换戴收㑣㙤づ㤳㕤改戰㌱㤸㌸ㄸ攱㕡㤱㔳戸攲㔹ちㅢ㕡㘶敡㤶捡〱改攲慢㡦㤲晦㥦摢慣愷㔹挵攱㔹つ愵㝦摣㡣㉦㠵搱づ慥挲晦摢づ㘱捥晥ち㐶慦㈳ㄳ㡣ㅢ捥搶ち㐶攳扣ㄸ扤挱㕥㌷㐲攵㘰挴㈹㕣敢㑤挸㥣㙢挵㍡㌵扡〰愳户㘹捤㐹摡ㅣ㐶捤㜴㐰扥晣㜸㤶晣㉥攵〸昳攳挶攱㠱ㄱ㘷㙦挵戳㍦㡣㜰搰㘸㜲㍣㍣搷㡥㌳攰㔹つ愹ㅦ愳㔱愵㌰摡捡㔵昸㝦晥㈱捣㠹㕦挱攸慦挸〴ㄸ㜱昶㔶㌰摡搲㡢搱〷㔰慡晤愰㜲㌰攲㤴慥昵ㄱ㘴㠲㔱㉣慡㠶ㄷ㘰昴㌱慤㌹㘹㥢挳㘸㈱ㄸ晣㙤㌸㐶㐳㌹㡢㉢ㅥ晤㘳昳㤶㝢戴晥㙡㤲㍡っ收搵〱㤸っ㉤㠵挹㈶慥挲晦㡢㄰㘱㑥晣ち㈶㕦㌸㤸㜰昶㔶㌰ㄹ散挵攴㑢昶㤲ㄳ慦づ㈶㥣搲戵晥㤵挳㈴愶慡ち㌰昹㥡搶㥣戴捤㘱搲㐶㠷㡤挱〴戶㔸㌰㙥㌸㥢㉢㥥愵戰㜱㡥㍢㑦扡搸ㄸ㡣㍥㥢愴㡥㠲㘷㌵㠲昸挷捤㠰㔲ㄸ㤵扢ち晦㡦㐶㠴㌹ㄱ㉣ㄸ慤㐳㈶ㄸ㌷㥣捤ㄵ㡣捡扣ㄸ㈹扣㝤〴㍦搱㘹㌰攲ㄴ慦㌵〰㌲戹㌰挲㌱昹摢慦扣愷慢㑡㕡㜳ㄲ㌷㠷搱戱㘰昰户ㄱ攳㠶戳扡攲㔱ちㅢ㘲㤸㕦㠶㌷㈹捥攸㔶㐳攲挷攴㕦挸㉤昰晥晤㥦慥挲晦㍢ㄲ㘱㑥〴ぢ㈶㠳搰ㄱ㘰挲搹㕣挱攴ㅦ昰挸摤㥢づ㘱㉦捦㠶捡ㄹ㌷㥣攲戵㠶ㅡ㑣愲㔱昵㔹〱㈶㥢搲㥡㤳戸㌹㑣捥愳〳昲攵挷戳㙣挰昱㠶戳扢晤㡥ㅢ〹㜷攱搲㈶昹㝦愹㝢㐱扤㑦㙦㤳扡〸㥥搵㤰晡㌱晡愸ㄴ㐶ㅦ扡ち晦㑦㑤㠴㌹㌱㉣ㄸ㙤攱㘰挴㠹㕣挱攸㝤㉦㐶㈳搹敢㉢愰㜲㌰扡ㅣ㙢搶㈸〷愳㤶㜱戱㠸㝡户〰愳㙤㘸捤昹摢ㅣ㐶㥣愳晤㝥ㄸ㜱㘲户㕦㡣㥣㝤敢昳摣㜱㐷戰㉡㉢㙢㔲㌷挳戳㍡〰愳㌷㑢㘱昴㘷㔷攱晦㌵㡡㌰攷㠴〵愳敤ㅤ㡣㌸戱㉢ㄸ晤挹㡢㔱㌵㝢㝤㈷㔴づ㐶㥣敤戵挶㍢ㄸ攱㝡㈷慡㕥㉤挰㘸㈷㕡㜳㍥㌷㠷搱扤㘰昰户攱攳㘸㈸㈷㜸挵愳搴扥攵㘰昳挷㐹攷㍥昲攵㡥㠷㥥晢捥㈴昵㌰捣慢〳㌰㜹戱ㄴ㈶㉦戸ち晦て㔴㠴㌹㈷㉣㤸散收㘰挲㠹㕤挱攴㌹㉦㈶㔱昶昲㐹愸ㅣ㑣㌸摢㙢搵㐰㠶慢攳㘹戸挹昸㕤〱㈴㜱ㅡ㜳㍡㌷〷挹㌳戴摦ㄸ㐸㘰㡢〵㠷㘴捥昳㙥挰戰㠹㌷㠹㐳㔹㠳晢㝦㔳㤳㝡ㄹ㥥搵㤰晡㜷慤㈷㑡㐱昴戸慢昰晦㠴㐵㤸㔳挴〲搱ㅥづ㐴㥣攷ㄵ㠸㝥攳㠵愸㤱扤㝥〳㉡〷㈲㑥晥㕡㤳㈰挳㈱ㄹ㡦㌸攲敡搷〵ㄸ㌵搳㥡搳扢㌹㡣摥〶㠳扦㡤ㄸ㌶㥣敦ㄵ㡦㔲挳㠶㤸㥣晣捡㘹㜲〹戸㜳摦㌵捤敡〳㤸㔷〷㘰㜲㝦㈹㑣敥㜳ㄵ晥㕦戵〸㜳㡡㔸㌰㤹敥㘰挲㈹㕤挱攴ㅥ㉦㈶㌳搸㑢捥挶㍡㤸㜰㥥搷㥡改㘰㠲㐷慡㔱㜵㐷〱㈶戳㘹捤㤹摣ㅣ㈶㕦㠲挱摦㐶㘰挲愹㕤昱攸てㄳ㡥㉣㐴挵㌲扡㐹㝤〷昳㙡慣晡挷挹㥡㔲㤸摣攲㉡晣㍦㜴ㄱ收㙣戰㘰搲攲㘰挲㈹㕤挱攴㈶㉦㈶ぢ搹换㑡愸ㅣ㑣㌸捦㙢ㅤ㤰挳㈴愱慥㉦挰攴㈰㕡㜳㈶㌷㠷㠹愶〳昲攵挷戳㙣挰㘹㡡㔳扣攲搹㍦㌶晥ぢ㙡㍣㘶摥ㄴ㙥㐱ㄸ㕤㔵ち愳㉢㕤㠵晦户㌰挲挳㄰㐹㌰㙡㜵㌰摡〲扣㘰㜴戹ㄷ愳㈴㝢㍤ㄲ㉡〷㈳㑥昱㕡㘹〷㈳摣㕥㐵搴愵〵ㄸ搹戴收㈴㙥づ愳㙤攸〰㜰昸昱㉣㝥㡣捣㈸㌰㌷〰㘳㥢㠶㜲㜶户挰㌳㜸㥡㈲搱攴㠴㜵ㅦ愹㤶攱ㄲ戰ㅡ㙥㐱ㄸ晤慣ㄴ㐶㍦㜵ㄵ晥㥦换〸㡦㐷㈴挱㘸㠹㠳ㄱ㈷㜲〵愳ぢ扣ㄸ㜵戰搷扢㐲攵㘰挴搹㕤慢ぢ㌲㌹㈴㈷搴㡦ち㈰㍡㡡挶㥣扥捤㐱ㄴ〵㠳昱扡㍥㠸昲㠳㘱㈸攷㜳挵愳搴昰㜱捥㔲ㅦ㑣㝡收㜷㕣晥㌶㐹㈵攰ㄱ〴挹㤹愵㈰㌹挳㔵昸㝦㐰㈳扣〷㈲〹㈴换ㅤ㐸㈶㠱ㄷ㐸㝥攸㠵㘴㈵㝢挹㈹㔸〷㤲㈶慣㔹挷㐰收摣㜱搶慢㤳ぢ㌰㌹㤶搶㥣扥捤㘱㌲㡤づㅢ㠳㠹㌳〸㜰㥡攲扣慥㜸㤶挲挶戱㌴㜷㥣㥢㌵㌹晣搶㑤㙡㌶摣㠲㌰㍡扥ㄴ㐶挷戹㡡愲摦搸攰㤴㜰攰㘴㥦攷ㄷ㈰昸戵㕢扢㐷〴㐳㤱㐲㘵㤶摦搵ㅣ㤴㜵挴㥣挵挵㔷㠵摢摡摢攵㕢戶㠳昱㐶晣敥㈵㜶昷㉣晣昲〳摥㠳摦搲收晥ㄶ昹っ晣㈲〴㕦㌰㙥摥戹慥㠵愳戳㤵㥤摢㡤㤷戰て捣捥攸挱㉦㜶㘴慡昰扢昷扤扤㜶㜷攷晦挲敢昲昱扤攷ち捥㜶㜳㙡ㅥ㉦㤶㉣て晣捡㌱扦㑢摣捦㉦ㄹ攴昱㤸㠵㥦㜲攰搴㜴㌹㕦愴晦晤㝥扣挳㍡〹攳㉦昷㔶㠱㡣攷户㈱㉡搴て戰㡤㥤敦㕢慣㉡㕢挷㥣昹㐲㑦㝤ち㠷昲愹㈰晣㐱㜷愹㍥〰〹改搳㈰㤱敦㥥ぢ㈹慢摣て攳挰摦㍢㝥ぢ㝣㙦㜶扦㜲㜹㕢愶㜷戱戵搸㙥㕢戴戸ㄷ摦昶ㅥ挴㉥㥢愵㘲㈱㕣晢㥢㘶收ㄳ捥㠱ㅤ慤挹敥敥攴捡慡㡥搶㜶扢㜳㔱敦攲慡㔶扣摣愷〷扦㘹㠱㍣慡慡慡昴改昸㥦㑤昱愳づ㐱㐴づ㑣敢っ㐸扤㙦〱㈸散㜰㕦㘰㠷捦㠲㡦㜵㌶㐸㘱㠷捦㠱挴搳㘱㜵ㄸ攲戳搳㘶㔱㥣㥢㘵㔷昴㡦㘰㤹㑢㘵ㄱ㈴㤲捡㜹㤰ㄶ扦㤹挵㥢㔰戹敡っ㑣攸挷昰戴㉥〰㈹㑣攸㈷㤰㜸ㄳ㙡㐳㑢〵〹㜵㤸㠴㝥〶换㕣㐲㍤㈶愱ぢ㈱㉤㡤捤愲挰㔴㉥㠶㡦㜵〹㐸㘱㉡㤷㐲攲㑤愵捦㥦捡㑡㤳捡㘵戰捣愵挲挹㍢挱㘶㌵愴㈵〶攵ㄱ㠱㜹㕣〱〷敢㑡㤰挲㍣慥㠲挴㥢〷㈷〰ぢ㈰㌹挵攴㜱つ㉣㜳㜹㜰挲㑣昲戸ㄶ搲搲㤰ㅣㄴ㤸捡昵㙣㤳挳㈵扦㙦摣㐸ㄱ摦换㈰〴㡦〷晣㘹㥣㘷搲戸〹㤶戹㌴㌸㈹㈵㘹摣っ㘹改㌴收〷愶戱〶㍥搶慤㈰㠵㠸摣〶㠹㌷㤵㡢晣愹晣摣愴㜲㍢㉣㜳愹㜰敥㐷㔲戹〳搲搲愹捣っ㑣攵㉥昸㔸㜷㠳ㄴ愶㜲て㈴摥㔴慥昱愷㜲㠳㐹攵㍥㔸收㔲㔹㘳㔲戹ㅦ㔲昳㝥㘳敦㙥㔳愱愶〶愶昱㈰散慤㠷㐰ち搳昸ㄵ㈴摥㌴㙥昳愵㔱㜹㍢〴昵扥㜲㥦挲㔷㈴㌸㉦㔹㤶㑡㤹〹捥扡晢㔳ㄶ㝣昳戳愷㡣挸扣晦㐰㜱收㐶づつて愳㜱搳戳㑡㑥戸昸㡦晢㈵ㅢ㠲㙤㤹攵㔴攷攸㡥㘹敥て挵㔴㜶攰㜴㤸慡㈲捦㤵捡㡥㤶㕥㝢改愰づ㈷㈷㥥ㅢ攱㠴㑢ㄸ㡢㑢敤㐶㜶㠹敥㍤散〱㍦戲攰ㅤ搰捥捡㔷敢㥣㡢慥㝢捤㘳ㄳ昷㙣昱搵扡捡扤戰㈹扥㔷㑢㈵㤰扢ㄷ晤㈶㑥戲㕣㥥㑦愰㜰㜶敦慢㕣〲慡ㄱ〹㌰〹挶㔳㥣挸捡㜹㕦㥤昷㜶㘶㜰㥥㈸㑡㕦敤改昵收っ㔸捥晢晡扣昷摢㐷㜳㡡昱愹㘲敦㍤扣摥㥣㍡换㜹摦㤴昷㝥㤴て㔳ㅥ㜹慣搸㝢㜷慦昷㠳㕥㙦扣㜳摢〱挰〰㝦㐳戱㜷挲敢捤㤹㌵搹㝤㝦㡢昱㔶攲挰㕡て㠷攲戳晤㔳摣㍢摥㘱㙢〴㔰捥昴扦昳敤㌰㡦㈱㜸挱㐱昵㐹〸㘴㜴晦摥㌳扡搵戳㈶㠷㘷㈱㉤㝤〸㠹〴愶昱㍣㝣慣ㄷ㐰ち昷摤ㄷ㈱昱敥扢捦晢㔳㜹搹愴昲㌲㉣捤㡥愶㌸㘱㈴㜰晣〱搲搲愹散ㄴ㤸捡慢㙣戳昰昸晥㥡㉦㡤㌷晣㘹㜰㕡㐹㄰昹㤳㌷つ捥挹㐸ㅡ㙦㐰㕡㘲慢㡣つ捣攱㑤㌸㔸㙦㠱ㄴ挲昱㌶㈴㕥㌸㍥昰攷昱戱挹㘳㉤㉣㜳㜰㜰ㅥ㐴昲㜸ㄷ搲搲㜰㡣ち㑣攵㍤戶挹㔴昲〳攴㝤㡡㍣愷扢㉦晤㘹㝣㙤搲昸㄰㤶戹㌴㌸搵㈰㘹㝣〴㘹〹㌸㠶〷收昰㌱ㅣ慣㑦㐰ち攱昸ㄴㄲ㙦ㅥち㝣挱㐰慤㠴㐰㌶换攷㔸挹攵挱挷晢㤲挷摦戱㔲ㅡ㡥㈱㠱愹晣〳㍥㥡愷摤㍣ㅣ晦愴挸〳挷㄰昰〵㘹㙣ち㠱愴昱ㄵ㔶㜲㘹㙣〱㐶搲昸ㅡ㉢愵搳戰〲搳昸〶㍥扥㐱晡ㅤ㐵㥥㌴昸㄰扥㈰㡤㙤㈰㤰㌴搶㘱㈵㤷挶昶㘰㈴㡤戲慡㤲㕢㘵摤扦㠲づㅤ攵㜰昰ㅤ㍡㉡㈸昲攴㔰敤捦㠱捦戱㈵〷ぢ㤶戹ㅣ㜶㌳㌹っ㠴戴㌴ㄴ㕦〵愶愱攱㘳㠵㐰ち〷挷㈰㐸扣愹㐴晤愹挴㑤㉡㐳㘰㤹㑢㘵て㤳捡㈶㤰㤶ㄸ愴㥦〷收ㄱ㠶㠳戵㈹㐸㘱ㅥ㥢㐱攲捤愳搱㥦㐷戳挹㘳㌸㉣㜳㜹昰㠱愷㙣㤶ㄱ㤰慥敦㌶攲挳挰㠴戶㠰愷戵㈵㐸㘱㐲㈳㈱昱㈶挴愷愷〵攳㘴戶㐹㘸ㄴ㉣㜳〹昱㘹愳㈴戴㌵愴愵户搱摡挰㔴戶㘵㥢㠵挷搴搱扥㌴昸挰戲㈰つ㍥㤳㤴愱㌲搶㥢㐶慢㐹㘳㝢㐸㍤慦ㅢ㉣扣㐰晣㔳㘰ㄶ搵㜰戱㜶〰㈹〴㘴㍣㈴㕥㐰㤲晥㑣㙣㤳挹㑥戰捣〱挲挷㘶〲挸捥㤰㤶ㄸ㈹㉦〷收戱ぢㅣ慣㕤㐱ち昳㤸〸㠹㌷㡦づ㝦ㅥ㐷㤹㍣㈲戰捣攵挱㘷㔵㤲㐷ㄴ搲搲ㅢ收昷㠱愹搴戰捤挲つㄳ昷愵挱挷㕤〵ㅢ收㔸㤳㐶扤㈷㡤捡㔳㈰昵㕦摣㝡扥㈳㔰昸㔰㠳搷ㅡ挳昰昸愷摤㑥昳㘷㉡㈷攳挷づ㈷戴攳搹挴〶晣戶㘴〳ㅡ㔵㝣ㄸ挱ㄸ㍡㐱捥㍤ㄸて攵㈳〱㌲㔵㝣㠰愰㜸㕢捦愴昴敥戴攱摤扣㜸散攱昵攰㥤㝢摥㠳昷摤攲戱㈷㙤㜸扢㉤ㅥ㡤㕥て摥㕡攷㍤㜸㝢㉣ㅥ㝢搱㠶㜷挵攲㌱挹敢挱㍢攰扣挷ㄵ挶愳㠹㌶扣㝦ㄵ㡦㘶慦挷㌵〵ㅥ扣摦㤴㌶㈶搳㠶户㥡攲㌱挵敢挱摢捡㝣ㅢ扣㌵ㄴ㡦愹戴戹捤㜸㑣昳㝡昰敥㉦敦挱㍢㌸昱搸㥢㌶扣㜱㤳㌶愶㝢㍤㜸㤳㤶昷㜸搰㜸散㐳ㅢ摥㘳㠹挷っ㜰㘶㘴づ㝤戸挰㠳㔷㥡搲挶扥昴攰㐵愶㜸捣昴戶挱ぢ捡㝣ㅢ捦ㅢ㡦㔹戴攱戵愰㜸捣昶㝡昰扡㉦敦挱㙢㌷㘹㘳づ㙤㜸搹㈶ㅥ㜳扤ㅥ扣㐴换㝢昰㑡㑢㍣收搱收㙤攳戱㥦搷㠳ㄷ㔳㜹て㕥㄰㠹挷㝣摡昰㕡㐸摡㘸昱㝡昰扡㈷敦昱戱昱㔸㐰ㅢ㕥戵㠸挷㐲慦挷攷〵ㅥ扣捡㤰㌶昶愷つ㉦㌰挴攳〰慦〷㉦㈶昲㙤昰㠲㐰㍣づ愴捤㜷挶攳㈰慦〷捦晢㜹て㥥扥挵攳㘰摡昰捣㉤㙤ㅣ攲昵攰㔹㍡敦挱㌳慤㜸ㅣ㑡㌱㑦戰攲㜱㤸扢㐲㘶㈸㑦愶㜹て㥥ㄳ挵攳㜰㡡㜹㉡ㄴ㡦㔶㜷㐵㍣㜸摡换㝢昰愴㈵ㅥ㐷㔰捣㜳㤵㜸㈴摤ㄵ昱攰㜹㈹敦挱㜳㡢㜸愴㈸收㘹㐵㍣搲敥㡡㜸昰ㄴ㤲昷攰㜹㐰㍣㌲ㄴ昳昰㉦ㅥ戶扢㈲ㅥ㍣搴攷㍤㜸挴ㄶ㡦㉣挵㍣㔰㡢挷㈲㜷㐵㍣㜸㔰捥㝢昰挰㉡ㅥ㡢㈹收㌱㔵㍣摡摣ㄵ昱攰昱㌳敦㈱〷㌶㐰愸㡦㠴搸㉣㘱ㅥ攰㥣㔹ㅡ慣愰㈸㐵づ㘶戴㙡昷㕡昱愰㈶㔶ㅤ㡥㤵ㅣ挰㡡慣㜸㈰ㄳ慢㉥挷㑡づ㕡戴㕡ち摥㉣㘱ㅥ扣挴敡㈸挷㑡づ㔴戴敡昶㕡昱㠰㈵㔶㍤㡥㤵ㅣ㥣㘸㔵㄰㡢〷㈹戱敡㜳慣攴㠰㔴㘴挵〳㤳㔸㉤㜷慣攴㈰㐴㉢㔳㜷㡢昵戲㌰て㐶㘲戵搲戱㤲〳㑦㤱ㄵて㐰㘲㜵っ㔶昴て㘸㕡慥攴㠸㐳搳㠲攴㜸攴ㄱ搳攳㘸㌵㐰挹㔱愶挸㡡㐷ㅢ戱㕡攵㔸挹㤱愵挸㡡㐷ㄸ戱㍡搱戱㥡㠷晦㘴㠳ㄷ㙣㈶ㅥ㔵挴敡㘴挷㑡㡥㈰㡣㔵㘰挵㈳㠹㔸㥤敡㔸挹㔱愳愸㐵ㅥ㍤挴敡㠷㡥㤵ㅣ㈹㡡慣㜸挴㄰慢㌳ㅣ㉢㌹㍡ㄴ戵挸愳㠴㔸㥤攵㔸挹ㄱ㠱㔶㘷㠳㌷㑢㤸㐷〶戱㍡挷戱㤲愳〰慤捥昵㕡昱㘸㈰㔶㍦㜲慣㘴捦愷㔵〱昶㍣〲㠸搵昹㡥㤵散敤戴㉡搸攴摣敢挵敡〲挷㑡昶㜰㕡ㄵ攰挵㍤㕤慣㝥敡㔸挹㕥㑤慢㠲ㅤ㠹㝢户㔸㕤攸㔸挹㥥㕣㤴ㄷ昷㘸戱扡搸戱㤲扤户挸㡡㝢戱㔸㕤㉡㔶㘱搳㤰㕡〲㕥㈶っ搳戸摡㘲挹搸㘴昸㔶攱㘵戱㈶㘱挵ㅤ㔴㉣㔲㠵ㄶ㡡晢愴㈸㤲㠵㡡戰挱㑤㜱㝦ㄴ㡢㈳㝣ㄶ㘶挷㔴摣ㄷ挵愲戵搰㐲㜱昷ㄳ挵攱㍥〵昷㌸㔱ㅣ收㔳㜰㈷ㄳ挵愱㍥〵昷㉢㔱ㅣ攲㔳㜰㕦ㄳ挵挱慥㐲摥㌱㜶ㅤ愴㡡㍢㤸愸づ昴昹㜰㥦ㄲ挵〱㍥〵㜷㈳㔱散敦㔳㜰捦ㄱ挵㐲㥦㠲㍢㡢㈸ㄶ昸ㄴ摣㍦㐴搱攲㔳㜰㤷㄰挵㝣㥦㠲㝢㠱㈸昶㉢㔴㠴捤敥愰戸〷㠸挵㍣㥦㠵搹ㄵㄴ㐷扦㔸捣㉤戴㔰ㅣ昰愲㤸攳㔳㜰㡣㡢㘲戶㑦挱㘱㉤㡡㔹㍥〵㐷戲㈸㘶晡ㄴㅣ扣愲搸搷愷攰㜸ㄵ挵っ㥦㠲㥢㐹㑥㔷昷㘰㐵〹攱愸扦ㄷㅣㄷづ昶戰㘱〶晤㍦〳戸愲攰</t>
  </si>
  <si>
    <t>Use Data-What If Analysis-Goal Seek" (set NPV=0); see comment cell D19</t>
  </si>
  <si>
    <t xml:space="preserve">Alsi Ashat has useful data / information on GTE in Indonesia, ref. his ppt sheets shown during the Oct/Nov 2017 course. E.g. a scaling curve for the costs of $/MWe  vs. installed MWe. And: historical GTE PPA tariffs. And "geothermal benefits to the govt of Indonesia" (this suggests some new KPIs to be defined).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</si>
</sst>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0.000"/>
    <numFmt numFmtId="165" formatCode="0.0"/>
    <numFmt numFmtId="166" formatCode="0.00_);[Red]\(0.00\)"/>
    <numFmt numFmtId="167" formatCode="0.0_);[Red]\(0.0\)"/>
    <numFmt numFmtId="168" formatCode="0_);[Red]\(0\)"/>
    <numFmt numFmtId="169" formatCode="0.0_ ;[Red]\-0.0\ "/>
    <numFmt numFmtId="170" formatCode="0.0%"/>
    <numFmt numFmtId="171" formatCode="0.00;[Red]0.00"/>
    <numFmt numFmtId="172" formatCode="0.0000"/>
    <numFmt numFmtId="173" formatCode="0.00000"/>
    <numFmt numFmtId="174" formatCode="0.0000000"/>
    <numFmt numFmtId="175" formatCode="0.000000"/>
    <numFmt numFmtId="176" formatCode="0.000E+00"/>
    <numFmt numFmtId="177" formatCode="0.0000;[Red]0.0000"/>
    <numFmt numFmtId="178" formatCode="0.00000E+00"/>
  </numFmts>
  <fonts count="158">
    <font>
      <sz val="11"/>
      <color theme="1"/>
      <name val="Calibri"/>
      <family val="2"/>
      <scheme val="minor"/>
    </font>
    <font>
      <sz val="11"/>
      <color rgb="FFFF0000"/>
      <name val="Calibri"/>
      <family val="2"/>
      <scheme val="minor"/>
    </font>
    <font>
      <b/>
      <sz val="11"/>
      <color theme="1"/>
      <name val="Calibri"/>
      <family val="2"/>
      <scheme val="minor"/>
    </font>
    <font>
      <b/>
      <sz val="9"/>
      <color indexed="81"/>
      <name val="Tahoma"/>
      <family val="2"/>
    </font>
    <font>
      <sz val="11"/>
      <color theme="1"/>
      <name val="Calibri"/>
      <family val="2"/>
    </font>
    <font>
      <i/>
      <sz val="11"/>
      <color theme="1"/>
      <name val="Calibri"/>
      <family val="2"/>
      <scheme val="minor"/>
    </font>
    <font>
      <i/>
      <sz val="11"/>
      <color theme="1"/>
      <name val="Calibri"/>
      <family val="2"/>
    </font>
    <font>
      <i/>
      <sz val="10"/>
      <color theme="1"/>
      <name val="Calibri"/>
      <family val="2"/>
      <scheme val="minor"/>
    </font>
    <font>
      <i/>
      <sz val="11"/>
      <color rgb="FFFF0000"/>
      <name val="Calibri"/>
      <family val="2"/>
      <scheme val="minor"/>
    </font>
    <font>
      <sz val="11"/>
      <color rgb="FFFF0000"/>
      <name val="Symbol"/>
      <family val="1"/>
      <charset val="2"/>
    </font>
    <font>
      <i/>
      <sz val="10"/>
      <color rgb="FFFF0000"/>
      <name val="Calibri"/>
      <family val="2"/>
      <scheme val="minor"/>
    </font>
    <font>
      <sz val="9"/>
      <color indexed="81"/>
      <name val="Tahoma"/>
      <family val="2"/>
    </font>
    <font>
      <b/>
      <sz val="14"/>
      <color theme="1"/>
      <name val="Calibri"/>
      <family val="2"/>
      <scheme val="minor"/>
    </font>
    <font>
      <b/>
      <sz val="14"/>
      <color theme="1"/>
      <name val="Calibri"/>
      <family val="2"/>
    </font>
    <font>
      <b/>
      <sz val="11"/>
      <color rgb="FFFF0000"/>
      <name val="Calibri"/>
      <family val="2"/>
      <scheme val="minor"/>
    </font>
    <font>
      <i/>
      <sz val="11"/>
      <color rgb="FFFF0000"/>
      <name val="Symbol"/>
      <family val="1"/>
      <charset val="2"/>
    </font>
    <font>
      <b/>
      <sz val="11"/>
      <color rgb="FFFF0000"/>
      <name val="Symbol"/>
      <family val="1"/>
      <charset val="2"/>
    </font>
    <font>
      <b/>
      <i/>
      <sz val="11"/>
      <color theme="1"/>
      <name val="Calibri"/>
      <family val="2"/>
      <scheme val="minor"/>
    </font>
    <font>
      <sz val="11"/>
      <color theme="1"/>
      <name val="Symbol"/>
      <family val="1"/>
      <charset val="2"/>
    </font>
    <font>
      <sz val="10"/>
      <name val="Arial"/>
      <family val="2"/>
    </font>
    <font>
      <b/>
      <sz val="18"/>
      <name val="Arial"/>
      <family val="2"/>
    </font>
    <font>
      <sz val="10"/>
      <color indexed="10"/>
      <name val="Arial"/>
      <family val="2"/>
    </font>
    <font>
      <sz val="10"/>
      <color indexed="10"/>
      <name val="Arial"/>
      <family val="2"/>
    </font>
    <font>
      <b/>
      <sz val="10"/>
      <color indexed="10"/>
      <name val="Arial"/>
      <family val="2"/>
    </font>
    <font>
      <b/>
      <sz val="12"/>
      <color indexed="10"/>
      <name val="Arial"/>
      <family val="2"/>
    </font>
    <font>
      <i/>
      <sz val="10"/>
      <color indexed="10"/>
      <name val="Arial"/>
      <family val="2"/>
    </font>
    <font>
      <b/>
      <sz val="10"/>
      <name val="Arial"/>
      <family val="2"/>
    </font>
    <font>
      <sz val="10"/>
      <name val="Arial"/>
      <family val="2"/>
    </font>
    <font>
      <i/>
      <sz val="10"/>
      <name val="Arial"/>
      <family val="2"/>
    </font>
    <font>
      <b/>
      <sz val="8"/>
      <color indexed="81"/>
      <name val="Tahoma"/>
      <family val="2"/>
    </font>
    <font>
      <sz val="8"/>
      <color indexed="10"/>
      <name val="Tahoma"/>
      <family val="2"/>
    </font>
    <font>
      <b/>
      <sz val="8"/>
      <color indexed="10"/>
      <name val="Tahoma"/>
      <family val="2"/>
    </font>
    <font>
      <b/>
      <sz val="10"/>
      <color indexed="81"/>
      <name val="Tahoma"/>
      <family val="2"/>
    </font>
    <font>
      <b/>
      <sz val="20"/>
      <name val="Arial"/>
      <family val="2"/>
    </font>
    <font>
      <sz val="10"/>
      <color theme="1"/>
      <name val="Arial"/>
      <family val="2"/>
    </font>
    <font>
      <b/>
      <sz val="10"/>
      <color theme="1"/>
      <name val="Arial"/>
      <family val="2"/>
    </font>
    <font>
      <i/>
      <sz val="10"/>
      <color theme="1"/>
      <name val="Arial"/>
      <family val="2"/>
    </font>
    <font>
      <b/>
      <i/>
      <sz val="10"/>
      <color theme="1"/>
      <name val="Arial"/>
      <family val="2"/>
    </font>
    <font>
      <b/>
      <u/>
      <sz val="18"/>
      <name val="Arial"/>
      <family val="2"/>
    </font>
    <font>
      <b/>
      <sz val="10"/>
      <color rgb="FFFF0000"/>
      <name val="Arial"/>
      <family val="2"/>
    </font>
    <font>
      <sz val="8"/>
      <color indexed="81"/>
      <name val="Tahoma"/>
      <family val="2"/>
    </font>
    <font>
      <b/>
      <i/>
      <sz val="10"/>
      <color theme="1"/>
      <name val="Calibri"/>
      <family val="2"/>
      <scheme val="minor"/>
    </font>
    <font>
      <b/>
      <sz val="18"/>
      <color theme="1"/>
      <name val="Calibri"/>
      <family val="2"/>
      <scheme val="minor"/>
    </font>
    <font>
      <b/>
      <sz val="10"/>
      <color theme="1"/>
      <name val="Calibri"/>
      <family val="2"/>
      <scheme val="minor"/>
    </font>
    <font>
      <b/>
      <u/>
      <sz val="8"/>
      <color indexed="10"/>
      <name val="Tahoma"/>
      <family val="2"/>
    </font>
    <font>
      <b/>
      <i/>
      <sz val="9"/>
      <color indexed="81"/>
      <name val="Tahoma"/>
      <family val="2"/>
    </font>
    <font>
      <sz val="10"/>
      <color rgb="FFFF0000"/>
      <name val="Arial"/>
      <family val="2"/>
    </font>
    <font>
      <i/>
      <sz val="9"/>
      <color indexed="81"/>
      <name val="Tahoma"/>
      <family val="2"/>
    </font>
    <font>
      <b/>
      <sz val="9"/>
      <color indexed="10"/>
      <name val="Tahoma"/>
      <family val="2"/>
    </font>
    <font>
      <b/>
      <i/>
      <sz val="9"/>
      <color indexed="10"/>
      <name val="Tahoma"/>
      <family val="2"/>
    </font>
    <font>
      <i/>
      <sz val="14"/>
      <color rgb="FFFF0000"/>
      <name val="Calibri"/>
      <family val="2"/>
      <scheme val="minor"/>
    </font>
    <font>
      <sz val="14"/>
      <color theme="1"/>
      <name val="Calibri"/>
      <family val="2"/>
      <scheme val="minor"/>
    </font>
    <font>
      <sz val="10"/>
      <name val="Arial"/>
      <family val="2"/>
    </font>
    <font>
      <sz val="11"/>
      <color theme="1"/>
      <name val="Calibri"/>
      <family val="2"/>
      <scheme val="minor"/>
    </font>
    <font>
      <b/>
      <i/>
      <sz val="10"/>
      <color rgb="FFFF0000"/>
      <name val="Arial"/>
      <family val="2"/>
    </font>
    <font>
      <sz val="10"/>
      <name val="Arial"/>
      <family val="2"/>
    </font>
    <font>
      <b/>
      <sz val="16"/>
      <name val="Arial"/>
      <family val="2"/>
    </font>
    <font>
      <sz val="9"/>
      <color indexed="10"/>
      <name val="Arial"/>
      <family val="2"/>
    </font>
    <font>
      <sz val="9"/>
      <color indexed="10"/>
      <name val="Symbol"/>
      <family val="1"/>
      <charset val="2"/>
    </font>
    <font>
      <sz val="9"/>
      <color indexed="12"/>
      <name val="Arial"/>
      <family val="2"/>
    </font>
    <font>
      <b/>
      <sz val="10"/>
      <color indexed="12"/>
      <name val="Arial"/>
      <family val="2"/>
    </font>
    <font>
      <sz val="16"/>
      <name val="Arial"/>
      <family val="2"/>
    </font>
    <font>
      <sz val="16"/>
      <name val="Arial"/>
      <family val="2"/>
    </font>
    <font>
      <b/>
      <u/>
      <sz val="12"/>
      <color indexed="10"/>
      <name val="Arial"/>
      <family val="2"/>
    </font>
    <font>
      <sz val="10"/>
      <color indexed="10"/>
      <name val="Arial"/>
      <family val="2"/>
    </font>
    <font>
      <i/>
      <sz val="10"/>
      <color indexed="12"/>
      <name val="Arial"/>
      <family val="2"/>
    </font>
    <font>
      <sz val="10"/>
      <color indexed="12"/>
      <name val="Arial"/>
      <family val="2"/>
    </font>
    <font>
      <u/>
      <sz val="10"/>
      <name val="Arial"/>
      <family val="2"/>
    </font>
    <font>
      <i/>
      <u/>
      <sz val="10"/>
      <name val="Arial"/>
      <family val="2"/>
    </font>
    <font>
      <sz val="9"/>
      <color indexed="10"/>
      <name val="Tahoma"/>
      <family val="2"/>
    </font>
    <font>
      <sz val="10"/>
      <color indexed="81"/>
      <name val="Tahoma"/>
      <family val="2"/>
    </font>
    <font>
      <u/>
      <sz val="9"/>
      <color indexed="10"/>
      <name val="Tahoma"/>
      <family val="2"/>
    </font>
    <font>
      <sz val="11"/>
      <name val="Calibri"/>
      <family val="2"/>
      <scheme val="minor"/>
    </font>
    <font>
      <b/>
      <u/>
      <sz val="11"/>
      <color theme="1"/>
      <name val="Calibri"/>
      <family val="2"/>
      <scheme val="minor"/>
    </font>
    <font>
      <u/>
      <sz val="9"/>
      <color indexed="81"/>
      <name val="Tahoma"/>
      <family val="2"/>
    </font>
    <font>
      <b/>
      <u/>
      <sz val="14"/>
      <color theme="1"/>
      <name val="Calibri"/>
      <family val="2"/>
      <scheme val="minor"/>
    </font>
    <font>
      <strike/>
      <sz val="10"/>
      <color rgb="FFFF0000"/>
      <name val="Arial"/>
      <family val="2"/>
    </font>
    <font>
      <b/>
      <sz val="9"/>
      <color indexed="81"/>
      <name val="Tahoma"/>
      <charset val="1"/>
    </font>
    <font>
      <i/>
      <u/>
      <sz val="9"/>
      <color indexed="81"/>
      <name val="Tahoma"/>
      <family val="2"/>
    </font>
    <font>
      <sz val="9"/>
      <color rgb="FFFF0000"/>
      <name val="Calibri"/>
      <family val="2"/>
      <scheme val="minor"/>
    </font>
    <font>
      <b/>
      <sz val="14"/>
      <color rgb="FFFF0000"/>
      <name val="Arial"/>
      <family val="2"/>
    </font>
    <font>
      <i/>
      <sz val="9"/>
      <color indexed="10"/>
      <name val="Tahoma"/>
      <family val="2"/>
    </font>
    <font>
      <sz val="10"/>
      <color theme="1"/>
      <name val="Symbol"/>
      <family val="1"/>
      <charset val="2"/>
    </font>
    <font>
      <b/>
      <u/>
      <sz val="14"/>
      <name val="Calibri"/>
      <family val="2"/>
      <scheme val="minor"/>
    </font>
    <font>
      <b/>
      <sz val="11"/>
      <name val="Calibri"/>
      <family val="2"/>
      <scheme val="minor"/>
    </font>
    <font>
      <i/>
      <sz val="11"/>
      <name val="Calibri"/>
      <family val="2"/>
      <scheme val="minor"/>
    </font>
    <font>
      <b/>
      <i/>
      <sz val="10"/>
      <name val="Arial"/>
      <family val="2"/>
    </font>
    <font>
      <u/>
      <sz val="11"/>
      <color theme="10"/>
      <name val="Calibri"/>
      <family val="2"/>
      <scheme val="minor"/>
    </font>
    <font>
      <b/>
      <u/>
      <sz val="10"/>
      <name val="Arial"/>
      <family val="2"/>
    </font>
    <font>
      <sz val="11"/>
      <color theme="1"/>
      <name val="Calibri"/>
      <family val="1"/>
      <charset val="2"/>
      <scheme val="minor"/>
    </font>
    <font>
      <b/>
      <i/>
      <u/>
      <sz val="10"/>
      <color theme="1"/>
      <name val="Arial"/>
      <family val="2"/>
    </font>
    <font>
      <i/>
      <sz val="10"/>
      <color rgb="FFFF0000"/>
      <name val="Arial"/>
      <family val="2"/>
    </font>
    <font>
      <sz val="8"/>
      <color theme="1"/>
      <name val="Arial"/>
      <family val="2"/>
    </font>
    <font>
      <i/>
      <sz val="8"/>
      <color theme="1"/>
      <name val="Arial"/>
      <family val="2"/>
    </font>
    <font>
      <sz val="10"/>
      <name val="Calibri"/>
      <family val="2"/>
    </font>
    <font>
      <sz val="11"/>
      <color rgb="FF000000"/>
      <name val="Calibri"/>
      <family val="2"/>
      <scheme val="minor"/>
    </font>
    <font>
      <sz val="11"/>
      <color rgb="FF006100"/>
      <name val="Calibri"/>
      <family val="2"/>
      <scheme val="minor"/>
    </font>
    <font>
      <u/>
      <sz val="11"/>
      <color theme="1"/>
      <name val="Calibri"/>
      <family val="2"/>
      <scheme val="minor"/>
    </font>
    <font>
      <sz val="11"/>
      <color rgb="FF9C5700"/>
      <name val="Calibri"/>
      <family val="2"/>
      <scheme val="minor"/>
    </font>
    <font>
      <sz val="11"/>
      <color theme="1"/>
      <name val="Arial"/>
      <family val="2"/>
    </font>
    <font>
      <sz val="11"/>
      <color theme="1"/>
      <name val="Times New Roman"/>
      <family val="1"/>
    </font>
    <font>
      <sz val="11"/>
      <color rgb="FF9C0006"/>
      <name val="Calibri"/>
      <family val="2"/>
      <scheme val="minor"/>
    </font>
    <font>
      <b/>
      <sz val="10"/>
      <color theme="0"/>
      <name val="Arial"/>
      <family val="2"/>
    </font>
    <font>
      <b/>
      <sz val="11"/>
      <color rgb="FF3F3F3F"/>
      <name val="Calibri"/>
      <family val="2"/>
      <scheme val="minor"/>
    </font>
    <font>
      <sz val="10"/>
      <color theme="0"/>
      <name val="Arial"/>
      <family val="2"/>
    </font>
    <font>
      <u/>
      <sz val="8"/>
      <color theme="10"/>
      <name val="Calibri"/>
      <family val="2"/>
      <scheme val="minor"/>
    </font>
    <font>
      <u/>
      <sz val="8"/>
      <color theme="10"/>
      <name val="Arial"/>
      <family val="2"/>
    </font>
    <font>
      <b/>
      <sz val="11"/>
      <color theme="1"/>
      <name val="Calibri"/>
      <family val="2"/>
    </font>
    <font>
      <b/>
      <sz val="16"/>
      <color theme="1"/>
      <name val="Calibri"/>
      <family val="2"/>
      <scheme val="minor"/>
    </font>
    <font>
      <b/>
      <sz val="11"/>
      <color rgb="FF002060"/>
      <name val="Calibri"/>
      <family val="2"/>
      <scheme val="minor"/>
    </font>
    <font>
      <sz val="12"/>
      <color theme="1"/>
      <name val="Wingdings 3"/>
      <family val="1"/>
      <charset val="2"/>
    </font>
    <font>
      <sz val="11"/>
      <color rgb="FF002060"/>
      <name val="Calibri"/>
      <family val="2"/>
      <scheme val="minor"/>
    </font>
    <font>
      <sz val="8"/>
      <color theme="1"/>
      <name val="Calibri"/>
      <family val="2"/>
      <scheme val="minor"/>
    </font>
    <font>
      <b/>
      <u/>
      <sz val="10"/>
      <color theme="1"/>
      <name val="Arial"/>
      <family val="2"/>
    </font>
    <font>
      <b/>
      <sz val="24"/>
      <color theme="1"/>
      <name val="Calibri"/>
      <family val="2"/>
      <scheme val="minor"/>
    </font>
    <font>
      <sz val="18"/>
      <color theme="1"/>
      <name val="Calibri"/>
      <family val="2"/>
      <scheme val="minor"/>
    </font>
    <font>
      <sz val="10"/>
      <color rgb="FFFFFFCC"/>
      <name val="Arial"/>
      <family val="2"/>
    </font>
    <font>
      <sz val="9"/>
      <color indexed="81"/>
      <name val="Symbol"/>
      <family val="1"/>
      <charset val="2"/>
    </font>
    <font>
      <strike/>
      <sz val="11"/>
      <color theme="1"/>
      <name val="Calibri"/>
      <family val="2"/>
      <scheme val="minor"/>
    </font>
    <font>
      <sz val="11"/>
      <color theme="3"/>
      <name val="Calibri"/>
      <family val="2"/>
      <scheme val="minor"/>
    </font>
    <font>
      <i/>
      <strike/>
      <sz val="11"/>
      <color theme="1"/>
      <name val="Calibri"/>
      <family val="2"/>
      <scheme val="minor"/>
    </font>
    <font>
      <strike/>
      <sz val="11"/>
      <color theme="1"/>
      <name val="Symbol"/>
      <family val="1"/>
      <charset val="2"/>
    </font>
    <font>
      <strike/>
      <sz val="11"/>
      <color rgb="FFFF0000"/>
      <name val="Calibri"/>
      <family val="2"/>
      <scheme val="minor"/>
    </font>
    <font>
      <b/>
      <i/>
      <u/>
      <sz val="8"/>
      <color indexed="10"/>
      <name val="Tahoma"/>
      <family val="2"/>
    </font>
    <font>
      <i/>
      <sz val="8"/>
      <color indexed="10"/>
      <name val="Tahoma"/>
      <family val="2"/>
    </font>
    <font>
      <sz val="8"/>
      <color rgb="FFFF0000"/>
      <name val="Arial"/>
      <family val="2"/>
    </font>
    <font>
      <b/>
      <vertAlign val="superscript"/>
      <sz val="9"/>
      <color indexed="81"/>
      <name val="Tahoma"/>
      <family val="2"/>
    </font>
    <font>
      <sz val="10"/>
      <color rgb="FF000000"/>
      <name val="Arial"/>
      <family val="2"/>
    </font>
    <font>
      <b/>
      <sz val="8"/>
      <color theme="1"/>
      <name val="Arial"/>
      <family val="2"/>
    </font>
    <font>
      <sz val="8"/>
      <color rgb="FF000000"/>
      <name val="Arial"/>
      <family val="2"/>
    </font>
    <font>
      <b/>
      <sz val="10"/>
      <color rgb="FF000000"/>
      <name val="Arial"/>
      <family val="2"/>
    </font>
    <font>
      <b/>
      <i/>
      <sz val="8"/>
      <color indexed="81"/>
      <name val="Tahoma"/>
      <family val="2"/>
    </font>
    <font>
      <b/>
      <sz val="20"/>
      <name val="Arial"/>
      <family val="2"/>
    </font>
    <font>
      <sz val="11"/>
      <color theme="1"/>
      <name val="Arial"/>
      <family val="2"/>
    </font>
    <font>
      <sz val="11"/>
      <color theme="1"/>
      <name val="Calibri"/>
      <family val="2"/>
      <scheme val="minor"/>
    </font>
    <font>
      <b/>
      <sz val="8"/>
      <color indexed="10"/>
      <name val="Arial"/>
      <family val="2"/>
    </font>
    <font>
      <b/>
      <sz val="10"/>
      <name val="Arial"/>
      <family val="2"/>
    </font>
    <font>
      <sz val="8"/>
      <color rgb="FFFF0000"/>
      <name val="Calibri"/>
      <family val="2"/>
      <scheme val="minor"/>
    </font>
    <font>
      <sz val="10"/>
      <color theme="1"/>
      <name val="Arial"/>
      <family val="2"/>
    </font>
    <font>
      <b/>
      <sz val="10"/>
      <color indexed="10"/>
      <name val="Arial"/>
      <family val="2"/>
    </font>
    <font>
      <sz val="10"/>
      <name val="Arial"/>
      <family val="2"/>
    </font>
    <font>
      <vertAlign val="subscript"/>
      <sz val="11"/>
      <color theme="1"/>
      <name val="Calibri"/>
      <family val="2"/>
      <scheme val="minor"/>
    </font>
    <font>
      <sz val="10"/>
      <color indexed="10"/>
      <name val="Arial"/>
      <family val="2"/>
    </font>
    <font>
      <vertAlign val="subscript"/>
      <sz val="9"/>
      <color indexed="81"/>
      <name val="Tahoma"/>
      <family val="2"/>
    </font>
    <font>
      <vertAlign val="subscript"/>
      <sz val="10"/>
      <color theme="1"/>
      <name val="Arial"/>
      <family val="2"/>
    </font>
    <font>
      <b/>
      <vertAlign val="subscript"/>
      <sz val="10"/>
      <name val="Arial"/>
      <family val="2"/>
    </font>
    <font>
      <vertAlign val="subscript"/>
      <sz val="10"/>
      <name val="Arial"/>
      <family val="2"/>
    </font>
    <font>
      <sz val="11"/>
      <color theme="0"/>
      <name val="Calibri"/>
      <family val="2"/>
      <scheme val="minor"/>
    </font>
    <font>
      <b/>
      <u/>
      <sz val="9"/>
      <color indexed="81"/>
      <name val="Tahoma"/>
      <family val="2"/>
    </font>
    <font>
      <i/>
      <u/>
      <sz val="11"/>
      <color theme="10"/>
      <name val="Calibri"/>
      <family val="2"/>
      <scheme val="minor"/>
    </font>
    <font>
      <strike/>
      <sz val="11"/>
      <color theme="1"/>
      <name val="Calibri"/>
      <family val="2"/>
    </font>
    <font>
      <strike/>
      <vertAlign val="subscript"/>
      <sz val="11"/>
      <color theme="1"/>
      <name val="Calibri"/>
      <family val="2"/>
      <scheme val="minor"/>
    </font>
    <font>
      <i/>
      <sz val="12"/>
      <name val="Arial"/>
      <family val="2"/>
    </font>
    <font>
      <sz val="10"/>
      <name val="Arial Narrow"/>
      <family val="2"/>
    </font>
    <font>
      <sz val="9"/>
      <color rgb="FFFF0000"/>
      <name val="Arial"/>
      <family val="2"/>
    </font>
    <font>
      <b/>
      <i/>
      <sz val="12"/>
      <name val="Arial"/>
      <family val="2"/>
    </font>
    <font>
      <strike/>
      <sz val="10"/>
      <color theme="0"/>
      <name val="Arial"/>
      <family val="2"/>
    </font>
    <font>
      <b/>
      <sz val="12"/>
      <color rgb="FFFF0000"/>
      <name val="Calibri"/>
      <family val="2"/>
      <scheme val="minor"/>
    </font>
  </fonts>
  <fills count="46">
    <fill>
      <patternFill patternType="none"/>
    </fill>
    <fill>
      <patternFill patternType="gray125"/>
    </fill>
    <fill>
      <patternFill patternType="solid">
        <fgColor rgb="FFCCFFCC"/>
        <bgColor indexed="64"/>
      </patternFill>
    </fill>
    <fill>
      <patternFill patternType="solid">
        <fgColor theme="9"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1"/>
        <bgColor indexed="64"/>
      </patternFill>
    </fill>
    <fill>
      <patternFill patternType="solid">
        <fgColor rgb="FF66FFFF"/>
        <bgColor indexed="64"/>
      </patternFill>
    </fill>
    <fill>
      <patternFill patternType="solid">
        <fgColor rgb="FFFF0000"/>
        <bgColor indexed="64"/>
      </patternFill>
    </fill>
    <fill>
      <patternFill patternType="solid">
        <fgColor indexed="9"/>
        <bgColor indexed="64"/>
      </patternFill>
    </fill>
    <fill>
      <patternFill patternType="solid">
        <fgColor indexed="43"/>
        <bgColor indexed="64"/>
      </patternFill>
    </fill>
    <fill>
      <patternFill patternType="solid">
        <fgColor indexed="11"/>
        <bgColor indexed="64"/>
      </patternFill>
    </fill>
    <fill>
      <patternFill patternType="solid">
        <fgColor indexed="42"/>
        <bgColor indexed="64"/>
      </patternFill>
    </fill>
    <fill>
      <patternFill patternType="solid">
        <fgColor indexed="22"/>
        <bgColor indexed="64"/>
      </patternFill>
    </fill>
    <fill>
      <patternFill patternType="solid">
        <fgColor indexed="47"/>
        <bgColor indexed="64"/>
      </patternFill>
    </fill>
    <fill>
      <patternFill patternType="solid">
        <fgColor theme="9" tint="0.59999389629810485"/>
        <bgColor indexed="64"/>
      </patternFill>
    </fill>
    <fill>
      <patternFill patternType="solid">
        <fgColor indexed="46"/>
        <bgColor indexed="64"/>
      </patternFill>
    </fill>
    <fill>
      <patternFill patternType="solid">
        <fgColor theme="8" tint="0.59999389629810485"/>
        <bgColor indexed="64"/>
      </patternFill>
    </fill>
    <fill>
      <patternFill patternType="solid">
        <fgColor rgb="FFEAEAEA"/>
        <bgColor indexed="64"/>
      </patternFill>
    </fill>
    <fill>
      <patternFill patternType="solid">
        <fgColor rgb="FFFFCC99"/>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CC"/>
        <bgColor indexed="9"/>
      </patternFill>
    </fill>
    <fill>
      <patternFill patternType="solid">
        <fgColor theme="2" tint="-9.9978637043366805E-2"/>
        <bgColor indexed="64"/>
      </patternFill>
    </fill>
    <fill>
      <patternFill patternType="solid">
        <fgColor rgb="FFFFCCFF"/>
        <bgColor indexed="64"/>
      </patternFill>
    </fill>
    <fill>
      <patternFill patternType="darkUp">
        <bgColor indexed="9"/>
      </patternFill>
    </fill>
    <fill>
      <patternFill patternType="solid">
        <fgColor rgb="FFCCFFCC"/>
        <bgColor indexed="9"/>
      </patternFill>
    </fill>
    <fill>
      <patternFill patternType="solid">
        <fgColor rgb="FFC6EFCE"/>
      </patternFill>
    </fill>
    <fill>
      <patternFill patternType="solid">
        <fgColor rgb="FFFFFF00"/>
        <bgColor indexed="64"/>
      </patternFill>
    </fill>
    <fill>
      <patternFill patternType="solid">
        <fgColor rgb="FFFFEB9C"/>
      </patternFill>
    </fill>
    <fill>
      <patternFill patternType="solid">
        <fgColor rgb="FFFFC7CE"/>
      </patternFill>
    </fill>
    <fill>
      <patternFill patternType="solid">
        <fgColor rgb="FFF2F2F2"/>
      </patternFill>
    </fill>
    <fill>
      <patternFill patternType="solid">
        <fgColor theme="2" tint="-0.499984740745262"/>
        <bgColor indexed="64"/>
      </patternFill>
    </fill>
    <fill>
      <patternFill patternType="lightGray">
        <bgColor theme="0"/>
      </patternFill>
    </fill>
    <fill>
      <patternFill patternType="gray0625">
        <bgColor theme="0"/>
      </patternFill>
    </fill>
    <fill>
      <patternFill patternType="gray0625"/>
    </fill>
    <fill>
      <patternFill patternType="lightGray"/>
    </fill>
    <fill>
      <patternFill patternType="lightGray">
        <bgColor theme="2" tint="-9.9978637043366805E-2"/>
      </patternFill>
    </fill>
    <fill>
      <patternFill patternType="darkUp">
        <fgColor rgb="FFFF0000"/>
        <bgColor rgb="FFFFFFCC"/>
      </patternFill>
    </fill>
    <fill>
      <patternFill patternType="solid">
        <fgColor rgb="FF00FF00"/>
        <bgColor indexed="64"/>
      </patternFill>
    </fill>
    <fill>
      <patternFill patternType="solid">
        <fgColor rgb="FFFFFF00"/>
        <bgColor indexed="9"/>
      </patternFill>
    </fill>
    <fill>
      <patternFill patternType="solid">
        <fgColor rgb="FF00FFFF"/>
        <bgColor indexed="64"/>
      </patternFill>
    </fill>
    <fill>
      <patternFill patternType="solid">
        <fgColor rgb="FFD9D9D9"/>
        <bgColor indexed="64"/>
      </patternFill>
    </fill>
    <fill>
      <patternFill patternType="solid">
        <fgColor rgb="FFF2F2F2"/>
        <bgColor indexed="64"/>
      </patternFill>
    </fill>
    <fill>
      <patternFill patternType="solid">
        <fgColor theme="0" tint="-0.249977111117893"/>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top style="double">
        <color indexed="64"/>
      </top>
      <bottom style="double">
        <color indexed="64"/>
      </bottom>
      <diagonal/>
    </border>
    <border diagonalUp="1">
      <left/>
      <right/>
      <top/>
      <bottom/>
      <diagonal style="thin">
        <color indexed="64"/>
      </diagonal>
    </border>
    <border>
      <left style="thin">
        <color indexed="64"/>
      </left>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top/>
      <bottom style="medium">
        <color indexed="64"/>
      </bottom>
      <diagonal/>
    </border>
    <border>
      <left style="thin">
        <color theme="0"/>
      </left>
      <right/>
      <top style="thin">
        <color theme="0"/>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theme="0"/>
      </top>
      <bottom style="thin">
        <color theme="0"/>
      </bottom>
      <diagonal/>
    </border>
    <border>
      <left style="thin">
        <color indexed="64"/>
      </left>
      <right style="medium">
        <color indexed="64"/>
      </right>
      <top/>
      <bottom style="medium">
        <color indexed="64"/>
      </bottom>
      <diagonal/>
    </border>
    <border>
      <left style="medium">
        <color indexed="64"/>
      </left>
      <right style="thin">
        <color theme="0"/>
      </right>
      <top style="thin">
        <color theme="0"/>
      </top>
      <bottom style="thin">
        <color theme="0"/>
      </bottom>
      <diagonal/>
    </border>
    <border>
      <left style="thin">
        <color indexed="64"/>
      </left>
      <right style="medium">
        <color indexed="64"/>
      </right>
      <top style="medium">
        <color indexed="64"/>
      </top>
      <bottom style="medium">
        <color indexed="64"/>
      </bottom>
      <diagonal/>
    </border>
    <border>
      <left style="thin">
        <color theme="0"/>
      </left>
      <right style="thin">
        <color theme="0"/>
      </right>
      <top/>
      <bottom/>
      <diagonal/>
    </border>
    <border>
      <left style="thin">
        <color theme="0"/>
      </left>
      <right style="thin">
        <color theme="0"/>
      </right>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theme="0"/>
      </right>
      <top/>
      <bottom/>
      <diagonal/>
    </border>
    <border>
      <left style="medium">
        <color indexed="64"/>
      </left>
      <right/>
      <top/>
      <bottom style="thin">
        <color theme="0"/>
      </bottom>
      <diagonal/>
    </border>
    <border>
      <left/>
      <right/>
      <top/>
      <bottom style="thin">
        <color theme="0"/>
      </bottom>
      <diagonal/>
    </border>
    <border>
      <left style="thin">
        <color theme="0"/>
      </left>
      <right style="thin">
        <color theme="0"/>
      </right>
      <top style="medium">
        <color indexed="64"/>
      </top>
      <bottom/>
      <diagonal/>
    </border>
    <border>
      <left/>
      <right style="thin">
        <color theme="0"/>
      </right>
      <top style="thin">
        <color theme="0"/>
      </top>
      <bottom/>
      <diagonal/>
    </border>
    <border>
      <left style="thin">
        <color indexed="64"/>
      </left>
      <right style="medium">
        <color indexed="64"/>
      </right>
      <top style="thin">
        <color indexed="64"/>
      </top>
      <bottom/>
      <diagonal/>
    </border>
    <border>
      <left style="medium">
        <color indexed="64"/>
      </left>
      <right style="thin">
        <color theme="0"/>
      </right>
      <top/>
      <bottom/>
      <diagonal/>
    </border>
    <border>
      <left style="medium">
        <color indexed="64"/>
      </left>
      <right style="thin">
        <color theme="0"/>
      </right>
      <top/>
      <bottom style="medium">
        <color indexed="64"/>
      </bottom>
      <diagonal/>
    </border>
    <border>
      <left style="medium">
        <color indexed="64"/>
      </left>
      <right style="thin">
        <color theme="0"/>
      </right>
      <top style="medium">
        <color indexed="64"/>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indexed="64"/>
      </left>
      <right style="thin">
        <color theme="0"/>
      </right>
      <top style="thin">
        <color theme="0"/>
      </top>
      <bottom style="thin">
        <color theme="0"/>
      </bottom>
      <diagonal/>
    </border>
    <border>
      <left style="thin">
        <color theme="0"/>
      </left>
      <right/>
      <top/>
      <bottom/>
      <diagonal/>
    </border>
    <border>
      <left style="thin">
        <color theme="0"/>
      </left>
      <right/>
      <top/>
      <bottom style="thin">
        <color indexed="64"/>
      </bottom>
      <diagonal/>
    </border>
    <border>
      <left style="thin">
        <color theme="0"/>
      </left>
      <right style="thin">
        <color theme="0"/>
      </right>
      <top/>
      <bottom style="thin">
        <color indexed="64"/>
      </bottom>
      <diagonal/>
    </border>
    <border>
      <left style="thin">
        <color theme="0"/>
      </left>
      <right/>
      <top style="double">
        <color indexed="64"/>
      </top>
      <bottom style="double">
        <color indexed="64"/>
      </bottom>
      <diagonal/>
    </border>
    <border>
      <left/>
      <right style="thin">
        <color theme="0"/>
      </right>
      <top style="double">
        <color indexed="64"/>
      </top>
      <bottom style="double">
        <color indexed="64"/>
      </bottom>
      <diagonal/>
    </border>
    <border>
      <left style="thin">
        <color theme="0"/>
      </left>
      <right style="thin">
        <color theme="0"/>
      </right>
      <top style="double">
        <color indexed="64"/>
      </top>
      <bottom style="double">
        <color indexed="64"/>
      </bottom>
      <diagonal/>
    </border>
    <border>
      <left style="thin">
        <color indexed="64"/>
      </left>
      <right style="thin">
        <color theme="0"/>
      </right>
      <top/>
      <bottom style="thin">
        <color theme="0"/>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double">
        <color indexed="64"/>
      </top>
      <bottom/>
      <diagonal/>
    </border>
    <border>
      <left style="medium">
        <color indexed="64"/>
      </left>
      <right style="thin">
        <color theme="0"/>
      </right>
      <top/>
      <bottom style="thin">
        <color theme="0"/>
      </bottom>
      <diagonal/>
    </border>
    <border>
      <left/>
      <right/>
      <top style="thin">
        <color theme="0"/>
      </top>
      <bottom/>
      <diagonal/>
    </border>
    <border>
      <left style="thin">
        <color indexed="64"/>
      </left>
      <right style="thin">
        <color theme="0"/>
      </right>
      <top/>
      <bottom/>
      <diagonal/>
    </border>
    <border>
      <left style="thin">
        <color theme="0"/>
      </left>
      <right/>
      <top/>
      <bottom style="thin">
        <color theme="0"/>
      </bottom>
      <diagonal/>
    </border>
    <border>
      <left style="thin">
        <color indexed="64"/>
      </left>
      <right style="medium">
        <color indexed="64"/>
      </right>
      <top/>
      <bottom style="thin">
        <color indexed="64"/>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top style="medium">
        <color indexed="64"/>
      </top>
      <bottom style="thin">
        <color theme="0"/>
      </bottom>
      <diagonal/>
    </border>
    <border>
      <left/>
      <right style="thin">
        <color indexed="64"/>
      </right>
      <top style="double">
        <color indexed="64"/>
      </top>
      <bottom style="thin">
        <color indexed="64"/>
      </bottom>
      <diagonal/>
    </border>
    <border>
      <left/>
      <right style="thin">
        <color indexed="64"/>
      </right>
      <top/>
      <bottom style="double">
        <color indexed="64"/>
      </bottom>
      <diagonal/>
    </border>
    <border>
      <left/>
      <right/>
      <top style="medium">
        <color indexed="64"/>
      </top>
      <bottom style="medium">
        <color indexed="64"/>
      </bottom>
      <diagonal/>
    </border>
    <border>
      <left/>
      <right style="thin">
        <color theme="0"/>
      </right>
      <top/>
      <bottom style="medium">
        <color indexed="64"/>
      </bottom>
      <diagonal/>
    </border>
    <border>
      <left style="thin">
        <color theme="0"/>
      </left>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theme="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theme="0"/>
      </bottom>
      <diagonal/>
    </border>
    <border>
      <left/>
      <right style="thin">
        <color theme="0"/>
      </right>
      <top style="thin">
        <color indexed="64"/>
      </top>
      <bottom style="double">
        <color indexed="64"/>
      </bottom>
      <diagonal/>
    </border>
    <border>
      <left style="thin">
        <color theme="0"/>
      </left>
      <right style="thin">
        <color theme="0"/>
      </right>
      <top style="thin">
        <color indexed="64"/>
      </top>
      <bottom style="double">
        <color indexed="64"/>
      </bottom>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style="thin">
        <color indexed="64"/>
      </left>
      <right/>
      <top style="thin">
        <color indexed="64"/>
      </top>
      <bottom style="thin">
        <color indexed="64"/>
      </bottom>
      <diagonal/>
    </border>
    <border>
      <left style="thin">
        <color theme="0"/>
      </left>
      <right/>
      <top style="thin">
        <color theme="0"/>
      </top>
      <bottom style="medium">
        <color indexed="64"/>
      </bottom>
      <diagonal/>
    </border>
    <border>
      <left style="thin">
        <color theme="0"/>
      </left>
      <right style="thin">
        <color indexed="64"/>
      </right>
      <top style="thin">
        <color theme="0"/>
      </top>
      <bottom style="thin">
        <color theme="0"/>
      </bottom>
      <diagonal/>
    </border>
    <border>
      <left/>
      <right/>
      <top style="thin">
        <color indexed="64"/>
      </top>
      <bottom/>
      <diagonal/>
    </border>
    <border>
      <left style="thin">
        <color theme="0"/>
      </left>
      <right/>
      <top style="double">
        <color indexed="64"/>
      </top>
      <bottom/>
      <diagonal/>
    </border>
    <border>
      <left style="thin">
        <color theme="0"/>
      </left>
      <right style="thin">
        <color theme="0"/>
      </right>
      <top style="double">
        <color indexed="64"/>
      </top>
      <bottom style="thin">
        <color indexed="64"/>
      </bottom>
      <diagonal/>
    </border>
    <border>
      <left style="thin">
        <color theme="0"/>
      </left>
      <right/>
      <top style="double">
        <color indexed="64"/>
      </top>
      <bottom style="thin">
        <color indexed="64"/>
      </bottom>
      <diagonal/>
    </border>
    <border>
      <left style="thin">
        <color theme="0"/>
      </left>
      <right style="thin">
        <color indexed="64"/>
      </right>
      <top style="thin">
        <color theme="0"/>
      </top>
      <bottom style="double">
        <color indexed="64"/>
      </bottom>
      <diagonal/>
    </border>
    <border>
      <left style="medium">
        <color indexed="64"/>
      </left>
      <right/>
      <top style="thin">
        <color theme="0"/>
      </top>
      <bottom style="medium">
        <color indexed="64"/>
      </bottom>
      <diagonal/>
    </border>
    <border>
      <left style="thin">
        <color rgb="FF3F3F3F"/>
      </left>
      <right style="thin">
        <color rgb="FF3F3F3F"/>
      </right>
      <top style="thin">
        <color rgb="FF3F3F3F"/>
      </top>
      <bottom style="thin">
        <color rgb="FF3F3F3F"/>
      </bottom>
      <diagonal/>
    </border>
    <border>
      <left style="thin">
        <color theme="0"/>
      </left>
      <right/>
      <top style="medium">
        <color indexed="64"/>
      </top>
      <bottom/>
      <diagonal/>
    </border>
    <border>
      <left/>
      <right style="thin">
        <color theme="0"/>
      </right>
      <top style="medium">
        <color indexed="64"/>
      </top>
      <bottom style="thin">
        <color theme="0"/>
      </bottom>
      <diagonal/>
    </border>
    <border>
      <left/>
      <right style="thin">
        <color theme="0"/>
      </right>
      <top style="thin">
        <color theme="0"/>
      </top>
      <bottom style="medium">
        <color indexed="64"/>
      </bottom>
      <diagonal/>
    </border>
    <border>
      <left style="medium">
        <color indexed="64"/>
      </left>
      <right style="thin">
        <color theme="0"/>
      </right>
      <top style="thin">
        <color theme="0"/>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thick">
        <color indexed="64"/>
      </bottom>
      <diagonal/>
    </border>
    <border>
      <left/>
      <right style="thin">
        <color indexed="64"/>
      </right>
      <top/>
      <bottom style="thick">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style="medium">
        <color indexed="64"/>
      </left>
      <right/>
      <top style="thin">
        <color theme="0"/>
      </top>
      <bottom style="thin">
        <color theme="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s>
  <cellStyleXfs count="14">
    <xf numFmtId="0" fontId="0" fillId="0" borderId="0"/>
    <xf numFmtId="0" fontId="19" fillId="0" borderId="0"/>
    <xf numFmtId="0" fontId="27" fillId="0" borderId="0"/>
    <xf numFmtId="0" fontId="52" fillId="0" borderId="0"/>
    <xf numFmtId="9" fontId="53" fillId="0" borderId="0" applyFont="0" applyFill="0" applyBorder="0" applyAlignment="0" applyProtection="0"/>
    <xf numFmtId="0" fontId="55" fillId="0" borderId="0"/>
    <xf numFmtId="0" fontId="87" fillId="0" borderId="0" applyNumberFormat="0" applyFill="0" applyBorder="0" applyAlignment="0" applyProtection="0"/>
    <xf numFmtId="0" fontId="96" fillId="28" borderId="0" applyNumberFormat="0" applyBorder="0" applyAlignment="0" applyProtection="0"/>
    <xf numFmtId="0" fontId="98" fillId="30" borderId="0" applyNumberFormat="0" applyBorder="0" applyAlignment="0" applyProtection="0"/>
    <xf numFmtId="0" fontId="101" fillId="31" borderId="0" applyNumberFormat="0" applyBorder="0" applyAlignment="0" applyProtection="0"/>
    <xf numFmtId="0" fontId="103" fillId="32" borderId="110" applyNumberFormat="0" applyAlignment="0" applyProtection="0"/>
    <xf numFmtId="0" fontId="19" fillId="0" borderId="0"/>
    <xf numFmtId="9" fontId="19" fillId="0" borderId="0" applyFont="0" applyFill="0" applyBorder="0" applyAlignment="0" applyProtection="0"/>
    <xf numFmtId="0" fontId="19" fillId="0" borderId="0"/>
  </cellStyleXfs>
  <cellXfs count="1227">
    <xf numFmtId="0" fontId="0" fillId="0" borderId="0" xfId="0"/>
    <xf numFmtId="0" fontId="2" fillId="0" borderId="0" xfId="0" applyFont="1"/>
    <xf numFmtId="0" fontId="0" fillId="0" borderId="0" xfId="0" applyAlignment="1"/>
    <xf numFmtId="0" fontId="0" fillId="2" borderId="1" xfId="0" applyFill="1" applyBorder="1" applyAlignment="1"/>
    <xf numFmtId="0" fontId="0" fillId="0" borderId="0" xfId="0" quotePrefix="1"/>
    <xf numFmtId="0" fontId="0" fillId="3" borderId="1" xfId="0" applyFill="1" applyBorder="1" applyAlignment="1"/>
    <xf numFmtId="0" fontId="0" fillId="0" borderId="1" xfId="0" applyBorder="1"/>
    <xf numFmtId="0" fontId="0" fillId="2" borderId="1" xfId="0" applyFill="1" applyBorder="1"/>
    <xf numFmtId="0" fontId="0" fillId="4" borderId="1" xfId="0" applyFill="1" applyBorder="1"/>
    <xf numFmtId="0" fontId="12" fillId="0" borderId="0" xfId="0" applyFont="1"/>
    <xf numFmtId="0" fontId="14" fillId="0" borderId="0" xfId="0" applyFont="1"/>
    <xf numFmtId="0" fontId="0" fillId="0" borderId="0" xfId="0" applyAlignment="1">
      <alignment horizontal="center"/>
    </xf>
    <xf numFmtId="0" fontId="6" fillId="0" borderId="0" xfId="0" applyFont="1" applyAlignment="1">
      <alignment horizontal="center"/>
    </xf>
    <xf numFmtId="165" fontId="0" fillId="2" borderId="1" xfId="0" applyNumberFormat="1" applyFill="1" applyBorder="1" applyAlignment="1">
      <alignment horizontal="center"/>
    </xf>
    <xf numFmtId="0" fontId="8" fillId="0" borderId="0" xfId="0" applyFont="1"/>
    <xf numFmtId="0" fontId="0" fillId="3" borderId="2" xfId="0" applyFill="1" applyBorder="1" applyAlignment="1"/>
    <xf numFmtId="0" fontId="17" fillId="5" borderId="1" xfId="0" applyFont="1" applyFill="1" applyBorder="1" applyAlignment="1"/>
    <xf numFmtId="0" fontId="0" fillId="0" borderId="1" xfId="0" applyFill="1" applyBorder="1"/>
    <xf numFmtId="0" fontId="0" fillId="5" borderId="1" xfId="0" applyFill="1" applyBorder="1"/>
    <xf numFmtId="0" fontId="19" fillId="9" borderId="0" xfId="1" applyFill="1"/>
    <xf numFmtId="0" fontId="20" fillId="9" borderId="0" xfId="1" applyFont="1" applyFill="1"/>
    <xf numFmtId="0" fontId="22" fillId="9" borderId="0" xfId="1" applyFont="1" applyFill="1"/>
    <xf numFmtId="0" fontId="24" fillId="9" borderId="0" xfId="1" applyFont="1" applyFill="1"/>
    <xf numFmtId="0" fontId="19" fillId="0" borderId="0" xfId="1" applyFill="1"/>
    <xf numFmtId="0" fontId="23" fillId="0" borderId="0" xfId="1" applyFont="1" applyFill="1"/>
    <xf numFmtId="0" fontId="23" fillId="9" borderId="0" xfId="1" applyFont="1" applyFill="1"/>
    <xf numFmtId="0" fontId="19" fillId="0" borderId="0" xfId="1"/>
    <xf numFmtId="0" fontId="23" fillId="9" borderId="0" xfId="1" applyFont="1" applyFill="1" applyAlignment="1">
      <alignment horizontal="left"/>
    </xf>
    <xf numFmtId="0" fontId="19" fillId="9" borderId="0" xfId="1" applyFill="1" applyBorder="1"/>
    <xf numFmtId="0" fontId="19" fillId="12" borderId="1" xfId="1" applyFill="1" applyBorder="1" applyProtection="1">
      <protection locked="0"/>
    </xf>
    <xf numFmtId="0" fontId="19" fillId="0" borderId="0" xfId="1" applyAlignment="1">
      <alignment horizontal="center"/>
    </xf>
    <xf numFmtId="0" fontId="26" fillId="0" borderId="16" xfId="1" applyFont="1" applyBorder="1"/>
    <xf numFmtId="0" fontId="19" fillId="14" borderId="16" xfId="1" applyFill="1" applyBorder="1" applyAlignment="1">
      <alignment horizontal="center"/>
    </xf>
    <xf numFmtId="0" fontId="22" fillId="0" borderId="0" xfId="1" applyFont="1"/>
    <xf numFmtId="0" fontId="19" fillId="0" borderId="0" xfId="1" applyBorder="1"/>
    <xf numFmtId="0" fontId="19" fillId="0" borderId="17" xfId="1" applyBorder="1"/>
    <xf numFmtId="166" fontId="19" fillId="12" borderId="17" xfId="1" applyNumberFormat="1" applyFill="1" applyBorder="1"/>
    <xf numFmtId="166" fontId="19" fillId="12" borderId="1" xfId="1" applyNumberFormat="1" applyFill="1" applyBorder="1"/>
    <xf numFmtId="0" fontId="19" fillId="0" borderId="1" xfId="1" applyBorder="1"/>
    <xf numFmtId="0" fontId="19" fillId="0" borderId="10" xfId="1" applyFill="1" applyBorder="1"/>
    <xf numFmtId="166" fontId="19" fillId="12" borderId="13" xfId="1" applyNumberFormat="1" applyFill="1" applyBorder="1" applyProtection="1">
      <protection locked="0"/>
    </xf>
    <xf numFmtId="166" fontId="19" fillId="12" borderId="2" xfId="1" applyNumberFormat="1" applyFill="1" applyBorder="1" applyProtection="1">
      <protection locked="0"/>
    </xf>
    <xf numFmtId="0" fontId="28" fillId="0" borderId="10" xfId="1" applyFont="1" applyFill="1" applyBorder="1" applyAlignment="1">
      <alignment horizontal="right"/>
    </xf>
    <xf numFmtId="166" fontId="19" fillId="12" borderId="17" xfId="1" applyNumberFormat="1" applyFill="1" applyBorder="1" applyProtection="1">
      <protection locked="0"/>
    </xf>
    <xf numFmtId="166" fontId="19" fillId="12" borderId="14" xfId="1" applyNumberFormat="1" applyFill="1" applyBorder="1"/>
    <xf numFmtId="166" fontId="19" fillId="12" borderId="20" xfId="1" applyNumberFormat="1" applyFill="1" applyBorder="1"/>
    <xf numFmtId="0" fontId="28" fillId="0" borderId="19" xfId="1" applyFont="1" applyBorder="1" applyAlignment="1">
      <alignment horizontal="right"/>
    </xf>
    <xf numFmtId="166" fontId="19" fillId="12" borderId="16" xfId="1" applyNumberFormat="1" applyFill="1" applyBorder="1"/>
    <xf numFmtId="166" fontId="19" fillId="12" borderId="19" xfId="1" applyNumberFormat="1" applyFill="1" applyBorder="1"/>
    <xf numFmtId="0" fontId="26" fillId="0" borderId="19" xfId="1" applyFont="1" applyBorder="1"/>
    <xf numFmtId="0" fontId="19" fillId="0" borderId="1" xfId="1" applyFill="1" applyBorder="1"/>
    <xf numFmtId="165" fontId="19" fillId="0" borderId="22" xfId="1" applyNumberFormat="1" applyBorder="1"/>
    <xf numFmtId="0" fontId="26" fillId="0" borderId="16" xfId="1" applyFont="1" applyFill="1" applyBorder="1"/>
    <xf numFmtId="166" fontId="19" fillId="12" borderId="3" xfId="1" applyNumberFormat="1" applyFill="1" applyBorder="1" applyAlignment="1" applyProtection="1">
      <alignment horizontal="left"/>
      <protection locked="0"/>
    </xf>
    <xf numFmtId="1" fontId="19" fillId="12" borderId="18" xfId="1" applyNumberFormat="1" applyFill="1" applyBorder="1" applyAlignment="1" applyProtection="1">
      <alignment horizontal="center"/>
      <protection locked="0"/>
    </xf>
    <xf numFmtId="0" fontId="28" fillId="0" borderId="1" xfId="1" applyFont="1" applyFill="1" applyBorder="1" applyAlignment="1">
      <alignment horizontal="right"/>
    </xf>
    <xf numFmtId="1" fontId="19" fillId="12" borderId="1" xfId="1" applyNumberFormat="1" applyFont="1" applyFill="1" applyBorder="1" applyAlignment="1" applyProtection="1">
      <alignment horizontal="center"/>
      <protection locked="0"/>
    </xf>
    <xf numFmtId="0" fontId="28" fillId="0" borderId="16" xfId="1" applyFont="1" applyFill="1" applyBorder="1" applyAlignment="1">
      <alignment horizontal="right"/>
    </xf>
    <xf numFmtId="1" fontId="19" fillId="12" borderId="2" xfId="1" applyNumberFormat="1" applyFill="1" applyBorder="1" applyProtection="1">
      <protection locked="0"/>
    </xf>
    <xf numFmtId="166" fontId="19" fillId="12" borderId="2" xfId="1" applyNumberFormat="1" applyFill="1" applyBorder="1"/>
    <xf numFmtId="0" fontId="19" fillId="0" borderId="0" xfId="1" applyProtection="1"/>
    <xf numFmtId="165" fontId="19" fillId="12" borderId="1" xfId="1" applyNumberFormat="1" applyFill="1" applyBorder="1" applyProtection="1"/>
    <xf numFmtId="0" fontId="19" fillId="12" borderId="1" xfId="1" applyFill="1" applyBorder="1" applyProtection="1"/>
    <xf numFmtId="0" fontId="19" fillId="0" borderId="17" xfId="1" applyBorder="1" applyProtection="1"/>
    <xf numFmtId="0" fontId="19" fillId="0" borderId="1" xfId="1" applyBorder="1" applyProtection="1"/>
    <xf numFmtId="166" fontId="19" fillId="12" borderId="1" xfId="1" applyNumberFormat="1" applyFill="1" applyBorder="1" applyProtection="1"/>
    <xf numFmtId="167" fontId="19" fillId="12" borderId="1" xfId="1" applyNumberFormat="1" applyFill="1" applyBorder="1" applyProtection="1"/>
    <xf numFmtId="0" fontId="26" fillId="0" borderId="0" xfId="1" applyFont="1"/>
    <xf numFmtId="0" fontId="34" fillId="0" borderId="24" xfId="0" applyFont="1" applyBorder="1"/>
    <xf numFmtId="0" fontId="34" fillId="0" borderId="27" xfId="0" applyFont="1" applyBorder="1"/>
    <xf numFmtId="0" fontId="34" fillId="0" borderId="24" xfId="0" applyFont="1" applyBorder="1" applyAlignment="1">
      <alignment horizontal="center"/>
    </xf>
    <xf numFmtId="0" fontId="28" fillId="0" borderId="1" xfId="1" applyFont="1" applyBorder="1" applyAlignment="1">
      <alignment horizontal="right"/>
    </xf>
    <xf numFmtId="0" fontId="19" fillId="0" borderId="30" xfId="1" applyFill="1" applyBorder="1"/>
    <xf numFmtId="166" fontId="19" fillId="12" borderId="31" xfId="1" applyNumberFormat="1" applyFill="1" applyBorder="1" applyProtection="1">
      <protection locked="0"/>
    </xf>
    <xf numFmtId="166" fontId="19" fillId="12" borderId="13" xfId="1" applyNumberFormat="1" applyFill="1" applyBorder="1" applyProtection="1"/>
    <xf numFmtId="166" fontId="19" fillId="12" borderId="1" xfId="1" applyNumberFormat="1" applyFill="1" applyBorder="1"/>
    <xf numFmtId="165" fontId="22" fillId="16" borderId="0" xfId="1" applyNumberFormat="1" applyFont="1" applyFill="1"/>
    <xf numFmtId="166" fontId="19" fillId="12" borderId="1" xfId="1" applyNumberFormat="1" applyFill="1" applyBorder="1" applyAlignment="1" applyProtection="1">
      <alignment horizontal="center"/>
      <protection locked="0"/>
    </xf>
    <xf numFmtId="0" fontId="34" fillId="0" borderId="0" xfId="0" applyFont="1" applyBorder="1"/>
    <xf numFmtId="0" fontId="35" fillId="0" borderId="24" xfId="0" applyFont="1" applyBorder="1"/>
    <xf numFmtId="0" fontId="37" fillId="0" borderId="24" xfId="0" applyFont="1" applyBorder="1"/>
    <xf numFmtId="2" fontId="19" fillId="17" borderId="1" xfId="1" applyNumberFormat="1" applyFill="1" applyBorder="1" applyProtection="1">
      <protection locked="0"/>
    </xf>
    <xf numFmtId="166" fontId="19" fillId="17" borderId="13" xfId="1" applyNumberFormat="1" applyFill="1" applyBorder="1" applyProtection="1">
      <protection locked="0"/>
    </xf>
    <xf numFmtId="0" fontId="34" fillId="0" borderId="24" xfId="0" quotePrefix="1" applyFont="1" applyBorder="1" applyAlignment="1">
      <alignment horizontal="right"/>
    </xf>
    <xf numFmtId="0" fontId="34" fillId="0" borderId="24" xfId="0" applyFont="1" applyBorder="1" applyAlignment="1">
      <alignment horizontal="right"/>
    </xf>
    <xf numFmtId="167" fontId="19" fillId="12" borderId="13" xfId="1" applyNumberFormat="1" applyFill="1" applyBorder="1" applyProtection="1">
      <protection locked="0"/>
    </xf>
    <xf numFmtId="0" fontId="19" fillId="9" borderId="33" xfId="1" applyFill="1" applyBorder="1"/>
    <xf numFmtId="0" fontId="19" fillId="9" borderId="36" xfId="1" applyFill="1" applyBorder="1"/>
    <xf numFmtId="0" fontId="19" fillId="9" borderId="37" xfId="1" applyFont="1" applyFill="1" applyBorder="1"/>
    <xf numFmtId="0" fontId="19" fillId="9" borderId="37" xfId="1" applyFill="1" applyBorder="1"/>
    <xf numFmtId="0" fontId="19" fillId="9" borderId="38" xfId="1" applyFill="1" applyBorder="1"/>
    <xf numFmtId="0" fontId="19" fillId="9" borderId="35" xfId="1" applyFill="1" applyBorder="1"/>
    <xf numFmtId="0" fontId="34" fillId="0" borderId="41" xfId="0" applyFont="1" applyBorder="1"/>
    <xf numFmtId="2" fontId="19" fillId="17" borderId="42" xfId="1" applyNumberFormat="1" applyFill="1" applyBorder="1" applyAlignment="1" applyProtection="1">
      <alignment horizontal="center"/>
      <protection locked="0"/>
    </xf>
    <xf numFmtId="0" fontId="39" fillId="9" borderId="0" xfId="1" applyFont="1" applyFill="1"/>
    <xf numFmtId="2" fontId="0" fillId="8" borderId="1" xfId="0" applyNumberFormat="1" applyFill="1" applyBorder="1"/>
    <xf numFmtId="0" fontId="41" fillId="18" borderId="3" xfId="0" applyFont="1" applyFill="1" applyBorder="1" applyAlignment="1"/>
    <xf numFmtId="0" fontId="39" fillId="0" borderId="24" xfId="0" applyFont="1" applyBorder="1"/>
    <xf numFmtId="0" fontId="19" fillId="9" borderId="1" xfId="1" applyFont="1" applyFill="1" applyBorder="1"/>
    <xf numFmtId="0" fontId="42" fillId="20" borderId="0" xfId="0" applyFont="1" applyFill="1" applyAlignment="1"/>
    <xf numFmtId="0" fontId="0" fillId="20" borderId="0" xfId="0" applyFill="1" applyAlignment="1"/>
    <xf numFmtId="0" fontId="43" fillId="20" borderId="0" xfId="0" applyFont="1" applyFill="1" applyAlignment="1"/>
    <xf numFmtId="0" fontId="7" fillId="20" borderId="0" xfId="0" applyFont="1" applyFill="1" applyAlignment="1"/>
    <xf numFmtId="0" fontId="1" fillId="20" borderId="0" xfId="0" applyFont="1" applyFill="1" applyAlignment="1"/>
    <xf numFmtId="0" fontId="8" fillId="20" borderId="0" xfId="0" applyFont="1" applyFill="1" applyAlignment="1"/>
    <xf numFmtId="0" fontId="0" fillId="20" borderId="0" xfId="0" applyFill="1" applyBorder="1" applyAlignment="1"/>
    <xf numFmtId="0" fontId="5" fillId="20" borderId="0" xfId="0" applyFont="1" applyFill="1" applyAlignment="1"/>
    <xf numFmtId="0" fontId="0" fillId="20" borderId="0" xfId="0" applyFill="1" applyAlignment="1">
      <alignment horizontal="right"/>
    </xf>
    <xf numFmtId="0" fontId="4" fillId="20" borderId="0" xfId="0" applyFont="1" applyFill="1" applyAlignment="1"/>
    <xf numFmtId="0" fontId="5" fillId="20" borderId="1" xfId="0" applyFont="1" applyFill="1" applyBorder="1" applyAlignment="1"/>
    <xf numFmtId="0" fontId="5" fillId="20" borderId="1" xfId="0" quotePrefix="1" applyFont="1" applyFill="1" applyBorder="1" applyAlignment="1"/>
    <xf numFmtId="0" fontId="6" fillId="20" borderId="1" xfId="0" applyFont="1" applyFill="1" applyBorder="1" applyAlignment="1"/>
    <xf numFmtId="0" fontId="50" fillId="0" borderId="4" xfId="0" applyFont="1" applyBorder="1" applyAlignment="1"/>
    <xf numFmtId="0" fontId="51" fillId="0" borderId="36" xfId="0" applyFont="1" applyBorder="1" applyAlignment="1"/>
    <xf numFmtId="0" fontId="2" fillId="5" borderId="6" xfId="0" applyFont="1" applyFill="1" applyBorder="1" applyAlignment="1"/>
    <xf numFmtId="0" fontId="0" fillId="20" borderId="46" xfId="0" applyFill="1" applyBorder="1" applyAlignment="1"/>
    <xf numFmtId="0" fontId="0" fillId="20" borderId="6" xfId="0" applyFill="1" applyBorder="1" applyAlignment="1"/>
    <xf numFmtId="0" fontId="0" fillId="3" borderId="49" xfId="0" applyFill="1" applyBorder="1" applyAlignment="1"/>
    <xf numFmtId="2" fontId="0" fillId="3" borderId="49" xfId="0" applyNumberFormat="1" applyFill="1" applyBorder="1" applyAlignment="1"/>
    <xf numFmtId="2" fontId="0" fillId="2" borderId="49" xfId="0" quotePrefix="1" applyNumberFormat="1" applyFill="1" applyBorder="1" applyAlignment="1"/>
    <xf numFmtId="0" fontId="0" fillId="20" borderId="15" xfId="0" applyFill="1" applyBorder="1" applyAlignment="1"/>
    <xf numFmtId="0" fontId="5" fillId="20" borderId="48" xfId="0" applyFont="1" applyFill="1" applyBorder="1" applyAlignment="1"/>
    <xf numFmtId="2" fontId="0" fillId="2" borderId="50" xfId="0" quotePrefix="1" applyNumberFormat="1" applyFill="1" applyBorder="1" applyAlignment="1"/>
    <xf numFmtId="2" fontId="19" fillId="17" borderId="5" xfId="1" applyNumberFormat="1" applyFill="1" applyBorder="1" applyAlignment="1" applyProtection="1">
      <alignment horizontal="center"/>
      <protection locked="0"/>
    </xf>
    <xf numFmtId="2" fontId="19" fillId="17" borderId="7" xfId="1" applyNumberFormat="1" applyFill="1" applyBorder="1" applyAlignment="1" applyProtection="1">
      <alignment horizontal="center"/>
      <protection locked="0"/>
    </xf>
    <xf numFmtId="1" fontId="19" fillId="17" borderId="5" xfId="1" applyNumberFormat="1" applyFill="1" applyBorder="1" applyAlignment="1" applyProtection="1">
      <alignment horizontal="center"/>
      <protection locked="0"/>
    </xf>
    <xf numFmtId="1" fontId="19" fillId="17" borderId="7" xfId="1" applyNumberFormat="1" applyFill="1" applyBorder="1" applyAlignment="1" applyProtection="1">
      <alignment horizontal="center"/>
      <protection locked="0"/>
    </xf>
    <xf numFmtId="1" fontId="19" fillId="17" borderId="12" xfId="1" applyNumberFormat="1" applyFill="1" applyBorder="1" applyAlignment="1" applyProtection="1">
      <alignment horizontal="center"/>
      <protection locked="0"/>
    </xf>
    <xf numFmtId="0" fontId="19" fillId="17" borderId="7" xfId="1" applyFill="1" applyBorder="1" applyAlignment="1" applyProtection="1">
      <alignment horizontal="center"/>
      <protection locked="0"/>
    </xf>
    <xf numFmtId="165" fontId="34" fillId="0" borderId="24" xfId="0" applyNumberFormat="1" applyFont="1" applyBorder="1"/>
    <xf numFmtId="9" fontId="19" fillId="17" borderId="7" xfId="1" applyNumberFormat="1" applyFill="1" applyBorder="1" applyAlignment="1" applyProtection="1">
      <alignment horizontal="center"/>
      <protection locked="0"/>
    </xf>
    <xf numFmtId="0" fontId="14" fillId="20" borderId="0" xfId="0" applyFont="1" applyFill="1" applyAlignment="1"/>
    <xf numFmtId="0" fontId="19" fillId="9" borderId="51" xfId="1" applyFill="1" applyBorder="1"/>
    <xf numFmtId="0" fontId="19" fillId="0" borderId="24" xfId="1" applyBorder="1"/>
    <xf numFmtId="0" fontId="19" fillId="0" borderId="53" xfId="1" applyBorder="1"/>
    <xf numFmtId="0" fontId="19" fillId="0" borderId="51" xfId="1" applyBorder="1"/>
    <xf numFmtId="0" fontId="19" fillId="0" borderId="54" xfId="1" applyBorder="1"/>
    <xf numFmtId="0" fontId="19" fillId="9" borderId="43" xfId="1" applyFill="1" applyBorder="1"/>
    <xf numFmtId="0" fontId="19" fillId="0" borderId="43" xfId="1" applyBorder="1"/>
    <xf numFmtId="0" fontId="52" fillId="0" borderId="1" xfId="3" applyBorder="1" applyProtection="1"/>
    <xf numFmtId="166" fontId="52" fillId="12" borderId="1" xfId="3" applyNumberFormat="1" applyFill="1" applyBorder="1" applyProtection="1"/>
    <xf numFmtId="166" fontId="52" fillId="12" borderId="1" xfId="3" applyNumberFormat="1" applyFill="1" applyBorder="1" applyProtection="1"/>
    <xf numFmtId="0" fontId="19" fillId="0" borderId="26" xfId="1" applyBorder="1"/>
    <xf numFmtId="0" fontId="52" fillId="0" borderId="0" xfId="3"/>
    <xf numFmtId="0" fontId="52" fillId="0" borderId="1" xfId="3" applyBorder="1" applyProtection="1"/>
    <xf numFmtId="0" fontId="52" fillId="0" borderId="17" xfId="3" applyBorder="1" applyProtection="1"/>
    <xf numFmtId="0" fontId="19" fillId="0" borderId="25" xfId="1" applyBorder="1"/>
    <xf numFmtId="2" fontId="19" fillId="17" borderId="56" xfId="1" applyNumberFormat="1" applyFill="1" applyBorder="1" applyAlignment="1" applyProtection="1">
      <alignment horizontal="center"/>
      <protection locked="0"/>
    </xf>
    <xf numFmtId="9" fontId="19" fillId="17" borderId="56" xfId="1" applyNumberFormat="1" applyFill="1" applyBorder="1" applyAlignment="1" applyProtection="1">
      <alignment horizontal="center"/>
      <protection locked="0"/>
    </xf>
    <xf numFmtId="0" fontId="19" fillId="9" borderId="57" xfId="1" applyFill="1" applyBorder="1"/>
    <xf numFmtId="0" fontId="19" fillId="9" borderId="44" xfId="1" applyFill="1" applyBorder="1"/>
    <xf numFmtId="0" fontId="19" fillId="9" borderId="59" xfId="1" applyFill="1" applyBorder="1"/>
    <xf numFmtId="0" fontId="19" fillId="9" borderId="54" xfId="1" applyFill="1" applyBorder="1"/>
    <xf numFmtId="0" fontId="22" fillId="0" borderId="51" xfId="1" applyFont="1" applyBorder="1"/>
    <xf numFmtId="0" fontId="22" fillId="0" borderId="24" xfId="1" applyFont="1" applyBorder="1" applyAlignment="1">
      <alignment horizontal="center"/>
    </xf>
    <xf numFmtId="0" fontId="22" fillId="0" borderId="24" xfId="1" applyFont="1" applyBorder="1"/>
    <xf numFmtId="0" fontId="19" fillId="0" borderId="24" xfId="1" applyBorder="1" applyAlignment="1">
      <alignment horizontal="center"/>
    </xf>
    <xf numFmtId="0" fontId="22" fillId="0" borderId="28" xfId="1" applyFont="1" applyBorder="1" applyAlignment="1">
      <alignment horizontal="right"/>
    </xf>
    <xf numFmtId="165" fontId="22" fillId="0" borderId="55" xfId="1" applyNumberFormat="1" applyFont="1" applyBorder="1"/>
    <xf numFmtId="165" fontId="22" fillId="0" borderId="28" xfId="1" applyNumberFormat="1" applyFont="1" applyBorder="1"/>
    <xf numFmtId="0" fontId="22" fillId="0" borderId="28" xfId="1" applyFont="1" applyBorder="1" applyAlignment="1">
      <alignment horizontal="left"/>
    </xf>
    <xf numFmtId="0" fontId="0" fillId="0" borderId="24" xfId="0" applyBorder="1"/>
    <xf numFmtId="1" fontId="22" fillId="0" borderId="64" xfId="1" applyNumberFormat="1" applyFont="1" applyBorder="1"/>
    <xf numFmtId="0" fontId="22" fillId="0" borderId="26" xfId="1" applyFont="1" applyBorder="1"/>
    <xf numFmtId="0" fontId="19" fillId="9" borderId="65" xfId="1" applyFill="1" applyBorder="1" applyProtection="1">
      <protection locked="0"/>
    </xf>
    <xf numFmtId="0" fontId="19" fillId="9" borderId="21" xfId="1" applyFill="1" applyBorder="1"/>
    <xf numFmtId="0" fontId="19" fillId="9" borderId="68" xfId="1" applyFill="1" applyBorder="1" applyProtection="1">
      <protection locked="0"/>
    </xf>
    <xf numFmtId="0" fontId="19" fillId="9" borderId="69" xfId="1" applyFill="1" applyBorder="1"/>
    <xf numFmtId="0" fontId="19" fillId="9" borderId="70" xfId="1" applyFill="1" applyBorder="1"/>
    <xf numFmtId="0" fontId="19" fillId="9" borderId="0" xfId="1" applyFill="1" applyBorder="1" applyAlignment="1">
      <alignment horizontal="right"/>
    </xf>
    <xf numFmtId="0" fontId="46" fillId="9" borderId="0" xfId="1" applyFont="1" applyFill="1"/>
    <xf numFmtId="0" fontId="19" fillId="0" borderId="28" xfId="1" applyBorder="1"/>
    <xf numFmtId="0" fontId="19" fillId="0" borderId="71" xfId="1" applyBorder="1"/>
    <xf numFmtId="0" fontId="19" fillId="0" borderId="39" xfId="1" applyBorder="1"/>
    <xf numFmtId="0" fontId="19" fillId="0" borderId="29" xfId="1" applyBorder="1"/>
    <xf numFmtId="0" fontId="28" fillId="0" borderId="1" xfId="1" quotePrefix="1" applyFont="1" applyBorder="1" applyAlignment="1">
      <alignment horizontal="right"/>
    </xf>
    <xf numFmtId="1" fontId="19" fillId="12" borderId="17" xfId="1" applyNumberFormat="1" applyFill="1" applyBorder="1" applyAlignment="1">
      <alignment horizontal="center"/>
    </xf>
    <xf numFmtId="0" fontId="19" fillId="0" borderId="23" xfId="1" applyBorder="1"/>
    <xf numFmtId="0" fontId="28" fillId="0" borderId="18" xfId="1" applyFont="1" applyFill="1" applyBorder="1" applyAlignment="1">
      <alignment horizontal="right"/>
    </xf>
    <xf numFmtId="0" fontId="26" fillId="9" borderId="0" xfId="1" applyFont="1" applyFill="1" applyAlignment="1">
      <alignment horizontal="center"/>
    </xf>
    <xf numFmtId="0" fontId="26" fillId="0" borderId="0" xfId="1" applyFont="1" applyBorder="1" applyAlignment="1">
      <alignment horizontal="center"/>
    </xf>
    <xf numFmtId="0" fontId="26" fillId="0" borderId="66" xfId="1" applyFont="1" applyFill="1" applyBorder="1" applyAlignment="1" applyProtection="1">
      <alignment horizontal="center"/>
      <protection locked="0"/>
    </xf>
    <xf numFmtId="0" fontId="26" fillId="0" borderId="66" xfId="1" applyFont="1" applyBorder="1" applyAlignment="1">
      <alignment horizontal="center"/>
    </xf>
    <xf numFmtId="0" fontId="26" fillId="0" borderId="67" xfId="1" applyFont="1" applyBorder="1" applyAlignment="1">
      <alignment horizontal="center"/>
    </xf>
    <xf numFmtId="0" fontId="19" fillId="14" borderId="72" xfId="1" applyFill="1" applyBorder="1" applyAlignment="1">
      <alignment horizontal="center"/>
    </xf>
    <xf numFmtId="0" fontId="19" fillId="0" borderId="1" xfId="1" applyFont="1" applyFill="1" applyBorder="1" applyAlignment="1">
      <alignment horizontal="left"/>
    </xf>
    <xf numFmtId="0" fontId="19" fillId="0" borderId="16" xfId="1" applyBorder="1"/>
    <xf numFmtId="2" fontId="19" fillId="17" borderId="16" xfId="1" applyNumberFormat="1" applyFill="1" applyBorder="1" applyProtection="1">
      <protection locked="0"/>
    </xf>
    <xf numFmtId="0" fontId="19" fillId="0" borderId="34" xfId="1" applyBorder="1" applyAlignment="1">
      <alignment horizontal="center"/>
    </xf>
    <xf numFmtId="166" fontId="19" fillId="12" borderId="1" xfId="1" applyNumberFormat="1" applyFill="1" applyBorder="1" applyProtection="1">
      <protection locked="0"/>
    </xf>
    <xf numFmtId="1" fontId="19" fillId="12" borderId="2" xfId="1" applyNumberFormat="1" applyFill="1" applyBorder="1"/>
    <xf numFmtId="0" fontId="28" fillId="0" borderId="17" xfId="1" quotePrefix="1" applyFont="1" applyBorder="1" applyAlignment="1">
      <alignment horizontal="right"/>
    </xf>
    <xf numFmtId="166" fontId="19" fillId="12" borderId="13" xfId="1" applyNumberFormat="1" applyFill="1" applyBorder="1"/>
    <xf numFmtId="0" fontId="27" fillId="0" borderId="16" xfId="1" applyFont="1" applyBorder="1" applyAlignment="1">
      <alignment horizontal="right"/>
    </xf>
    <xf numFmtId="165" fontId="19" fillId="12" borderId="17" xfId="1" applyNumberFormat="1" applyFill="1" applyBorder="1" applyProtection="1"/>
    <xf numFmtId="0" fontId="26" fillId="0" borderId="16" xfId="1" applyFont="1" applyBorder="1" applyProtection="1"/>
    <xf numFmtId="0" fontId="19" fillId="14" borderId="16" xfId="1" applyFill="1" applyBorder="1" applyProtection="1"/>
    <xf numFmtId="166" fontId="19" fillId="12" borderId="17" xfId="1" applyNumberFormat="1" applyFill="1" applyBorder="1" applyProtection="1"/>
    <xf numFmtId="0" fontId="19" fillId="12" borderId="17" xfId="1" applyFill="1" applyBorder="1" applyProtection="1"/>
    <xf numFmtId="0" fontId="19" fillId="0" borderId="73" xfId="1" applyBorder="1" applyProtection="1"/>
    <xf numFmtId="0" fontId="26" fillId="0" borderId="17" xfId="1" applyFont="1" applyBorder="1" applyProtection="1"/>
    <xf numFmtId="0" fontId="26" fillId="0" borderId="30" xfId="1" applyFont="1" applyBorder="1" applyProtection="1"/>
    <xf numFmtId="166" fontId="19" fillId="12" borderId="30" xfId="1" applyNumberFormat="1" applyFill="1" applyBorder="1" applyProtection="1"/>
    <xf numFmtId="164" fontId="19" fillId="12" borderId="17" xfId="1" applyNumberFormat="1" applyFill="1" applyBorder="1" applyProtection="1"/>
    <xf numFmtId="0" fontId="27" fillId="0" borderId="1" xfId="1" applyFont="1" applyBorder="1" applyProtection="1"/>
    <xf numFmtId="0" fontId="28" fillId="0" borderId="1" xfId="1" applyFont="1" applyBorder="1" applyAlignment="1" applyProtection="1">
      <alignment horizontal="right"/>
    </xf>
    <xf numFmtId="0" fontId="19" fillId="0" borderId="17" xfId="1" applyFont="1" applyBorder="1" applyProtection="1"/>
    <xf numFmtId="0" fontId="28" fillId="0" borderId="1" xfId="3" applyFont="1" applyBorder="1" applyAlignment="1" applyProtection="1">
      <alignment horizontal="right"/>
    </xf>
    <xf numFmtId="0" fontId="19" fillId="0" borderId="17" xfId="3" applyFont="1" applyBorder="1" applyProtection="1"/>
    <xf numFmtId="168" fontId="52" fillId="12" borderId="17" xfId="3" applyNumberFormat="1" applyFill="1" applyBorder="1" applyProtection="1"/>
    <xf numFmtId="0" fontId="26" fillId="0" borderId="16" xfId="3" applyFont="1" applyBorder="1" applyProtection="1"/>
    <xf numFmtId="166" fontId="52" fillId="12" borderId="17" xfId="3" applyNumberFormat="1" applyFill="1" applyBorder="1" applyProtection="1"/>
    <xf numFmtId="0" fontId="26" fillId="0" borderId="19" xfId="3" applyFont="1" applyBorder="1" applyProtection="1"/>
    <xf numFmtId="166" fontId="52" fillId="12" borderId="19" xfId="3" applyNumberFormat="1" applyFill="1" applyBorder="1" applyProtection="1"/>
    <xf numFmtId="166" fontId="19" fillId="12" borderId="16" xfId="1" applyNumberFormat="1" applyFill="1" applyBorder="1" applyProtection="1"/>
    <xf numFmtId="0" fontId="19" fillId="0" borderId="17" xfId="1" applyFill="1" applyBorder="1"/>
    <xf numFmtId="0" fontId="19" fillId="0" borderId="30" xfId="1" applyBorder="1" applyProtection="1"/>
    <xf numFmtId="0" fontId="28" fillId="0" borderId="16" xfId="1" applyFont="1" applyBorder="1" applyAlignment="1" applyProtection="1">
      <alignment horizontal="right"/>
    </xf>
    <xf numFmtId="166" fontId="19" fillId="12" borderId="31" xfId="1" applyNumberFormat="1" applyFill="1" applyBorder="1" applyProtection="1"/>
    <xf numFmtId="0" fontId="35" fillId="0" borderId="24" xfId="0" applyFont="1" applyBorder="1" applyAlignment="1">
      <alignment horizontal="center"/>
    </xf>
    <xf numFmtId="0" fontId="23" fillId="9" borderId="0" xfId="1" applyFont="1" applyFill="1" applyAlignment="1">
      <alignment horizontal="center"/>
    </xf>
    <xf numFmtId="0" fontId="19" fillId="9" borderId="1" xfId="1" applyFill="1" applyBorder="1"/>
    <xf numFmtId="0" fontId="19" fillId="17" borderId="56" xfId="1" applyFill="1" applyBorder="1" applyAlignment="1" applyProtection="1">
      <alignment horizontal="center"/>
      <protection locked="0"/>
    </xf>
    <xf numFmtId="165" fontId="22" fillId="0" borderId="39" xfId="1" applyNumberFormat="1" applyFont="1" applyBorder="1"/>
    <xf numFmtId="11" fontId="19" fillId="12" borderId="13" xfId="1" applyNumberFormat="1" applyFill="1" applyBorder="1" applyProtection="1">
      <protection locked="0"/>
    </xf>
    <xf numFmtId="11" fontId="22" fillId="0" borderId="28" xfId="1" applyNumberFormat="1" applyFont="1" applyBorder="1" applyAlignment="1">
      <alignment horizontal="right"/>
    </xf>
    <xf numFmtId="0" fontId="19" fillId="0" borderId="26" xfId="1" applyBorder="1" applyAlignment="1">
      <alignment horizontal="center"/>
    </xf>
    <xf numFmtId="0" fontId="0" fillId="0" borderId="0" xfId="0" applyAlignment="1">
      <alignment horizontal="left"/>
    </xf>
    <xf numFmtId="1" fontId="0" fillId="8" borderId="1" xfId="0" applyNumberFormat="1" applyFill="1" applyBorder="1"/>
    <xf numFmtId="2" fontId="19" fillId="12" borderId="1" xfId="1" applyNumberFormat="1" applyFill="1" applyBorder="1" applyProtection="1">
      <protection locked="0"/>
    </xf>
    <xf numFmtId="9" fontId="19" fillId="9" borderId="0" xfId="1" applyNumberFormat="1" applyFill="1"/>
    <xf numFmtId="0" fontId="19" fillId="21" borderId="1" xfId="1" applyFill="1" applyBorder="1"/>
    <xf numFmtId="0" fontId="19" fillId="9" borderId="2" xfId="1" applyFill="1" applyBorder="1" applyAlignment="1">
      <alignment horizontal="center"/>
    </xf>
    <xf numFmtId="0" fontId="19" fillId="0" borderId="37" xfId="1" applyBorder="1"/>
    <xf numFmtId="0" fontId="19" fillId="9" borderId="65" xfId="1" applyFill="1" applyBorder="1"/>
    <xf numFmtId="0" fontId="19" fillId="17" borderId="5" xfId="1" applyFill="1" applyBorder="1" applyAlignment="1" applyProtection="1">
      <alignment horizontal="center"/>
      <protection locked="0"/>
    </xf>
    <xf numFmtId="165" fontId="22" fillId="0" borderId="28" xfId="1" applyNumberFormat="1" applyFont="1" applyBorder="1" applyAlignment="1">
      <alignment horizontal="right"/>
    </xf>
    <xf numFmtId="165" fontId="22" fillId="0" borderId="55" xfId="1" applyNumberFormat="1" applyFont="1" applyBorder="1" applyAlignment="1">
      <alignment horizontal="right"/>
    </xf>
    <xf numFmtId="166" fontId="19" fillId="12" borderId="1" xfId="1" applyNumberFormat="1" applyFill="1" applyBorder="1" applyAlignment="1">
      <alignment horizontal="right"/>
    </xf>
    <xf numFmtId="1" fontId="19" fillId="12" borderId="1" xfId="1" applyNumberFormat="1" applyFill="1" applyBorder="1" applyAlignment="1" applyProtection="1">
      <alignment horizontal="right"/>
      <protection locked="0"/>
    </xf>
    <xf numFmtId="1" fontId="19" fillId="12" borderId="13" xfId="1" applyNumberFormat="1" applyFill="1" applyBorder="1" applyAlignment="1" applyProtection="1">
      <alignment horizontal="right"/>
      <protection locked="0"/>
    </xf>
    <xf numFmtId="0" fontId="55" fillId="9" borderId="0" xfId="5" applyFill="1" applyAlignment="1">
      <alignment horizontal="center" vertical="top" wrapText="1"/>
    </xf>
    <xf numFmtId="0" fontId="55" fillId="10" borderId="0" xfId="5" applyFill="1" applyAlignment="1">
      <alignment horizontal="right" vertical="top" wrapText="1"/>
    </xf>
    <xf numFmtId="0" fontId="55" fillId="9" borderId="0" xfId="5" applyFill="1" applyAlignment="1">
      <alignment vertical="top" wrapText="1"/>
    </xf>
    <xf numFmtId="0" fontId="56" fillId="10" borderId="0" xfId="5" applyFont="1" applyFill="1" applyAlignment="1">
      <alignment vertical="top" wrapText="1"/>
    </xf>
    <xf numFmtId="0" fontId="57" fillId="10" borderId="0" xfId="5" applyFont="1" applyFill="1" applyAlignment="1">
      <alignment vertical="top" wrapText="1"/>
    </xf>
    <xf numFmtId="0" fontId="60" fillId="10" borderId="0" xfId="5" applyFont="1" applyFill="1" applyAlignment="1">
      <alignment vertical="top" wrapText="1"/>
    </xf>
    <xf numFmtId="0" fontId="61" fillId="9" borderId="0" xfId="5" applyFont="1" applyFill="1" applyAlignment="1">
      <alignment horizontal="center" vertical="top" wrapText="1"/>
    </xf>
    <xf numFmtId="0" fontId="61" fillId="9" borderId="0" xfId="5" applyFont="1" applyFill="1" applyAlignment="1">
      <alignment vertical="top" wrapText="1"/>
    </xf>
    <xf numFmtId="0" fontId="62" fillId="9" borderId="0" xfId="5" applyFont="1" applyFill="1" applyAlignment="1">
      <alignment horizontal="center" vertical="top" wrapText="1"/>
    </xf>
    <xf numFmtId="0" fontId="62" fillId="9" borderId="0" xfId="5" applyFont="1" applyFill="1" applyAlignment="1">
      <alignment vertical="top" wrapText="1"/>
    </xf>
    <xf numFmtId="0" fontId="62" fillId="9" borderId="0" xfId="5" applyFont="1" applyFill="1" applyAlignment="1">
      <alignment horizontal="center" vertical="center" wrapText="1"/>
    </xf>
    <xf numFmtId="0" fontId="63" fillId="10" borderId="0" xfId="5" applyFont="1" applyFill="1" applyAlignment="1">
      <alignment horizontal="center" vertical="center" wrapText="1"/>
    </xf>
    <xf numFmtId="0" fontId="62" fillId="9" borderId="0" xfId="5" applyFont="1" applyFill="1" applyAlignment="1">
      <alignment vertical="center" wrapText="1"/>
    </xf>
    <xf numFmtId="0" fontId="23" fillId="10" borderId="0" xfId="5" applyFont="1" applyFill="1" applyAlignment="1">
      <alignment horizontal="center" vertical="top" wrapText="1"/>
    </xf>
    <xf numFmtId="0" fontId="62" fillId="0" borderId="0" xfId="5" applyFont="1" applyFill="1" applyAlignment="1">
      <alignment horizontal="center" vertical="top" wrapText="1"/>
    </xf>
    <xf numFmtId="0" fontId="23" fillId="9" borderId="0" xfId="5" applyFont="1" applyFill="1" applyAlignment="1">
      <alignment vertical="top" wrapText="1"/>
    </xf>
    <xf numFmtId="0" fontId="62" fillId="0" borderId="0" xfId="5" applyFont="1" applyFill="1" applyAlignment="1">
      <alignment vertical="top" wrapText="1"/>
    </xf>
    <xf numFmtId="0" fontId="56" fillId="9" borderId="0" xfId="5" applyFont="1" applyFill="1" applyAlignment="1">
      <alignment vertical="top" wrapText="1"/>
    </xf>
    <xf numFmtId="0" fontId="60" fillId="9" borderId="0" xfId="5" applyFont="1" applyFill="1" applyBorder="1" applyAlignment="1">
      <alignment vertical="top" wrapText="1"/>
    </xf>
    <xf numFmtId="0" fontId="19" fillId="9" borderId="1" xfId="5" applyFont="1" applyFill="1" applyBorder="1" applyAlignment="1">
      <alignment vertical="top" wrapText="1"/>
    </xf>
    <xf numFmtId="0" fontId="64" fillId="9" borderId="1" xfId="5" applyFont="1" applyFill="1" applyBorder="1" applyAlignment="1">
      <alignment vertical="top" wrapText="1"/>
    </xf>
    <xf numFmtId="0" fontId="55" fillId="9" borderId="0" xfId="5" applyFill="1" applyBorder="1" applyAlignment="1">
      <alignment vertical="top" wrapText="1"/>
    </xf>
    <xf numFmtId="0" fontId="26" fillId="9" borderId="1" xfId="5" applyFont="1" applyFill="1" applyBorder="1" applyAlignment="1">
      <alignment vertical="top" wrapText="1"/>
    </xf>
    <xf numFmtId="0" fontId="26" fillId="9" borderId="0" xfId="5" applyFont="1" applyFill="1" applyBorder="1" applyAlignment="1">
      <alignment vertical="top" wrapText="1"/>
    </xf>
    <xf numFmtId="2" fontId="22" fillId="0" borderId="28" xfId="1" applyNumberFormat="1" applyFont="1" applyBorder="1" applyAlignment="1">
      <alignment horizontal="right"/>
    </xf>
    <xf numFmtId="0" fontId="21" fillId="9" borderId="1" xfId="5" applyFont="1" applyFill="1" applyBorder="1" applyAlignment="1">
      <alignment vertical="top" wrapText="1"/>
    </xf>
    <xf numFmtId="0" fontId="19" fillId="10" borderId="1" xfId="5" applyFont="1" applyFill="1" applyBorder="1" applyAlignment="1">
      <alignment vertical="top" wrapText="1"/>
    </xf>
    <xf numFmtId="0" fontId="19" fillId="9" borderId="0" xfId="5" applyFont="1" applyFill="1" applyBorder="1" applyAlignment="1">
      <alignment vertical="top" wrapText="1"/>
    </xf>
    <xf numFmtId="0" fontId="19" fillId="9" borderId="0" xfId="5" applyFont="1" applyFill="1" applyAlignment="1">
      <alignment vertical="top" wrapText="1"/>
    </xf>
    <xf numFmtId="0" fontId="19" fillId="9" borderId="0" xfId="5" applyFont="1" applyFill="1" applyAlignment="1">
      <alignment vertical="top"/>
    </xf>
    <xf numFmtId="0" fontId="34" fillId="0" borderId="0" xfId="0" applyFont="1"/>
    <xf numFmtId="0" fontId="26" fillId="0" borderId="24" xfId="0" applyFont="1" applyBorder="1"/>
    <xf numFmtId="0" fontId="19" fillId="0" borderId="32" xfId="1" applyFont="1" applyBorder="1"/>
    <xf numFmtId="0" fontId="19" fillId="17" borderId="7" xfId="1" applyNumberFormat="1" applyFill="1" applyBorder="1" applyAlignment="1" applyProtection="1">
      <alignment horizontal="center"/>
      <protection locked="0"/>
    </xf>
    <xf numFmtId="0" fontId="0" fillId="0" borderId="78" xfId="0" applyBorder="1" applyAlignment="1">
      <alignment horizontal="center"/>
    </xf>
    <xf numFmtId="0" fontId="8" fillId="0" borderId="24" xfId="0" applyFont="1" applyBorder="1" applyAlignment="1"/>
    <xf numFmtId="0" fontId="0" fillId="0" borderId="24" xfId="0" applyBorder="1" applyAlignment="1"/>
    <xf numFmtId="0" fontId="14" fillId="0" borderId="24" xfId="0" applyFont="1" applyBorder="1"/>
    <xf numFmtId="0" fontId="0" fillId="20" borderId="24" xfId="0" applyFill="1" applyBorder="1" applyAlignment="1"/>
    <xf numFmtId="0" fontId="0" fillId="20" borderId="26" xfId="0" applyFill="1" applyBorder="1" applyAlignment="1"/>
    <xf numFmtId="0" fontId="0" fillId="20" borderId="28" xfId="0" applyFill="1" applyBorder="1" applyAlignment="1"/>
    <xf numFmtId="0" fontId="1" fillId="0" borderId="24" xfId="0" applyFont="1" applyBorder="1"/>
    <xf numFmtId="0" fontId="10" fillId="0" borderId="24" xfId="0" applyFont="1" applyBorder="1" applyAlignment="1"/>
    <xf numFmtId="0" fontId="0" fillId="0" borderId="29" xfId="0" applyBorder="1"/>
    <xf numFmtId="0" fontId="0" fillId="0" borderId="27" xfId="0" applyBorder="1"/>
    <xf numFmtId="0" fontId="8" fillId="0" borderId="55" xfId="0" applyFont="1" applyBorder="1"/>
    <xf numFmtId="0" fontId="0" fillId="0" borderId="79" xfId="0" applyBorder="1"/>
    <xf numFmtId="0" fontId="0" fillId="20" borderId="25" xfId="0" applyFill="1" applyBorder="1" applyAlignment="1"/>
    <xf numFmtId="0" fontId="8" fillId="0" borderId="28" xfId="0" applyFont="1" applyBorder="1"/>
    <xf numFmtId="9" fontId="0" fillId="17" borderId="49" xfId="0" applyNumberFormat="1" applyFill="1" applyBorder="1" applyAlignment="1"/>
    <xf numFmtId="0" fontId="0" fillId="17" borderId="49" xfId="0" applyFill="1" applyBorder="1" applyAlignment="1"/>
    <xf numFmtId="9" fontId="19" fillId="17" borderId="5" xfId="4" applyFont="1" applyFill="1" applyBorder="1" applyAlignment="1" applyProtection="1">
      <alignment horizontal="center"/>
      <protection locked="0"/>
    </xf>
    <xf numFmtId="9" fontId="0" fillId="17" borderId="49" xfId="4" applyFont="1" applyFill="1" applyBorder="1" applyAlignment="1"/>
    <xf numFmtId="167" fontId="19" fillId="2" borderId="13" xfId="1" applyNumberFormat="1" applyFill="1" applyBorder="1" applyProtection="1">
      <protection locked="0"/>
    </xf>
    <xf numFmtId="166" fontId="19" fillId="2" borderId="13" xfId="1" applyNumberFormat="1" applyFill="1" applyBorder="1" applyProtection="1">
      <protection locked="0"/>
    </xf>
    <xf numFmtId="0" fontId="19" fillId="9" borderId="0" xfId="1" applyFill="1" applyBorder="1" applyAlignment="1">
      <alignment horizontal="center"/>
    </xf>
    <xf numFmtId="0" fontId="0" fillId="0" borderId="0" xfId="0" applyFont="1"/>
    <xf numFmtId="0" fontId="73" fillId="0" borderId="0" xfId="0" applyFont="1"/>
    <xf numFmtId="10" fontId="19" fillId="12" borderId="56" xfId="1" applyNumberFormat="1" applyFill="1" applyBorder="1" applyAlignment="1" applyProtection="1">
      <alignment horizontal="center"/>
      <protection locked="0"/>
    </xf>
    <xf numFmtId="170" fontId="19" fillId="12" borderId="80" xfId="1" applyNumberFormat="1" applyFill="1" applyBorder="1" applyAlignment="1" applyProtection="1">
      <alignment horizontal="center"/>
      <protection locked="0"/>
    </xf>
    <xf numFmtId="9" fontId="19" fillId="12" borderId="7" xfId="4" applyFont="1" applyFill="1" applyBorder="1" applyAlignment="1" applyProtection="1">
      <alignment horizontal="center"/>
      <protection locked="0"/>
    </xf>
    <xf numFmtId="1" fontId="19" fillId="17" borderId="56" xfId="1" applyNumberFormat="1" applyFill="1" applyBorder="1" applyAlignment="1" applyProtection="1">
      <alignment horizontal="center"/>
      <protection locked="0"/>
    </xf>
    <xf numFmtId="1" fontId="19" fillId="12" borderId="5" xfId="1" applyNumberFormat="1" applyFill="1" applyBorder="1" applyAlignment="1" applyProtection="1">
      <alignment horizontal="center"/>
      <protection locked="0"/>
    </xf>
    <xf numFmtId="0" fontId="19" fillId="0" borderId="35" xfId="1" applyBorder="1"/>
    <xf numFmtId="2" fontId="19" fillId="17" borderId="80" xfId="4" applyNumberFormat="1" applyFont="1" applyFill="1" applyBorder="1" applyAlignment="1" applyProtection="1">
      <alignment horizontal="center"/>
      <protection locked="0"/>
    </xf>
    <xf numFmtId="2" fontId="19" fillId="12" borderId="12" xfId="1" applyNumberFormat="1" applyFill="1" applyBorder="1" applyAlignment="1" applyProtection="1">
      <alignment horizontal="center"/>
      <protection locked="0"/>
    </xf>
    <xf numFmtId="0" fontId="19" fillId="17" borderId="47" xfId="1" applyNumberFormat="1" applyFill="1" applyBorder="1" applyAlignment="1" applyProtection="1">
      <alignment horizontal="center"/>
      <protection locked="0"/>
    </xf>
    <xf numFmtId="2" fontId="19" fillId="17" borderId="80" xfId="1" applyNumberFormat="1" applyFill="1" applyBorder="1" applyAlignment="1" applyProtection="1">
      <alignment horizontal="center"/>
      <protection locked="0"/>
    </xf>
    <xf numFmtId="0" fontId="21" fillId="0" borderId="24" xfId="1" applyFont="1" applyBorder="1"/>
    <xf numFmtId="166" fontId="22" fillId="0" borderId="55" xfId="1" applyNumberFormat="1" applyFont="1" applyBorder="1" applyAlignment="1">
      <alignment horizontal="right"/>
    </xf>
    <xf numFmtId="0" fontId="21" fillId="0" borderId="24" xfId="1" applyFont="1" applyBorder="1" applyAlignment="1">
      <alignment horizontal="left"/>
    </xf>
    <xf numFmtId="0" fontId="0" fillId="0" borderId="24" xfId="0" applyFill="1" applyBorder="1"/>
    <xf numFmtId="0" fontId="0" fillId="0" borderId="0" xfId="0" applyFill="1"/>
    <xf numFmtId="0" fontId="0" fillId="0" borderId="0" xfId="0" applyFill="1" applyAlignment="1">
      <alignment vertical="top" wrapText="1"/>
    </xf>
    <xf numFmtId="0" fontId="0" fillId="0" borderId="1" xfId="0" applyFill="1" applyBorder="1" applyAlignment="1">
      <alignment vertical="top" wrapText="1"/>
    </xf>
    <xf numFmtId="0" fontId="1" fillId="0" borderId="1" xfId="0" applyFont="1" applyFill="1" applyBorder="1" applyAlignment="1">
      <alignment vertical="top" wrapText="1"/>
    </xf>
    <xf numFmtId="0" fontId="0" fillId="0" borderId="27" xfId="0" applyFill="1" applyBorder="1" applyAlignment="1">
      <alignment vertical="top" wrapText="1"/>
    </xf>
    <xf numFmtId="0" fontId="0" fillId="0" borderId="0" xfId="0" applyFill="1" applyBorder="1" applyAlignment="1">
      <alignment vertical="top" wrapText="1"/>
    </xf>
    <xf numFmtId="0" fontId="0" fillId="0" borderId="39" xfId="0" applyFill="1" applyBorder="1" applyAlignment="1">
      <alignment vertical="top" wrapText="1"/>
    </xf>
    <xf numFmtId="0" fontId="51" fillId="0" borderId="24" xfId="0" applyFont="1" applyFill="1" applyBorder="1"/>
    <xf numFmtId="0" fontId="51" fillId="0" borderId="0" xfId="0" applyFont="1" applyFill="1"/>
    <xf numFmtId="0" fontId="0" fillId="0" borderId="28" xfId="0" applyFill="1" applyBorder="1" applyAlignment="1">
      <alignment vertical="top"/>
    </xf>
    <xf numFmtId="0" fontId="0" fillId="0" borderId="0" xfId="0" applyFill="1" applyAlignment="1">
      <alignment vertical="top"/>
    </xf>
    <xf numFmtId="0" fontId="51" fillId="0" borderId="0" xfId="0" applyFont="1" applyFill="1" applyBorder="1" applyAlignment="1">
      <alignment wrapText="1"/>
    </xf>
    <xf numFmtId="0" fontId="0" fillId="0" borderId="0" xfId="0" applyFill="1" applyBorder="1" applyAlignment="1">
      <alignment wrapText="1"/>
    </xf>
    <xf numFmtId="0" fontId="34" fillId="0" borderId="24" xfId="0" applyFont="1" applyBorder="1" applyProtection="1">
      <protection locked="0"/>
    </xf>
    <xf numFmtId="0" fontId="33" fillId="0" borderId="0" xfId="1" applyFont="1" applyProtection="1">
      <protection locked="0"/>
    </xf>
    <xf numFmtId="0" fontId="34" fillId="0" borderId="29" xfId="0" applyFont="1" applyBorder="1" applyProtection="1">
      <protection locked="0"/>
    </xf>
    <xf numFmtId="0" fontId="34" fillId="0" borderId="27" xfId="0" applyFont="1" applyBorder="1" applyProtection="1">
      <protection locked="0"/>
    </xf>
    <xf numFmtId="0" fontId="21" fillId="9" borderId="0" xfId="1" applyFont="1" applyFill="1" applyAlignment="1" applyProtection="1">
      <alignment horizontal="center"/>
      <protection locked="0"/>
    </xf>
    <xf numFmtId="0" fontId="19" fillId="9" borderId="0" xfId="1" applyFill="1" applyProtection="1">
      <protection locked="0"/>
    </xf>
    <xf numFmtId="0" fontId="23" fillId="9" borderId="0" xfId="1" applyFont="1" applyFill="1" applyProtection="1">
      <protection locked="0"/>
    </xf>
    <xf numFmtId="0" fontId="23" fillId="0" borderId="0" xfId="1" applyFont="1" applyFill="1" applyProtection="1">
      <protection locked="0"/>
    </xf>
    <xf numFmtId="0" fontId="19" fillId="9" borderId="1" xfId="1" applyFont="1" applyFill="1" applyBorder="1" applyProtection="1">
      <protection locked="0"/>
    </xf>
    <xf numFmtId="0" fontId="34" fillId="0" borderId="28" xfId="0" applyFont="1" applyBorder="1" applyProtection="1">
      <protection locked="0"/>
    </xf>
    <xf numFmtId="0" fontId="34" fillId="0" borderId="60" xfId="0" applyFont="1" applyBorder="1" applyProtection="1">
      <protection locked="0"/>
    </xf>
    <xf numFmtId="0" fontId="34" fillId="0" borderId="61" xfId="0" applyFont="1" applyBorder="1" applyProtection="1">
      <protection locked="0"/>
    </xf>
    <xf numFmtId="0" fontId="34" fillId="0" borderId="26" xfId="0" applyFont="1" applyBorder="1" applyProtection="1">
      <protection locked="0"/>
    </xf>
    <xf numFmtId="0" fontId="34" fillId="0" borderId="62" xfId="0" applyFont="1" applyBorder="1" applyProtection="1">
      <protection locked="0"/>
    </xf>
    <xf numFmtId="0" fontId="34" fillId="0" borderId="63" xfId="0" applyFont="1" applyBorder="1" applyProtection="1">
      <protection locked="0"/>
    </xf>
    <xf numFmtId="0" fontId="21" fillId="9" borderId="0" xfId="1" applyFont="1" applyFill="1" applyBorder="1" applyProtection="1">
      <protection locked="0"/>
    </xf>
    <xf numFmtId="0" fontId="34" fillId="0" borderId="24" xfId="0" applyFont="1" applyBorder="1" applyAlignment="1" applyProtection="1">
      <alignment horizontal="center"/>
      <protection locked="0"/>
    </xf>
    <xf numFmtId="0" fontId="34" fillId="0" borderId="29" xfId="0" applyFont="1" applyBorder="1" applyAlignment="1" applyProtection="1">
      <alignment horizontal="center"/>
      <protection locked="0"/>
    </xf>
    <xf numFmtId="0" fontId="34" fillId="0" borderId="27" xfId="0" applyFont="1" applyBorder="1" applyAlignment="1" applyProtection="1">
      <alignment horizontal="center"/>
      <protection locked="0"/>
    </xf>
    <xf numFmtId="0" fontId="35" fillId="0" borderId="16" xfId="0" applyFont="1" applyBorder="1" applyAlignment="1" applyProtection="1">
      <alignment horizontal="left"/>
      <protection locked="0"/>
    </xf>
    <xf numFmtId="0" fontId="34" fillId="15" borderId="16" xfId="0" applyFont="1" applyFill="1" applyBorder="1" applyAlignment="1" applyProtection="1">
      <alignment horizontal="center"/>
      <protection locked="0"/>
    </xf>
    <xf numFmtId="0" fontId="34" fillId="0" borderId="17" xfId="0" applyFont="1" applyBorder="1" applyProtection="1">
      <protection locked="0"/>
    </xf>
    <xf numFmtId="0" fontId="36" fillId="0" borderId="1" xfId="0" applyFont="1" applyBorder="1" applyAlignment="1" applyProtection="1">
      <alignment horizontal="right"/>
      <protection locked="0"/>
    </xf>
    <xf numFmtId="165" fontId="22" fillId="0" borderId="28" xfId="1" applyNumberFormat="1" applyFont="1" applyBorder="1" applyProtection="1">
      <protection locked="0"/>
    </xf>
    <xf numFmtId="0" fontId="36" fillId="0" borderId="17" xfId="0" applyFont="1" applyBorder="1" applyAlignment="1" applyProtection="1">
      <alignment horizontal="right"/>
      <protection locked="0"/>
    </xf>
    <xf numFmtId="0" fontId="28" fillId="0" borderId="1" xfId="1" applyFont="1" applyFill="1" applyBorder="1" applyAlignment="1" applyProtection="1">
      <alignment horizontal="right"/>
      <protection locked="0"/>
    </xf>
    <xf numFmtId="165" fontId="22" fillId="0" borderId="64" xfId="1" applyNumberFormat="1" applyFont="1" applyBorder="1" applyProtection="1">
      <protection locked="0"/>
    </xf>
    <xf numFmtId="0" fontId="22" fillId="0" borderId="0" xfId="1" applyFont="1" applyProtection="1">
      <protection locked="0"/>
    </xf>
    <xf numFmtId="0" fontId="34" fillId="0" borderId="17" xfId="0" applyFont="1" applyBorder="1" applyAlignment="1" applyProtection="1">
      <alignment horizontal="left"/>
      <protection locked="0"/>
    </xf>
    <xf numFmtId="0" fontId="34" fillId="0" borderId="25" xfId="0" applyFont="1" applyBorder="1" applyProtection="1">
      <protection locked="0"/>
    </xf>
    <xf numFmtId="0" fontId="34" fillId="0" borderId="24" xfId="0" applyFont="1" applyBorder="1" applyProtection="1"/>
    <xf numFmtId="0" fontId="20" fillId="9" borderId="0" xfId="1" applyFont="1" applyFill="1" applyProtection="1"/>
    <xf numFmtId="0" fontId="34" fillId="0" borderId="29" xfId="0" applyFont="1" applyBorder="1" applyProtection="1"/>
    <xf numFmtId="0" fontId="35" fillId="0" borderId="29" xfId="0" applyFont="1" applyBorder="1" applyProtection="1"/>
    <xf numFmtId="0" fontId="34" fillId="0" borderId="0" xfId="0" applyFont="1" applyBorder="1" applyProtection="1"/>
    <xf numFmtId="0" fontId="23" fillId="9" borderId="0" xfId="1" applyFont="1" applyFill="1" applyAlignment="1" applyProtection="1">
      <alignment horizontal="center"/>
    </xf>
    <xf numFmtId="0" fontId="34" fillId="0" borderId="28" xfId="0" applyFont="1" applyBorder="1" applyProtection="1"/>
    <xf numFmtId="0" fontId="24" fillId="9" borderId="0" xfId="1" applyFont="1" applyFill="1" applyProtection="1"/>
    <xf numFmtId="0" fontId="34" fillId="0" borderId="27" xfId="0" applyFont="1" applyBorder="1" applyProtection="1"/>
    <xf numFmtId="0" fontId="23" fillId="9" borderId="0" xfId="1" applyFont="1" applyFill="1" applyProtection="1"/>
    <xf numFmtId="0" fontId="34" fillId="0" borderId="34" xfId="0" applyFont="1" applyBorder="1" applyProtection="1"/>
    <xf numFmtId="0" fontId="23" fillId="9" borderId="0" xfId="1" applyFont="1" applyFill="1" applyBorder="1" applyAlignment="1" applyProtection="1">
      <alignment horizontal="center"/>
    </xf>
    <xf numFmtId="0" fontId="19" fillId="9" borderId="0" xfId="1" applyFill="1" applyProtection="1"/>
    <xf numFmtId="0" fontId="23" fillId="0" borderId="0" xfId="1" applyFont="1" applyFill="1" applyProtection="1"/>
    <xf numFmtId="0" fontId="19" fillId="9" borderId="1" xfId="1" applyFont="1" applyFill="1" applyBorder="1" applyProtection="1"/>
    <xf numFmtId="0" fontId="19" fillId="9" borderId="35" xfId="1" applyFill="1" applyBorder="1" applyProtection="1"/>
    <xf numFmtId="0" fontId="19" fillId="9" borderId="36" xfId="1" applyFill="1" applyBorder="1" applyProtection="1"/>
    <xf numFmtId="0" fontId="19" fillId="9" borderId="59" xfId="1" applyFill="1" applyBorder="1" applyProtection="1"/>
    <xf numFmtId="0" fontId="19" fillId="9" borderId="54" xfId="1" applyFill="1" applyBorder="1" applyProtection="1"/>
    <xf numFmtId="0" fontId="34" fillId="0" borderId="39" xfId="0" applyFont="1" applyBorder="1" applyProtection="1"/>
    <xf numFmtId="0" fontId="19" fillId="9" borderId="37" xfId="1" applyFill="1" applyBorder="1" applyProtection="1"/>
    <xf numFmtId="0" fontId="19" fillId="9" borderId="0" xfId="1" applyFill="1" applyBorder="1" applyProtection="1"/>
    <xf numFmtId="0" fontId="34" fillId="0" borderId="41" xfId="0" applyFont="1" applyBorder="1" applyProtection="1"/>
    <xf numFmtId="0" fontId="39" fillId="9" borderId="0" xfId="1" applyFont="1" applyFill="1" applyAlignment="1" applyProtection="1">
      <alignment horizontal="center"/>
    </xf>
    <xf numFmtId="0" fontId="19" fillId="9" borderId="57" xfId="1" applyFill="1" applyBorder="1" applyProtection="1"/>
    <xf numFmtId="0" fontId="19" fillId="9" borderId="43" xfId="1" applyFill="1" applyBorder="1" applyProtection="1"/>
    <xf numFmtId="0" fontId="28" fillId="9" borderId="38" xfId="1" applyFont="1" applyFill="1" applyBorder="1" applyProtection="1"/>
    <xf numFmtId="0" fontId="28" fillId="9" borderId="33" xfId="1" applyFont="1" applyFill="1" applyBorder="1" applyProtection="1"/>
    <xf numFmtId="2" fontId="28" fillId="12" borderId="40" xfId="1" applyNumberFormat="1" applyFont="1" applyFill="1" applyBorder="1" applyAlignment="1" applyProtection="1">
      <alignment horizontal="center"/>
    </xf>
    <xf numFmtId="0" fontId="19" fillId="11" borderId="1" xfId="1" applyFill="1" applyBorder="1" applyProtection="1"/>
    <xf numFmtId="0" fontId="19" fillId="0" borderId="52" xfId="1" applyBorder="1" applyProtection="1"/>
    <xf numFmtId="0" fontId="23" fillId="9" borderId="0" xfId="1" applyFont="1" applyFill="1" applyAlignment="1" applyProtection="1">
      <alignment horizontal="left"/>
    </xf>
    <xf numFmtId="0" fontId="34" fillId="0" borderId="44" xfId="0" applyFont="1" applyBorder="1" applyProtection="1"/>
    <xf numFmtId="0" fontId="19" fillId="13" borderId="1" xfId="1" applyFill="1" applyBorder="1" applyProtection="1"/>
    <xf numFmtId="0" fontId="34" fillId="0" borderId="26" xfId="0" applyFont="1" applyBorder="1" applyProtection="1"/>
    <xf numFmtId="0" fontId="34" fillId="0" borderId="27" xfId="0" applyFont="1" applyBorder="1" applyAlignment="1" applyProtection="1">
      <alignment horizontal="center"/>
    </xf>
    <xf numFmtId="2" fontId="19" fillId="17" borderId="1" xfId="1" applyNumberFormat="1" applyFill="1" applyBorder="1" applyProtection="1"/>
    <xf numFmtId="0" fontId="34" fillId="0" borderId="77" xfId="0" applyFont="1" applyBorder="1" applyProtection="1"/>
    <xf numFmtId="0" fontId="34" fillId="0" borderId="37" xfId="0" applyFont="1" applyBorder="1" applyProtection="1"/>
    <xf numFmtId="0" fontId="19" fillId="0" borderId="43" xfId="1" applyBorder="1" applyProtection="1"/>
    <xf numFmtId="0" fontId="34" fillId="0" borderId="43" xfId="0" applyFont="1" applyBorder="1" applyProtection="1"/>
    <xf numFmtId="0" fontId="34" fillId="0" borderId="62" xfId="0" applyFont="1" applyBorder="1" applyProtection="1"/>
    <xf numFmtId="0" fontId="34" fillId="0" borderId="63" xfId="0" applyFont="1" applyBorder="1" applyProtection="1"/>
    <xf numFmtId="0" fontId="19" fillId="9" borderId="38" xfId="1" applyFill="1" applyBorder="1" applyProtection="1"/>
    <xf numFmtId="0" fontId="19" fillId="9" borderId="33" xfId="1" applyFill="1" applyBorder="1" applyProtection="1"/>
    <xf numFmtId="0" fontId="19" fillId="9" borderId="0" xfId="1" applyFill="1" applyAlignment="1" applyProtection="1">
      <alignment horizontal="center"/>
    </xf>
    <xf numFmtId="0" fontId="34" fillId="0" borderId="24" xfId="0" applyFont="1" applyBorder="1" applyAlignment="1" applyProtection="1">
      <alignment horizontal="center"/>
    </xf>
    <xf numFmtId="0" fontId="26" fillId="19" borderId="16" xfId="1" applyFont="1" applyFill="1" applyBorder="1" applyProtection="1"/>
    <xf numFmtId="0" fontId="19" fillId="14" borderId="16" xfId="1" applyFill="1" applyBorder="1" applyAlignment="1" applyProtection="1">
      <alignment horizontal="center"/>
    </xf>
    <xf numFmtId="0" fontId="19" fillId="0" borderId="75" xfId="1" applyFont="1" applyBorder="1" applyProtection="1"/>
    <xf numFmtId="0" fontId="39" fillId="0" borderId="24" xfId="0" applyFont="1" applyBorder="1" applyProtection="1"/>
    <xf numFmtId="0" fontId="35" fillId="0" borderId="16" xfId="0" applyFont="1" applyBorder="1" applyAlignment="1" applyProtection="1">
      <alignment horizontal="left"/>
    </xf>
    <xf numFmtId="0" fontId="36" fillId="0" borderId="1" xfId="0" applyFont="1" applyBorder="1" applyAlignment="1" applyProtection="1">
      <alignment horizontal="right"/>
    </xf>
    <xf numFmtId="0" fontId="36" fillId="0" borderId="17" xfId="0" applyFont="1" applyBorder="1" applyAlignment="1" applyProtection="1">
      <alignment horizontal="right"/>
    </xf>
    <xf numFmtId="0" fontId="36" fillId="0" borderId="0" xfId="0" applyFont="1" applyBorder="1" applyAlignment="1" applyProtection="1">
      <alignment horizontal="right"/>
    </xf>
    <xf numFmtId="0" fontId="34" fillId="0" borderId="24" xfId="0" applyFont="1" applyFill="1" applyBorder="1" applyProtection="1"/>
    <xf numFmtId="0" fontId="39" fillId="0" borderId="16" xfId="0" applyFont="1" applyBorder="1" applyProtection="1"/>
    <xf numFmtId="0" fontId="28" fillId="0" borderId="17" xfId="1" applyFont="1" applyBorder="1" applyAlignment="1" applyProtection="1">
      <alignment horizontal="right"/>
    </xf>
    <xf numFmtId="0" fontId="0" fillId="0" borderId="1" xfId="0" applyFill="1" applyBorder="1" applyAlignment="1">
      <alignment vertical="top"/>
    </xf>
    <xf numFmtId="0" fontId="19" fillId="0" borderId="1" xfId="1" applyFill="1" applyBorder="1" applyAlignment="1">
      <alignment vertical="top"/>
    </xf>
    <xf numFmtId="0" fontId="75" fillId="22" borderId="1" xfId="0" applyFont="1" applyFill="1" applyBorder="1" applyAlignment="1">
      <alignment vertical="top" wrapText="1"/>
    </xf>
    <xf numFmtId="0" fontId="75" fillId="22" borderId="1" xfId="0" applyFont="1" applyFill="1" applyBorder="1" applyAlignment="1">
      <alignment vertical="top"/>
    </xf>
    <xf numFmtId="0" fontId="39" fillId="9" borderId="0" xfId="1" applyFont="1" applyFill="1" applyProtection="1"/>
    <xf numFmtId="0" fontId="39" fillId="0" borderId="39" xfId="0" quotePrefix="1" applyFont="1" applyBorder="1" applyAlignment="1" applyProtection="1">
      <alignment horizontal="center"/>
    </xf>
    <xf numFmtId="0" fontId="35" fillId="0" borderId="1" xfId="0" applyFont="1" applyBorder="1" applyAlignment="1" applyProtection="1">
      <alignment horizontal="left"/>
    </xf>
    <xf numFmtId="0" fontId="34" fillId="0" borderId="77" xfId="0" applyFont="1" applyBorder="1" applyProtection="1">
      <protection locked="0"/>
    </xf>
    <xf numFmtId="0" fontId="34" fillId="0" borderId="79" xfId="0" applyFont="1" applyBorder="1" applyProtection="1">
      <protection locked="0"/>
    </xf>
    <xf numFmtId="0" fontId="34" fillId="0" borderId="82" xfId="0" applyFont="1" applyBorder="1" applyProtection="1">
      <protection locked="0"/>
    </xf>
    <xf numFmtId="0" fontId="22" fillId="9" borderId="0" xfId="1" applyFont="1" applyFill="1" applyBorder="1"/>
    <xf numFmtId="167" fontId="19" fillId="12" borderId="1" xfId="1" applyNumberFormat="1" applyFill="1" applyBorder="1" applyProtection="1">
      <protection locked="0"/>
    </xf>
    <xf numFmtId="0" fontId="76" fillId="9" borderId="0" xfId="1" applyFont="1" applyFill="1" applyBorder="1" applyProtection="1"/>
    <xf numFmtId="0" fontId="34" fillId="0" borderId="83" xfId="0" applyFont="1" applyBorder="1" applyProtection="1">
      <protection locked="0"/>
    </xf>
    <xf numFmtId="2" fontId="19" fillId="17" borderId="40" xfId="1" applyNumberFormat="1" applyFill="1" applyBorder="1" applyAlignment="1" applyProtection="1">
      <alignment horizontal="center"/>
      <protection locked="0"/>
    </xf>
    <xf numFmtId="0" fontId="34" fillId="0" borderId="39" xfId="0" applyFont="1" applyBorder="1" applyProtection="1">
      <protection locked="0"/>
    </xf>
    <xf numFmtId="0" fontId="34" fillId="0" borderId="41" xfId="0" applyFont="1" applyBorder="1" applyProtection="1">
      <protection locked="0"/>
    </xf>
    <xf numFmtId="0" fontId="34" fillId="0" borderId="76" xfId="0" applyFont="1" applyBorder="1" applyProtection="1">
      <protection locked="0"/>
    </xf>
    <xf numFmtId="0" fontId="34" fillId="0" borderId="27" xfId="0" applyFont="1" applyBorder="1" applyAlignment="1" applyProtection="1">
      <alignment horizontal="right"/>
      <protection locked="0"/>
    </xf>
    <xf numFmtId="0" fontId="19" fillId="17" borderId="13" xfId="1" applyNumberFormat="1" applyFill="1" applyBorder="1" applyProtection="1">
      <protection locked="0"/>
    </xf>
    <xf numFmtId="0" fontId="28" fillId="0" borderId="17" xfId="1" applyFont="1" applyFill="1" applyBorder="1" applyAlignment="1">
      <alignment horizontal="right"/>
    </xf>
    <xf numFmtId="0" fontId="19" fillId="17" borderId="1" xfId="1" applyNumberFormat="1" applyFill="1" applyBorder="1" applyProtection="1">
      <protection locked="0"/>
    </xf>
    <xf numFmtId="0" fontId="34" fillId="0" borderId="32" xfId="0" applyFont="1" applyBorder="1" applyProtection="1">
      <protection locked="0"/>
    </xf>
    <xf numFmtId="166" fontId="19" fillId="12" borderId="84" xfId="1" applyNumberFormat="1" applyFill="1" applyBorder="1" applyProtection="1">
      <protection locked="0"/>
    </xf>
    <xf numFmtId="0" fontId="34" fillId="0" borderId="16" xfId="0" applyFont="1" applyBorder="1" applyAlignment="1" applyProtection="1">
      <alignment horizontal="left"/>
      <protection locked="0"/>
    </xf>
    <xf numFmtId="166" fontId="19" fillId="12" borderId="85" xfId="1" applyNumberFormat="1" applyFill="1" applyBorder="1" applyProtection="1">
      <protection locked="0"/>
    </xf>
    <xf numFmtId="0" fontId="34" fillId="0" borderId="19" xfId="0" applyFont="1" applyBorder="1" applyProtection="1">
      <protection locked="0"/>
    </xf>
    <xf numFmtId="0" fontId="34" fillId="0" borderId="75" xfId="0" applyFont="1" applyBorder="1" applyProtection="1">
      <protection locked="0"/>
    </xf>
    <xf numFmtId="0" fontId="34" fillId="0" borderId="16" xfId="0" applyFont="1" applyBorder="1" applyProtection="1">
      <protection locked="0"/>
    </xf>
    <xf numFmtId="0" fontId="19" fillId="9" borderId="87" xfId="1" applyFill="1" applyBorder="1"/>
    <xf numFmtId="0" fontId="19" fillId="9" borderId="58" xfId="1" applyFill="1" applyBorder="1"/>
    <xf numFmtId="0" fontId="34" fillId="0" borderId="44" xfId="0" applyFont="1" applyBorder="1" applyProtection="1">
      <protection locked="0"/>
    </xf>
    <xf numFmtId="0" fontId="19" fillId="17" borderId="40" xfId="1" applyNumberFormat="1" applyFill="1" applyBorder="1" applyAlignment="1" applyProtection="1">
      <alignment horizontal="center"/>
      <protection locked="0"/>
    </xf>
    <xf numFmtId="0" fontId="34" fillId="0" borderId="81" xfId="0" applyFont="1" applyBorder="1" applyProtection="1">
      <protection locked="0"/>
    </xf>
    <xf numFmtId="0" fontId="34" fillId="0" borderId="86" xfId="0" applyFont="1" applyBorder="1" applyProtection="1">
      <protection locked="0"/>
    </xf>
    <xf numFmtId="0" fontId="34" fillId="0" borderId="88" xfId="0" applyFont="1" applyBorder="1" applyProtection="1">
      <protection locked="0"/>
    </xf>
    <xf numFmtId="0" fontId="34" fillId="0" borderId="34" xfId="0" applyFont="1" applyBorder="1" applyProtection="1">
      <protection locked="0"/>
    </xf>
    <xf numFmtId="165" fontId="19" fillId="17" borderId="42" xfId="1" applyNumberFormat="1" applyFill="1" applyBorder="1" applyAlignment="1" applyProtection="1">
      <alignment horizontal="center"/>
      <protection locked="0"/>
    </xf>
    <xf numFmtId="0" fontId="34" fillId="0" borderId="61" xfId="0" applyFont="1" applyBorder="1" applyProtection="1"/>
    <xf numFmtId="0" fontId="0" fillId="0" borderId="27" xfId="0" applyFill="1" applyBorder="1"/>
    <xf numFmtId="0" fontId="0" fillId="0" borderId="28" xfId="0" applyFill="1" applyBorder="1"/>
    <xf numFmtId="0" fontId="0" fillId="0" borderId="26" xfId="0" applyFill="1" applyBorder="1"/>
    <xf numFmtId="2" fontId="19" fillId="17" borderId="12" xfId="1" applyNumberFormat="1" applyFill="1" applyBorder="1" applyAlignment="1" applyProtection="1">
      <alignment horizontal="center"/>
      <protection locked="0"/>
    </xf>
    <xf numFmtId="0" fontId="22" fillId="9" borderId="38" xfId="1" applyFont="1" applyFill="1" applyBorder="1"/>
    <xf numFmtId="0" fontId="26" fillId="0" borderId="16" xfId="1" applyFont="1" applyBorder="1" applyAlignment="1">
      <alignment horizontal="left"/>
    </xf>
    <xf numFmtId="11" fontId="19" fillId="12" borderId="17" xfId="1" applyNumberFormat="1" applyFill="1" applyBorder="1"/>
    <xf numFmtId="2" fontId="19" fillId="12" borderId="13" xfId="1" applyNumberFormat="1" applyFill="1" applyBorder="1" applyProtection="1">
      <protection locked="0"/>
    </xf>
    <xf numFmtId="0" fontId="19" fillId="20" borderId="35" xfId="1" applyFont="1" applyFill="1" applyBorder="1" applyProtection="1"/>
    <xf numFmtId="0" fontId="34" fillId="20" borderId="54" xfId="0" applyFont="1" applyFill="1" applyBorder="1" applyProtection="1"/>
    <xf numFmtId="0" fontId="19" fillId="20" borderId="36" xfId="1" applyFill="1" applyBorder="1" applyProtection="1"/>
    <xf numFmtId="0" fontId="19" fillId="20" borderId="37" xfId="1" applyFill="1" applyBorder="1" applyProtection="1"/>
    <xf numFmtId="0" fontId="19" fillId="20" borderId="0" xfId="1" applyFill="1" applyBorder="1" applyProtection="1"/>
    <xf numFmtId="0" fontId="34" fillId="20" borderId="37" xfId="0" applyFont="1" applyFill="1" applyBorder="1" applyProtection="1"/>
    <xf numFmtId="0" fontId="34" fillId="20" borderId="0" xfId="0" applyFont="1" applyFill="1" applyBorder="1" applyProtection="1"/>
    <xf numFmtId="0" fontId="19" fillId="20" borderId="38" xfId="1" applyFill="1" applyBorder="1" applyProtection="1"/>
    <xf numFmtId="0" fontId="19" fillId="20" borderId="33" xfId="1" applyFill="1" applyBorder="1" applyProtection="1"/>
    <xf numFmtId="0" fontId="54" fillId="20" borderId="0" xfId="0" applyFont="1" applyFill="1" applyBorder="1" applyProtection="1"/>
    <xf numFmtId="0" fontId="36" fillId="20" borderId="0" xfId="0" applyFont="1" applyFill="1" applyBorder="1" applyProtection="1"/>
    <xf numFmtId="0" fontId="28" fillId="0" borderId="35" xfId="1" applyFont="1" applyFill="1" applyBorder="1" applyProtection="1"/>
    <xf numFmtId="0" fontId="28" fillId="0" borderId="36" xfId="1" applyFont="1" applyFill="1" applyBorder="1" applyProtection="1"/>
    <xf numFmtId="0" fontId="34" fillId="20" borderId="36" xfId="0" applyFont="1" applyFill="1" applyBorder="1" applyProtection="1"/>
    <xf numFmtId="2" fontId="28" fillId="12" borderId="89" xfId="1" applyNumberFormat="1" applyFont="1" applyFill="1" applyBorder="1" applyAlignment="1" applyProtection="1">
      <alignment horizontal="center"/>
    </xf>
    <xf numFmtId="0" fontId="34" fillId="20" borderId="35" xfId="0" applyFont="1" applyFill="1" applyBorder="1" applyProtection="1"/>
    <xf numFmtId="0" fontId="34" fillId="20" borderId="46" xfId="0" applyFont="1" applyFill="1" applyBorder="1" applyProtection="1"/>
    <xf numFmtId="0" fontId="34" fillId="20" borderId="46" xfId="0" applyFont="1" applyFill="1" applyBorder="1" applyAlignment="1" applyProtection="1">
      <alignment horizontal="center"/>
    </xf>
    <xf numFmtId="0" fontId="19" fillId="20" borderId="46" xfId="1" applyFill="1" applyBorder="1" applyProtection="1"/>
    <xf numFmtId="0" fontId="19" fillId="20" borderId="90" xfId="1" applyFill="1" applyBorder="1" applyProtection="1"/>
    <xf numFmtId="0" fontId="34" fillId="20" borderId="7" xfId="0" applyFont="1" applyFill="1" applyBorder="1" applyProtection="1"/>
    <xf numFmtId="0" fontId="72" fillId="0" borderId="1" xfId="0" applyFont="1" applyFill="1" applyBorder="1" applyAlignment="1">
      <alignment vertical="top" wrapText="1"/>
    </xf>
    <xf numFmtId="0" fontId="34" fillId="0" borderId="25" xfId="0" applyFont="1" applyBorder="1" applyProtection="1"/>
    <xf numFmtId="0" fontId="19" fillId="0" borderId="92" xfId="1" applyBorder="1" applyProtection="1"/>
    <xf numFmtId="166" fontId="19" fillId="4" borderId="1" xfId="1" applyNumberFormat="1" applyFill="1" applyBorder="1" applyAlignment="1" applyProtection="1">
      <alignment horizontal="center"/>
    </xf>
    <xf numFmtId="11" fontId="19" fillId="4" borderId="1" xfId="1" applyNumberFormat="1" applyFill="1" applyBorder="1" applyAlignment="1" applyProtection="1">
      <alignment horizontal="center"/>
      <protection locked="0"/>
    </xf>
    <xf numFmtId="0" fontId="34" fillId="4" borderId="5" xfId="0" applyFont="1" applyFill="1" applyBorder="1" applyAlignment="1" applyProtection="1">
      <alignment horizontal="center"/>
      <protection locked="0"/>
    </xf>
    <xf numFmtId="0" fontId="34" fillId="4" borderId="7" xfId="0" applyFont="1" applyFill="1" applyBorder="1" applyAlignment="1" applyProtection="1">
      <alignment horizontal="center"/>
      <protection locked="0"/>
    </xf>
    <xf numFmtId="166" fontId="19" fillId="4" borderId="5" xfId="1" applyNumberFormat="1" applyFill="1" applyBorder="1" applyAlignment="1" applyProtection="1">
      <alignment horizontal="center"/>
      <protection locked="0"/>
    </xf>
    <xf numFmtId="0" fontId="19" fillId="23" borderId="7" xfId="1" applyFill="1" applyBorder="1" applyAlignment="1" applyProtection="1">
      <alignment horizontal="center"/>
      <protection locked="0"/>
    </xf>
    <xf numFmtId="166" fontId="19" fillId="4" borderId="7" xfId="1" applyNumberFormat="1" applyFill="1" applyBorder="1" applyAlignment="1" applyProtection="1">
      <alignment horizontal="center"/>
      <protection locked="0"/>
    </xf>
    <xf numFmtId="9" fontId="19" fillId="4" borderId="7" xfId="1" applyNumberFormat="1" applyFill="1" applyBorder="1" applyAlignment="1" applyProtection="1">
      <alignment horizontal="center"/>
      <protection locked="0"/>
    </xf>
    <xf numFmtId="0" fontId="19" fillId="4" borderId="7" xfId="1" applyFill="1" applyBorder="1" applyAlignment="1" applyProtection="1">
      <alignment horizontal="center"/>
      <protection locked="0"/>
    </xf>
    <xf numFmtId="2" fontId="19" fillId="23" borderId="7" xfId="1" applyNumberFormat="1" applyFill="1" applyBorder="1" applyAlignment="1" applyProtection="1">
      <alignment horizontal="center"/>
      <protection locked="0"/>
    </xf>
    <xf numFmtId="166" fontId="19" fillId="4" borderId="56" xfId="1" applyNumberFormat="1" applyFill="1" applyBorder="1" applyAlignment="1" applyProtection="1">
      <alignment horizontal="center"/>
      <protection locked="0"/>
    </xf>
    <xf numFmtId="0" fontId="19" fillId="4" borderId="80" xfId="1" applyFill="1" applyBorder="1" applyAlignment="1" applyProtection="1">
      <alignment horizontal="center"/>
      <protection locked="0"/>
    </xf>
    <xf numFmtId="171" fontId="19" fillId="4" borderId="12" xfId="1" applyNumberFormat="1" applyFill="1" applyBorder="1" applyAlignment="1" applyProtection="1">
      <alignment horizontal="center"/>
      <protection locked="0"/>
    </xf>
    <xf numFmtId="9" fontId="19" fillId="4" borderId="12" xfId="4" applyFont="1" applyFill="1" applyBorder="1" applyAlignment="1" applyProtection="1">
      <alignment horizontal="center"/>
      <protection locked="0"/>
    </xf>
    <xf numFmtId="166" fontId="19" fillId="4" borderId="1" xfId="1" applyNumberFormat="1" applyFill="1" applyBorder="1" applyProtection="1">
      <protection locked="0"/>
    </xf>
    <xf numFmtId="166" fontId="19" fillId="4" borderId="2" xfId="1" applyNumberFormat="1" applyFill="1" applyBorder="1" applyProtection="1">
      <protection locked="0"/>
    </xf>
    <xf numFmtId="0" fontId="0" fillId="24" borderId="1" xfId="0" applyFill="1" applyBorder="1"/>
    <xf numFmtId="0" fontId="0" fillId="25" borderId="86" xfId="0" applyFill="1" applyBorder="1" applyAlignment="1"/>
    <xf numFmtId="0" fontId="0" fillId="25" borderId="94" xfId="0" applyFill="1" applyBorder="1" applyAlignment="1"/>
    <xf numFmtId="0" fontId="14" fillId="25" borderId="93" xfId="0" applyFont="1" applyFill="1" applyBorder="1" applyAlignment="1"/>
    <xf numFmtId="0" fontId="34" fillId="20" borderId="38" xfId="0" applyFont="1" applyFill="1" applyBorder="1" applyProtection="1"/>
    <xf numFmtId="0" fontId="34" fillId="20" borderId="33" xfId="0" applyFont="1" applyFill="1" applyBorder="1" applyProtection="1"/>
    <xf numFmtId="0" fontId="80" fillId="0" borderId="24" xfId="0" applyFont="1" applyBorder="1" applyProtection="1"/>
    <xf numFmtId="0" fontId="80" fillId="0" borderId="26" xfId="0" applyFont="1" applyBorder="1" applyProtection="1"/>
    <xf numFmtId="0" fontId="19" fillId="26" borderId="93" xfId="1" applyFill="1" applyBorder="1" applyProtection="1"/>
    <xf numFmtId="0" fontId="19" fillId="26" borderId="86" xfId="1" applyFill="1" applyBorder="1" applyProtection="1"/>
    <xf numFmtId="0" fontId="25" fillId="9" borderId="0" xfId="1" applyFont="1" applyFill="1" applyAlignment="1" applyProtection="1">
      <alignment horizontal="left"/>
    </xf>
    <xf numFmtId="0" fontId="34" fillId="7" borderId="1" xfId="0" applyFont="1" applyFill="1" applyBorder="1" applyProtection="1"/>
    <xf numFmtId="0" fontId="52" fillId="0" borderId="30" xfId="3" applyBorder="1" applyProtection="1"/>
    <xf numFmtId="166" fontId="52" fillId="12" borderId="30" xfId="3" applyNumberFormat="1" applyFill="1" applyBorder="1" applyProtection="1"/>
    <xf numFmtId="0" fontId="19" fillId="0" borderId="1" xfId="1" applyFont="1" applyBorder="1" applyProtection="1"/>
    <xf numFmtId="0" fontId="19" fillId="17" borderId="1" xfId="1" applyFill="1" applyBorder="1" applyAlignment="1" applyProtection="1">
      <alignment horizontal="center"/>
      <protection locked="0"/>
    </xf>
    <xf numFmtId="11" fontId="19" fillId="17" borderId="1" xfId="1" applyNumberFormat="1" applyFill="1" applyBorder="1" applyAlignment="1" applyProtection="1">
      <alignment horizontal="center"/>
      <protection locked="0"/>
    </xf>
    <xf numFmtId="2" fontId="19" fillId="17" borderId="1" xfId="1" applyNumberFormat="1" applyFill="1" applyBorder="1" applyAlignment="1" applyProtection="1">
      <alignment horizontal="center"/>
      <protection locked="0"/>
    </xf>
    <xf numFmtId="9" fontId="19" fillId="17" borderId="1" xfId="1" applyNumberFormat="1" applyFill="1" applyBorder="1" applyAlignment="1" applyProtection="1">
      <alignment horizontal="center"/>
      <protection locked="0"/>
    </xf>
    <xf numFmtId="0" fontId="19" fillId="9" borderId="95" xfId="1" applyFill="1" applyBorder="1" applyAlignment="1">
      <alignment horizontal="center"/>
    </xf>
    <xf numFmtId="0" fontId="19" fillId="17" borderId="5" xfId="1" applyFill="1" applyBorder="1" applyAlignment="1">
      <alignment horizontal="center"/>
    </xf>
    <xf numFmtId="0" fontId="19" fillId="17" borderId="7" xfId="1" applyFill="1" applyBorder="1" applyAlignment="1">
      <alignment horizontal="center"/>
    </xf>
    <xf numFmtId="0" fontId="19" fillId="9" borderId="46" xfId="1" applyFill="1" applyBorder="1"/>
    <xf numFmtId="0" fontId="19" fillId="17" borderId="48" xfId="1" applyFill="1" applyBorder="1" applyAlignment="1" applyProtection="1">
      <alignment horizontal="center"/>
      <protection locked="0"/>
    </xf>
    <xf numFmtId="0" fontId="19" fillId="9" borderId="90" xfId="1" applyFill="1" applyBorder="1"/>
    <xf numFmtId="165" fontId="19" fillId="17" borderId="56" xfId="1" applyNumberFormat="1" applyFill="1" applyBorder="1" applyAlignment="1" applyProtection="1">
      <alignment horizontal="center"/>
      <protection locked="0"/>
    </xf>
    <xf numFmtId="0" fontId="19" fillId="9" borderId="35" xfId="1" applyFont="1" applyFill="1" applyBorder="1"/>
    <xf numFmtId="0" fontId="19" fillId="0" borderId="37" xfId="1" applyFill="1" applyBorder="1"/>
    <xf numFmtId="0" fontId="19" fillId="0" borderId="65" xfId="1" applyBorder="1"/>
    <xf numFmtId="0" fontId="19" fillId="0" borderId="92" xfId="1" applyBorder="1"/>
    <xf numFmtId="0" fontId="19" fillId="0" borderId="96" xfId="1" applyBorder="1"/>
    <xf numFmtId="0" fontId="19" fillId="9" borderId="96" xfId="1" applyFill="1" applyBorder="1"/>
    <xf numFmtId="1" fontId="19" fillId="23" borderId="56" xfId="1" applyNumberFormat="1" applyFill="1" applyBorder="1" applyAlignment="1" applyProtection="1">
      <alignment horizontal="center"/>
      <protection locked="0"/>
    </xf>
    <xf numFmtId="0" fontId="34" fillId="0" borderId="79" xfId="0" applyFont="1" applyBorder="1" applyProtection="1"/>
    <xf numFmtId="166" fontId="19" fillId="4" borderId="80" xfId="1" applyNumberFormat="1" applyFill="1" applyBorder="1" applyAlignment="1" applyProtection="1">
      <alignment horizontal="center"/>
      <protection locked="0"/>
    </xf>
    <xf numFmtId="1" fontId="19" fillId="9" borderId="51" xfId="1" applyNumberFormat="1" applyFill="1" applyBorder="1"/>
    <xf numFmtId="1" fontId="19" fillId="9" borderId="43" xfId="1" applyNumberFormat="1" applyFill="1" applyBorder="1"/>
    <xf numFmtId="1" fontId="19" fillId="9" borderId="0" xfId="1" applyNumberFormat="1" applyFill="1"/>
    <xf numFmtId="0" fontId="19" fillId="26" borderId="94" xfId="1" applyFill="1" applyBorder="1" applyProtection="1"/>
    <xf numFmtId="1" fontId="19" fillId="12" borderId="80" xfId="1" applyNumberFormat="1" applyFill="1" applyBorder="1" applyAlignment="1" applyProtection="1">
      <alignment horizontal="center"/>
      <protection locked="0"/>
    </xf>
    <xf numFmtId="0" fontId="26" fillId="9" borderId="74" xfId="1" applyFont="1" applyFill="1" applyBorder="1"/>
    <xf numFmtId="0" fontId="19" fillId="9" borderId="74" xfId="1" applyFill="1" applyBorder="1" applyProtection="1">
      <protection locked="0"/>
    </xf>
    <xf numFmtId="0" fontId="19" fillId="9" borderId="74" xfId="1" applyFill="1" applyBorder="1"/>
    <xf numFmtId="166" fontId="19" fillId="12" borderId="1" xfId="1" applyNumberFormat="1" applyFill="1" applyBorder="1" applyAlignment="1">
      <alignment horizontal="center"/>
    </xf>
    <xf numFmtId="0" fontId="28" fillId="0" borderId="17" xfId="1" applyFont="1" applyBorder="1" applyAlignment="1">
      <alignment horizontal="right"/>
    </xf>
    <xf numFmtId="0" fontId="19" fillId="2" borderId="17" xfId="1" applyFill="1" applyBorder="1" applyAlignment="1">
      <alignment horizontal="center"/>
    </xf>
    <xf numFmtId="0" fontId="83" fillId="22" borderId="1" xfId="0" applyFont="1" applyFill="1" applyBorder="1" applyAlignment="1">
      <alignment vertical="top" wrapText="1"/>
    </xf>
    <xf numFmtId="0" fontId="0" fillId="0" borderId="24" xfId="0" applyFill="1" applyBorder="1" applyAlignment="1">
      <alignment vertical="top" wrapText="1"/>
    </xf>
    <xf numFmtId="0" fontId="0" fillId="0" borderId="24" xfId="0" applyFill="1" applyBorder="1" applyAlignment="1">
      <alignment vertical="top"/>
    </xf>
    <xf numFmtId="0" fontId="0" fillId="0" borderId="39" xfId="0" applyFill="1" applyBorder="1"/>
    <xf numFmtId="0" fontId="86" fillId="0" borderId="17" xfId="1" applyFont="1" applyBorder="1"/>
    <xf numFmtId="0" fontId="86" fillId="0" borderId="19" xfId="1" applyFont="1" applyBorder="1"/>
    <xf numFmtId="0" fontId="35" fillId="0" borderId="34" xfId="0" applyFont="1" applyBorder="1" applyProtection="1"/>
    <xf numFmtId="1" fontId="19" fillId="4" borderId="56" xfId="1" applyNumberFormat="1" applyFill="1" applyBorder="1" applyAlignment="1" applyProtection="1">
      <alignment horizontal="center"/>
      <protection locked="0"/>
    </xf>
    <xf numFmtId="1" fontId="19" fillId="9" borderId="65" xfId="1" applyNumberFormat="1" applyFill="1" applyBorder="1" applyProtection="1">
      <protection locked="0"/>
    </xf>
    <xf numFmtId="0" fontId="28" fillId="9" borderId="19" xfId="1" applyFont="1" applyFill="1" applyBorder="1" applyAlignment="1">
      <alignment horizontal="right"/>
    </xf>
    <xf numFmtId="1" fontId="19" fillId="12" borderId="19" xfId="1" applyNumberFormat="1" applyFill="1" applyBorder="1"/>
    <xf numFmtId="0" fontId="19" fillId="9" borderId="73" xfId="1" applyFill="1" applyBorder="1"/>
    <xf numFmtId="0" fontId="19" fillId="9" borderId="97" xfId="1" applyFill="1" applyBorder="1"/>
    <xf numFmtId="0" fontId="19" fillId="9" borderId="98" xfId="1" applyFill="1" applyBorder="1"/>
    <xf numFmtId="2" fontId="19" fillId="9" borderId="0" xfId="1" applyNumberFormat="1" applyFill="1"/>
    <xf numFmtId="172" fontId="19" fillId="12" borderId="17" xfId="1" applyNumberFormat="1" applyFill="1" applyBorder="1"/>
    <xf numFmtId="172" fontId="19" fillId="0" borderId="22" xfId="1" applyNumberFormat="1" applyBorder="1"/>
    <xf numFmtId="0" fontId="0" fillId="0" borderId="0" xfId="0" applyAlignment="1">
      <alignment horizontal="right"/>
    </xf>
    <xf numFmtId="11" fontId="19" fillId="12" borderId="7" xfId="1" applyNumberFormat="1" applyFill="1" applyBorder="1" applyAlignment="1" applyProtection="1">
      <alignment horizontal="center"/>
      <protection locked="0"/>
    </xf>
    <xf numFmtId="172" fontId="19" fillId="0" borderId="99" xfId="1" applyNumberFormat="1" applyBorder="1"/>
    <xf numFmtId="172" fontId="19" fillId="0" borderId="100" xfId="1" applyNumberFormat="1" applyBorder="1"/>
    <xf numFmtId="0" fontId="19" fillId="9" borderId="0" xfId="1" applyFill="1" applyBorder="1" applyProtection="1">
      <protection locked="0"/>
    </xf>
    <xf numFmtId="0" fontId="21" fillId="9" borderId="0" xfId="1" applyFont="1" applyFill="1"/>
    <xf numFmtId="2" fontId="0" fillId="20" borderId="0" xfId="0" applyNumberFormat="1" applyFill="1" applyAlignment="1"/>
    <xf numFmtId="0" fontId="0" fillId="0" borderId="0" xfId="0" applyAlignment="1">
      <alignment wrapText="1"/>
    </xf>
    <xf numFmtId="0" fontId="0" fillId="20" borderId="0" xfId="0" applyFill="1" applyAlignment="1">
      <alignment wrapText="1"/>
    </xf>
    <xf numFmtId="2" fontId="0" fillId="0" borderId="0" xfId="0" applyNumberFormat="1"/>
    <xf numFmtId="0" fontId="73" fillId="0" borderId="0" xfId="0" applyFont="1" applyBorder="1"/>
    <xf numFmtId="0" fontId="35" fillId="0" borderId="24" xfId="0" applyFont="1" applyBorder="1" applyAlignment="1" applyProtection="1">
      <alignment horizontal="center"/>
      <protection locked="0"/>
    </xf>
    <xf numFmtId="0" fontId="35" fillId="0" borderId="29" xfId="0" applyFont="1" applyBorder="1" applyAlignment="1" applyProtection="1">
      <alignment horizontal="center"/>
      <protection locked="0"/>
    </xf>
    <xf numFmtId="0" fontId="34" fillId="0" borderId="24" xfId="0" applyFont="1" applyBorder="1" applyAlignment="1" applyProtection="1">
      <alignment horizontal="right"/>
      <protection locked="0"/>
    </xf>
    <xf numFmtId="11" fontId="34" fillId="0" borderId="60" xfId="0" applyNumberFormat="1" applyFont="1" applyBorder="1" applyProtection="1">
      <protection locked="0"/>
    </xf>
    <xf numFmtId="0" fontId="34" fillId="0" borderId="55" xfId="0" applyFont="1" applyBorder="1" applyProtection="1">
      <protection locked="0"/>
    </xf>
    <xf numFmtId="0" fontId="34" fillId="0" borderId="29" xfId="0" applyFont="1" applyBorder="1" applyAlignment="1" applyProtection="1">
      <alignment horizontal="right"/>
      <protection locked="0"/>
    </xf>
    <xf numFmtId="1" fontId="19" fillId="17" borderId="42" xfId="1" applyNumberFormat="1" applyFill="1" applyBorder="1" applyAlignment="1" applyProtection="1">
      <alignment horizontal="center"/>
      <protection locked="0"/>
    </xf>
    <xf numFmtId="1" fontId="19" fillId="17" borderId="89" xfId="1" applyNumberFormat="1" applyFill="1" applyBorder="1" applyAlignment="1" applyProtection="1">
      <alignment horizontal="center"/>
      <protection locked="0"/>
    </xf>
    <xf numFmtId="9" fontId="34" fillId="2" borderId="7" xfId="4" quotePrefix="1" applyFont="1" applyFill="1" applyBorder="1" applyAlignment="1" applyProtection="1">
      <alignment horizontal="center"/>
    </xf>
    <xf numFmtId="0" fontId="34" fillId="0" borderId="76" xfId="0" applyFont="1" applyBorder="1" applyProtection="1"/>
    <xf numFmtId="11" fontId="19" fillId="17" borderId="80" xfId="1" applyNumberFormat="1" applyFill="1" applyBorder="1" applyAlignment="1" applyProtection="1">
      <alignment horizontal="center"/>
      <protection locked="0"/>
    </xf>
    <xf numFmtId="9" fontId="19" fillId="12" borderId="7" xfId="1" applyNumberFormat="1" applyFill="1" applyBorder="1" applyAlignment="1" applyProtection="1">
      <alignment horizontal="center"/>
      <protection locked="0"/>
    </xf>
    <xf numFmtId="1" fontId="19" fillId="2" borderId="13" xfId="1" applyNumberFormat="1" applyFill="1" applyBorder="1" applyAlignment="1" applyProtection="1">
      <alignment horizontal="right"/>
      <protection locked="0"/>
    </xf>
    <xf numFmtId="0" fontId="35" fillId="0" borderId="29" xfId="0" quotePrefix="1" applyFont="1" applyBorder="1" applyProtection="1">
      <protection locked="0"/>
    </xf>
    <xf numFmtId="1" fontId="19" fillId="9" borderId="0" xfId="1" applyNumberFormat="1" applyFill="1" applyBorder="1" applyProtection="1">
      <protection locked="0"/>
    </xf>
    <xf numFmtId="0" fontId="26" fillId="9" borderId="0" xfId="1" quotePrefix="1" applyFont="1" applyFill="1" applyBorder="1" applyAlignment="1">
      <alignment horizontal="left"/>
    </xf>
    <xf numFmtId="0" fontId="26" fillId="9" borderId="0" xfId="1" quotePrefix="1" applyFont="1" applyFill="1" applyBorder="1"/>
    <xf numFmtId="0" fontId="73" fillId="0" borderId="0" xfId="0" applyFont="1" applyAlignment="1"/>
    <xf numFmtId="0" fontId="87" fillId="0" borderId="0" xfId="6"/>
    <xf numFmtId="11" fontId="19" fillId="9" borderId="0" xfId="1" applyNumberFormat="1" applyFill="1" applyBorder="1" applyProtection="1">
      <protection locked="0"/>
    </xf>
    <xf numFmtId="0" fontId="26" fillId="0" borderId="1" xfId="1" applyFont="1" applyBorder="1" applyAlignment="1">
      <alignment horizontal="left"/>
    </xf>
    <xf numFmtId="0" fontId="22" fillId="0" borderId="36" xfId="1" applyFont="1" applyBorder="1"/>
    <xf numFmtId="1" fontId="19" fillId="9" borderId="36" xfId="1" applyNumberFormat="1" applyFill="1" applyBorder="1"/>
    <xf numFmtId="11" fontId="19" fillId="12" borderId="5" xfId="1" applyNumberFormat="1" applyFill="1" applyBorder="1" applyAlignment="1" applyProtection="1">
      <alignment horizontal="center"/>
      <protection locked="0"/>
    </xf>
    <xf numFmtId="1" fontId="19" fillId="9" borderId="0" xfId="1" applyNumberFormat="1" applyFill="1" applyBorder="1"/>
    <xf numFmtId="0" fontId="22" fillId="0" borderId="0" xfId="1" applyFont="1" applyBorder="1"/>
    <xf numFmtId="0" fontId="34" fillId="0" borderId="102" xfId="0" applyFont="1" applyBorder="1" applyProtection="1">
      <protection locked="0"/>
    </xf>
    <xf numFmtId="1" fontId="19" fillId="4" borderId="12" xfId="4" applyNumberFormat="1" applyFont="1" applyFill="1" applyBorder="1" applyAlignment="1" applyProtection="1">
      <alignment horizontal="center"/>
      <protection locked="0"/>
    </xf>
    <xf numFmtId="0" fontId="34" fillId="0" borderId="44" xfId="0" applyFont="1" applyBorder="1" applyAlignment="1" applyProtection="1">
      <alignment horizontal="right"/>
      <protection locked="0"/>
    </xf>
    <xf numFmtId="166" fontId="34" fillId="0" borderId="24" xfId="0" applyNumberFormat="1" applyFont="1" applyBorder="1" applyProtection="1">
      <protection locked="0"/>
    </xf>
    <xf numFmtId="171" fontId="34" fillId="0" borderId="24" xfId="0" applyNumberFormat="1" applyFont="1" applyBorder="1" applyProtection="1">
      <protection locked="0"/>
    </xf>
    <xf numFmtId="1" fontId="19" fillId="12" borderId="1" xfId="1" applyNumberFormat="1" applyFill="1" applyBorder="1" applyProtection="1">
      <protection locked="0"/>
    </xf>
    <xf numFmtId="9" fontId="19" fillId="4" borderId="7" xfId="4" applyFont="1" applyFill="1" applyBorder="1" applyAlignment="1" applyProtection="1">
      <alignment horizontal="center"/>
      <protection locked="0"/>
    </xf>
    <xf numFmtId="0" fontId="36" fillId="0" borderId="24" xfId="0" applyFont="1" applyBorder="1" applyAlignment="1" applyProtection="1">
      <alignment horizontal="right"/>
    </xf>
    <xf numFmtId="0" fontId="28" fillId="9" borderId="0" xfId="1" applyFont="1" applyFill="1" applyBorder="1" applyAlignment="1" applyProtection="1">
      <alignment horizontal="right"/>
    </xf>
    <xf numFmtId="0" fontId="36" fillId="20" borderId="0" xfId="0" applyFont="1" applyFill="1" applyBorder="1" applyAlignment="1" applyProtection="1">
      <alignment horizontal="right"/>
    </xf>
    <xf numFmtId="0" fontId="28" fillId="0" borderId="0" xfId="1" applyFont="1" applyBorder="1" applyAlignment="1" applyProtection="1">
      <alignment horizontal="right"/>
    </xf>
    <xf numFmtId="0" fontId="28" fillId="9" borderId="33" xfId="1" applyFont="1" applyFill="1" applyBorder="1" applyAlignment="1" applyProtection="1">
      <alignment horizontal="right"/>
    </xf>
    <xf numFmtId="0" fontId="36" fillId="0" borderId="29" xfId="0" applyFont="1" applyBorder="1" applyAlignment="1" applyProtection="1">
      <alignment horizontal="right"/>
    </xf>
    <xf numFmtId="0" fontId="36" fillId="20" borderId="33" xfId="0" applyFont="1" applyFill="1" applyBorder="1" applyAlignment="1" applyProtection="1">
      <alignment horizontal="right"/>
    </xf>
    <xf numFmtId="0" fontId="34" fillId="0" borderId="34" xfId="0" applyNumberFormat="1" applyFont="1" applyBorder="1" applyProtection="1"/>
    <xf numFmtId="0" fontId="34" fillId="0" borderId="26" xfId="0" applyFont="1" applyBorder="1" applyAlignment="1" applyProtection="1">
      <alignment horizontal="right"/>
      <protection locked="0"/>
    </xf>
    <xf numFmtId="0" fontId="35" fillId="0" borderId="29" xfId="0" applyFont="1" applyBorder="1" applyAlignment="1" applyProtection="1">
      <alignment horizontal="right"/>
      <protection locked="0"/>
    </xf>
    <xf numFmtId="0" fontId="86" fillId="0" borderId="1" xfId="1" applyFont="1" applyBorder="1" applyAlignment="1">
      <alignment horizontal="right"/>
    </xf>
    <xf numFmtId="0" fontId="86" fillId="0" borderId="1" xfId="1" applyFont="1" applyFill="1" applyBorder="1" applyAlignment="1">
      <alignment horizontal="right"/>
    </xf>
    <xf numFmtId="0" fontId="34" fillId="0" borderId="55" xfId="0" applyFont="1" applyBorder="1" applyProtection="1"/>
    <xf numFmtId="0" fontId="28" fillId="9" borderId="51" xfId="1" applyFont="1" applyFill="1" applyBorder="1" applyAlignment="1" applyProtection="1">
      <alignment horizontal="right"/>
    </xf>
    <xf numFmtId="0" fontId="28" fillId="9" borderId="51" xfId="1" applyFont="1" applyFill="1" applyBorder="1" applyAlignment="1">
      <alignment horizontal="right"/>
    </xf>
    <xf numFmtId="0" fontId="28" fillId="9" borderId="33" xfId="1" applyFont="1" applyFill="1" applyBorder="1" applyAlignment="1">
      <alignment horizontal="right"/>
    </xf>
    <xf numFmtId="0" fontId="28" fillId="9" borderId="0" xfId="1" applyFont="1" applyFill="1" applyBorder="1" applyAlignment="1">
      <alignment horizontal="right"/>
    </xf>
    <xf numFmtId="9" fontId="19" fillId="17" borderId="7" xfId="4" applyFont="1" applyFill="1" applyBorder="1" applyAlignment="1" applyProtection="1">
      <alignment horizontal="center"/>
      <protection locked="0"/>
    </xf>
    <xf numFmtId="1" fontId="19" fillId="12" borderId="2" xfId="1" applyNumberFormat="1" applyFill="1" applyBorder="1" applyAlignment="1" applyProtection="1">
      <alignment horizontal="center"/>
      <protection locked="0"/>
    </xf>
    <xf numFmtId="1" fontId="19" fillId="12" borderId="1" xfId="1" applyNumberFormat="1" applyFill="1" applyBorder="1" applyAlignment="1" applyProtection="1">
      <alignment horizontal="center"/>
      <protection locked="0"/>
    </xf>
    <xf numFmtId="1" fontId="19" fillId="12" borderId="32" xfId="1" applyNumberFormat="1" applyFill="1" applyBorder="1" applyAlignment="1" applyProtection="1">
      <alignment horizontal="center"/>
      <protection locked="0"/>
    </xf>
    <xf numFmtId="164" fontId="19" fillId="12" borderId="2" xfId="1" applyNumberFormat="1" applyFill="1" applyBorder="1" applyAlignment="1" applyProtection="1">
      <alignment horizontal="center"/>
      <protection locked="0"/>
    </xf>
    <xf numFmtId="0" fontId="36" fillId="0" borderId="24" xfId="0" applyFont="1" applyBorder="1" applyAlignment="1" applyProtection="1">
      <alignment horizontal="right"/>
      <protection locked="0"/>
    </xf>
    <xf numFmtId="0" fontId="19" fillId="0" borderId="17" xfId="1" applyFont="1" applyFill="1" applyBorder="1" applyAlignment="1">
      <alignment horizontal="left"/>
    </xf>
    <xf numFmtId="0" fontId="19" fillId="0" borderId="1" xfId="1" applyFont="1" applyBorder="1" applyAlignment="1">
      <alignment horizontal="left"/>
    </xf>
    <xf numFmtId="0" fontId="36" fillId="0" borderId="27" xfId="0" applyFont="1" applyBorder="1" applyAlignment="1" applyProtection="1">
      <alignment horizontal="right"/>
      <protection locked="0"/>
    </xf>
    <xf numFmtId="11" fontId="19" fillId="12" borderId="1" xfId="1" applyNumberFormat="1" applyFill="1" applyBorder="1" applyProtection="1">
      <protection locked="0"/>
    </xf>
    <xf numFmtId="0" fontId="46" fillId="0" borderId="29" xfId="0" applyFont="1" applyBorder="1" applyProtection="1">
      <protection locked="0"/>
    </xf>
    <xf numFmtId="0" fontId="34" fillId="0" borderId="59" xfId="0" applyFont="1" applyBorder="1" applyProtection="1">
      <protection locked="0"/>
    </xf>
    <xf numFmtId="0" fontId="34" fillId="0" borderId="54" xfId="0" applyFont="1" applyBorder="1" applyProtection="1">
      <protection locked="0"/>
    </xf>
    <xf numFmtId="1" fontId="19" fillId="12" borderId="89" xfId="1" applyNumberFormat="1" applyFill="1" applyBorder="1" applyAlignment="1" applyProtection="1">
      <alignment horizontal="center"/>
      <protection locked="0"/>
    </xf>
    <xf numFmtId="165" fontId="19" fillId="2" borderId="13" xfId="1" applyNumberFormat="1" applyFill="1" applyBorder="1" applyAlignment="1" applyProtection="1">
      <alignment horizontal="right"/>
      <protection locked="0"/>
    </xf>
    <xf numFmtId="2" fontId="19" fillId="2" borderId="13" xfId="1" applyNumberFormat="1" applyFill="1" applyBorder="1" applyAlignment="1" applyProtection="1">
      <alignment horizontal="right"/>
      <protection locked="0"/>
    </xf>
    <xf numFmtId="164" fontId="19" fillId="2" borderId="13" xfId="1" applyNumberFormat="1" applyFill="1" applyBorder="1" applyAlignment="1" applyProtection="1">
      <alignment horizontal="right"/>
      <protection locked="0"/>
    </xf>
    <xf numFmtId="0" fontId="0" fillId="20" borderId="1" xfId="0" applyFill="1" applyBorder="1" applyAlignment="1"/>
    <xf numFmtId="2" fontId="0" fillId="20" borderId="1" xfId="0" applyNumberFormat="1" applyFill="1" applyBorder="1" applyAlignment="1"/>
    <xf numFmtId="0" fontId="2" fillId="20" borderId="1" xfId="0" applyFont="1" applyFill="1" applyBorder="1" applyAlignment="1"/>
    <xf numFmtId="0" fontId="2" fillId="20" borderId="1" xfId="0" applyFont="1" applyFill="1" applyBorder="1" applyAlignment="1">
      <alignment wrapText="1"/>
    </xf>
    <xf numFmtId="0" fontId="2" fillId="20" borderId="0" xfId="0" applyFont="1" applyFill="1" applyAlignment="1"/>
    <xf numFmtId="0" fontId="89" fillId="0" borderId="27" xfId="0" applyFont="1" applyBorder="1"/>
    <xf numFmtId="0" fontId="34" fillId="0" borderId="0" xfId="0" applyFont="1" applyBorder="1" applyProtection="1">
      <protection locked="0"/>
    </xf>
    <xf numFmtId="2" fontId="19" fillId="12" borderId="7" xfId="1" applyNumberFormat="1" applyFill="1" applyBorder="1" applyAlignment="1" applyProtection="1">
      <alignment horizontal="center"/>
      <protection locked="0"/>
    </xf>
    <xf numFmtId="2" fontId="19" fillId="12" borderId="5" xfId="1" applyNumberFormat="1" applyFill="1" applyBorder="1" applyAlignment="1" applyProtection="1">
      <alignment horizontal="center"/>
      <protection locked="0"/>
    </xf>
    <xf numFmtId="0" fontId="35" fillId="0" borderId="24" xfId="0" quotePrefix="1" applyFont="1" applyBorder="1" applyProtection="1">
      <protection locked="0"/>
    </xf>
    <xf numFmtId="0" fontId="26" fillId="9" borderId="0" xfId="1" quotePrefix="1" applyFont="1" applyFill="1"/>
    <xf numFmtId="0" fontId="2" fillId="20" borderId="0" xfId="0" applyFont="1" applyFill="1" applyAlignment="1">
      <alignment horizontal="right"/>
    </xf>
    <xf numFmtId="1" fontId="34" fillId="0" borderId="29" xfId="0" applyNumberFormat="1" applyFont="1" applyBorder="1" applyProtection="1">
      <protection locked="0"/>
    </xf>
    <xf numFmtId="0" fontId="2" fillId="0" borderId="24" xfId="0" applyFont="1" applyFill="1" applyBorder="1" applyAlignment="1">
      <alignment vertical="top" wrapText="1"/>
    </xf>
    <xf numFmtId="0" fontId="0" fillId="0" borderId="24" xfId="0" quotePrefix="1" applyFill="1" applyBorder="1" applyAlignment="1">
      <alignment vertical="top" wrapText="1"/>
    </xf>
    <xf numFmtId="170" fontId="19" fillId="4" borderId="7" xfId="1" applyNumberFormat="1" applyFill="1" applyBorder="1" applyAlignment="1" applyProtection="1">
      <alignment horizontal="center"/>
      <protection locked="0"/>
    </xf>
    <xf numFmtId="0" fontId="2" fillId="0" borderId="0" xfId="0" applyFont="1" applyAlignment="1">
      <alignment horizontal="center"/>
    </xf>
    <xf numFmtId="0" fontId="2" fillId="0" borderId="0" xfId="0" applyFont="1" applyAlignment="1">
      <alignment horizontal="right"/>
    </xf>
    <xf numFmtId="14" fontId="0" fillId="0" borderId="0" xfId="0" applyNumberFormat="1" applyAlignment="1">
      <alignment horizontal="center"/>
    </xf>
    <xf numFmtId="0" fontId="0" fillId="4" borderId="1" xfId="0" applyFill="1" applyBorder="1" applyAlignment="1">
      <alignment horizontal="center"/>
    </xf>
    <xf numFmtId="0" fontId="8" fillId="0" borderId="39" xfId="0" applyFont="1" applyBorder="1" applyAlignment="1">
      <alignment horizontal="right"/>
    </xf>
    <xf numFmtId="0" fontId="0" fillId="2" borderId="1" xfId="0" applyFill="1" applyBorder="1" applyAlignment="1">
      <alignment horizontal="center"/>
    </xf>
    <xf numFmtId="0" fontId="0" fillId="5" borderId="1" xfId="0" applyFill="1" applyBorder="1" applyAlignment="1">
      <alignment horizontal="center"/>
    </xf>
    <xf numFmtId="11" fontId="19" fillId="2" borderId="13" xfId="1" applyNumberFormat="1" applyFill="1" applyBorder="1" applyAlignment="1" applyProtection="1">
      <alignment horizontal="right"/>
      <protection locked="0"/>
    </xf>
    <xf numFmtId="11" fontId="34" fillId="0" borderId="24" xfId="0" applyNumberFormat="1" applyFont="1" applyBorder="1" applyProtection="1">
      <protection locked="0"/>
    </xf>
    <xf numFmtId="0" fontId="19" fillId="0" borderId="24" xfId="1" applyBorder="1" applyProtection="1"/>
    <xf numFmtId="0" fontId="33" fillId="0" borderId="28" xfId="1" applyFont="1" applyBorder="1" applyProtection="1"/>
    <xf numFmtId="0" fontId="19" fillId="0" borderId="28" xfId="1" applyBorder="1" applyProtection="1"/>
    <xf numFmtId="0" fontId="19" fillId="0" borderId="27" xfId="1" applyBorder="1" applyProtection="1"/>
    <xf numFmtId="0" fontId="19" fillId="0" borderId="24" xfId="1" applyFill="1" applyBorder="1" applyProtection="1"/>
    <xf numFmtId="0" fontId="19" fillId="0" borderId="103" xfId="1" applyBorder="1" applyProtection="1"/>
    <xf numFmtId="0" fontId="19" fillId="0" borderId="29" xfId="1" applyBorder="1" applyProtection="1"/>
    <xf numFmtId="0" fontId="19" fillId="0" borderId="26" xfId="1" applyBorder="1" applyProtection="1"/>
    <xf numFmtId="0" fontId="19" fillId="0" borderId="34" xfId="1" applyBorder="1" applyProtection="1"/>
    <xf numFmtId="0" fontId="19" fillId="0" borderId="32" xfId="1" applyBorder="1" applyProtection="1"/>
    <xf numFmtId="0" fontId="19" fillId="0" borderId="25" xfId="1" applyBorder="1" applyProtection="1"/>
    <xf numFmtId="0" fontId="19" fillId="12" borderId="32" xfId="1" applyFill="1" applyBorder="1" applyProtection="1"/>
    <xf numFmtId="0" fontId="22" fillId="0" borderId="28" xfId="1" applyFont="1" applyBorder="1"/>
    <xf numFmtId="0" fontId="19" fillId="0" borderId="28" xfId="1" applyFill="1" applyBorder="1" applyProtection="1"/>
    <xf numFmtId="0" fontId="19" fillId="0" borderId="55" xfId="1" applyBorder="1" applyProtection="1"/>
    <xf numFmtId="0" fontId="19" fillId="17" borderId="3" xfId="1" applyNumberFormat="1" applyFill="1" applyBorder="1" applyAlignment="1" applyProtection="1">
      <alignment horizontal="center"/>
      <protection locked="0"/>
    </xf>
    <xf numFmtId="0" fontId="19" fillId="0" borderId="104" xfId="1" applyBorder="1" applyProtection="1"/>
    <xf numFmtId="0" fontId="19" fillId="0" borderId="65" xfId="1" applyBorder="1" applyProtection="1"/>
    <xf numFmtId="0" fontId="19" fillId="0" borderId="10" xfId="1" applyBorder="1" applyProtection="1"/>
    <xf numFmtId="166" fontId="19" fillId="12" borderId="10" xfId="1" applyNumberFormat="1" applyFill="1" applyBorder="1" applyProtection="1"/>
    <xf numFmtId="0" fontId="22" fillId="0" borderId="55" xfId="1" applyFont="1" applyBorder="1"/>
    <xf numFmtId="166" fontId="19" fillId="12" borderId="14" xfId="1" applyNumberFormat="1" applyFill="1" applyBorder="1" applyProtection="1"/>
    <xf numFmtId="0" fontId="19" fillId="0" borderId="98" xfId="1" applyBorder="1" applyProtection="1"/>
    <xf numFmtId="0" fontId="20" fillId="0" borderId="0" xfId="1" applyFont="1" applyProtection="1">
      <protection locked="0"/>
    </xf>
    <xf numFmtId="167" fontId="19" fillId="12" borderId="30" xfId="1" applyNumberFormat="1" applyFill="1" applyBorder="1" applyProtection="1"/>
    <xf numFmtId="0" fontId="34" fillId="0" borderId="43" xfId="0" applyFont="1" applyBorder="1" applyProtection="1">
      <protection locked="0"/>
    </xf>
    <xf numFmtId="0" fontId="22" fillId="0" borderId="24" xfId="1" applyFont="1" applyBorder="1" applyProtection="1"/>
    <xf numFmtId="0" fontId="21" fillId="0" borderId="24" xfId="1" applyFont="1" applyBorder="1" applyProtection="1"/>
    <xf numFmtId="9" fontId="19" fillId="0" borderId="24" xfId="1" applyNumberFormat="1" applyBorder="1" applyProtection="1"/>
    <xf numFmtId="0" fontId="19" fillId="0" borderId="105" xfId="1" applyBorder="1" applyProtection="1"/>
    <xf numFmtId="0" fontId="19" fillId="0" borderId="106" xfId="1" applyBorder="1" applyProtection="1"/>
    <xf numFmtId="0" fontId="19" fillId="0" borderId="107" xfId="1" applyBorder="1" applyProtection="1"/>
    <xf numFmtId="0" fontId="19" fillId="0" borderId="108" xfId="1" applyBorder="1" applyProtection="1"/>
    <xf numFmtId="166" fontId="22" fillId="0" borderId="28" xfId="1" applyNumberFormat="1" applyFont="1" applyBorder="1" applyProtection="1"/>
    <xf numFmtId="0" fontId="22" fillId="0" borderId="28" xfId="1" applyFont="1" applyBorder="1" applyAlignment="1" applyProtection="1">
      <alignment horizontal="right"/>
    </xf>
    <xf numFmtId="166" fontId="19" fillId="12" borderId="3" xfId="1" applyNumberFormat="1" applyFill="1" applyBorder="1" applyProtection="1"/>
    <xf numFmtId="11" fontId="46" fillId="0" borderId="28" xfId="1" applyNumberFormat="1" applyFont="1" applyBorder="1" applyProtection="1"/>
    <xf numFmtId="165" fontId="46" fillId="0" borderId="28" xfId="1" applyNumberFormat="1" applyFont="1" applyBorder="1" applyProtection="1"/>
    <xf numFmtId="0" fontId="19" fillId="0" borderId="0" xfId="1" applyFont="1"/>
    <xf numFmtId="164" fontId="19" fillId="12" borderId="13" xfId="1" applyNumberFormat="1" applyFill="1" applyBorder="1" applyProtection="1">
      <protection locked="0"/>
    </xf>
    <xf numFmtId="2" fontId="21" fillId="0" borderId="28" xfId="1" applyNumberFormat="1" applyFont="1" applyBorder="1" applyAlignment="1">
      <alignment horizontal="right"/>
    </xf>
    <xf numFmtId="11" fontId="34" fillId="2" borderId="7" xfId="0" applyNumberFormat="1" applyFont="1" applyFill="1" applyBorder="1" applyAlignment="1" applyProtection="1">
      <alignment horizontal="center"/>
      <protection locked="0"/>
    </xf>
    <xf numFmtId="11" fontId="34" fillId="2" borderId="12" xfId="0" applyNumberFormat="1" applyFont="1" applyFill="1" applyBorder="1" applyAlignment="1" applyProtection="1">
      <alignment horizontal="center"/>
      <protection locked="0"/>
    </xf>
    <xf numFmtId="0" fontId="8" fillId="0" borderId="77" xfId="0" applyFont="1" applyBorder="1" applyAlignment="1">
      <alignment horizontal="right"/>
    </xf>
    <xf numFmtId="0" fontId="14" fillId="0" borderId="25" xfId="0" applyFont="1" applyBorder="1"/>
    <xf numFmtId="0" fontId="0" fillId="6" borderId="1" xfId="0" applyFill="1" applyBorder="1"/>
    <xf numFmtId="173" fontId="19" fillId="2" borderId="13" xfId="1" applyNumberFormat="1" applyFill="1" applyBorder="1" applyAlignment="1" applyProtection="1">
      <alignment horizontal="right"/>
      <protection locked="0"/>
    </xf>
    <xf numFmtId="11" fontId="34" fillId="0" borderId="24" xfId="0" applyNumberFormat="1" applyFont="1" applyBorder="1" applyAlignment="1" applyProtection="1">
      <alignment horizontal="center"/>
      <protection locked="0"/>
    </xf>
    <xf numFmtId="0" fontId="86" fillId="0" borderId="17" xfId="1" applyFont="1" applyFill="1" applyBorder="1" applyAlignment="1">
      <alignment horizontal="right"/>
    </xf>
    <xf numFmtId="1" fontId="19" fillId="12" borderId="13" xfId="1" applyNumberFormat="1" applyFill="1" applyBorder="1" applyProtection="1">
      <protection locked="0"/>
    </xf>
    <xf numFmtId="1" fontId="19" fillId="12" borderId="20" xfId="1" applyNumberFormat="1" applyFill="1" applyBorder="1" applyProtection="1">
      <protection locked="0"/>
    </xf>
    <xf numFmtId="165" fontId="19" fillId="17" borderId="80" xfId="1" applyNumberFormat="1" applyFill="1" applyBorder="1" applyAlignment="1" applyProtection="1">
      <alignment horizontal="center"/>
      <protection locked="0"/>
    </xf>
    <xf numFmtId="9" fontId="34" fillId="4" borderId="12" xfId="4" applyFont="1" applyFill="1" applyBorder="1" applyAlignment="1" applyProtection="1">
      <alignment horizontal="center"/>
    </xf>
    <xf numFmtId="9" fontId="19" fillId="17" borderId="12" xfId="4" applyFont="1" applyFill="1" applyBorder="1" applyAlignment="1" applyProtection="1">
      <alignment horizontal="center"/>
      <protection locked="0"/>
    </xf>
    <xf numFmtId="11" fontId="19" fillId="12" borderId="12" xfId="1" applyNumberFormat="1" applyFill="1" applyBorder="1" applyAlignment="1" applyProtection="1">
      <alignment horizontal="center"/>
      <protection locked="0"/>
    </xf>
    <xf numFmtId="0" fontId="35" fillId="0" borderId="24" xfId="0" applyFont="1" applyBorder="1" applyProtection="1">
      <protection locked="0"/>
    </xf>
    <xf numFmtId="0" fontId="19" fillId="14" borderId="16" xfId="1" applyFont="1" applyFill="1" applyBorder="1" applyAlignment="1">
      <alignment horizontal="center"/>
    </xf>
    <xf numFmtId="1" fontId="19" fillId="12" borderId="17" xfId="1" applyNumberFormat="1" applyFont="1" applyFill="1" applyBorder="1"/>
    <xf numFmtId="165" fontId="19" fillId="18" borderId="1" xfId="1" applyNumberFormat="1" applyFont="1" applyFill="1" applyBorder="1" applyAlignment="1" applyProtection="1">
      <alignment horizontal="right"/>
      <protection locked="0"/>
    </xf>
    <xf numFmtId="165" fontId="19" fillId="12" borderId="1" xfId="1" applyNumberFormat="1" applyFont="1" applyFill="1" applyBorder="1" applyAlignment="1" applyProtection="1">
      <alignment horizontal="right"/>
      <protection locked="0"/>
    </xf>
    <xf numFmtId="0" fontId="34" fillId="20" borderId="0" xfId="0" applyFont="1" applyFill="1" applyAlignment="1"/>
    <xf numFmtId="0" fontId="34" fillId="18" borderId="1" xfId="0" applyFont="1" applyFill="1" applyBorder="1" applyAlignment="1">
      <alignment horizontal="right"/>
    </xf>
    <xf numFmtId="1" fontId="19" fillId="18" borderId="13" xfId="1" applyNumberFormat="1" applyFont="1" applyFill="1" applyBorder="1" applyProtection="1">
      <protection locked="0"/>
    </xf>
    <xf numFmtId="0" fontId="90" fillId="20" borderId="0" xfId="0" applyFont="1" applyFill="1" applyAlignment="1"/>
    <xf numFmtId="0" fontId="35" fillId="20" borderId="0" xfId="0" applyFont="1" applyFill="1" applyAlignment="1"/>
    <xf numFmtId="0" fontId="19" fillId="5" borderId="1" xfId="0" applyFont="1" applyFill="1" applyBorder="1"/>
    <xf numFmtId="174" fontId="19" fillId="5" borderId="1" xfId="0" applyNumberFormat="1" applyFont="1" applyFill="1" applyBorder="1"/>
    <xf numFmtId="175" fontId="19" fillId="5" borderId="1" xfId="0" applyNumberFormat="1" applyFont="1" applyFill="1" applyBorder="1"/>
    <xf numFmtId="2" fontId="19" fillId="5" borderId="1" xfId="0" applyNumberFormat="1" applyFont="1" applyFill="1" applyBorder="1"/>
    <xf numFmtId="165" fontId="19" fillId="5" borderId="1" xfId="0" applyNumberFormat="1" applyFont="1" applyFill="1" applyBorder="1"/>
    <xf numFmtId="172" fontId="19" fillId="5" borderId="1" xfId="0" applyNumberFormat="1" applyFont="1" applyFill="1" applyBorder="1"/>
    <xf numFmtId="173" fontId="19" fillId="5" borderId="1" xfId="0" applyNumberFormat="1" applyFont="1" applyFill="1" applyBorder="1"/>
    <xf numFmtId="0" fontId="19" fillId="0" borderId="1" xfId="0" applyFont="1" applyBorder="1"/>
    <xf numFmtId="174" fontId="19" fillId="0" borderId="1" xfId="0" applyNumberFormat="1" applyFont="1" applyBorder="1"/>
    <xf numFmtId="175" fontId="19" fillId="0" borderId="1" xfId="0" applyNumberFormat="1" applyFont="1" applyBorder="1"/>
    <xf numFmtId="2" fontId="19" fillId="0" borderId="1" xfId="0" applyNumberFormat="1" applyFont="1" applyBorder="1"/>
    <xf numFmtId="165" fontId="19" fillId="0" borderId="1" xfId="0" applyNumberFormat="1" applyFont="1" applyBorder="1"/>
    <xf numFmtId="172" fontId="19" fillId="0" borderId="1" xfId="0" applyNumberFormat="1" applyFont="1" applyBorder="1"/>
    <xf numFmtId="173" fontId="19" fillId="0" borderId="1" xfId="0" applyNumberFormat="1" applyFont="1" applyBorder="1"/>
    <xf numFmtId="0" fontId="34" fillId="5" borderId="1" xfId="0" applyFont="1" applyFill="1" applyBorder="1"/>
    <xf numFmtId="175" fontId="34" fillId="5" borderId="1" xfId="0" applyNumberFormat="1" applyFont="1" applyFill="1" applyBorder="1"/>
    <xf numFmtId="2" fontId="34" fillId="5" borderId="1" xfId="0" applyNumberFormat="1" applyFont="1" applyFill="1" applyBorder="1"/>
    <xf numFmtId="165" fontId="34" fillId="5" borderId="1" xfId="0" applyNumberFormat="1" applyFont="1" applyFill="1" applyBorder="1"/>
    <xf numFmtId="172" fontId="34" fillId="5" borderId="1" xfId="0" applyNumberFormat="1" applyFont="1" applyFill="1" applyBorder="1"/>
    <xf numFmtId="0" fontId="39" fillId="20" borderId="0" xfId="0" applyFont="1" applyFill="1" applyAlignment="1">
      <alignment horizontal="left"/>
    </xf>
    <xf numFmtId="0" fontId="34" fillId="0" borderId="1" xfId="0" applyFont="1" applyBorder="1"/>
    <xf numFmtId="175" fontId="34" fillId="0" borderId="1" xfId="0" applyNumberFormat="1" applyFont="1" applyBorder="1"/>
    <xf numFmtId="2" fontId="34" fillId="0" borderId="1" xfId="0" applyNumberFormat="1" applyFont="1" applyBorder="1"/>
    <xf numFmtId="165" fontId="34" fillId="0" borderId="1" xfId="0" applyNumberFormat="1" applyFont="1" applyBorder="1"/>
    <xf numFmtId="172" fontId="34" fillId="0" borderId="1" xfId="0" applyNumberFormat="1" applyFont="1" applyBorder="1"/>
    <xf numFmtId="0" fontId="35" fillId="20" borderId="0" xfId="0" applyFont="1" applyFill="1" applyAlignment="1">
      <alignment horizontal="right"/>
    </xf>
    <xf numFmtId="0" fontId="91" fillId="0" borderId="39" xfId="0" applyFont="1" applyBorder="1" applyAlignment="1">
      <alignment horizontal="right"/>
    </xf>
    <xf numFmtId="0" fontId="34" fillId="18" borderId="1" xfId="0" applyFont="1" applyFill="1" applyBorder="1" applyAlignment="1">
      <alignment horizontal="center"/>
    </xf>
    <xf numFmtId="173" fontId="19" fillId="0" borderId="1" xfId="0" applyNumberFormat="1" applyFont="1" applyFill="1" applyBorder="1"/>
    <xf numFmtId="0" fontId="39" fillId="20" borderId="0" xfId="0" applyFont="1" applyFill="1" applyAlignment="1">
      <alignment horizontal="right"/>
    </xf>
    <xf numFmtId="0" fontId="34" fillId="4" borderId="1" xfId="0" applyFont="1" applyFill="1" applyBorder="1" applyAlignment="1">
      <alignment horizontal="center"/>
    </xf>
    <xf numFmtId="0" fontId="91" fillId="0" borderId="28" xfId="0" applyFont="1" applyBorder="1"/>
    <xf numFmtId="173" fontId="34" fillId="5" borderId="1" xfId="0" applyNumberFormat="1" applyFont="1" applyFill="1" applyBorder="1"/>
    <xf numFmtId="173" fontId="34" fillId="0" borderId="1" xfId="0" applyNumberFormat="1" applyFont="1" applyBorder="1"/>
    <xf numFmtId="164" fontId="34" fillId="0" borderId="1" xfId="0" applyNumberFormat="1" applyFont="1" applyBorder="1"/>
    <xf numFmtId="164" fontId="34" fillId="5" borderId="1" xfId="0" applyNumberFormat="1" applyFont="1" applyFill="1" applyBorder="1"/>
    <xf numFmtId="0" fontId="39" fillId="20" borderId="0" xfId="0" applyFont="1" applyFill="1" applyAlignment="1"/>
    <xf numFmtId="0" fontId="34" fillId="4" borderId="1" xfId="0" applyFont="1" applyFill="1" applyBorder="1"/>
    <xf numFmtId="0" fontId="34" fillId="20" borderId="25" xfId="0" applyFont="1" applyFill="1" applyBorder="1" applyAlignment="1"/>
    <xf numFmtId="1" fontId="34" fillId="8" borderId="1" xfId="0" applyNumberFormat="1" applyFont="1" applyFill="1" applyBorder="1"/>
    <xf numFmtId="0" fontId="39" fillId="0" borderId="0" xfId="0" applyFont="1"/>
    <xf numFmtId="0" fontId="34" fillId="2" borderId="1" xfId="0" applyFont="1" applyFill="1" applyBorder="1"/>
    <xf numFmtId="0" fontId="35" fillId="20" borderId="1" xfId="0" applyFont="1" applyFill="1" applyBorder="1" applyAlignment="1">
      <alignment horizontal="center" wrapText="1"/>
    </xf>
    <xf numFmtId="0" fontId="35" fillId="20" borderId="1" xfId="0" applyFont="1" applyFill="1" applyBorder="1" applyAlignment="1">
      <alignment horizontal="center"/>
    </xf>
    <xf numFmtId="0" fontId="34" fillId="22" borderId="1" xfId="0" applyFont="1" applyFill="1" applyBorder="1" applyAlignment="1"/>
    <xf numFmtId="11" fontId="34" fillId="22" borderId="1" xfId="0" applyNumberFormat="1" applyFont="1" applyFill="1" applyBorder="1" applyAlignment="1"/>
    <xf numFmtId="176" fontId="34" fillId="22" borderId="1" xfId="0" applyNumberFormat="1" applyFont="1" applyFill="1" applyBorder="1" applyAlignment="1"/>
    <xf numFmtId="0" fontId="34" fillId="20" borderId="1" xfId="0" applyFont="1" applyFill="1" applyBorder="1" applyAlignment="1"/>
    <xf numFmtId="11" fontId="34" fillId="20" borderId="1" xfId="0" applyNumberFormat="1" applyFont="1" applyFill="1" applyBorder="1" applyAlignment="1"/>
    <xf numFmtId="176" fontId="34" fillId="20" borderId="1" xfId="0" applyNumberFormat="1" applyFont="1" applyFill="1" applyBorder="1" applyAlignment="1"/>
    <xf numFmtId="11" fontId="34" fillId="18" borderId="1" xfId="0" applyNumberFormat="1" applyFont="1" applyFill="1" applyBorder="1" applyAlignment="1">
      <alignment horizontal="center"/>
    </xf>
    <xf numFmtId="11" fontId="34" fillId="2" borderId="1" xfId="0" applyNumberFormat="1" applyFont="1" applyFill="1" applyBorder="1" applyAlignment="1">
      <alignment horizontal="center"/>
    </xf>
    <xf numFmtId="11" fontId="34" fillId="20" borderId="0" xfId="0" applyNumberFormat="1" applyFont="1" applyFill="1" applyAlignment="1"/>
    <xf numFmtId="0" fontId="34" fillId="5" borderId="1" xfId="0" applyFont="1" applyFill="1" applyBorder="1" applyAlignment="1">
      <alignment horizontal="center"/>
    </xf>
    <xf numFmtId="4" fontId="34" fillId="22" borderId="1" xfId="0" applyNumberFormat="1" applyFont="1" applyFill="1" applyBorder="1" applyAlignment="1"/>
    <xf numFmtId="4" fontId="34" fillId="20" borderId="1" xfId="0" applyNumberFormat="1" applyFont="1" applyFill="1" applyBorder="1" applyAlignment="1"/>
    <xf numFmtId="3" fontId="34" fillId="20" borderId="1" xfId="0" applyNumberFormat="1" applyFont="1" applyFill="1" applyBorder="1" applyAlignment="1"/>
    <xf numFmtId="3" fontId="34" fillId="22" borderId="1" xfId="0" applyNumberFormat="1" applyFont="1" applyFill="1" applyBorder="1" applyAlignment="1"/>
    <xf numFmtId="0" fontId="35" fillId="20" borderId="0" xfId="0" applyFont="1" applyFill="1" applyAlignment="1">
      <alignment horizontal="center"/>
    </xf>
    <xf numFmtId="2" fontId="34" fillId="20" borderId="1" xfId="0" applyNumberFormat="1" applyFont="1" applyFill="1" applyBorder="1" applyAlignment="1">
      <alignment horizontal="center"/>
    </xf>
    <xf numFmtId="0" fontId="34" fillId="20" borderId="1" xfId="0" applyFont="1" applyFill="1" applyBorder="1" applyAlignment="1">
      <alignment horizontal="right"/>
    </xf>
    <xf numFmtId="2" fontId="34" fillId="20" borderId="1" xfId="0" applyNumberFormat="1" applyFont="1" applyFill="1" applyBorder="1" applyAlignment="1"/>
    <xf numFmtId="0" fontId="34" fillId="20" borderId="1" xfId="0" applyFont="1" applyFill="1" applyBorder="1" applyAlignment="1">
      <alignment horizontal="center"/>
    </xf>
    <xf numFmtId="0" fontId="34" fillId="20" borderId="0" xfId="0" applyFont="1" applyFill="1" applyAlignment="1">
      <alignment horizontal="center"/>
    </xf>
    <xf numFmtId="0" fontId="35" fillId="0" borderId="0" xfId="0" applyFont="1"/>
    <xf numFmtId="0" fontId="37" fillId="20" borderId="0" xfId="0" applyFont="1" applyFill="1" applyAlignment="1"/>
    <xf numFmtId="2" fontId="34" fillId="2" borderId="1" xfId="0" applyNumberFormat="1" applyFont="1" applyFill="1" applyBorder="1" applyAlignment="1">
      <alignment horizontal="center"/>
    </xf>
    <xf numFmtId="165" fontId="34" fillId="18" borderId="1" xfId="0" applyNumberFormat="1" applyFont="1" applyFill="1" applyBorder="1" applyAlignment="1">
      <alignment horizontal="center"/>
    </xf>
    <xf numFmtId="165" fontId="34" fillId="2" borderId="1" xfId="0" applyNumberFormat="1" applyFont="1" applyFill="1" applyBorder="1" applyAlignment="1">
      <alignment horizontal="center"/>
    </xf>
    <xf numFmtId="172" fontId="34" fillId="18" borderId="1" xfId="0" applyNumberFormat="1" applyFont="1" applyFill="1" applyBorder="1" applyAlignment="1">
      <alignment horizontal="center"/>
    </xf>
    <xf numFmtId="172" fontId="34" fillId="2" borderId="1" xfId="0" applyNumberFormat="1" applyFont="1" applyFill="1" applyBorder="1" applyAlignment="1">
      <alignment horizontal="center"/>
    </xf>
    <xf numFmtId="165" fontId="34" fillId="5" borderId="1" xfId="0" applyNumberFormat="1" applyFont="1" applyFill="1" applyBorder="1" applyAlignment="1">
      <alignment horizontal="center"/>
    </xf>
    <xf numFmtId="172" fontId="34" fillId="5" borderId="1" xfId="0" applyNumberFormat="1" applyFont="1" applyFill="1" applyBorder="1" applyAlignment="1">
      <alignment horizontal="center"/>
    </xf>
    <xf numFmtId="0" fontId="92" fillId="20" borderId="0" xfId="0" applyFont="1" applyFill="1" applyAlignment="1"/>
    <xf numFmtId="0" fontId="92" fillId="0" borderId="0" xfId="0" applyFont="1" applyAlignment="1"/>
    <xf numFmtId="1" fontId="34" fillId="20" borderId="1" xfId="0" applyNumberFormat="1" applyFont="1" applyFill="1" applyBorder="1" applyAlignment="1">
      <alignment horizontal="center"/>
    </xf>
    <xf numFmtId="1" fontId="19" fillId="12" borderId="17" xfId="1" applyNumberFormat="1" applyFont="1" applyFill="1" applyBorder="1" applyAlignment="1">
      <alignment horizontal="right"/>
    </xf>
    <xf numFmtId="11" fontId="19" fillId="18" borderId="1" xfId="1" applyNumberFormat="1" applyFont="1" applyFill="1" applyBorder="1" applyAlignment="1" applyProtection="1">
      <alignment horizontal="right"/>
      <protection locked="0"/>
    </xf>
    <xf numFmtId="11" fontId="19" fillId="12" borderId="1" xfId="1" applyNumberFormat="1" applyFont="1" applyFill="1" applyBorder="1" applyAlignment="1" applyProtection="1">
      <alignment horizontal="right"/>
      <protection locked="0"/>
    </xf>
    <xf numFmtId="11" fontId="19" fillId="12" borderId="13" xfId="1" applyNumberFormat="1" applyFill="1" applyBorder="1" applyAlignment="1" applyProtection="1">
      <alignment horizontal="right"/>
      <protection locked="0"/>
    </xf>
    <xf numFmtId="164" fontId="34" fillId="0" borderId="26" xfId="0" applyNumberFormat="1" applyFont="1" applyBorder="1" applyProtection="1">
      <protection locked="0"/>
    </xf>
    <xf numFmtId="164" fontId="19" fillId="18" borderId="1" xfId="1" applyNumberFormat="1" applyFont="1" applyFill="1" applyBorder="1" applyAlignment="1" applyProtection="1">
      <alignment horizontal="right"/>
      <protection locked="0"/>
    </xf>
    <xf numFmtId="164" fontId="19" fillId="12" borderId="1" xfId="1" applyNumberFormat="1" applyFont="1" applyFill="1" applyBorder="1" applyAlignment="1" applyProtection="1">
      <alignment horizontal="right"/>
      <protection locked="0"/>
    </xf>
    <xf numFmtId="2" fontId="19" fillId="12" borderId="17" xfId="1" applyNumberFormat="1" applyFont="1" applyFill="1" applyBorder="1"/>
    <xf numFmtId="2" fontId="19" fillId="4" borderId="1" xfId="1" applyNumberFormat="1" applyFill="1" applyBorder="1" applyAlignment="1" applyProtection="1">
      <alignment horizontal="center"/>
      <protection locked="0"/>
    </xf>
    <xf numFmtId="172" fontId="19" fillId="12" borderId="17" xfId="1" applyNumberFormat="1" applyFont="1" applyFill="1" applyBorder="1"/>
    <xf numFmtId="0" fontId="19" fillId="9" borderId="57" xfId="1" applyFont="1" applyFill="1" applyBorder="1" applyAlignment="1">
      <alignment horizontal="left"/>
    </xf>
    <xf numFmtId="0" fontId="34" fillId="0" borderId="41" xfId="0" applyFont="1" applyBorder="1" applyAlignment="1" applyProtection="1">
      <alignment horizontal="left"/>
      <protection locked="0"/>
    </xf>
    <xf numFmtId="0" fontId="34" fillId="0" borderId="62" xfId="0" applyFont="1" applyBorder="1" applyAlignment="1" applyProtection="1">
      <alignment horizontal="left"/>
      <protection locked="0"/>
    </xf>
    <xf numFmtId="0" fontId="0" fillId="0" borderId="33" xfId="0" applyBorder="1"/>
    <xf numFmtId="0" fontId="34" fillId="0" borderId="109" xfId="0" applyFont="1" applyBorder="1" applyAlignment="1" applyProtection="1">
      <alignment horizontal="left"/>
      <protection locked="0"/>
    </xf>
    <xf numFmtId="0" fontId="28" fillId="0" borderId="54" xfId="1" applyFont="1" applyBorder="1" applyAlignment="1" applyProtection="1">
      <alignment horizontal="right"/>
    </xf>
    <xf numFmtId="0" fontId="28" fillId="9" borderId="43" xfId="1" applyFont="1" applyFill="1" applyBorder="1" applyAlignment="1" applyProtection="1">
      <alignment horizontal="right"/>
    </xf>
    <xf numFmtId="0" fontId="36" fillId="0" borderId="65" xfId="0" applyFont="1" applyBorder="1" applyAlignment="1" applyProtection="1">
      <alignment horizontal="right"/>
    </xf>
    <xf numFmtId="0" fontId="28" fillId="0" borderId="43" xfId="1" applyFont="1" applyBorder="1" applyAlignment="1" applyProtection="1">
      <alignment horizontal="right"/>
    </xf>
    <xf numFmtId="0" fontId="36" fillId="0" borderId="24" xfId="0" applyFont="1" applyBorder="1" applyAlignment="1">
      <alignment horizontal="right"/>
    </xf>
    <xf numFmtId="0" fontId="28" fillId="0" borderId="52" xfId="1" applyFont="1" applyBorder="1" applyAlignment="1">
      <alignment horizontal="right"/>
    </xf>
    <xf numFmtId="0" fontId="19" fillId="17" borderId="12" xfId="1" applyFill="1" applyBorder="1" applyAlignment="1" applyProtection="1">
      <alignment horizontal="center"/>
      <protection locked="0"/>
    </xf>
    <xf numFmtId="11" fontId="19" fillId="17" borderId="5" xfId="1" applyNumberFormat="1" applyFill="1" applyBorder="1" applyAlignment="1" applyProtection="1">
      <alignment horizontal="center"/>
      <protection locked="0"/>
    </xf>
    <xf numFmtId="11" fontId="19" fillId="17" borderId="7" xfId="1" applyNumberFormat="1" applyFill="1" applyBorder="1" applyAlignment="1" applyProtection="1">
      <alignment horizontal="center"/>
      <protection locked="0"/>
    </xf>
    <xf numFmtId="0" fontId="19" fillId="20" borderId="37" xfId="1" applyFont="1" applyFill="1" applyBorder="1" applyProtection="1"/>
    <xf numFmtId="2" fontId="19" fillId="12" borderId="17" xfId="1" applyNumberFormat="1" applyFill="1" applyBorder="1"/>
    <xf numFmtId="165" fontId="19" fillId="12" borderId="17" xfId="1" applyNumberFormat="1" applyFont="1" applyFill="1" applyBorder="1"/>
    <xf numFmtId="2" fontId="19" fillId="12" borderId="1" xfId="1" applyNumberFormat="1" applyFont="1" applyFill="1" applyBorder="1" applyAlignment="1" applyProtection="1">
      <alignment horizontal="right"/>
      <protection locked="0"/>
    </xf>
    <xf numFmtId="0" fontId="19" fillId="9" borderId="86" xfId="1" applyFill="1" applyBorder="1"/>
    <xf numFmtId="0" fontId="19" fillId="17" borderId="42" xfId="1" applyFill="1" applyBorder="1" applyAlignment="1" applyProtection="1">
      <alignment horizontal="center"/>
      <protection locked="0"/>
    </xf>
    <xf numFmtId="0" fontId="19" fillId="9" borderId="93" xfId="1" applyFill="1" applyBorder="1"/>
    <xf numFmtId="0" fontId="34" fillId="4" borderId="1" xfId="0" applyFont="1" applyFill="1" applyBorder="1" applyAlignment="1">
      <alignment horizontal="right"/>
    </xf>
    <xf numFmtId="0" fontId="14" fillId="0" borderId="0" xfId="0" applyFont="1" applyAlignment="1">
      <alignment vertical="top" wrapText="1"/>
    </xf>
    <xf numFmtId="0" fontId="0" fillId="0" borderId="0" xfId="0" applyAlignment="1">
      <alignment vertical="top" wrapText="1"/>
    </xf>
    <xf numFmtId="0" fontId="0" fillId="0" borderId="1" xfId="0" applyBorder="1" applyAlignment="1">
      <alignment vertical="top" wrapText="1"/>
    </xf>
    <xf numFmtId="0" fontId="0" fillId="29" borderId="1" xfId="0" applyFill="1" applyBorder="1" applyAlignment="1">
      <alignment vertical="top" wrapText="1"/>
    </xf>
    <xf numFmtId="0" fontId="0" fillId="29" borderId="0" xfId="0" applyFill="1" applyAlignment="1">
      <alignment vertical="top" wrapText="1"/>
    </xf>
    <xf numFmtId="0" fontId="96" fillId="28" borderId="1" xfId="7" applyBorder="1" applyAlignment="1">
      <alignment vertical="top" wrapText="1"/>
    </xf>
    <xf numFmtId="166" fontId="19" fillId="12" borderId="85" xfId="1" applyNumberFormat="1" applyFill="1" applyBorder="1" applyProtection="1"/>
    <xf numFmtId="166" fontId="19" fillId="12" borderId="19" xfId="1" applyNumberFormat="1" applyFill="1" applyBorder="1" applyProtection="1"/>
    <xf numFmtId="166" fontId="19" fillId="12" borderId="2" xfId="1" applyNumberFormat="1" applyFill="1" applyBorder="1" applyProtection="1"/>
    <xf numFmtId="171" fontId="19" fillId="9" borderId="51" xfId="1" applyNumberFormat="1" applyFill="1" applyBorder="1"/>
    <xf numFmtId="177" fontId="19" fillId="9" borderId="0" xfId="1" applyNumberFormat="1" applyFill="1" applyBorder="1"/>
    <xf numFmtId="0" fontId="98" fillId="30" borderId="1" xfId="8" applyBorder="1" applyAlignment="1">
      <alignment vertical="top" wrapText="1"/>
    </xf>
    <xf numFmtId="0" fontId="19" fillId="9" borderId="0" xfId="1" applyFont="1" applyFill="1"/>
    <xf numFmtId="0" fontId="99" fillId="20" borderId="0" xfId="0" applyFont="1" applyFill="1" applyAlignment="1"/>
    <xf numFmtId="0" fontId="99" fillId="0" borderId="0" xfId="0" applyFont="1"/>
    <xf numFmtId="0" fontId="35" fillId="22" borderId="1" xfId="0" applyFont="1" applyFill="1" applyBorder="1" applyAlignment="1"/>
    <xf numFmtId="0" fontId="28" fillId="0" borderId="19" xfId="1" applyFont="1" applyFill="1" applyBorder="1" applyAlignment="1">
      <alignment horizontal="right"/>
    </xf>
    <xf numFmtId="166" fontId="19" fillId="12" borderId="20" xfId="1" applyNumberFormat="1" applyFill="1" applyBorder="1" applyProtection="1"/>
    <xf numFmtId="0" fontId="102" fillId="0" borderId="34" xfId="0" applyFont="1" applyBorder="1" applyProtection="1"/>
    <xf numFmtId="0" fontId="101" fillId="31" borderId="1" xfId="9" applyBorder="1" applyAlignment="1">
      <alignment vertical="top" wrapText="1"/>
    </xf>
    <xf numFmtId="0" fontId="104" fillId="0" borderId="34" xfId="0" applyFont="1" applyBorder="1" applyProtection="1"/>
    <xf numFmtId="0" fontId="104" fillId="0" borderId="29" xfId="0" applyFont="1" applyBorder="1" applyProtection="1"/>
    <xf numFmtId="0" fontId="103" fillId="32" borderId="110" xfId="10" applyAlignment="1">
      <alignment vertical="top" wrapText="1"/>
    </xf>
    <xf numFmtId="0" fontId="34" fillId="0" borderId="111" xfId="0" applyFont="1" applyBorder="1" applyProtection="1">
      <protection locked="0"/>
    </xf>
    <xf numFmtId="0" fontId="19" fillId="17" borderId="12" xfId="4" applyNumberFormat="1" applyFont="1" applyFill="1" applyBorder="1" applyAlignment="1" applyProtection="1">
      <alignment horizontal="center"/>
      <protection locked="0"/>
    </xf>
    <xf numFmtId="0" fontId="34" fillId="0" borderId="26" xfId="0" applyFont="1" applyBorder="1"/>
    <xf numFmtId="0" fontId="19" fillId="9" borderId="81" xfId="1" applyFill="1" applyBorder="1"/>
    <xf numFmtId="0" fontId="19" fillId="0" borderId="86" xfId="1" applyBorder="1"/>
    <xf numFmtId="11" fontId="19" fillId="17" borderId="91" xfId="1" applyNumberFormat="1" applyFill="1" applyBorder="1" applyAlignment="1" applyProtection="1">
      <alignment horizontal="center"/>
      <protection locked="0"/>
    </xf>
    <xf numFmtId="11" fontId="19" fillId="17" borderId="40" xfId="1" applyNumberFormat="1" applyFill="1" applyBorder="1" applyAlignment="1" applyProtection="1">
      <alignment horizontal="center"/>
      <protection locked="0"/>
    </xf>
    <xf numFmtId="11" fontId="19" fillId="12" borderId="42" xfId="1" applyNumberFormat="1" applyFill="1" applyBorder="1" applyAlignment="1" applyProtection="1">
      <alignment horizontal="center"/>
      <protection locked="0"/>
    </xf>
    <xf numFmtId="1" fontId="104" fillId="0" borderId="34" xfId="0" applyNumberFormat="1" applyFont="1" applyBorder="1" applyProtection="1"/>
    <xf numFmtId="1" fontId="104" fillId="0" borderId="29" xfId="0" applyNumberFormat="1" applyFont="1" applyBorder="1" applyProtection="1"/>
    <xf numFmtId="0" fontId="22" fillId="0" borderId="28" xfId="1" applyNumberFormat="1" applyFont="1" applyBorder="1" applyAlignment="1">
      <alignment horizontal="right"/>
    </xf>
    <xf numFmtId="0" fontId="22" fillId="0" borderId="28" xfId="1" applyNumberFormat="1" applyFont="1" applyBorder="1"/>
    <xf numFmtId="0" fontId="21" fillId="0" borderId="28" xfId="1" applyNumberFormat="1" applyFont="1" applyBorder="1"/>
    <xf numFmtId="1" fontId="22" fillId="0" borderId="28" xfId="1" applyNumberFormat="1" applyFont="1" applyBorder="1"/>
    <xf numFmtId="0" fontId="34" fillId="0" borderId="112" xfId="0" applyFont="1" applyBorder="1" applyProtection="1">
      <protection locked="0"/>
    </xf>
    <xf numFmtId="0" fontId="19" fillId="12" borderId="5" xfId="1" applyFill="1" applyBorder="1" applyAlignment="1" applyProtection="1">
      <alignment horizontal="center"/>
      <protection locked="0"/>
    </xf>
    <xf numFmtId="0" fontId="19" fillId="12" borderId="7" xfId="1" applyFill="1" applyBorder="1" applyAlignment="1" applyProtection="1">
      <alignment horizontal="center"/>
      <protection locked="0"/>
    </xf>
    <xf numFmtId="0" fontId="34" fillId="0" borderId="113" xfId="0" applyFont="1" applyBorder="1" applyProtection="1">
      <protection locked="0"/>
    </xf>
    <xf numFmtId="0" fontId="19" fillId="12" borderId="12" xfId="1" applyFill="1" applyBorder="1" applyAlignment="1" applyProtection="1">
      <alignment horizontal="center"/>
      <protection locked="0"/>
    </xf>
    <xf numFmtId="165" fontId="34" fillId="4" borderId="1" xfId="0" applyNumberFormat="1" applyFont="1" applyFill="1" applyBorder="1" applyAlignment="1">
      <alignment horizontal="center"/>
    </xf>
    <xf numFmtId="0" fontId="34" fillId="18" borderId="1" xfId="0" applyNumberFormat="1" applyFont="1" applyFill="1" applyBorder="1" applyAlignment="1">
      <alignment horizontal="center"/>
    </xf>
    <xf numFmtId="0" fontId="34" fillId="2" borderId="1" xfId="0" applyNumberFormat="1" applyFont="1" applyFill="1" applyBorder="1" applyAlignment="1">
      <alignment horizontal="center"/>
    </xf>
    <xf numFmtId="164" fontId="34" fillId="18" borderId="1" xfId="0" applyNumberFormat="1" applyFont="1" applyFill="1" applyBorder="1" applyAlignment="1">
      <alignment horizontal="center"/>
    </xf>
    <xf numFmtId="164" fontId="34" fillId="2" borderId="1" xfId="0" applyNumberFormat="1" applyFont="1" applyFill="1" applyBorder="1" applyAlignment="1">
      <alignment horizontal="center"/>
    </xf>
    <xf numFmtId="2" fontId="34" fillId="18" borderId="1" xfId="0" applyNumberFormat="1" applyFont="1" applyFill="1" applyBorder="1" applyAlignment="1">
      <alignment horizontal="center"/>
    </xf>
    <xf numFmtId="165" fontId="19" fillId="12" borderId="7" xfId="1" applyNumberFormat="1" applyFill="1" applyBorder="1" applyAlignment="1" applyProtection="1">
      <alignment horizontal="center"/>
      <protection locked="0"/>
    </xf>
    <xf numFmtId="0" fontId="35" fillId="20" borderId="0" xfId="0" applyFont="1" applyFill="1" applyAlignment="1">
      <alignment horizontal="center" wrapText="1"/>
    </xf>
    <xf numFmtId="0" fontId="34" fillId="20" borderId="0" xfId="0" applyFont="1" applyFill="1" applyAlignment="1">
      <alignment wrapText="1"/>
    </xf>
    <xf numFmtId="0" fontId="105" fillId="20" borderId="0" xfId="6" applyFont="1" applyFill="1" applyAlignment="1"/>
    <xf numFmtId="0" fontId="106" fillId="20" borderId="0" xfId="6" applyFont="1" applyFill="1" applyAlignment="1"/>
    <xf numFmtId="0" fontId="36" fillId="20" borderId="0" xfId="0" applyFont="1" applyFill="1" applyAlignment="1"/>
    <xf numFmtId="2" fontId="19" fillId="12" borderId="89" xfId="1" applyNumberFormat="1" applyFill="1" applyBorder="1" applyAlignment="1" applyProtection="1">
      <alignment horizontal="center"/>
      <protection locked="0"/>
    </xf>
    <xf numFmtId="165" fontId="0" fillId="17" borderId="49" xfId="0" applyNumberFormat="1" applyFill="1" applyBorder="1" applyAlignment="1"/>
    <xf numFmtId="0" fontId="19" fillId="0" borderId="16" xfId="1" applyBorder="1" applyProtection="1"/>
    <xf numFmtId="165" fontId="19" fillId="12" borderId="16" xfId="1" applyNumberFormat="1" applyFill="1" applyBorder="1" applyProtection="1"/>
    <xf numFmtId="166" fontId="52" fillId="12" borderId="16" xfId="3" applyNumberFormat="1" applyFill="1" applyBorder="1" applyProtection="1"/>
    <xf numFmtId="0" fontId="19" fillId="0" borderId="29" xfId="0" applyFont="1" applyBorder="1" applyProtection="1"/>
    <xf numFmtId="0" fontId="19" fillId="0" borderId="34" xfId="0" applyFont="1" applyBorder="1" applyProtection="1"/>
    <xf numFmtId="0" fontId="26" fillId="0" borderId="34" xfId="0" applyFont="1" applyBorder="1" applyProtection="1"/>
    <xf numFmtId="11" fontId="19" fillId="0" borderId="29" xfId="0" applyNumberFormat="1" applyFont="1" applyBorder="1" applyProtection="1"/>
    <xf numFmtId="11" fontId="19" fillId="0" borderId="34" xfId="0" applyNumberFormat="1" applyFont="1" applyBorder="1" applyProtection="1"/>
    <xf numFmtId="165" fontId="19" fillId="12" borderId="13" xfId="1" applyNumberFormat="1" applyFill="1" applyBorder="1" applyProtection="1">
      <protection locked="0"/>
    </xf>
    <xf numFmtId="0" fontId="34" fillId="18" borderId="1" xfId="0" applyFont="1" applyFill="1" applyBorder="1" applyAlignment="1"/>
    <xf numFmtId="0" fontId="34" fillId="2" borderId="1" xfId="0" applyFont="1" applyFill="1" applyBorder="1" applyAlignment="1"/>
    <xf numFmtId="2" fontId="34" fillId="2" borderId="1" xfId="0" applyNumberFormat="1" applyFont="1" applyFill="1" applyBorder="1" applyAlignment="1"/>
    <xf numFmtId="0" fontId="35" fillId="0" borderId="26" xfId="0" quotePrefix="1" applyFont="1" applyBorder="1" applyProtection="1">
      <protection locked="0"/>
    </xf>
    <xf numFmtId="0" fontId="19" fillId="9" borderId="38" xfId="1" applyFont="1" applyFill="1" applyBorder="1"/>
    <xf numFmtId="2" fontId="104" fillId="0" borderId="29" xfId="0" applyNumberFormat="1" applyFont="1" applyBorder="1" applyProtection="1"/>
    <xf numFmtId="0" fontId="21" fillId="0" borderId="28" xfId="1" applyFont="1" applyBorder="1"/>
    <xf numFmtId="0" fontId="19" fillId="10" borderId="0" xfId="5" applyFont="1" applyFill="1" applyAlignment="1">
      <alignment horizontal="left" vertical="top" wrapText="1"/>
    </xf>
    <xf numFmtId="0" fontId="0" fillId="20" borderId="23" xfId="0" applyFill="1" applyBorder="1" applyAlignment="1"/>
    <xf numFmtId="0" fontId="0" fillId="20" borderId="18" xfId="0" applyFill="1" applyBorder="1" applyAlignment="1"/>
    <xf numFmtId="0" fontId="0" fillId="20" borderId="10" xfId="0" applyFill="1" applyBorder="1" applyAlignment="1"/>
    <xf numFmtId="0" fontId="0" fillId="6" borderId="0" xfId="0" applyFill="1" applyAlignment="1"/>
    <xf numFmtId="0" fontId="0" fillId="24" borderId="0" xfId="0" applyFill="1" applyAlignment="1"/>
    <xf numFmtId="0" fontId="0" fillId="33" borderId="0" xfId="0" applyFill="1" applyAlignment="1"/>
    <xf numFmtId="0" fontId="107" fillId="20" borderId="10" xfId="0" applyFont="1" applyFill="1" applyBorder="1" applyAlignment="1">
      <alignment horizontal="center"/>
    </xf>
    <xf numFmtId="0" fontId="2" fillId="20" borderId="10" xfId="0" applyFont="1" applyFill="1" applyBorder="1" applyAlignment="1">
      <alignment horizontal="center"/>
    </xf>
    <xf numFmtId="0" fontId="2" fillId="20" borderId="10" xfId="0" applyFont="1" applyFill="1" applyBorder="1" applyAlignment="1"/>
    <xf numFmtId="0" fontId="2" fillId="24" borderId="0" xfId="0" applyFont="1" applyFill="1" applyAlignment="1"/>
    <xf numFmtId="0" fontId="39" fillId="9" borderId="0" xfId="1" applyFont="1" applyFill="1" applyAlignment="1" applyProtection="1">
      <alignment horizontal="left"/>
    </xf>
    <xf numFmtId="166" fontId="19" fillId="4" borderId="12" xfId="1" applyNumberFormat="1" applyFill="1" applyBorder="1" applyAlignment="1" applyProtection="1">
      <alignment horizontal="center"/>
      <protection locked="0"/>
    </xf>
    <xf numFmtId="0" fontId="19" fillId="0" borderId="36" xfId="1" applyBorder="1"/>
    <xf numFmtId="0" fontId="34" fillId="0" borderId="114" xfId="0" applyFont="1" applyBorder="1" applyProtection="1">
      <protection locked="0"/>
    </xf>
    <xf numFmtId="0" fontId="36" fillId="0" borderId="29" xfId="0" applyFont="1" applyBorder="1" applyAlignment="1" applyProtection="1">
      <alignment horizontal="right"/>
      <protection locked="0"/>
    </xf>
    <xf numFmtId="0" fontId="46" fillId="0" borderId="29" xfId="0" applyFont="1" applyBorder="1" applyProtection="1"/>
    <xf numFmtId="0" fontId="39" fillId="0" borderId="34" xfId="0" applyFont="1" applyBorder="1" applyProtection="1"/>
    <xf numFmtId="11" fontId="34" fillId="0" borderId="27" xfId="0" applyNumberFormat="1" applyFont="1" applyBorder="1" applyProtection="1"/>
    <xf numFmtId="2" fontId="19" fillId="17" borderId="5" xfId="1" applyNumberFormat="1" applyFill="1" applyBorder="1" applyProtection="1">
      <protection locked="0"/>
    </xf>
    <xf numFmtId="1" fontId="72" fillId="17" borderId="7" xfId="1" applyNumberFormat="1" applyFont="1" applyFill="1" applyBorder="1" applyProtection="1">
      <protection locked="0"/>
    </xf>
    <xf numFmtId="9" fontId="0" fillId="2" borderId="7" xfId="4" applyFont="1" applyFill="1" applyBorder="1" applyAlignment="1"/>
    <xf numFmtId="0" fontId="34" fillId="0" borderId="39" xfId="0" applyFont="1" applyBorder="1" applyAlignment="1" applyProtection="1">
      <alignment horizontal="center"/>
    </xf>
    <xf numFmtId="0" fontId="34" fillId="0" borderId="34" xfId="0" applyFont="1" applyBorder="1" applyAlignment="1" applyProtection="1">
      <alignment horizontal="center"/>
    </xf>
    <xf numFmtId="0" fontId="34" fillId="0" borderId="28" xfId="0" applyFont="1" applyBorder="1" applyAlignment="1" applyProtection="1">
      <alignment horizontal="center"/>
    </xf>
    <xf numFmtId="0" fontId="34" fillId="0" borderId="24" xfId="0" applyFont="1" applyBorder="1" applyAlignment="1" applyProtection="1">
      <alignment horizontal="left"/>
    </xf>
    <xf numFmtId="0" fontId="34" fillId="0" borderId="28" xfId="0" applyFont="1" applyBorder="1" applyAlignment="1" applyProtection="1">
      <alignment horizontal="left"/>
    </xf>
    <xf numFmtId="0" fontId="108" fillId="20" borderId="0" xfId="0" applyFont="1" applyFill="1" applyAlignment="1">
      <alignment horizontal="center"/>
    </xf>
    <xf numFmtId="0" fontId="109" fillId="20" borderId="0" xfId="0" applyFont="1" applyFill="1" applyAlignment="1"/>
    <xf numFmtId="0" fontId="0" fillId="20" borderId="117" xfId="0" applyFill="1" applyBorder="1" applyAlignment="1"/>
    <xf numFmtId="0" fontId="0" fillId="20" borderId="118" xfId="0" applyFill="1" applyBorder="1" applyAlignment="1"/>
    <xf numFmtId="0" fontId="0" fillId="20" borderId="117" xfId="0" applyFill="1" applyBorder="1" applyAlignment="1">
      <alignment horizontal="right"/>
    </xf>
    <xf numFmtId="0" fontId="0" fillId="34" borderId="23" xfId="0" applyFill="1" applyBorder="1" applyAlignment="1"/>
    <xf numFmtId="0" fontId="0" fillId="34" borderId="10" xfId="0" applyFill="1" applyBorder="1" applyAlignment="1"/>
    <xf numFmtId="0" fontId="110" fillId="20" borderId="0" xfId="0" applyFont="1" applyFill="1" applyAlignment="1">
      <alignment horizontal="right"/>
    </xf>
    <xf numFmtId="0" fontId="110" fillId="20" borderId="0" xfId="0" applyFont="1" applyFill="1" applyAlignment="1"/>
    <xf numFmtId="0" fontId="110" fillId="20" borderId="0" xfId="0" applyFont="1" applyFill="1" applyAlignment="1">
      <alignment horizontal="center"/>
    </xf>
    <xf numFmtId="0" fontId="110" fillId="20" borderId="18" xfId="0" applyFont="1" applyFill="1" applyBorder="1" applyAlignment="1">
      <alignment horizontal="center"/>
    </xf>
    <xf numFmtId="0" fontId="2" fillId="24" borderId="0" xfId="0" applyFont="1" applyFill="1" applyAlignment="1">
      <alignment horizontal="center"/>
    </xf>
    <xf numFmtId="0" fontId="0" fillId="20" borderId="119" xfId="0" applyFill="1" applyBorder="1" applyAlignment="1"/>
    <xf numFmtId="0" fontId="2" fillId="24" borderId="0" xfId="0" applyFont="1" applyFill="1" applyAlignment="1">
      <alignment horizontal="right"/>
    </xf>
    <xf numFmtId="0" fontId="0" fillId="35" borderId="0" xfId="0" applyFill="1" applyAlignment="1"/>
    <xf numFmtId="0" fontId="107" fillId="20" borderId="0" xfId="0" applyFont="1" applyFill="1" applyBorder="1" applyAlignment="1">
      <alignment horizontal="center"/>
    </xf>
    <xf numFmtId="0" fontId="109" fillId="0" borderId="0" xfId="0" applyFont="1" applyFill="1" applyAlignment="1"/>
    <xf numFmtId="0" fontId="0" fillId="0" borderId="0" xfId="0" applyFill="1" applyAlignment="1"/>
    <xf numFmtId="0" fontId="0" fillId="36" borderId="0" xfId="0" applyFill="1"/>
    <xf numFmtId="0" fontId="109" fillId="0" borderId="0" xfId="0" applyFont="1" applyFill="1" applyAlignment="1">
      <alignment horizontal="center"/>
    </xf>
    <xf numFmtId="0" fontId="111" fillId="0" borderId="0" xfId="0" applyFont="1" applyFill="1" applyAlignment="1"/>
    <xf numFmtId="0" fontId="0" fillId="35" borderId="0" xfId="0" applyFill="1" applyAlignment="1">
      <alignment horizontal="center"/>
    </xf>
    <xf numFmtId="0" fontId="0" fillId="0" borderId="23" xfId="0" applyBorder="1"/>
    <xf numFmtId="0" fontId="1" fillId="20" borderId="0" xfId="0" applyFont="1" applyFill="1" applyAlignment="1">
      <alignment horizontal="right"/>
    </xf>
    <xf numFmtId="0" fontId="0" fillId="34" borderId="120" xfId="0" applyFill="1" applyBorder="1" applyAlignment="1"/>
    <xf numFmtId="0" fontId="0" fillId="34" borderId="121" xfId="0" applyFill="1" applyBorder="1" applyAlignment="1"/>
    <xf numFmtId="0" fontId="0" fillId="34" borderId="13" xfId="0" applyFill="1" applyBorder="1" applyAlignment="1"/>
    <xf numFmtId="0" fontId="1" fillId="20" borderId="0" xfId="0" applyFont="1" applyFill="1" applyAlignment="1">
      <alignment horizontal="center"/>
    </xf>
    <xf numFmtId="0" fontId="0" fillId="34" borderId="0" xfId="0" applyFill="1" applyAlignment="1"/>
    <xf numFmtId="0" fontId="0" fillId="37" borderId="0" xfId="0" applyFill="1"/>
    <xf numFmtId="0" fontId="0" fillId="38" borderId="0" xfId="0" applyFill="1" applyAlignment="1"/>
    <xf numFmtId="0" fontId="107" fillId="34" borderId="0" xfId="0" applyFont="1" applyFill="1" applyAlignment="1"/>
    <xf numFmtId="0" fontId="0" fillId="34" borderId="0" xfId="0" applyFill="1" applyAlignment="1">
      <alignment horizontal="center"/>
    </xf>
    <xf numFmtId="0" fontId="1" fillId="20" borderId="0" xfId="0" applyFont="1" applyFill="1" applyAlignment="1">
      <alignment horizontal="left"/>
    </xf>
    <xf numFmtId="0" fontId="22" fillId="9" borderId="33" xfId="1" applyFont="1" applyFill="1" applyBorder="1"/>
    <xf numFmtId="0" fontId="2" fillId="20" borderId="0" xfId="0" applyFont="1" applyFill="1" applyBorder="1" applyAlignment="1">
      <alignment horizontal="center"/>
    </xf>
    <xf numFmtId="0" fontId="72" fillId="20" borderId="0" xfId="0" applyFont="1" applyFill="1" applyAlignment="1"/>
    <xf numFmtId="0" fontId="19" fillId="0" borderId="60" xfId="1" applyBorder="1"/>
    <xf numFmtId="0" fontId="19" fillId="0" borderId="61" xfId="1" applyBorder="1"/>
    <xf numFmtId="0" fontId="19" fillId="0" borderId="41" xfId="1" applyBorder="1"/>
    <xf numFmtId="0" fontId="19" fillId="0" borderId="122" xfId="1" applyBorder="1"/>
    <xf numFmtId="0" fontId="22" fillId="9" borderId="36" xfId="1" applyFont="1" applyFill="1" applyBorder="1"/>
    <xf numFmtId="0" fontId="55" fillId="9" borderId="0" xfId="5" applyFill="1" applyAlignment="1">
      <alignment vertical="top"/>
    </xf>
    <xf numFmtId="0" fontId="113" fillId="20" borderId="0" xfId="0" applyFont="1" applyFill="1" applyAlignment="1"/>
    <xf numFmtId="0" fontId="101" fillId="31" borderId="0" xfId="9" applyAlignment="1">
      <alignment vertical="top" wrapText="1"/>
    </xf>
    <xf numFmtId="0" fontId="108" fillId="20" borderId="0" xfId="0" applyFont="1" applyFill="1" applyBorder="1" applyAlignment="1">
      <alignment horizontal="center"/>
    </xf>
    <xf numFmtId="0" fontId="0" fillId="20" borderId="0" xfId="0" applyFill="1" applyBorder="1"/>
    <xf numFmtId="0" fontId="109" fillId="20" borderId="0" xfId="0" applyFont="1" applyFill="1" applyBorder="1" applyAlignment="1"/>
    <xf numFmtId="0" fontId="0" fillId="20" borderId="0" xfId="0" applyFill="1" applyBorder="1" applyAlignment="1">
      <alignment horizontal="right"/>
    </xf>
    <xf numFmtId="0" fontId="1" fillId="20" borderId="0" xfId="0" applyFont="1" applyFill="1" applyBorder="1" applyAlignment="1">
      <alignment horizontal="center"/>
    </xf>
    <xf numFmtId="0" fontId="110" fillId="20" borderId="0" xfId="0" applyFont="1" applyFill="1" applyBorder="1" applyAlignment="1">
      <alignment horizontal="right"/>
    </xf>
    <xf numFmtId="0" fontId="110" fillId="20" borderId="0" xfId="0" applyFont="1" applyFill="1" applyBorder="1" applyAlignment="1"/>
    <xf numFmtId="0" fontId="2" fillId="20" borderId="0" xfId="0" applyFont="1" applyFill="1" applyBorder="1" applyAlignment="1"/>
    <xf numFmtId="0" fontId="110" fillId="20" borderId="0" xfId="0" applyFont="1" applyFill="1" applyBorder="1" applyAlignment="1">
      <alignment horizontal="center"/>
    </xf>
    <xf numFmtId="0" fontId="2" fillId="20" borderId="0" xfId="0" applyFont="1" applyFill="1" applyBorder="1" applyAlignment="1">
      <alignment horizontal="right"/>
    </xf>
    <xf numFmtId="0" fontId="107" fillId="20" borderId="0" xfId="0" applyFont="1" applyFill="1" applyBorder="1" applyAlignment="1"/>
    <xf numFmtId="0" fontId="109" fillId="20" borderId="0" xfId="0" applyFont="1" applyFill="1" applyBorder="1" applyAlignment="1">
      <alignment horizontal="center"/>
    </xf>
    <xf numFmtId="0" fontId="111" fillId="20" borderId="0" xfId="0" applyFont="1" applyFill="1" applyBorder="1" applyAlignment="1"/>
    <xf numFmtId="0" fontId="0" fillId="20" borderId="0" xfId="0" applyFill="1" applyBorder="1" applyAlignment="1">
      <alignment horizontal="center"/>
    </xf>
    <xf numFmtId="0" fontId="1" fillId="20" borderId="0" xfId="0" applyFont="1" applyFill="1" applyBorder="1" applyAlignment="1">
      <alignment horizontal="right"/>
    </xf>
    <xf numFmtId="0" fontId="1" fillId="20" borderId="0" xfId="0" applyFont="1" applyFill="1" applyBorder="1" applyAlignment="1">
      <alignment horizontal="left"/>
    </xf>
    <xf numFmtId="11" fontId="19" fillId="40" borderId="91" xfId="1" applyNumberFormat="1" applyFill="1" applyBorder="1" applyAlignment="1" applyProtection="1">
      <alignment horizontal="center"/>
      <protection locked="0"/>
    </xf>
    <xf numFmtId="11" fontId="19" fillId="40" borderId="1" xfId="1" applyNumberFormat="1" applyFill="1" applyBorder="1" applyAlignment="1" applyProtection="1">
      <alignment horizontal="center"/>
      <protection locked="0"/>
    </xf>
    <xf numFmtId="2" fontId="19" fillId="40" borderId="1" xfId="1" applyNumberFormat="1" applyFill="1" applyBorder="1" applyAlignment="1" applyProtection="1">
      <alignment horizontal="center"/>
      <protection locked="0"/>
    </xf>
    <xf numFmtId="2" fontId="19" fillId="40" borderId="80" xfId="4" applyNumberFormat="1" applyFont="1" applyFill="1" applyBorder="1" applyAlignment="1" applyProtection="1">
      <alignment horizontal="center"/>
      <protection locked="0"/>
    </xf>
    <xf numFmtId="11" fontId="34" fillId="40" borderId="80" xfId="0" applyNumberFormat="1" applyFont="1" applyFill="1" applyBorder="1" applyAlignment="1" applyProtection="1">
      <alignment horizontal="center"/>
    </xf>
    <xf numFmtId="9" fontId="19" fillId="40" borderId="7" xfId="4" applyFont="1" applyFill="1" applyBorder="1" applyAlignment="1" applyProtection="1">
      <alignment horizontal="center"/>
      <protection locked="0"/>
    </xf>
    <xf numFmtId="165" fontId="19" fillId="40" borderId="7" xfId="1" applyNumberFormat="1" applyFill="1" applyBorder="1" applyAlignment="1" applyProtection="1">
      <alignment horizontal="center"/>
      <protection locked="0"/>
    </xf>
    <xf numFmtId="2" fontId="19" fillId="40" borderId="47" xfId="1" applyNumberFormat="1" applyFill="1" applyBorder="1" applyAlignment="1" applyProtection="1">
      <alignment horizontal="center"/>
      <protection locked="0"/>
    </xf>
    <xf numFmtId="2" fontId="19" fillId="40" borderId="40" xfId="1" applyNumberFormat="1" applyFill="1" applyBorder="1" applyAlignment="1" applyProtection="1">
      <alignment horizontal="center"/>
      <protection locked="0"/>
    </xf>
    <xf numFmtId="165" fontId="19" fillId="40" borderId="1" xfId="1" applyNumberFormat="1" applyFill="1" applyBorder="1" applyAlignment="1" applyProtection="1">
      <alignment horizontal="center"/>
      <protection locked="0"/>
    </xf>
    <xf numFmtId="1" fontId="19" fillId="40" borderId="1" xfId="1" applyNumberFormat="1" applyFill="1" applyBorder="1" applyAlignment="1" applyProtection="1">
      <alignment horizontal="center"/>
      <protection locked="0"/>
    </xf>
    <xf numFmtId="164" fontId="19" fillId="40" borderId="1" xfId="1" applyNumberFormat="1" applyFill="1" applyBorder="1" applyAlignment="1" applyProtection="1">
      <alignment horizontal="center"/>
      <protection locked="0"/>
    </xf>
    <xf numFmtId="172" fontId="19" fillId="4" borderId="1" xfId="1" applyNumberFormat="1" applyFill="1" applyBorder="1" applyAlignment="1" applyProtection="1">
      <alignment horizontal="center"/>
      <protection locked="0"/>
    </xf>
    <xf numFmtId="1" fontId="19" fillId="4" borderId="1" xfId="1" applyNumberFormat="1" applyFill="1" applyBorder="1" applyAlignment="1" applyProtection="1">
      <alignment horizontal="center"/>
      <protection locked="0"/>
    </xf>
    <xf numFmtId="1" fontId="19" fillId="4" borderId="48" xfId="1" applyNumberFormat="1" applyFill="1" applyBorder="1" applyAlignment="1" applyProtection="1">
      <alignment horizontal="center"/>
      <protection locked="0"/>
    </xf>
    <xf numFmtId="165" fontId="34" fillId="40" borderId="7" xfId="0" applyNumberFormat="1" applyFont="1" applyFill="1" applyBorder="1" applyAlignment="1" applyProtection="1">
      <alignment horizontal="center"/>
    </xf>
    <xf numFmtId="1" fontId="19" fillId="4" borderId="47" xfId="1" applyNumberFormat="1" applyFill="1" applyBorder="1" applyAlignment="1" applyProtection="1">
      <alignment horizontal="center"/>
      <protection locked="0"/>
    </xf>
    <xf numFmtId="172" fontId="19" fillId="40" borderId="7" xfId="1" applyNumberFormat="1" applyFill="1" applyBorder="1" applyAlignment="1" applyProtection="1">
      <alignment horizontal="center"/>
      <protection locked="0"/>
    </xf>
    <xf numFmtId="1" fontId="19" fillId="4" borderId="89" xfId="1" applyNumberFormat="1" applyFill="1" applyBorder="1" applyAlignment="1" applyProtection="1">
      <alignment horizontal="center"/>
      <protection locked="0"/>
    </xf>
    <xf numFmtId="1" fontId="19" fillId="4" borderId="7" xfId="1" applyNumberFormat="1" applyFill="1" applyBorder="1" applyAlignment="1" applyProtection="1">
      <alignment horizontal="center"/>
      <protection locked="0"/>
    </xf>
    <xf numFmtId="1" fontId="19" fillId="4" borderId="5" xfId="1" applyNumberFormat="1" applyFill="1" applyBorder="1" applyAlignment="1" applyProtection="1">
      <alignment horizontal="center"/>
      <protection locked="0"/>
    </xf>
    <xf numFmtId="1" fontId="19" fillId="40" borderId="7" xfId="1" applyNumberFormat="1" applyFill="1" applyBorder="1" applyAlignment="1" applyProtection="1">
      <alignment horizontal="center"/>
      <protection locked="0"/>
    </xf>
    <xf numFmtId="1" fontId="19" fillId="40" borderId="40" xfId="1" applyNumberFormat="1" applyFill="1" applyBorder="1" applyAlignment="1" applyProtection="1">
      <alignment horizontal="center"/>
      <protection locked="0"/>
    </xf>
    <xf numFmtId="1" fontId="19" fillId="40" borderId="47" xfId="1" applyNumberFormat="1" applyFill="1" applyBorder="1" applyAlignment="1" applyProtection="1">
      <alignment horizontal="center"/>
      <protection locked="0"/>
    </xf>
    <xf numFmtId="2" fontId="19" fillId="40" borderId="5" xfId="1" applyNumberFormat="1" applyFill="1" applyBorder="1" applyAlignment="1" applyProtection="1">
      <alignment horizontal="center"/>
      <protection locked="0"/>
    </xf>
    <xf numFmtId="1" fontId="19" fillId="23" borderId="5" xfId="1" applyNumberFormat="1" applyFill="1" applyBorder="1" applyAlignment="1" applyProtection="1">
      <alignment horizontal="center"/>
      <protection locked="0"/>
    </xf>
    <xf numFmtId="165" fontId="19" fillId="23" borderId="5" xfId="1" applyNumberFormat="1" applyFill="1" applyBorder="1" applyAlignment="1" applyProtection="1">
      <alignment horizontal="center"/>
      <protection locked="0"/>
    </xf>
    <xf numFmtId="165" fontId="19" fillId="23" borderId="56" xfId="1" applyNumberFormat="1" applyFill="1" applyBorder="1" applyAlignment="1" applyProtection="1">
      <alignment horizontal="center"/>
      <protection locked="0"/>
    </xf>
    <xf numFmtId="0" fontId="114" fillId="20" borderId="0" xfId="0" applyFont="1" applyFill="1"/>
    <xf numFmtId="0" fontId="0" fillId="20" borderId="0" xfId="0" applyFill="1"/>
    <xf numFmtId="0" fontId="2" fillId="20" borderId="0" xfId="0" applyFont="1" applyFill="1"/>
    <xf numFmtId="0" fontId="1" fillId="20" borderId="0" xfId="0" applyFont="1" applyFill="1" applyBorder="1" applyAlignment="1"/>
    <xf numFmtId="0" fontId="115" fillId="20" borderId="0" xfId="0" applyFont="1" applyFill="1" applyAlignment="1"/>
    <xf numFmtId="2" fontId="116" fillId="39" borderId="1" xfId="1" applyNumberFormat="1" applyFont="1" applyFill="1" applyBorder="1" applyProtection="1"/>
    <xf numFmtId="0" fontId="19" fillId="41" borderId="10" xfId="1" applyFill="1" applyBorder="1" applyProtection="1"/>
    <xf numFmtId="0" fontId="21" fillId="10" borderId="0" xfId="5" applyFont="1" applyFill="1" applyAlignment="1">
      <alignment horizontal="center" vertical="top" wrapText="1"/>
    </xf>
    <xf numFmtId="0" fontId="46" fillId="9" borderId="1" xfId="5" applyFont="1" applyFill="1" applyBorder="1" applyAlignment="1">
      <alignment vertical="top" wrapText="1"/>
    </xf>
    <xf numFmtId="0" fontId="95" fillId="0" borderId="0" xfId="0" applyFont="1" applyAlignment="1">
      <alignment vertical="top" wrapText="1"/>
    </xf>
    <xf numFmtId="0" fontId="87" fillId="0" borderId="0" xfId="6" applyAlignment="1">
      <alignment vertical="top" wrapText="1"/>
    </xf>
    <xf numFmtId="0" fontId="87" fillId="0" borderId="0" xfId="6" applyFont="1" applyAlignment="1">
      <alignment vertical="top" wrapText="1"/>
    </xf>
    <xf numFmtId="0" fontId="118" fillId="0" borderId="0" xfId="0" applyFont="1" applyAlignment="1">
      <alignment vertical="top" wrapText="1"/>
    </xf>
    <xf numFmtId="0" fontId="1" fillId="0" borderId="0" xfId="0" applyFont="1" applyAlignment="1">
      <alignment vertical="top" wrapText="1"/>
    </xf>
    <xf numFmtId="0" fontId="0" fillId="19" borderId="1" xfId="0" applyFont="1" applyFill="1" applyBorder="1" applyAlignment="1">
      <alignment horizontal="center"/>
    </xf>
    <xf numFmtId="0" fontId="0" fillId="2" borderId="1" xfId="0" applyFont="1" applyFill="1" applyBorder="1"/>
    <xf numFmtId="0" fontId="0" fillId="2" borderId="1" xfId="0" applyFont="1" applyFill="1" applyBorder="1" applyAlignment="1">
      <alignment horizontal="center"/>
    </xf>
    <xf numFmtId="1" fontId="0" fillId="2" borderId="1" xfId="0" applyNumberFormat="1" applyFont="1" applyFill="1" applyBorder="1" applyAlignment="1">
      <alignment horizontal="center"/>
    </xf>
    <xf numFmtId="0" fontId="17" fillId="20" borderId="0" xfId="0" applyFont="1" applyFill="1"/>
    <xf numFmtId="0" fontId="0" fillId="20" borderId="0" xfId="0" applyFont="1" applyFill="1" applyAlignment="1">
      <alignment horizontal="right"/>
    </xf>
    <xf numFmtId="1" fontId="19" fillId="2" borderId="1" xfId="1" applyNumberFormat="1" applyFill="1" applyBorder="1" applyAlignment="1" applyProtection="1">
      <alignment horizontal="center"/>
      <protection locked="0"/>
    </xf>
    <xf numFmtId="0" fontId="0" fillId="20" borderId="0" xfId="0" applyFont="1" applyFill="1" applyBorder="1"/>
    <xf numFmtId="0" fontId="19" fillId="0" borderId="1" xfId="3" applyFont="1" applyBorder="1" applyProtection="1"/>
    <xf numFmtId="0" fontId="28" fillId="0" borderId="16" xfId="3" applyFont="1" applyBorder="1" applyAlignment="1" applyProtection="1">
      <alignment horizontal="right"/>
    </xf>
    <xf numFmtId="0" fontId="19" fillId="0" borderId="19" xfId="1" applyFont="1" applyBorder="1" applyAlignment="1" applyProtection="1">
      <alignment horizontal="left"/>
    </xf>
    <xf numFmtId="170" fontId="19" fillId="40" borderId="1" xfId="1" applyNumberFormat="1" applyFill="1" applyBorder="1" applyAlignment="1" applyProtection="1">
      <alignment horizontal="center"/>
      <protection locked="0"/>
    </xf>
    <xf numFmtId="0" fontId="34" fillId="2" borderId="1" xfId="0" applyFont="1" applyFill="1" applyBorder="1" applyAlignment="1" applyProtection="1">
      <alignment horizontal="center"/>
    </xf>
    <xf numFmtId="0" fontId="34" fillId="0" borderId="90" xfId="0" applyFont="1" applyBorder="1" applyAlignment="1">
      <alignment horizontal="center" vertical="center" wrapText="1"/>
    </xf>
    <xf numFmtId="0" fontId="34" fillId="44" borderId="90" xfId="0" applyFont="1" applyFill="1" applyBorder="1" applyAlignment="1">
      <alignment horizontal="center" vertical="center" wrapText="1"/>
    </xf>
    <xf numFmtId="0" fontId="92" fillId="0" borderId="90" xfId="0" applyFont="1" applyBorder="1" applyAlignment="1">
      <alignment horizontal="center" vertical="center" wrapText="1"/>
    </xf>
    <xf numFmtId="0" fontId="129" fillId="0" borderId="90" xfId="0" applyFont="1" applyBorder="1" applyAlignment="1">
      <alignment vertical="center" wrapText="1"/>
    </xf>
    <xf numFmtId="0" fontId="92" fillId="44" borderId="90" xfId="0" applyFont="1" applyFill="1" applyBorder="1" applyAlignment="1">
      <alignment horizontal="center" vertical="center" wrapText="1"/>
    </xf>
    <xf numFmtId="0" fontId="129" fillId="44" borderId="90" xfId="0" applyFont="1" applyFill="1" applyBorder="1" applyAlignment="1">
      <alignment vertical="center" wrapText="1"/>
    </xf>
    <xf numFmtId="0" fontId="130" fillId="0" borderId="0" xfId="0" applyFont="1"/>
    <xf numFmtId="1" fontId="19" fillId="4" borderId="1" xfId="1" applyNumberFormat="1" applyFill="1" applyBorder="1" applyProtection="1">
      <protection locked="0"/>
    </xf>
    <xf numFmtId="1" fontId="19" fillId="4" borderId="2" xfId="1" applyNumberFormat="1" applyFill="1" applyBorder="1" applyProtection="1">
      <protection locked="0"/>
    </xf>
    <xf numFmtId="0" fontId="0" fillId="19" borderId="0" xfId="0" applyFill="1" applyAlignment="1">
      <alignment vertical="top" wrapText="1"/>
    </xf>
    <xf numFmtId="0" fontId="1" fillId="19" borderId="0" xfId="0" applyFont="1" applyFill="1" applyAlignment="1">
      <alignment vertical="top" wrapText="1"/>
    </xf>
    <xf numFmtId="0" fontId="122" fillId="19" borderId="0" xfId="0" applyFont="1" applyFill="1" applyAlignment="1">
      <alignment vertical="top" wrapText="1"/>
    </xf>
    <xf numFmtId="0" fontId="132" fillId="10" borderId="35" xfId="0" applyFont="1" applyFill="1" applyBorder="1" applyProtection="1"/>
    <xf numFmtId="0" fontId="133" fillId="10" borderId="36" xfId="0" applyFont="1" applyFill="1" applyBorder="1" applyAlignment="1" applyProtection="1">
      <alignment horizontal="center"/>
    </xf>
    <xf numFmtId="0" fontId="133" fillId="10" borderId="36" xfId="0" applyFont="1" applyFill="1" applyBorder="1" applyProtection="1"/>
    <xf numFmtId="0" fontId="133" fillId="10" borderId="45" xfId="0" applyFont="1" applyFill="1" applyBorder="1" applyProtection="1"/>
    <xf numFmtId="0" fontId="134" fillId="0" borderId="28" xfId="0" applyFont="1" applyBorder="1" applyProtection="1"/>
    <xf numFmtId="0" fontId="134" fillId="0" borderId="24" xfId="0" applyFont="1" applyBorder="1" applyProtection="1"/>
    <xf numFmtId="0" fontId="134" fillId="0" borderId="0" xfId="0" applyFont="1" applyProtection="1"/>
    <xf numFmtId="0" fontId="135" fillId="10" borderId="37" xfId="0" quotePrefix="1" applyFont="1" applyFill="1" applyBorder="1" applyProtection="1"/>
    <xf numFmtId="0" fontId="133" fillId="10" borderId="0" xfId="0" applyFont="1" applyFill="1" applyBorder="1" applyAlignment="1" applyProtection="1">
      <alignment horizontal="center"/>
    </xf>
    <xf numFmtId="0" fontId="133" fillId="10" borderId="0" xfId="0" applyFont="1" applyFill="1" applyBorder="1" applyProtection="1"/>
    <xf numFmtId="0" fontId="133" fillId="10" borderId="46" xfId="0" applyFont="1" applyFill="1" applyBorder="1" applyProtection="1"/>
    <xf numFmtId="0" fontId="136" fillId="10" borderId="8" xfId="0" applyFont="1" applyFill="1" applyBorder="1" applyProtection="1"/>
    <xf numFmtId="0" fontId="136" fillId="10" borderId="1" xfId="0" applyFont="1" applyFill="1" applyBorder="1" applyAlignment="1" applyProtection="1">
      <alignment horizontal="center"/>
    </xf>
    <xf numFmtId="0" fontId="136" fillId="10" borderId="9" xfId="0" applyFont="1" applyFill="1" applyBorder="1" applyProtection="1"/>
    <xf numFmtId="0" fontId="136" fillId="10" borderId="7" xfId="0" applyFont="1" applyFill="1" applyBorder="1" applyProtection="1"/>
    <xf numFmtId="165" fontId="136" fillId="42" borderId="10" xfId="0" applyNumberFormat="1" applyFont="1" applyFill="1" applyBorder="1" applyAlignment="1" applyProtection="1">
      <alignment horizontal="center"/>
    </xf>
    <xf numFmtId="0" fontId="138" fillId="9" borderId="0" xfId="0" applyFont="1" applyFill="1" applyBorder="1" applyProtection="1"/>
    <xf numFmtId="0" fontId="139" fillId="9" borderId="47" xfId="0" applyFont="1" applyFill="1" applyBorder="1" applyProtection="1"/>
    <xf numFmtId="0" fontId="138" fillId="9" borderId="47" xfId="0" applyFont="1" applyFill="1" applyBorder="1" applyProtection="1"/>
    <xf numFmtId="165" fontId="136" fillId="2" borderId="10" xfId="0" applyNumberFormat="1" applyFont="1" applyFill="1" applyBorder="1" applyAlignment="1" applyProtection="1">
      <alignment horizontal="center"/>
    </xf>
    <xf numFmtId="169" fontId="136" fillId="42" borderId="10" xfId="0" applyNumberFormat="1" applyFont="1" applyFill="1" applyBorder="1" applyAlignment="1" applyProtection="1">
      <alignment horizontal="center"/>
    </xf>
    <xf numFmtId="169" fontId="136" fillId="2" borderId="10" xfId="0" applyNumberFormat="1" applyFont="1" applyFill="1" applyBorder="1" applyAlignment="1" applyProtection="1">
      <alignment horizontal="center"/>
    </xf>
    <xf numFmtId="0" fontId="34" fillId="9" borderId="47" xfId="0" applyFont="1" applyFill="1" applyBorder="1" applyProtection="1"/>
    <xf numFmtId="170" fontId="136" fillId="42" borderId="10" xfId="0" quotePrefix="1" applyNumberFormat="1" applyFont="1" applyFill="1" applyBorder="1" applyAlignment="1" applyProtection="1">
      <alignment horizontal="center"/>
    </xf>
    <xf numFmtId="0" fontId="136" fillId="9" borderId="0" xfId="0" applyFont="1" applyFill="1" applyBorder="1" applyProtection="1"/>
    <xf numFmtId="0" fontId="138" fillId="9" borderId="47" xfId="0" quotePrefix="1" applyFont="1" applyFill="1" applyBorder="1" applyAlignment="1" applyProtection="1">
      <alignment horizontal="left"/>
    </xf>
    <xf numFmtId="0" fontId="138" fillId="9" borderId="47" xfId="0" quotePrefix="1" applyFont="1" applyFill="1" applyBorder="1" applyProtection="1"/>
    <xf numFmtId="2" fontId="136" fillId="2" borderId="10" xfId="0" applyNumberFormat="1" applyFont="1" applyFill="1" applyBorder="1" applyAlignment="1" applyProtection="1">
      <alignment horizontal="center"/>
    </xf>
    <xf numFmtId="0" fontId="140" fillId="9" borderId="47" xfId="0" applyFont="1" applyFill="1" applyBorder="1" applyProtection="1"/>
    <xf numFmtId="2" fontId="136" fillId="27" borderId="10" xfId="0" applyNumberFormat="1" applyFont="1" applyFill="1" applyBorder="1" applyAlignment="1" applyProtection="1">
      <alignment horizontal="center"/>
    </xf>
    <xf numFmtId="2" fontId="136" fillId="42" borderId="10" xfId="0" applyNumberFormat="1" applyFont="1" applyFill="1" applyBorder="1" applyAlignment="1" applyProtection="1">
      <alignment horizontal="center"/>
    </xf>
    <xf numFmtId="0" fontId="134" fillId="0" borderId="28" xfId="0" quotePrefix="1" applyFont="1" applyBorder="1" applyProtection="1"/>
    <xf numFmtId="1" fontId="136" fillId="2" borderId="10" xfId="0" applyNumberFormat="1" applyFont="1" applyFill="1" applyBorder="1" applyAlignment="1" applyProtection="1">
      <alignment horizontal="center"/>
    </xf>
    <xf numFmtId="0" fontId="136" fillId="42" borderId="10" xfId="0" applyNumberFormat="1" applyFont="1" applyFill="1" applyBorder="1" applyAlignment="1" applyProtection="1">
      <alignment horizontal="center"/>
    </xf>
    <xf numFmtId="1" fontId="26" fillId="42" borderId="10" xfId="0" applyNumberFormat="1" applyFont="1" applyFill="1" applyBorder="1" applyAlignment="1" applyProtection="1">
      <alignment horizontal="center"/>
    </xf>
    <xf numFmtId="0" fontId="34" fillId="9" borderId="0" xfId="0" applyFont="1" applyFill="1" applyBorder="1" applyProtection="1"/>
    <xf numFmtId="0" fontId="19" fillId="9" borderId="47" xfId="0" applyFont="1" applyFill="1" applyBorder="1" applyProtection="1"/>
    <xf numFmtId="1" fontId="136" fillId="42" borderId="10" xfId="0" applyNumberFormat="1" applyFont="1" applyFill="1" applyBorder="1" applyAlignment="1" applyProtection="1">
      <alignment horizontal="center"/>
    </xf>
    <xf numFmtId="9" fontId="136" fillId="2" borderId="10" xfId="0" applyNumberFormat="1" applyFont="1" applyFill="1" applyBorder="1" applyAlignment="1" applyProtection="1">
      <alignment horizontal="center"/>
    </xf>
    <xf numFmtId="0" fontId="136" fillId="2" borderId="10" xfId="0" applyFont="1" applyFill="1" applyBorder="1" applyAlignment="1" applyProtection="1">
      <alignment horizontal="center"/>
    </xf>
    <xf numFmtId="1" fontId="139" fillId="2" borderId="10" xfId="0" quotePrefix="1" applyNumberFormat="1" applyFont="1" applyFill="1" applyBorder="1" applyAlignment="1" applyProtection="1">
      <alignment horizontal="center"/>
    </xf>
    <xf numFmtId="1" fontId="136" fillId="42" borderId="10" xfId="0" quotePrefix="1" applyNumberFormat="1" applyFont="1" applyFill="1" applyBorder="1" applyAlignment="1" applyProtection="1">
      <alignment horizontal="center"/>
    </xf>
    <xf numFmtId="1" fontId="136" fillId="42" borderId="116" xfId="0" applyNumberFormat="1" applyFont="1" applyFill="1" applyBorder="1" applyAlignment="1" applyProtection="1">
      <alignment horizontal="center"/>
    </xf>
    <xf numFmtId="0" fontId="138" fillId="9" borderId="33" xfId="0" applyFont="1" applyFill="1" applyBorder="1" applyProtection="1"/>
    <xf numFmtId="0" fontId="142" fillId="9" borderId="40" xfId="0" applyFont="1" applyFill="1" applyBorder="1" applyProtection="1"/>
    <xf numFmtId="0" fontId="34" fillId="0" borderId="39" xfId="0" applyFont="1" applyBorder="1"/>
    <xf numFmtId="1" fontId="19" fillId="12" borderId="17" xfId="1" applyNumberFormat="1" applyFill="1" applyBorder="1" applyAlignment="1" applyProtection="1">
      <alignment horizontal="right"/>
      <protection locked="0"/>
    </xf>
    <xf numFmtId="1" fontId="19" fillId="12" borderId="16" xfId="1" applyNumberFormat="1" applyFill="1" applyBorder="1" applyAlignment="1" applyProtection="1">
      <alignment horizontal="right"/>
      <protection locked="0"/>
    </xf>
    <xf numFmtId="0" fontId="147" fillId="0" borderId="0" xfId="0" applyFont="1"/>
    <xf numFmtId="0" fontId="104" fillId="0" borderId="29" xfId="0" applyFont="1" applyBorder="1" applyAlignment="1" applyProtection="1">
      <alignment horizontal="left"/>
    </xf>
    <xf numFmtId="2" fontId="136" fillId="4" borderId="18" xfId="0" applyNumberFormat="1" applyFont="1" applyFill="1" applyBorder="1" applyAlignment="1" applyProtection="1">
      <alignment horizontal="center"/>
      <protection locked="0"/>
    </xf>
    <xf numFmtId="0" fontId="0" fillId="0" borderId="0" xfId="0" applyAlignment="1">
      <alignment vertical="top"/>
    </xf>
    <xf numFmtId="0" fontId="19" fillId="17" borderId="7" xfId="4" applyNumberFormat="1" applyFont="1" applyFill="1" applyBorder="1" applyAlignment="1" applyProtection="1">
      <alignment horizontal="center"/>
      <protection locked="0"/>
    </xf>
    <xf numFmtId="0" fontId="19" fillId="17" borderId="12" xfId="1" applyNumberFormat="1" applyFill="1" applyBorder="1" applyAlignment="1" applyProtection="1">
      <alignment horizontal="center"/>
      <protection locked="0"/>
    </xf>
    <xf numFmtId="2" fontId="19" fillId="17" borderId="89" xfId="1" applyNumberFormat="1" applyFill="1" applyBorder="1" applyAlignment="1" applyProtection="1">
      <alignment horizontal="center"/>
      <protection locked="0"/>
    </xf>
    <xf numFmtId="0" fontId="149" fillId="0" borderId="1" xfId="6" applyFont="1" applyBorder="1" applyAlignment="1" applyProtection="1">
      <alignment horizontal="right"/>
    </xf>
    <xf numFmtId="2" fontId="19" fillId="12" borderId="1" xfId="1" applyNumberFormat="1" applyFill="1" applyBorder="1" applyAlignment="1">
      <alignment horizontal="center"/>
    </xf>
    <xf numFmtId="0" fontId="19" fillId="2" borderId="17" xfId="1" applyNumberFormat="1" applyFill="1" applyBorder="1" applyAlignment="1">
      <alignment horizontal="center"/>
    </xf>
    <xf numFmtId="11" fontId="19" fillId="9" borderId="0" xfId="1" applyNumberFormat="1" applyFill="1"/>
    <xf numFmtId="0" fontId="118" fillId="29" borderId="0" xfId="0" applyFont="1" applyFill="1" applyAlignment="1">
      <alignment vertical="top" wrapText="1"/>
    </xf>
    <xf numFmtId="1" fontId="22" fillId="0" borderId="28" xfId="1" applyNumberFormat="1" applyFont="1" applyBorder="1" applyAlignment="1">
      <alignment horizontal="right"/>
    </xf>
    <xf numFmtId="0" fontId="21" fillId="0" borderId="26" xfId="1" applyFont="1" applyBorder="1"/>
    <xf numFmtId="0" fontId="19" fillId="0" borderId="127" xfId="1" applyBorder="1"/>
    <xf numFmtId="0" fontId="22" fillId="0" borderId="25" xfId="1" applyFont="1" applyBorder="1" applyAlignment="1">
      <alignment horizontal="right"/>
    </xf>
    <xf numFmtId="1" fontId="22" fillId="0" borderId="126" xfId="1" applyNumberFormat="1" applyFont="1" applyBorder="1"/>
    <xf numFmtId="0" fontId="21" fillId="0" borderId="127" xfId="1" applyFont="1" applyBorder="1"/>
    <xf numFmtId="0" fontId="26" fillId="9" borderId="11" xfId="0" applyFont="1" applyFill="1" applyBorder="1" applyAlignment="1" applyProtection="1">
      <alignment horizontal="left"/>
    </xf>
    <xf numFmtId="0" fontId="136" fillId="9" borderId="11" xfId="0" applyFont="1" applyFill="1" applyBorder="1" applyAlignment="1" applyProtection="1">
      <alignment horizontal="left"/>
    </xf>
    <xf numFmtId="0" fontId="136" fillId="9" borderId="37" xfId="0" applyFont="1" applyFill="1" applyBorder="1" applyAlignment="1" applyProtection="1">
      <alignment horizontal="left"/>
    </xf>
    <xf numFmtId="0" fontId="136" fillId="9" borderId="115" xfId="0" applyFont="1" applyFill="1" applyBorder="1" applyAlignment="1" applyProtection="1">
      <alignment horizontal="left"/>
    </xf>
    <xf numFmtId="166" fontId="22" fillId="0" borderId="77" xfId="1" applyNumberFormat="1" applyFont="1" applyBorder="1" applyAlignment="1">
      <alignment horizontal="right"/>
    </xf>
    <xf numFmtId="0" fontId="19" fillId="12" borderId="2" xfId="1" applyNumberFormat="1" applyFill="1" applyBorder="1"/>
    <xf numFmtId="0" fontId="122" fillId="29" borderId="0" xfId="0" applyFont="1" applyFill="1" applyAlignment="1">
      <alignment vertical="top" wrapText="1"/>
    </xf>
    <xf numFmtId="0" fontId="19" fillId="17" borderId="91" xfId="1" applyFill="1" applyBorder="1" applyAlignment="1" applyProtection="1">
      <alignment horizontal="center"/>
      <protection locked="0"/>
    </xf>
    <xf numFmtId="0" fontId="19" fillId="9" borderId="45" xfId="1" applyFill="1" applyBorder="1"/>
    <xf numFmtId="0" fontId="28" fillId="0" borderId="38" xfId="1" applyFont="1" applyBorder="1" applyAlignment="1">
      <alignment horizontal="right"/>
    </xf>
    <xf numFmtId="9" fontId="19" fillId="12" borderId="12" xfId="1" applyNumberFormat="1" applyFill="1" applyBorder="1" applyAlignment="1" applyProtection="1">
      <alignment horizontal="center"/>
      <protection locked="0"/>
    </xf>
    <xf numFmtId="0" fontId="19" fillId="9" borderId="58" xfId="1" applyFont="1" applyFill="1" applyBorder="1" applyAlignment="1">
      <alignment horizontal="left"/>
    </xf>
    <xf numFmtId="11" fontId="19" fillId="0" borderId="24" xfId="1" applyNumberFormat="1" applyBorder="1"/>
    <xf numFmtId="2" fontId="19" fillId="0" borderId="24" xfId="1" applyNumberFormat="1" applyBorder="1"/>
    <xf numFmtId="0" fontId="19" fillId="0" borderId="24" xfId="1" applyBorder="1" applyAlignment="1">
      <alignment horizontal="right"/>
    </xf>
    <xf numFmtId="0" fontId="19" fillId="0" borderId="39" xfId="1" applyFill="1" applyBorder="1"/>
    <xf numFmtId="172" fontId="19" fillId="17" borderId="7" xfId="1" applyNumberFormat="1" applyFill="1" applyBorder="1" applyAlignment="1" applyProtection="1">
      <alignment horizontal="center"/>
      <protection locked="0"/>
    </xf>
    <xf numFmtId="0" fontId="19" fillId="12" borderId="13" xfId="1" applyNumberFormat="1" applyFill="1" applyBorder="1" applyAlignment="1" applyProtection="1">
      <alignment horizontal="right"/>
      <protection locked="0"/>
    </xf>
    <xf numFmtId="164" fontId="19" fillId="12" borderId="13" xfId="1" applyNumberFormat="1" applyFill="1" applyBorder="1" applyAlignment="1" applyProtection="1">
      <alignment horizontal="right"/>
      <protection locked="0"/>
    </xf>
    <xf numFmtId="2" fontId="19" fillId="12" borderId="13" xfId="1" applyNumberFormat="1" applyFill="1" applyBorder="1" applyAlignment="1" applyProtection="1">
      <alignment horizontal="right"/>
      <protection locked="0"/>
    </xf>
    <xf numFmtId="0" fontId="34" fillId="0" borderId="98" xfId="0" applyFont="1" applyBorder="1" applyProtection="1">
      <protection locked="0"/>
    </xf>
    <xf numFmtId="0" fontId="34" fillId="0" borderId="97" xfId="0" applyFont="1" applyBorder="1" applyProtection="1">
      <protection locked="0"/>
    </xf>
    <xf numFmtId="0" fontId="34" fillId="0" borderId="98" xfId="0" applyFont="1" applyBorder="1" applyAlignment="1" applyProtection="1">
      <alignment horizontal="right"/>
      <protection locked="0"/>
    </xf>
    <xf numFmtId="0" fontId="34" fillId="0" borderId="98" xfId="0" applyFont="1" applyBorder="1" applyAlignment="1" applyProtection="1">
      <alignment horizontal="center"/>
      <protection locked="0"/>
    </xf>
    <xf numFmtId="0" fontId="35" fillId="0" borderId="77" xfId="0" applyFont="1" applyBorder="1" applyProtection="1">
      <protection locked="0"/>
    </xf>
    <xf numFmtId="0" fontId="26" fillId="0" borderId="17" xfId="1" applyFont="1" applyFill="1" applyBorder="1" applyAlignment="1">
      <alignment horizontal="left"/>
    </xf>
    <xf numFmtId="178" fontId="19" fillId="0" borderId="24" xfId="1" applyNumberFormat="1" applyBorder="1"/>
    <xf numFmtId="0" fontId="19" fillId="12" borderId="5" xfId="1" applyNumberFormat="1" applyFill="1" applyBorder="1" applyAlignment="1" applyProtection="1">
      <alignment horizontal="center"/>
      <protection locked="0"/>
    </xf>
    <xf numFmtId="164" fontId="19" fillId="12" borderId="2" xfId="1" applyNumberFormat="1" applyFill="1" applyBorder="1"/>
    <xf numFmtId="164" fontId="19" fillId="12" borderId="17" xfId="1" applyNumberFormat="1" applyFill="1" applyBorder="1"/>
    <xf numFmtId="164" fontId="19" fillId="0" borderId="22" xfId="1" applyNumberFormat="1" applyBorder="1"/>
    <xf numFmtId="172" fontId="19" fillId="23" borderId="7" xfId="1" applyNumberFormat="1" applyFill="1" applyBorder="1" applyAlignment="1" applyProtection="1">
      <alignment horizontal="center"/>
      <protection locked="0"/>
    </xf>
    <xf numFmtId="0" fontId="0" fillId="6" borderId="0" xfId="0" applyFill="1" applyAlignment="1">
      <alignment vertical="top" wrapText="1"/>
    </xf>
    <xf numFmtId="172" fontId="34" fillId="40" borderId="80" xfId="0" applyNumberFormat="1" applyFont="1" applyFill="1" applyBorder="1" applyAlignment="1" applyProtection="1">
      <alignment horizontal="center"/>
    </xf>
    <xf numFmtId="0" fontId="118" fillId="0" borderId="0" xfId="0" applyFont="1" applyFill="1" applyAlignment="1">
      <alignment vertical="top" wrapText="1"/>
    </xf>
    <xf numFmtId="0" fontId="34" fillId="0" borderId="24" xfId="0" quotePrefix="1" applyFont="1" applyBorder="1" applyProtection="1">
      <protection locked="0"/>
    </xf>
    <xf numFmtId="0" fontId="34" fillId="4" borderId="1" xfId="0" applyFont="1" applyFill="1" applyBorder="1" applyAlignment="1" applyProtection="1">
      <alignment horizontal="center"/>
      <protection locked="0"/>
    </xf>
    <xf numFmtId="0" fontId="19" fillId="9" borderId="47" xfId="0" quotePrefix="1" applyFont="1" applyFill="1" applyBorder="1" applyProtection="1"/>
    <xf numFmtId="0" fontId="147" fillId="0" borderId="28" xfId="0" applyFont="1" applyBorder="1" applyProtection="1"/>
    <xf numFmtId="0" fontId="152" fillId="20" borderId="0" xfId="0" applyFont="1" applyFill="1"/>
    <xf numFmtId="0" fontId="26" fillId="45" borderId="1" xfId="0" applyFont="1" applyFill="1" applyBorder="1"/>
    <xf numFmtId="1" fontId="19" fillId="0" borderId="0" xfId="0" applyNumberFormat="1" applyFont="1" applyFill="1" applyAlignment="1">
      <alignment horizontal="center"/>
    </xf>
    <xf numFmtId="1" fontId="153" fillId="0" borderId="0" xfId="0" applyNumberFormat="1" applyFont="1" applyFill="1" applyBorder="1" applyAlignment="1">
      <alignment horizontal="center"/>
    </xf>
    <xf numFmtId="1" fontId="34" fillId="0" borderId="0" xfId="11" applyNumberFormat="1" applyFont="1" applyFill="1" applyAlignment="1" applyProtection="1">
      <alignment horizontal="center"/>
      <protection hidden="1"/>
    </xf>
    <xf numFmtId="1" fontId="0" fillId="0" borderId="0" xfId="0" applyNumberFormat="1" applyFill="1" applyAlignment="1">
      <alignment horizontal="center"/>
    </xf>
    <xf numFmtId="1" fontId="0" fillId="0" borderId="0" xfId="0" quotePrefix="1" applyNumberFormat="1" applyFill="1" applyAlignment="1">
      <alignment horizontal="center"/>
    </xf>
    <xf numFmtId="1" fontId="0" fillId="0" borderId="0" xfId="0" applyNumberFormat="1" applyFill="1" applyAlignment="1" applyProtection="1">
      <alignment horizontal="center"/>
      <protection hidden="1"/>
    </xf>
    <xf numFmtId="1" fontId="0" fillId="0" borderId="0" xfId="12" applyNumberFormat="1" applyFont="1" applyFill="1"/>
    <xf numFmtId="1" fontId="34" fillId="0" borderId="0" xfId="12" applyNumberFormat="1" applyFont="1" applyFill="1" applyBorder="1" applyAlignment="1" applyProtection="1">
      <alignment horizontal="center"/>
      <protection hidden="1"/>
    </xf>
    <xf numFmtId="1" fontId="0" fillId="0" borderId="0" xfId="0" applyNumberFormat="1" applyFill="1"/>
    <xf numFmtId="1" fontId="19" fillId="0" borderId="0" xfId="13" applyNumberFormat="1" applyFill="1"/>
    <xf numFmtId="1" fontId="19" fillId="0" borderId="0" xfId="13" applyNumberFormat="1" applyFont="1" applyFill="1" applyAlignment="1">
      <alignment horizontal="center"/>
    </xf>
    <xf numFmtId="0" fontId="19" fillId="0" borderId="0" xfId="0" applyFont="1" applyFill="1"/>
    <xf numFmtId="0" fontId="26" fillId="0" borderId="1" xfId="0" applyFont="1" applyFill="1" applyBorder="1" applyAlignment="1">
      <alignment wrapText="1"/>
    </xf>
    <xf numFmtId="0" fontId="26" fillId="0" borderId="1" xfId="13" applyFont="1" applyFill="1" applyBorder="1" applyAlignment="1">
      <alignment wrapText="1"/>
    </xf>
    <xf numFmtId="0" fontId="154" fillId="20" borderId="0" xfId="0" applyFont="1" applyFill="1" applyAlignment="1">
      <alignment horizontal="left"/>
    </xf>
    <xf numFmtId="0" fontId="155" fillId="20" borderId="0" xfId="0" applyFont="1" applyFill="1"/>
    <xf numFmtId="0" fontId="26" fillId="45" borderId="1" xfId="0" applyFont="1" applyFill="1" applyBorder="1" applyAlignment="1" applyProtection="1">
      <alignment horizontal="center"/>
      <protection locked="0"/>
    </xf>
    <xf numFmtId="1" fontId="19" fillId="0" borderId="1" xfId="0" applyNumberFormat="1" applyFont="1" applyFill="1" applyBorder="1" applyAlignment="1" applyProtection="1">
      <alignment horizontal="center"/>
      <protection locked="0"/>
    </xf>
    <xf numFmtId="0" fontId="125" fillId="9" borderId="0" xfId="1" applyFont="1" applyFill="1" applyAlignment="1" applyProtection="1">
      <alignment horizontal="right"/>
    </xf>
    <xf numFmtId="0" fontId="125" fillId="0" borderId="43" xfId="0" applyFont="1" applyBorder="1" applyAlignment="1" applyProtection="1">
      <alignment horizontal="right"/>
    </xf>
    <xf numFmtId="0" fontId="156" fillId="9" borderId="1" xfId="5" applyFont="1" applyFill="1" applyBorder="1" applyAlignment="1">
      <alignment vertical="top" wrapText="1"/>
    </xf>
    <xf numFmtId="0" fontId="157" fillId="0" borderId="0" xfId="0" applyFont="1"/>
    <xf numFmtId="0" fontId="0" fillId="0" borderId="26" xfId="0" applyFill="1" applyBorder="1" applyAlignment="1">
      <alignment vertical="top" wrapText="1"/>
    </xf>
    <xf numFmtId="166" fontId="19" fillId="4" borderId="101" xfId="1" applyNumberFormat="1" applyFill="1" applyBorder="1" applyAlignment="1" applyProtection="1">
      <alignment horizontal="left"/>
      <protection locked="0"/>
    </xf>
    <xf numFmtId="166" fontId="19" fillId="4" borderId="2" xfId="1" applyNumberFormat="1" applyFill="1" applyBorder="1" applyAlignment="1" applyProtection="1">
      <alignment horizontal="left"/>
      <protection locked="0"/>
    </xf>
    <xf numFmtId="0" fontId="112" fillId="20" borderId="0" xfId="0" applyFont="1" applyFill="1" applyBorder="1" applyAlignment="1">
      <alignment horizontal="center"/>
    </xf>
    <xf numFmtId="0" fontId="107" fillId="34" borderId="0" xfId="0" applyFont="1" applyFill="1" applyAlignment="1"/>
    <xf numFmtId="0" fontId="107" fillId="34" borderId="0" xfId="0" applyFont="1" applyFill="1" applyAlignment="1">
      <alignment horizontal="center"/>
    </xf>
    <xf numFmtId="0" fontId="2" fillId="20" borderId="0" xfId="0" applyFont="1" applyFill="1" applyBorder="1" applyAlignment="1">
      <alignment horizontal="center"/>
    </xf>
    <xf numFmtId="0" fontId="107" fillId="20" borderId="0" xfId="0" applyFont="1" applyFill="1" applyBorder="1" applyAlignment="1"/>
    <xf numFmtId="0" fontId="107" fillId="20" borderId="0" xfId="0" applyFont="1" applyFill="1" applyBorder="1" applyAlignment="1">
      <alignment horizontal="center"/>
    </xf>
    <xf numFmtId="0" fontId="35" fillId="20" borderId="1" xfId="0" applyFont="1" applyFill="1" applyBorder="1" applyAlignment="1">
      <alignment horizontal="center"/>
    </xf>
    <xf numFmtId="0" fontId="92" fillId="0" borderId="0" xfId="0" applyFont="1" applyAlignment="1">
      <alignment horizontal="left" wrapText="1"/>
    </xf>
    <xf numFmtId="0" fontId="35" fillId="20" borderId="101" xfId="0" applyFont="1" applyFill="1" applyBorder="1" applyAlignment="1">
      <alignment horizontal="center" wrapText="1"/>
    </xf>
    <xf numFmtId="0" fontId="35" fillId="20" borderId="2" xfId="0" applyFont="1" applyFill="1" applyBorder="1" applyAlignment="1">
      <alignment horizontal="center" wrapText="1"/>
    </xf>
    <xf numFmtId="0" fontId="35" fillId="20" borderId="3" xfId="0" applyFont="1" applyFill="1" applyBorder="1" applyAlignment="1">
      <alignment horizontal="center" wrapText="1"/>
    </xf>
    <xf numFmtId="0" fontId="35" fillId="20" borderId="17" xfId="0" applyFont="1" applyFill="1" applyBorder="1" applyAlignment="1">
      <alignment horizontal="center" wrapText="1"/>
    </xf>
    <xf numFmtId="0" fontId="35" fillId="43" borderId="123" xfId="0" applyFont="1" applyFill="1" applyBorder="1" applyAlignment="1">
      <alignment horizontal="center" vertical="center" wrapText="1"/>
    </xf>
    <xf numFmtId="0" fontId="35" fillId="43" borderId="124" xfId="0" applyFont="1" applyFill="1" applyBorder="1" applyAlignment="1">
      <alignment horizontal="center" vertical="center" wrapText="1"/>
    </xf>
    <xf numFmtId="0" fontId="128" fillId="43" borderId="123" xfId="0" applyFont="1" applyFill="1" applyBorder="1" applyAlignment="1">
      <alignment horizontal="center" vertical="center" wrapText="1"/>
    </xf>
    <xf numFmtId="0" fontId="128" fillId="43" borderId="124" xfId="0" applyFont="1" applyFill="1" applyBorder="1" applyAlignment="1">
      <alignment horizontal="center" vertical="center" wrapText="1"/>
    </xf>
    <xf numFmtId="0" fontId="34" fillId="0" borderId="123" xfId="0" applyFont="1" applyBorder="1" applyAlignment="1">
      <alignment horizontal="center" vertical="center" wrapText="1"/>
    </xf>
    <xf numFmtId="0" fontId="34" fillId="0" borderId="125" xfId="0" applyFont="1" applyBorder="1" applyAlignment="1">
      <alignment horizontal="center" vertical="center" wrapText="1"/>
    </xf>
    <xf numFmtId="0" fontId="34" fillId="0" borderId="124" xfId="0" applyFont="1" applyBorder="1" applyAlignment="1">
      <alignment horizontal="center" vertical="center" wrapText="1"/>
    </xf>
    <xf numFmtId="0" fontId="127" fillId="0" borderId="123" xfId="0" applyFont="1" applyBorder="1" applyAlignment="1">
      <alignment horizontal="left" vertical="center" wrapText="1"/>
    </xf>
    <xf numFmtId="0" fontId="127" fillId="0" borderId="125" xfId="0" applyFont="1" applyBorder="1" applyAlignment="1">
      <alignment horizontal="left" vertical="center" wrapText="1"/>
    </xf>
    <xf numFmtId="0" fontId="127" fillId="0" borderId="124" xfId="0" applyFont="1" applyBorder="1" applyAlignment="1">
      <alignment horizontal="left" vertical="center" wrapText="1"/>
    </xf>
    <xf numFmtId="0" fontId="34" fillId="44" borderId="123" xfId="0" applyFont="1" applyFill="1" applyBorder="1" applyAlignment="1">
      <alignment horizontal="center" vertical="center" wrapText="1"/>
    </xf>
    <xf numFmtId="0" fontId="34" fillId="44" borderId="125" xfId="0" applyFont="1" applyFill="1" applyBorder="1" applyAlignment="1">
      <alignment horizontal="center" vertical="center" wrapText="1"/>
    </xf>
    <xf numFmtId="0" fontId="34" fillId="44" borderId="124" xfId="0" applyFont="1" applyFill="1" applyBorder="1" applyAlignment="1">
      <alignment horizontal="center" vertical="center" wrapText="1"/>
    </xf>
    <xf numFmtId="0" fontId="127" fillId="44" borderId="123" xfId="0" applyFont="1" applyFill="1" applyBorder="1" applyAlignment="1">
      <alignment horizontal="left" vertical="center" wrapText="1"/>
    </xf>
    <xf numFmtId="0" fontId="127" fillId="44" borderId="125" xfId="0" applyFont="1" applyFill="1" applyBorder="1" applyAlignment="1">
      <alignment horizontal="left" vertical="center" wrapText="1"/>
    </xf>
    <xf numFmtId="0" fontId="127" fillId="44" borderId="124" xfId="0" applyFont="1" applyFill="1" applyBorder="1" applyAlignment="1">
      <alignment horizontal="left" vertical="center" wrapText="1"/>
    </xf>
  </cellXfs>
  <cellStyles count="14">
    <cellStyle name="Bad" xfId="9" builtinId="27"/>
    <cellStyle name="Good" xfId="7" builtinId="26"/>
    <cellStyle name="Hyperlink" xfId="6" builtinId="8"/>
    <cellStyle name="Neutral" xfId="8" builtinId="28"/>
    <cellStyle name="Normal" xfId="0" builtinId="0"/>
    <cellStyle name="Normal 2" xfId="1"/>
    <cellStyle name="Normal 2 2 2" xfId="13"/>
    <cellStyle name="Normal 21" xfId="11"/>
    <cellStyle name="Normal 3" xfId="2"/>
    <cellStyle name="Normal 4" xfId="3"/>
    <cellStyle name="Normal 5" xfId="5"/>
    <cellStyle name="Output" xfId="10" builtinId="21"/>
    <cellStyle name="Percent" xfId="4" builtinId="5"/>
    <cellStyle name="Percent 14" xfId="12"/>
  </cellStyles>
  <dxfs count="297">
    <dxf>
      <font>
        <b val="0"/>
        <i val="0"/>
        <color theme="0"/>
      </font>
      <fill>
        <patternFill patternType="none">
          <bgColor auto="1"/>
        </patternFill>
      </fill>
    </dxf>
    <dxf>
      <font>
        <color theme="8"/>
      </font>
    </dxf>
    <dxf>
      <font>
        <color rgb="FF00B050"/>
      </font>
    </dxf>
    <dxf>
      <font>
        <color rgb="FF0070C0"/>
      </font>
    </dxf>
    <dxf>
      <font>
        <condense val="0"/>
        <extend val="0"/>
        <color indexed="42"/>
      </font>
    </dxf>
    <dxf>
      <font>
        <color rgb="FFCCFFCC"/>
      </font>
    </dxf>
    <dxf>
      <font>
        <condense val="0"/>
        <extend val="0"/>
        <color indexed="42"/>
      </font>
    </dxf>
    <dxf>
      <font>
        <condense val="0"/>
        <extend val="0"/>
        <color indexed="42"/>
      </font>
    </dxf>
    <dxf>
      <font>
        <condense val="0"/>
        <extend val="0"/>
        <color indexed="42"/>
      </font>
    </dxf>
    <dxf>
      <font>
        <condense val="0"/>
        <extend val="0"/>
        <color indexed="42"/>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ndense val="0"/>
        <extend val="0"/>
        <color indexed="42"/>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ndense val="0"/>
        <extend val="0"/>
        <color indexed="42"/>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ndense val="0"/>
        <extend val="0"/>
        <color indexed="42"/>
      </font>
    </dxf>
    <dxf>
      <font>
        <condense val="0"/>
        <extend val="0"/>
        <color indexed="42"/>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theme="3" tint="0.79998168889431442"/>
      </font>
    </dxf>
    <dxf>
      <font>
        <color rgb="FFCCFFCC"/>
      </font>
    </dxf>
    <dxf>
      <font>
        <color rgb="FFCCFFCC"/>
      </font>
    </dxf>
    <dxf>
      <font>
        <condense val="0"/>
        <extend val="0"/>
        <color indexed="42"/>
      </font>
    </dxf>
    <dxf>
      <font>
        <condense val="0"/>
        <extend val="0"/>
        <color indexed="42"/>
      </font>
    </dxf>
    <dxf>
      <font>
        <color rgb="FFCCFFCC"/>
      </font>
    </dxf>
    <dxf>
      <font>
        <condense val="0"/>
        <extend val="0"/>
        <color indexed="42"/>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ndense val="0"/>
        <extend val="0"/>
        <color indexed="42"/>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theme="3" tint="0.79998168889431442"/>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ndense val="0"/>
        <extend val="0"/>
        <color indexed="42"/>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theme="3" tint="0.79998168889431442"/>
      </font>
    </dxf>
    <dxf>
      <font>
        <color rgb="FFCCFFCC"/>
      </font>
    </dxf>
    <dxf>
      <font>
        <color rgb="FFCCFFCC"/>
      </font>
    </dxf>
    <dxf>
      <font>
        <color rgb="FFCCFFCC"/>
      </font>
    </dxf>
    <dxf>
      <font>
        <color rgb="FFCCFFCC"/>
      </font>
    </dxf>
    <dxf>
      <font>
        <condense val="0"/>
        <extend val="0"/>
        <color indexed="42"/>
      </font>
    </dxf>
    <dxf>
      <font>
        <color rgb="FFCCFFCC"/>
      </font>
    </dxf>
    <dxf>
      <fill>
        <patternFill patternType="darkUp">
          <fgColor rgb="FFFF0000"/>
        </patternFill>
      </fill>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ndense val="0"/>
        <extend val="0"/>
        <color indexed="42"/>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rgb="FFCCFFCC"/>
      </font>
    </dxf>
    <dxf>
      <font>
        <color theme="3" tint="0.79998168889431442"/>
      </font>
    </dxf>
    <dxf>
      <font>
        <b/>
        <i val="0"/>
        <color rgb="FFFF0000"/>
      </font>
    </dxf>
    <dxf>
      <font>
        <b/>
        <i val="0"/>
        <color rgb="FFFF0000"/>
      </font>
    </dxf>
    <dxf>
      <font>
        <color rgb="FFCCFFCC"/>
      </font>
    </dxf>
    <dxf>
      <font>
        <b/>
        <i val="0"/>
        <color rgb="FFFF0000"/>
      </font>
    </dxf>
    <dxf>
      <font>
        <b/>
        <i val="0"/>
        <color rgb="FFFF0000"/>
      </font>
      <fill>
        <patternFill>
          <bgColor rgb="FFFFFFCC"/>
        </patternFill>
      </fill>
      <border>
        <left style="thin">
          <color auto="1"/>
        </left>
        <right style="thin">
          <color auto="1"/>
        </right>
        <top style="thin">
          <color auto="1"/>
        </top>
        <bottom style="thin">
          <color auto="1"/>
        </bottom>
        <vertical/>
        <horizontal/>
      </border>
    </dxf>
    <dxf>
      <font>
        <b/>
        <i val="0"/>
        <condense val="0"/>
        <extend val="0"/>
        <color indexed="10"/>
      </font>
    </dxf>
    <dxf>
      <font>
        <b/>
        <i val="0"/>
        <condense val="0"/>
        <extend val="0"/>
        <color indexed="10"/>
      </font>
    </dxf>
    <dxf>
      <font>
        <b/>
        <i val="0"/>
        <condense val="0"/>
        <extend val="0"/>
        <color indexed="10"/>
      </font>
    </dxf>
    <dxf>
      <font>
        <condense val="0"/>
        <extend val="0"/>
        <color indexed="8"/>
      </font>
    </dxf>
    <dxf>
      <fill>
        <patternFill patternType="darkUp">
          <fgColor rgb="FFFF0000"/>
        </patternFill>
      </fill>
    </dxf>
    <dxf>
      <fill>
        <patternFill patternType="darkUp">
          <fgColor rgb="FFFF0000"/>
        </patternFill>
      </fill>
    </dxf>
    <dxf>
      <font>
        <color auto="1"/>
      </font>
      <fill>
        <patternFill patternType="darkUp">
          <fgColor rgb="FFFF0000"/>
        </patternFill>
      </fill>
    </dxf>
    <dxf>
      <font>
        <condense val="0"/>
        <extend val="0"/>
        <color indexed="42"/>
      </font>
    </dxf>
    <dxf>
      <font>
        <condense val="0"/>
        <extend val="0"/>
        <color indexed="42"/>
      </font>
    </dxf>
    <dxf>
      <font>
        <condense val="0"/>
        <extend val="0"/>
        <color indexed="42"/>
      </font>
    </dxf>
    <dxf>
      <font>
        <condense val="0"/>
        <extend val="0"/>
        <color indexed="42"/>
      </font>
    </dxf>
    <dxf>
      <font>
        <condense val="0"/>
        <extend val="0"/>
        <color indexed="42"/>
      </font>
    </dxf>
    <dxf>
      <font>
        <condense val="0"/>
        <extend val="0"/>
        <color indexed="42"/>
      </font>
    </dxf>
    <dxf>
      <font>
        <condense val="0"/>
        <extend val="0"/>
        <color indexed="42"/>
      </font>
    </dxf>
  </dxfs>
  <tableStyles count="0" defaultTableStyle="TableStyleMedium2" defaultPivotStyle="PivotStyleLight16"/>
  <colors>
    <mruColors>
      <color rgb="FFFFFFCC"/>
      <color rgb="FFFFCC99"/>
      <color rgb="FFCCFFCC"/>
      <color rgb="FF66FFFF"/>
      <color rgb="FFFFCCFF"/>
      <color rgb="FFEAEAEA"/>
      <color rgb="FFFFFF99"/>
      <color rgb="FFFFFF66"/>
      <color rgb="FF99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r>
              <a:rPr lang="en-US"/>
              <a:t>Well success learning curve</a:t>
            </a:r>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'Well Success'!$AL$2</c:f>
              <c:strCache>
                <c:ptCount val="1"/>
                <c:pt idx="0">
                  <c:v>Success curve</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'Well Success'!$AK$3:$AK$102</c:f>
              <c:numCache>
                <c:formatCode>0</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xVal>
          <c:yVal>
            <c:numRef>
              <c:f>'Well Success'!$AL$3:$AL$102</c:f>
              <c:numCache>
                <c:formatCode>0.000</c:formatCode>
                <c:ptCount val="100"/>
                <c:pt idx="0">
                  <c:v>0.48</c:v>
                </c:pt>
                <c:pt idx="1">
                  <c:v>0.52852030263919614</c:v>
                </c:pt>
                <c:pt idx="2">
                  <c:v>0.55690286020676771</c:v>
                </c:pt>
                <c:pt idx="3">
                  <c:v>0.57704060527839229</c:v>
                </c:pt>
                <c:pt idx="4">
                  <c:v>0.59266065387038702</c:v>
                </c:pt>
                <c:pt idx="5">
                  <c:v>0.60542316284596387</c:v>
                </c:pt>
                <c:pt idx="6">
                  <c:v>0.61621371043387185</c:v>
                </c:pt>
                <c:pt idx="7">
                  <c:v>0.62556090791758856</c:v>
                </c:pt>
                <c:pt idx="8">
                  <c:v>0.63380572041353533</c:v>
                </c:pt>
                <c:pt idx="9">
                  <c:v>0.64118095650958318</c:v>
                </c:pt>
                <c:pt idx="10">
                  <c:v>0.6478526690958859</c:v>
                </c:pt>
                <c:pt idx="11">
                  <c:v>0.65394346548516002</c:v>
                </c:pt>
                <c:pt idx="12">
                  <c:v>0.65954645502230758</c:v>
                </c:pt>
                <c:pt idx="13">
                  <c:v>0.66473401307306812</c:v>
                </c:pt>
                <c:pt idx="14">
                  <c:v>0.66956351407715475</c:v>
                </c:pt>
                <c:pt idx="15">
                  <c:v>0.67408121055678472</c:v>
                </c:pt>
                <c:pt idx="16">
                  <c:v>0.67832493408393513</c:v>
                </c:pt>
                <c:pt idx="17">
                  <c:v>0.68232602305273149</c:v>
                </c:pt>
                <c:pt idx="18">
                  <c:v>0.68611072854165078</c:v>
                </c:pt>
                <c:pt idx="19">
                  <c:v>0.68970125914877933</c:v>
                </c:pt>
                <c:pt idx="20">
                  <c:v>0.69311657064063958</c:v>
                </c:pt>
                <c:pt idx="21">
                  <c:v>0.69637297173508217</c:v>
                </c:pt>
                <c:pt idx="22">
                  <c:v>0.69948459511504046</c:v>
                </c:pt>
                <c:pt idx="23">
                  <c:v>0.70246376812435618</c:v>
                </c:pt>
                <c:pt idx="24">
                  <c:v>0.70532130774077406</c:v>
                </c:pt>
                <c:pt idx="25">
                  <c:v>0.70806675766150373</c:v>
                </c:pt>
                <c:pt idx="26">
                  <c:v>0.71070858062030307</c:v>
                </c:pt>
                <c:pt idx="27">
                  <c:v>0.71325431571226428</c:v>
                </c:pt>
                <c:pt idx="28">
                  <c:v>0.71571070809905324</c:v>
                </c:pt>
                <c:pt idx="29">
                  <c:v>0.71808381671635091</c:v>
                </c:pt>
                <c:pt idx="30">
                  <c:v>0.72037910431396024</c:v>
                </c:pt>
                <c:pt idx="31">
                  <c:v>0.72260151319598087</c:v>
                </c:pt>
                <c:pt idx="32">
                  <c:v>0.72475552930265363</c:v>
                </c:pt>
                <c:pt idx="33">
                  <c:v>0.72684523672313128</c:v>
                </c:pt>
                <c:pt idx="34">
                  <c:v>0.728874364304259</c:v>
                </c:pt>
                <c:pt idx="35">
                  <c:v>0.73084632569192776</c:v>
                </c:pt>
                <c:pt idx="36">
                  <c:v>0.7327642538850957</c:v>
                </c:pt>
                <c:pt idx="37">
                  <c:v>0.73463103118084705</c:v>
                </c:pt>
                <c:pt idx="38">
                  <c:v>0.7364493152290752</c:v>
                </c:pt>
                <c:pt idx="39">
                  <c:v>0.73822156178797549</c:v>
                </c:pt>
                <c:pt idx="40">
                  <c:v>0.73995004466930159</c:v>
                </c:pt>
                <c:pt idx="41">
                  <c:v>0.74163687327983574</c:v>
                </c:pt>
                <c:pt idx="42">
                  <c:v>0.74328400809854944</c:v>
                </c:pt>
                <c:pt idx="43">
                  <c:v>0.74489327437427821</c:v>
                </c:pt>
                <c:pt idx="44">
                  <c:v>0.74646637428392237</c:v>
                </c:pt>
                <c:pt idx="45">
                  <c:v>0.74800489775423662</c:v>
                </c:pt>
                <c:pt idx="46">
                  <c:v>0.74951033211970408</c:v>
                </c:pt>
                <c:pt idx="47">
                  <c:v>0.75098407076355245</c:v>
                </c:pt>
                <c:pt idx="48">
                  <c:v>0.75242742086774383</c:v>
                </c:pt>
                <c:pt idx="49">
                  <c:v>0.75384161037997022</c:v>
                </c:pt>
                <c:pt idx="50">
                  <c:v>0.75522779429070286</c:v>
                </c:pt>
                <c:pt idx="51">
                  <c:v>0.75658706030069989</c:v>
                </c:pt>
                <c:pt idx="52">
                  <c:v>0.7579204339486485</c:v>
                </c:pt>
                <c:pt idx="53">
                  <c:v>0.75922888325949922</c:v>
                </c:pt>
                <c:pt idx="54">
                  <c:v>0.76051332296627305</c:v>
                </c:pt>
                <c:pt idx="55">
                  <c:v>0.76177461835146043</c:v>
                </c:pt>
                <c:pt idx="56">
                  <c:v>0.76301358874841851</c:v>
                </c:pt>
                <c:pt idx="57">
                  <c:v>0.76423101073824928</c:v>
                </c:pt>
                <c:pt idx="58">
                  <c:v>0.76542762107340034</c:v>
                </c:pt>
                <c:pt idx="59">
                  <c:v>0.76660411935554706</c:v>
                </c:pt>
                <c:pt idx="60">
                  <c:v>0.76776117049213188</c:v>
                </c:pt>
                <c:pt idx="61">
                  <c:v>0.76889940695315651</c:v>
                </c:pt>
                <c:pt idx="62">
                  <c:v>0.77001943084740732</c:v>
                </c:pt>
                <c:pt idx="63">
                  <c:v>0.77112181583517703</c:v>
                </c:pt>
                <c:pt idx="64">
                  <c:v>0.7722071088926945</c:v>
                </c:pt>
                <c:pt idx="65">
                  <c:v>0.77327583194184979</c:v>
                </c:pt>
                <c:pt idx="66">
                  <c:v>0.77432848335736759</c:v>
                </c:pt>
                <c:pt idx="67">
                  <c:v>0.77536553936232755</c:v>
                </c:pt>
                <c:pt idx="68">
                  <c:v>0.7763874553218082</c:v>
                </c:pt>
                <c:pt idx="69">
                  <c:v>0.77739466694345516</c:v>
                </c:pt>
                <c:pt idx="70">
                  <c:v>0.77838759139289215</c:v>
                </c:pt>
                <c:pt idx="71">
                  <c:v>0.7793666283311238</c:v>
                </c:pt>
                <c:pt idx="72">
                  <c:v>0.78033216088038737</c:v>
                </c:pt>
                <c:pt idx="73">
                  <c:v>0.78128455652429185</c:v>
                </c:pt>
                <c:pt idx="74">
                  <c:v>0.78222416794754168</c:v>
                </c:pt>
                <c:pt idx="75">
                  <c:v>0.78315133382004321</c:v>
                </c:pt>
                <c:pt idx="76">
                  <c:v>0.78406637952975788</c:v>
                </c:pt>
                <c:pt idx="77">
                  <c:v>0.78496961786827146</c:v>
                </c:pt>
                <c:pt idx="78">
                  <c:v>0.7858613496726915</c:v>
                </c:pt>
                <c:pt idx="79">
                  <c:v>0.78674186442717176</c:v>
                </c:pt>
                <c:pt idx="80">
                  <c:v>0.78761144082707069</c:v>
                </c:pt>
                <c:pt idx="81">
                  <c:v>0.78847034730849774</c:v>
                </c:pt>
                <c:pt idx="82">
                  <c:v>0.7893188425457619</c:v>
                </c:pt>
                <c:pt idx="83">
                  <c:v>0.79015717591903201</c:v>
                </c:pt>
                <c:pt idx="84">
                  <c:v>0.79098558795432217</c:v>
                </c:pt>
                <c:pt idx="85">
                  <c:v>0.79180431073774549</c:v>
                </c:pt>
                <c:pt idx="86">
                  <c:v>0.79261356830582086</c:v>
                </c:pt>
                <c:pt idx="87">
                  <c:v>0.79341357701347448</c:v>
                </c:pt>
                <c:pt idx="88">
                  <c:v>0.79420454588124978</c:v>
                </c:pt>
                <c:pt idx="89">
                  <c:v>0.79498667692311864</c:v>
                </c:pt>
                <c:pt idx="90">
                  <c:v>0.79576016545617945</c:v>
                </c:pt>
                <c:pt idx="91">
                  <c:v>0.79652520039343289</c:v>
                </c:pt>
                <c:pt idx="92">
                  <c:v>0.79728196452072797</c:v>
                </c:pt>
                <c:pt idx="93">
                  <c:v>0.79803063475890035</c:v>
                </c:pt>
                <c:pt idx="94">
                  <c:v>0.79877138241203793</c:v>
                </c:pt>
                <c:pt idx="95">
                  <c:v>0.79950437340274849</c:v>
                </c:pt>
                <c:pt idx="96">
                  <c:v>0.80022976849523686</c:v>
                </c:pt>
                <c:pt idx="97">
                  <c:v>0.8009477235069401</c:v>
                </c:pt>
                <c:pt idx="98">
                  <c:v>0.80165838950942137</c:v>
                </c:pt>
                <c:pt idx="99">
                  <c:v>0.80236191301916637</c:v>
                </c:pt>
              </c:numCache>
            </c:numRef>
          </c:yVal>
          <c:smooth val="0"/>
          <c:extLst>
            <c:ext xmlns:c16="http://schemas.microsoft.com/office/drawing/2014/chart" uri="{C3380CC4-5D6E-409C-BE32-E72D297353CC}">
              <c16:uniqueId val="{00000006-0514-4FBD-82E1-D6718ECCFF87}"/>
            </c:ext>
          </c:extLst>
        </c:ser>
        <c:ser>
          <c:idx val="1"/>
          <c:order val="1"/>
          <c:tx>
            <c:strRef>
              <c:f>'Well Success'!$AO$2</c:f>
              <c:strCache>
                <c:ptCount val="1"/>
                <c:pt idx="0">
                  <c:v>Well drilling failed</c:v>
                </c:pt>
              </c:strCache>
            </c:strRef>
          </c:tx>
          <c:spPr>
            <a:ln w="19050" cap="rnd">
              <a:noFill/>
              <a:round/>
            </a:ln>
            <a:effectLst/>
          </c:spPr>
          <c:marker>
            <c:symbol val="star"/>
            <c:size val="7"/>
            <c:spPr>
              <a:noFill/>
              <a:ln w="15875">
                <a:solidFill>
                  <a:schemeClr val="accent2"/>
                </a:solidFill>
              </a:ln>
              <a:effectLst/>
            </c:spPr>
          </c:marker>
          <c:xVal>
            <c:numRef>
              <c:f>'Well Success'!$AK$3:$AK$102</c:f>
              <c:numCache>
                <c:formatCode>0</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xVal>
          <c:yVal>
            <c:numRef>
              <c:f>'Well Success'!$AO$3:$AO$102</c:f>
              <c:numCache>
                <c:formatCode>0.000</c:formatCode>
                <c:ptCount val="100"/>
                <c:pt idx="0">
                  <c:v>0.48</c:v>
                </c:pt>
                <c:pt idx="1">
                  <c:v>#N/A</c:v>
                </c:pt>
                <c:pt idx="2">
                  <c:v>0.55690286020676771</c:v>
                </c:pt>
                <c:pt idx="3">
                  <c:v>#N/A</c:v>
                </c:pt>
                <c:pt idx="4">
                  <c:v>#N/A</c:v>
                </c:pt>
                <c:pt idx="5">
                  <c:v>#N/A</c:v>
                </c:pt>
                <c:pt idx="6">
                  <c:v>#N/A</c:v>
                </c:pt>
                <c:pt idx="7">
                  <c:v>#N/A</c:v>
                </c:pt>
                <c:pt idx="8">
                  <c:v>0.63380572041353533</c:v>
                </c:pt>
                <c:pt idx="9">
                  <c:v>#N/A</c:v>
                </c:pt>
                <c:pt idx="10">
                  <c:v>#N/A</c:v>
                </c:pt>
                <c:pt idx="11">
                  <c:v>#N/A</c:v>
                </c:pt>
                <c:pt idx="12">
                  <c:v>0.65954645502230758</c:v>
                </c:pt>
                <c:pt idx="13">
                  <c:v>#N/A</c:v>
                </c:pt>
                <c:pt idx="14">
                  <c:v>#N/A</c:v>
                </c:pt>
                <c:pt idx="15">
                  <c:v>0.67408121055678472</c:v>
                </c:pt>
                <c:pt idx="16">
                  <c:v>#N/A</c:v>
                </c:pt>
                <c:pt idx="17">
                  <c:v>#N/A</c:v>
                </c:pt>
                <c:pt idx="18">
                  <c:v>0.68611072854165078</c:v>
                </c:pt>
                <c:pt idx="19">
                  <c:v>#N/A</c:v>
                </c:pt>
                <c:pt idx="20">
                  <c:v>#N/A</c:v>
                </c:pt>
                <c:pt idx="21">
                  <c:v>#N/A</c:v>
                </c:pt>
                <c:pt idx="22">
                  <c:v>#N/A</c:v>
                </c:pt>
                <c:pt idx="23">
                  <c:v>0.70246376812435618</c:v>
                </c:pt>
                <c:pt idx="24">
                  <c:v>#N/A</c:v>
                </c:pt>
                <c:pt idx="25">
                  <c:v>0.70806675766150373</c:v>
                </c:pt>
                <c:pt idx="26">
                  <c:v>#N/A</c:v>
                </c:pt>
                <c:pt idx="27">
                  <c:v>#N/A</c:v>
                </c:pt>
                <c:pt idx="28">
                  <c:v>#N/A</c:v>
                </c:pt>
                <c:pt idx="29">
                  <c:v>#N/A</c:v>
                </c:pt>
                <c:pt idx="30">
                  <c:v>#N/A</c:v>
                </c:pt>
                <c:pt idx="31">
                  <c:v>0.72260151319598087</c:v>
                </c:pt>
                <c:pt idx="32">
                  <c:v>#N/A</c:v>
                </c:pt>
                <c:pt idx="33">
                  <c:v>#N/A</c:v>
                </c:pt>
                <c:pt idx="34">
                  <c:v>0.728874364304259</c:v>
                </c:pt>
                <c:pt idx="35">
                  <c:v>#N/A</c:v>
                </c:pt>
                <c:pt idx="36">
                  <c:v>#N/A</c:v>
                </c:pt>
                <c:pt idx="37">
                  <c:v>#N/A</c:v>
                </c:pt>
                <c:pt idx="38">
                  <c:v>#N/A</c:v>
                </c:pt>
                <c:pt idx="39">
                  <c:v>#N/A</c:v>
                </c:pt>
                <c:pt idx="40">
                  <c:v>#N/A</c:v>
                </c:pt>
                <c:pt idx="41">
                  <c:v>0.74163687327983574</c:v>
                </c:pt>
                <c:pt idx="42">
                  <c:v>#N/A</c:v>
                </c:pt>
                <c:pt idx="43">
                  <c:v>#N/A</c:v>
                </c:pt>
                <c:pt idx="44">
                  <c:v>0.74646637428392237</c:v>
                </c:pt>
                <c:pt idx="45">
                  <c:v>0.74800489775423662</c:v>
                </c:pt>
                <c:pt idx="46">
                  <c:v>#N/A</c:v>
                </c:pt>
                <c:pt idx="47">
                  <c:v>#N/A</c:v>
                </c:pt>
                <c:pt idx="48">
                  <c:v>#N/A</c:v>
                </c:pt>
                <c:pt idx="49">
                  <c:v>0.75384161037997022</c:v>
                </c:pt>
                <c:pt idx="50">
                  <c:v>#N/A</c:v>
                </c:pt>
                <c:pt idx="51">
                  <c:v>0.75658706030069989</c:v>
                </c:pt>
                <c:pt idx="52">
                  <c:v>0.7579204339486485</c:v>
                </c:pt>
                <c:pt idx="53">
                  <c:v>0.75922888325949922</c:v>
                </c:pt>
                <c:pt idx="54">
                  <c:v>0.76051332296627305</c:v>
                </c:pt>
                <c:pt idx="55">
                  <c:v>#N/A</c:v>
                </c:pt>
                <c:pt idx="56">
                  <c:v>#N/A</c:v>
                </c:pt>
                <c:pt idx="57">
                  <c:v>0.76423101073824928</c:v>
                </c:pt>
                <c:pt idx="58">
                  <c:v>#N/A</c:v>
                </c:pt>
                <c:pt idx="59">
                  <c:v>0.76660411935554706</c:v>
                </c:pt>
                <c:pt idx="60">
                  <c:v>#N/A</c:v>
                </c:pt>
                <c:pt idx="61">
                  <c:v>#N/A</c:v>
                </c:pt>
                <c:pt idx="62">
                  <c:v>0.77001943084740732</c:v>
                </c:pt>
                <c:pt idx="63">
                  <c:v>#N/A</c:v>
                </c:pt>
                <c:pt idx="64">
                  <c:v>#N/A</c:v>
                </c:pt>
                <c:pt idx="65">
                  <c:v>#N/A</c:v>
                </c:pt>
                <c:pt idx="66">
                  <c:v>#N/A</c:v>
                </c:pt>
                <c:pt idx="67">
                  <c:v>0.77536553936232755</c:v>
                </c:pt>
                <c:pt idx="68">
                  <c:v>0.7763874553218082</c:v>
                </c:pt>
                <c:pt idx="69">
                  <c:v>#N/A</c:v>
                </c:pt>
                <c:pt idx="70">
                  <c:v>0.77838759139289215</c:v>
                </c:pt>
                <c:pt idx="71">
                  <c:v>#N/A</c:v>
                </c:pt>
                <c:pt idx="72">
                  <c:v>#N/A</c:v>
                </c:pt>
                <c:pt idx="73">
                  <c:v>#N/A</c:v>
                </c:pt>
                <c:pt idx="74">
                  <c:v>#N/A</c:v>
                </c:pt>
                <c:pt idx="75">
                  <c:v>#N/A</c:v>
                </c:pt>
                <c:pt idx="76">
                  <c:v>#N/A</c:v>
                </c:pt>
                <c:pt idx="77">
                  <c:v>#N/A</c:v>
                </c:pt>
                <c:pt idx="78">
                  <c:v>0.7858613496726915</c:v>
                </c:pt>
                <c:pt idx="79">
                  <c:v>#N/A</c:v>
                </c:pt>
                <c:pt idx="80">
                  <c:v>#N/A</c:v>
                </c:pt>
                <c:pt idx="81">
                  <c:v>#N/A</c:v>
                </c:pt>
                <c:pt idx="82">
                  <c:v>#N/A</c:v>
                </c:pt>
                <c:pt idx="83">
                  <c:v>0.79015717591903201</c:v>
                </c:pt>
                <c:pt idx="84">
                  <c:v>#N/A</c:v>
                </c:pt>
                <c:pt idx="85">
                  <c:v>#N/A</c:v>
                </c:pt>
                <c:pt idx="86">
                  <c:v>#N/A</c:v>
                </c:pt>
                <c:pt idx="87">
                  <c:v>#N/A</c:v>
                </c:pt>
                <c:pt idx="88">
                  <c:v>#N/A</c:v>
                </c:pt>
                <c:pt idx="89">
                  <c:v>0.79498667692311864</c:v>
                </c:pt>
                <c:pt idx="90">
                  <c:v>0.79576016545617945</c:v>
                </c:pt>
                <c:pt idx="91">
                  <c:v>#N/A</c:v>
                </c:pt>
                <c:pt idx="92">
                  <c:v>#N/A</c:v>
                </c:pt>
                <c:pt idx="93">
                  <c:v>0.79803063475890035</c:v>
                </c:pt>
                <c:pt idx="94">
                  <c:v>#N/A</c:v>
                </c:pt>
                <c:pt idx="95">
                  <c:v>#N/A</c:v>
                </c:pt>
                <c:pt idx="96">
                  <c:v>#N/A</c:v>
                </c:pt>
                <c:pt idx="97">
                  <c:v>#N/A</c:v>
                </c:pt>
                <c:pt idx="98">
                  <c:v>#N/A</c:v>
                </c:pt>
                <c:pt idx="99">
                  <c:v>0.80236191301916637</c:v>
                </c:pt>
              </c:numCache>
            </c:numRef>
          </c:yVal>
          <c:smooth val="0"/>
          <c:extLst>
            <c:ext xmlns:c16="http://schemas.microsoft.com/office/drawing/2014/chart" uri="{C3380CC4-5D6E-409C-BE32-E72D297353CC}">
              <c16:uniqueId val="{00000009-0514-4FBD-82E1-D6718ECCFF87}"/>
            </c:ext>
          </c:extLst>
        </c:ser>
        <c:ser>
          <c:idx val="2"/>
          <c:order val="2"/>
          <c:tx>
            <c:strRef>
              <c:f>'Fig. Well success'!$A$35</c:f>
              <c:strCache>
                <c:ptCount val="1"/>
                <c:pt idx="0">
                  <c:v>Total wells attempted</c:v>
                </c:pt>
              </c:strCache>
            </c:strRef>
          </c:tx>
          <c:spPr>
            <a:ln w="19050" cap="rnd">
              <a:solidFill>
                <a:schemeClr val="accent3"/>
              </a:solidFill>
              <a:prstDash val="dash"/>
              <a:round/>
            </a:ln>
            <a:effectLst/>
          </c:spPr>
          <c:marker>
            <c:symbol val="none"/>
          </c:marker>
          <c:xVal>
            <c:numRef>
              <c:f>'Fig. Well success'!$A$36:$B$36</c:f>
              <c:numCache>
                <c:formatCode>0</c:formatCode>
                <c:ptCount val="2"/>
                <c:pt idx="0">
                  <c:v>15</c:v>
                </c:pt>
                <c:pt idx="1">
                  <c:v>15</c:v>
                </c:pt>
              </c:numCache>
            </c:numRef>
          </c:xVal>
          <c:yVal>
            <c:numRef>
              <c:f>'Fig. Well success'!$A$37:$B$37</c:f>
              <c:numCache>
                <c:formatCode>General</c:formatCode>
                <c:ptCount val="2"/>
                <c:pt idx="0">
                  <c:v>0</c:v>
                </c:pt>
                <c:pt idx="1">
                  <c:v>1</c:v>
                </c:pt>
              </c:numCache>
            </c:numRef>
          </c:yVal>
          <c:smooth val="0"/>
          <c:extLst>
            <c:ext xmlns:c16="http://schemas.microsoft.com/office/drawing/2014/chart" uri="{C3380CC4-5D6E-409C-BE32-E72D297353CC}">
              <c16:uniqueId val="{00000001-1DAA-4D7B-9E23-589EB11DD770}"/>
            </c:ext>
          </c:extLst>
        </c:ser>
        <c:dLbls>
          <c:showLegendKey val="0"/>
          <c:showVal val="0"/>
          <c:showCatName val="0"/>
          <c:showSerName val="0"/>
          <c:showPercent val="0"/>
          <c:showBubbleSize val="0"/>
        </c:dLbls>
        <c:axId val="655473424"/>
        <c:axId val="655473752"/>
      </c:scatterChart>
      <c:valAx>
        <c:axId val="655473424"/>
        <c:scaling>
          <c:orientation val="minMax"/>
          <c:max val="100"/>
        </c:scaling>
        <c:delete val="0"/>
        <c:axPos val="b"/>
        <c:title>
          <c:tx>
            <c:rich>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Number of wells drilled</a:t>
                </a:r>
              </a:p>
            </c:rich>
          </c:tx>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752"/>
        <c:crosses val="autoZero"/>
        <c:crossBetween val="midCat"/>
      </c:valAx>
      <c:valAx>
        <c:axId val="65547375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Well success rate</a:t>
                </a:r>
              </a:p>
            </c:rich>
          </c:tx>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42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r>
              <a:rPr lang="en-US" baseline="0"/>
              <a:t>  </a:t>
            </a:r>
            <a:endParaRPr lang="en-US"/>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Cashflow!$B$90</c:f>
              <c:strCache>
                <c:ptCount val="1"/>
                <c:pt idx="0">
                  <c:v>Royalty</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Cashflow!$C$80:$AG$80</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Cashflow!$C$90:$AG$90</c:f>
              <c:numCache>
                <c:formatCode>0.00_);[Red]\(0.00\)</c:formatCode>
                <c:ptCount val="31"/>
                <c:pt idx="0">
                  <c:v>0</c:v>
                </c:pt>
                <c:pt idx="1">
                  <c:v>0</c:v>
                </c:pt>
                <c:pt idx="2">
                  <c:v>0</c:v>
                </c:pt>
                <c:pt idx="3">
                  <c:v>0</c:v>
                </c:pt>
                <c:pt idx="4">
                  <c:v>0</c:v>
                </c:pt>
                <c:pt idx="5">
                  <c:v>0</c:v>
                </c:pt>
                <c:pt idx="6">
                  <c:v>0</c:v>
                </c:pt>
                <c:pt idx="7">
                  <c:v>0</c:v>
                </c:pt>
                <c:pt idx="8">
                  <c:v>-1.4370135811431959</c:v>
                </c:pt>
                <c:pt idx="9">
                  <c:v>-2.1095643765636787</c:v>
                </c:pt>
                <c:pt idx="10">
                  <c:v>-2.2090833490108812</c:v>
                </c:pt>
                <c:pt idx="11">
                  <c:v>-2.7937922037068317</c:v>
                </c:pt>
                <c:pt idx="12">
                  <c:v>-2.3982444963769307</c:v>
                </c:pt>
                <c:pt idx="13">
                  <c:v>-2.3103674532456639</c:v>
                </c:pt>
                <c:pt idx="14">
                  <c:v>-2.3982444963769303</c:v>
                </c:pt>
                <c:pt idx="15">
                  <c:v>-2.3103674532456639</c:v>
                </c:pt>
                <c:pt idx="16">
                  <c:v>-2.3982444963769307</c:v>
                </c:pt>
                <c:pt idx="17">
                  <c:v>-2.3148152781087838</c:v>
                </c:pt>
                <c:pt idx="18">
                  <c:v>-2.4073339909781035</c:v>
                </c:pt>
                <c:pt idx="19">
                  <c:v>-2.3227923636127312</c:v>
                </c:pt>
                <c:pt idx="20">
                  <c:v>-2.4148632275101907</c:v>
                </c:pt>
                <c:pt idx="21">
                  <c:v>-2.3284392092360608</c:v>
                </c:pt>
                <c:pt idx="22">
                  <c:v>-2.4177965342845193</c:v>
                </c:pt>
                <c:pt idx="23">
                  <c:v>-2.3294110950995517</c:v>
                </c:pt>
                <c:pt idx="24">
                  <c:v>-2.4181866722114442</c:v>
                </c:pt>
                <c:pt idx="25">
                  <c:v>-1.9882931684627836</c:v>
                </c:pt>
                <c:pt idx="26">
                  <c:v>-2.0620122832383263</c:v>
                </c:pt>
                <c:pt idx="27">
                  <c:v>-1.9876220198199839</c:v>
                </c:pt>
                <c:pt idx="28">
                  <c:v>-2.0604742722467413</c:v>
                </c:pt>
                <c:pt idx="29">
                  <c:v>-1.4549619839706516</c:v>
                </c:pt>
                <c:pt idx="30">
                  <c:v>-1.5052783681019375</c:v>
                </c:pt>
              </c:numCache>
            </c:numRef>
          </c:yVal>
          <c:smooth val="0"/>
          <c:extLst>
            <c:ext xmlns:c16="http://schemas.microsoft.com/office/drawing/2014/chart" uri="{C3380CC4-5D6E-409C-BE32-E72D297353CC}">
              <c16:uniqueId val="{00000000-B148-4528-A8BA-D9D7D5ECCD65}"/>
            </c:ext>
          </c:extLst>
        </c:ser>
        <c:ser>
          <c:idx val="1"/>
          <c:order val="1"/>
          <c:tx>
            <c:strRef>
              <c:f>Cashflow!$B$91</c:f>
              <c:strCache>
                <c:ptCount val="1"/>
                <c:pt idx="0">
                  <c:v>Tax</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Cashflow!$C$80:$AG$80</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Cashflow!$C$91:$AG$91</c:f>
              <c:numCache>
                <c:formatCode>0.00_);[Red]\(0.00\)</c:formatCode>
                <c:ptCount val="31"/>
                <c:pt idx="0">
                  <c:v>0</c:v>
                </c:pt>
                <c:pt idx="1">
                  <c:v>0</c:v>
                </c:pt>
                <c:pt idx="2">
                  <c:v>0</c:v>
                </c:pt>
                <c:pt idx="3">
                  <c:v>0</c:v>
                </c:pt>
                <c:pt idx="4">
                  <c:v>0</c:v>
                </c:pt>
                <c:pt idx="5">
                  <c:v>0</c:v>
                </c:pt>
                <c:pt idx="6">
                  <c:v>0</c:v>
                </c:pt>
                <c:pt idx="7">
                  <c:v>0</c:v>
                </c:pt>
                <c:pt idx="8">
                  <c:v>0</c:v>
                </c:pt>
                <c:pt idx="9">
                  <c:v>0</c:v>
                </c:pt>
                <c:pt idx="10">
                  <c:v>0</c:v>
                </c:pt>
                <c:pt idx="11">
                  <c:v>0</c:v>
                </c:pt>
                <c:pt idx="12">
                  <c:v>-6.2884905391715336</c:v>
                </c:pt>
                <c:pt idx="13">
                  <c:v>-15.233633642119315</c:v>
                </c:pt>
                <c:pt idx="14">
                  <c:v>-17.925509649225937</c:v>
                </c:pt>
                <c:pt idx="15">
                  <c:v>-17.755024285319315</c:v>
                </c:pt>
                <c:pt idx="16">
                  <c:v>-19.937284625225946</c:v>
                </c:pt>
                <c:pt idx="17">
                  <c:v>-18.707595922750514</c:v>
                </c:pt>
                <c:pt idx="18">
                  <c:v>-20.563386227237672</c:v>
                </c:pt>
                <c:pt idx="19">
                  <c:v>-19.575266784189989</c:v>
                </c:pt>
                <c:pt idx="20">
                  <c:v>-21.433099251758541</c:v>
                </c:pt>
                <c:pt idx="21">
                  <c:v>-19.782415640423288</c:v>
                </c:pt>
                <c:pt idx="22">
                  <c:v>-20.808430684301829</c:v>
                </c:pt>
                <c:pt idx="23">
                  <c:v>-19.562134499058196</c:v>
                </c:pt>
                <c:pt idx="24">
                  <c:v>-21.028332063571082</c:v>
                </c:pt>
                <c:pt idx="25">
                  <c:v>-16.323755232690512</c:v>
                </c:pt>
                <c:pt idx="26">
                  <c:v>-17.604828173839902</c:v>
                </c:pt>
                <c:pt idx="27">
                  <c:v>-16.427635746262517</c:v>
                </c:pt>
                <c:pt idx="28">
                  <c:v>-17.92792166392405</c:v>
                </c:pt>
                <c:pt idx="29">
                  <c:v>-11.671814267769193</c:v>
                </c:pt>
                <c:pt idx="30">
                  <c:v>-12.383912318476014</c:v>
                </c:pt>
              </c:numCache>
            </c:numRef>
          </c:yVal>
          <c:smooth val="0"/>
          <c:extLst>
            <c:ext xmlns:c16="http://schemas.microsoft.com/office/drawing/2014/chart" uri="{C3380CC4-5D6E-409C-BE32-E72D297353CC}">
              <c16:uniqueId val="{00000001-B148-4528-A8BA-D9D7D5ECCD65}"/>
            </c:ext>
          </c:extLst>
        </c:ser>
        <c:ser>
          <c:idx val="2"/>
          <c:order val="2"/>
          <c:tx>
            <c:strRef>
              <c:f>Cashflow!$B$89</c:f>
              <c:strCache>
                <c:ptCount val="1"/>
                <c:pt idx="0">
                  <c:v>Government take</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Cashflow!$C$80:$AG$80</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Cashflow!$C$89:$AG$89</c:f>
              <c:numCache>
                <c:formatCode>0.00_);[Red]\(0.00\)</c:formatCode>
                <c:ptCount val="31"/>
                <c:pt idx="0">
                  <c:v>-0.5</c:v>
                </c:pt>
                <c:pt idx="1">
                  <c:v>-1</c:v>
                </c:pt>
                <c:pt idx="2">
                  <c:v>0</c:v>
                </c:pt>
                <c:pt idx="3">
                  <c:v>0</c:v>
                </c:pt>
                <c:pt idx="4">
                  <c:v>0</c:v>
                </c:pt>
                <c:pt idx="5">
                  <c:v>0</c:v>
                </c:pt>
                <c:pt idx="6">
                  <c:v>0</c:v>
                </c:pt>
                <c:pt idx="7">
                  <c:v>0</c:v>
                </c:pt>
                <c:pt idx="8">
                  <c:v>-1.4370135811431959</c:v>
                </c:pt>
                <c:pt idx="9">
                  <c:v>-2.1095643765636787</c:v>
                </c:pt>
                <c:pt idx="10">
                  <c:v>-2.2090833490108812</c:v>
                </c:pt>
                <c:pt idx="11">
                  <c:v>-2.7937922037068317</c:v>
                </c:pt>
                <c:pt idx="12">
                  <c:v>-8.6867350355484643</c:v>
                </c:pt>
                <c:pt idx="13">
                  <c:v>-17.54400109536498</c:v>
                </c:pt>
                <c:pt idx="14">
                  <c:v>-20.323754145602866</c:v>
                </c:pt>
                <c:pt idx="15">
                  <c:v>-20.06539173856498</c:v>
                </c:pt>
                <c:pt idx="16">
                  <c:v>-22.335529121602875</c:v>
                </c:pt>
                <c:pt idx="17">
                  <c:v>-21.022411200859299</c:v>
                </c:pt>
                <c:pt idx="18">
                  <c:v>-22.970720218215774</c:v>
                </c:pt>
                <c:pt idx="19">
                  <c:v>-21.898059147802719</c:v>
                </c:pt>
                <c:pt idx="20">
                  <c:v>-23.84796247926873</c:v>
                </c:pt>
                <c:pt idx="21">
                  <c:v>-22.110854849659347</c:v>
                </c:pt>
                <c:pt idx="22">
                  <c:v>-23.226227218586349</c:v>
                </c:pt>
                <c:pt idx="23">
                  <c:v>-21.891545594157748</c:v>
                </c:pt>
                <c:pt idx="24">
                  <c:v>-23.446518735782526</c:v>
                </c:pt>
                <c:pt idx="25">
                  <c:v>-18.312048401153294</c:v>
                </c:pt>
                <c:pt idx="26">
                  <c:v>-19.66684045707823</c:v>
                </c:pt>
                <c:pt idx="27">
                  <c:v>-18.415257766082501</c:v>
                </c:pt>
                <c:pt idx="28">
                  <c:v>-19.988395936170789</c:v>
                </c:pt>
                <c:pt idx="29">
                  <c:v>-13.126776251739845</c:v>
                </c:pt>
                <c:pt idx="30">
                  <c:v>-13.889190686577951</c:v>
                </c:pt>
              </c:numCache>
            </c:numRef>
          </c:yVal>
          <c:smooth val="0"/>
          <c:extLst>
            <c:ext xmlns:c16="http://schemas.microsoft.com/office/drawing/2014/chart" uri="{C3380CC4-5D6E-409C-BE32-E72D297353CC}">
              <c16:uniqueId val="{00000002-B148-4528-A8BA-D9D7D5ECCD65}"/>
            </c:ext>
          </c:extLst>
        </c:ser>
        <c:ser>
          <c:idx val="3"/>
          <c:order val="3"/>
          <c:tx>
            <c:v>Duties, levies, etc.</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Cashflow!$C$80:$AG$80</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Cashflow!$C$92:$AG$92</c:f>
              <c:numCache>
                <c:formatCode>0.00_);[Red]\(0.00\)</c:formatCode>
                <c:ptCount val="31"/>
                <c:pt idx="0">
                  <c:v>-0.5</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0-05A1-412D-89C8-99293868A5A4}"/>
            </c:ext>
          </c:extLst>
        </c:ser>
        <c:dLbls>
          <c:showLegendKey val="0"/>
          <c:showVal val="0"/>
          <c:showCatName val="0"/>
          <c:showSerName val="0"/>
          <c:showPercent val="0"/>
          <c:showBubbleSize val="0"/>
        </c:dLbls>
        <c:axId val="655473424"/>
        <c:axId val="655473752"/>
      </c:scatterChart>
      <c:valAx>
        <c:axId val="655473424"/>
        <c:scaling>
          <c:orientation val="minMax"/>
        </c:scaling>
        <c:delete val="0"/>
        <c:axPos val="b"/>
        <c:title>
          <c:tx>
            <c:rich>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Year</a:t>
                </a:r>
              </a:p>
            </c:rich>
          </c:tx>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cross"/>
        <c:minorTickMark val="in"/>
        <c:tickLblPos val="high"/>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752"/>
        <c:crosses val="autoZero"/>
        <c:crossBetween val="midCat"/>
      </c:valAx>
      <c:valAx>
        <c:axId val="655473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Million Dollars ($ MM)</a:t>
                </a:r>
              </a:p>
            </c:rich>
          </c:tx>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424"/>
        <c:crosses val="autoZero"/>
        <c:crossBetween val="midCat"/>
      </c:valAx>
      <c:spPr>
        <a:noFill/>
        <a:ln>
          <a:noFill/>
        </a:ln>
        <a:effectLst/>
      </c:spPr>
    </c:plotArea>
    <c:legend>
      <c:legendPos val="r"/>
      <c:layout>
        <c:manualLayout>
          <c:xMode val="edge"/>
          <c:yMode val="edge"/>
          <c:x val="0.85016088888888874"/>
          <c:y val="0.37025962962962966"/>
          <c:w val="0.13567899999999999"/>
          <c:h val="0.15875111111111112"/>
        </c:manualLayout>
      </c:layout>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r>
              <a:rPr lang="en-US"/>
              <a:t>Yearly undiscounted cashflow</a:t>
            </a:r>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Cashflow!$B$78</c:f>
              <c:strCache>
                <c:ptCount val="1"/>
                <c:pt idx="0">
                  <c:v>Total cash-in ($ MM)</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Cashflow!$C$73:$AG$73</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Cashflow!$C$78:$AG$78</c:f>
              <c:numCache>
                <c:formatCode>0.00_);[Red]\(0.00\)</c:formatCode>
                <c:ptCount val="31"/>
                <c:pt idx="0">
                  <c:v>0</c:v>
                </c:pt>
                <c:pt idx="1">
                  <c:v>0</c:v>
                </c:pt>
                <c:pt idx="2">
                  <c:v>0</c:v>
                </c:pt>
                <c:pt idx="3">
                  <c:v>0</c:v>
                </c:pt>
                <c:pt idx="4">
                  <c:v>0</c:v>
                </c:pt>
                <c:pt idx="5">
                  <c:v>0</c:v>
                </c:pt>
                <c:pt idx="6">
                  <c:v>0</c:v>
                </c:pt>
                <c:pt idx="7">
                  <c:v>0</c:v>
                </c:pt>
                <c:pt idx="8">
                  <c:v>60.48054324572783</c:v>
                </c:pt>
                <c:pt idx="9">
                  <c:v>87.382575062547147</c:v>
                </c:pt>
                <c:pt idx="10">
                  <c:v>91.363333960435241</c:v>
                </c:pt>
                <c:pt idx="11">
                  <c:v>114.75168814827326</c:v>
                </c:pt>
                <c:pt idx="12">
                  <c:v>98.929779855077228</c:v>
                </c:pt>
                <c:pt idx="13">
                  <c:v>94.414698129826562</c:v>
                </c:pt>
                <c:pt idx="14">
                  <c:v>97.9297798550772</c:v>
                </c:pt>
                <c:pt idx="15">
                  <c:v>94.414698129826562</c:v>
                </c:pt>
                <c:pt idx="16">
                  <c:v>97.929779855077228</c:v>
                </c:pt>
                <c:pt idx="17">
                  <c:v>92.59261112435135</c:v>
                </c:pt>
                <c:pt idx="18">
                  <c:v>96.293359639124134</c:v>
                </c:pt>
                <c:pt idx="19">
                  <c:v>92.911694544509245</c:v>
                </c:pt>
                <c:pt idx="20">
                  <c:v>96.594529100407613</c:v>
                </c:pt>
                <c:pt idx="21">
                  <c:v>93.137568369442434</c:v>
                </c:pt>
                <c:pt idx="22">
                  <c:v>96.711861371380763</c:v>
                </c:pt>
                <c:pt idx="23">
                  <c:v>93.176443803982067</c:v>
                </c:pt>
                <c:pt idx="24">
                  <c:v>96.727466888457769</c:v>
                </c:pt>
                <c:pt idx="25">
                  <c:v>79.531726738511338</c:v>
                </c:pt>
                <c:pt idx="26">
                  <c:v>82.480491329533052</c:v>
                </c:pt>
                <c:pt idx="27">
                  <c:v>79.504880792799355</c:v>
                </c:pt>
                <c:pt idx="28">
                  <c:v>82.418970889869641</c:v>
                </c:pt>
                <c:pt idx="29">
                  <c:v>58.198479358826056</c:v>
                </c:pt>
                <c:pt idx="30">
                  <c:v>60.211134724077496</c:v>
                </c:pt>
              </c:numCache>
            </c:numRef>
          </c:yVal>
          <c:smooth val="0"/>
          <c:extLst>
            <c:ext xmlns:c16="http://schemas.microsoft.com/office/drawing/2014/chart" uri="{C3380CC4-5D6E-409C-BE32-E72D297353CC}">
              <c16:uniqueId val="{00000000-38BA-4784-8B6D-B2B1E55484C8}"/>
            </c:ext>
          </c:extLst>
        </c:ser>
        <c:ser>
          <c:idx val="1"/>
          <c:order val="1"/>
          <c:tx>
            <c:strRef>
              <c:f>Cashflow!$B$81</c:f>
              <c:strCache>
                <c:ptCount val="1"/>
                <c:pt idx="0">
                  <c:v>Total capex with multiplier</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Cashflow!$C$80:$AG$80</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Cashflow!$C$81:$AG$81</c:f>
              <c:numCache>
                <c:formatCode>0.00_);[Red]\(0.00\)</c:formatCode>
                <c:ptCount val="31"/>
                <c:pt idx="0">
                  <c:v>-15.5</c:v>
                </c:pt>
                <c:pt idx="1">
                  <c:v>-11</c:v>
                </c:pt>
                <c:pt idx="2">
                  <c:v>-5</c:v>
                </c:pt>
                <c:pt idx="3">
                  <c:v>-37</c:v>
                </c:pt>
                <c:pt idx="4">
                  <c:v>-131</c:v>
                </c:pt>
                <c:pt idx="5">
                  <c:v>-80</c:v>
                </c:pt>
                <c:pt idx="6">
                  <c:v>-55.5</c:v>
                </c:pt>
                <c:pt idx="7">
                  <c:v>-42.5</c:v>
                </c:pt>
                <c:pt idx="8">
                  <c:v>-38.5</c:v>
                </c:pt>
                <c:pt idx="9">
                  <c:v>-35</c:v>
                </c:pt>
                <c:pt idx="10">
                  <c:v>-22.5</c:v>
                </c:pt>
                <c:pt idx="11">
                  <c:v>-32</c:v>
                </c:pt>
                <c:pt idx="12">
                  <c:v>0</c:v>
                </c:pt>
                <c:pt idx="13">
                  <c:v>0</c:v>
                </c:pt>
                <c:pt idx="14">
                  <c:v>0</c:v>
                </c:pt>
                <c:pt idx="15">
                  <c:v>0</c:v>
                </c:pt>
                <c:pt idx="16">
                  <c:v>0</c:v>
                </c:pt>
                <c:pt idx="17">
                  <c:v>0</c:v>
                </c:pt>
                <c:pt idx="18">
                  <c:v>0</c:v>
                </c:pt>
                <c:pt idx="19">
                  <c:v>0</c:v>
                </c:pt>
                <c:pt idx="20">
                  <c:v>0</c:v>
                </c:pt>
                <c:pt idx="21">
                  <c:v>-15</c:v>
                </c:pt>
                <c:pt idx="22">
                  <c:v>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1-38BA-4784-8B6D-B2B1E55484C8}"/>
            </c:ext>
          </c:extLst>
        </c:ser>
        <c:ser>
          <c:idx val="2"/>
          <c:order val="2"/>
          <c:tx>
            <c:strRef>
              <c:f>Cashflow!$B$82</c:f>
              <c:strCache>
                <c:ptCount val="1"/>
                <c:pt idx="0">
                  <c:v>Total opex (fixed + var)</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Cashflow!$C$80:$AG$80</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Cashflow!$C$82:$AG$82</c:f>
              <c:numCache>
                <c:formatCode>0.00_);[Red]\(0.00\)</c:formatCode>
                <c:ptCount val="31"/>
                <c:pt idx="0">
                  <c:v>-1.0774999999999999</c:v>
                </c:pt>
                <c:pt idx="1">
                  <c:v>-1.1325000000000001</c:v>
                </c:pt>
                <c:pt idx="2">
                  <c:v>-1.1575</c:v>
                </c:pt>
                <c:pt idx="3">
                  <c:v>-2.3425000000000002</c:v>
                </c:pt>
                <c:pt idx="4">
                  <c:v>-2.9975000000000001</c:v>
                </c:pt>
                <c:pt idx="5">
                  <c:v>-3.3975</c:v>
                </c:pt>
                <c:pt idx="6">
                  <c:v>-4.875</c:v>
                </c:pt>
                <c:pt idx="7">
                  <c:v>-5.4875000000000007</c:v>
                </c:pt>
                <c:pt idx="8">
                  <c:v>-6.8668951670954188</c:v>
                </c:pt>
                <c:pt idx="9">
                  <c:v>-7.9061485958504267</c:v>
                </c:pt>
                <c:pt idx="10">
                  <c:v>-8.3003726542835299</c:v>
                </c:pt>
                <c:pt idx="11">
                  <c:v>-9.2688233263716313</c:v>
                </c:pt>
                <c:pt idx="12">
                  <c:v>-10.003138634173439</c:v>
                </c:pt>
                <c:pt idx="13">
                  <c:v>-10.932905807749286</c:v>
                </c:pt>
                <c:pt idx="14">
                  <c:v>-11.003138634173439</c:v>
                </c:pt>
                <c:pt idx="15">
                  <c:v>-12.932905807749286</c:v>
                </c:pt>
                <c:pt idx="16">
                  <c:v>-11.003138634173439</c:v>
                </c:pt>
                <c:pt idx="17">
                  <c:v>-12.932905807749286</c:v>
                </c:pt>
                <c:pt idx="18">
                  <c:v>-11.003138634173439</c:v>
                </c:pt>
                <c:pt idx="19">
                  <c:v>-12.932905807749286</c:v>
                </c:pt>
                <c:pt idx="20">
                  <c:v>-10.003138634173439</c:v>
                </c:pt>
                <c:pt idx="21">
                  <c:v>-11.007905807749287</c:v>
                </c:pt>
                <c:pt idx="22">
                  <c:v>-11.078138634173442</c:v>
                </c:pt>
                <c:pt idx="23">
                  <c:v>-13.007905807749287</c:v>
                </c:pt>
                <c:pt idx="24">
                  <c:v>-11.078138634173442</c:v>
                </c:pt>
                <c:pt idx="25">
                  <c:v>-13.007905807749287</c:v>
                </c:pt>
                <c:pt idx="26">
                  <c:v>-11.07813863417344</c:v>
                </c:pt>
                <c:pt idx="27">
                  <c:v>-13.007905807749287</c:v>
                </c:pt>
                <c:pt idx="28">
                  <c:v>-10.078138634173442</c:v>
                </c:pt>
                <c:pt idx="29">
                  <c:v>-11.007905807749287</c:v>
                </c:pt>
                <c:pt idx="30">
                  <c:v>-11.078138634173442</c:v>
                </c:pt>
              </c:numCache>
            </c:numRef>
          </c:yVal>
          <c:smooth val="0"/>
          <c:extLst>
            <c:ext xmlns:c16="http://schemas.microsoft.com/office/drawing/2014/chart" uri="{C3380CC4-5D6E-409C-BE32-E72D297353CC}">
              <c16:uniqueId val="{00000002-38BA-4784-8B6D-B2B1E55484C8}"/>
            </c:ext>
          </c:extLst>
        </c:ser>
        <c:ser>
          <c:idx val="3"/>
          <c:order val="3"/>
          <c:tx>
            <c:strRef>
              <c:f>Cashflow!$B$89</c:f>
              <c:strCache>
                <c:ptCount val="1"/>
                <c:pt idx="0">
                  <c:v>Government take</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Cashflow!$C$80:$AG$80</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Cashflow!$C$89:$AG$89</c:f>
              <c:numCache>
                <c:formatCode>0.00_);[Red]\(0.00\)</c:formatCode>
                <c:ptCount val="31"/>
                <c:pt idx="0">
                  <c:v>-0.5</c:v>
                </c:pt>
                <c:pt idx="1">
                  <c:v>-1</c:v>
                </c:pt>
                <c:pt idx="2">
                  <c:v>0</c:v>
                </c:pt>
                <c:pt idx="3">
                  <c:v>0</c:v>
                </c:pt>
                <c:pt idx="4">
                  <c:v>0</c:v>
                </c:pt>
                <c:pt idx="5">
                  <c:v>0</c:v>
                </c:pt>
                <c:pt idx="6">
                  <c:v>0</c:v>
                </c:pt>
                <c:pt idx="7">
                  <c:v>0</c:v>
                </c:pt>
                <c:pt idx="8">
                  <c:v>-1.4370135811431959</c:v>
                </c:pt>
                <c:pt idx="9">
                  <c:v>-2.1095643765636787</c:v>
                </c:pt>
                <c:pt idx="10">
                  <c:v>-2.2090833490108812</c:v>
                </c:pt>
                <c:pt idx="11">
                  <c:v>-2.7937922037068317</c:v>
                </c:pt>
                <c:pt idx="12">
                  <c:v>-8.6867350355484643</c:v>
                </c:pt>
                <c:pt idx="13">
                  <c:v>-17.54400109536498</c:v>
                </c:pt>
                <c:pt idx="14">
                  <c:v>-20.323754145602866</c:v>
                </c:pt>
                <c:pt idx="15">
                  <c:v>-20.06539173856498</c:v>
                </c:pt>
                <c:pt idx="16">
                  <c:v>-22.335529121602875</c:v>
                </c:pt>
                <c:pt idx="17">
                  <c:v>-21.022411200859299</c:v>
                </c:pt>
                <c:pt idx="18">
                  <c:v>-22.970720218215774</c:v>
                </c:pt>
                <c:pt idx="19">
                  <c:v>-21.898059147802719</c:v>
                </c:pt>
                <c:pt idx="20">
                  <c:v>-23.84796247926873</c:v>
                </c:pt>
                <c:pt idx="21">
                  <c:v>-22.110854849659347</c:v>
                </c:pt>
                <c:pt idx="22">
                  <c:v>-23.226227218586349</c:v>
                </c:pt>
                <c:pt idx="23">
                  <c:v>-21.891545594157748</c:v>
                </c:pt>
                <c:pt idx="24">
                  <c:v>-23.446518735782526</c:v>
                </c:pt>
                <c:pt idx="25">
                  <c:v>-18.312048401153294</c:v>
                </c:pt>
                <c:pt idx="26">
                  <c:v>-19.66684045707823</c:v>
                </c:pt>
                <c:pt idx="27">
                  <c:v>-18.415257766082501</c:v>
                </c:pt>
                <c:pt idx="28">
                  <c:v>-19.988395936170789</c:v>
                </c:pt>
                <c:pt idx="29">
                  <c:v>-13.126776251739845</c:v>
                </c:pt>
                <c:pt idx="30">
                  <c:v>-13.889190686577951</c:v>
                </c:pt>
              </c:numCache>
            </c:numRef>
          </c:yVal>
          <c:smooth val="0"/>
          <c:extLst>
            <c:ext xmlns:c16="http://schemas.microsoft.com/office/drawing/2014/chart" uri="{C3380CC4-5D6E-409C-BE32-E72D297353CC}">
              <c16:uniqueId val="{00000003-38BA-4784-8B6D-B2B1E55484C8}"/>
            </c:ext>
          </c:extLst>
        </c:ser>
        <c:ser>
          <c:idx val="4"/>
          <c:order val="4"/>
          <c:tx>
            <c:strRef>
              <c:f>Cashflow!$B$93</c:f>
              <c:strCache>
                <c:ptCount val="1"/>
                <c:pt idx="0">
                  <c:v>Total cash-out</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Cashflow!$C$80:$AG$80</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Cashflow!$C$93:$AG$93</c:f>
              <c:numCache>
                <c:formatCode>0.00_);[Red]\(0.00\)</c:formatCode>
                <c:ptCount val="31"/>
                <c:pt idx="0">
                  <c:v>-17.077500000000001</c:v>
                </c:pt>
                <c:pt idx="1">
                  <c:v>-13.1325</c:v>
                </c:pt>
                <c:pt idx="2">
                  <c:v>-6.1574999999999998</c:v>
                </c:pt>
                <c:pt idx="3">
                  <c:v>-39.342500000000001</c:v>
                </c:pt>
                <c:pt idx="4">
                  <c:v>-133.9975</c:v>
                </c:pt>
                <c:pt idx="5">
                  <c:v>-83.397499999999994</c:v>
                </c:pt>
                <c:pt idx="6">
                  <c:v>-60.375</c:v>
                </c:pt>
                <c:pt idx="7">
                  <c:v>-47.987499999999997</c:v>
                </c:pt>
                <c:pt idx="8">
                  <c:v>-46.803908748238619</c:v>
                </c:pt>
                <c:pt idx="9">
                  <c:v>-45.015712972414107</c:v>
                </c:pt>
                <c:pt idx="10">
                  <c:v>-33.00945600329441</c:v>
                </c:pt>
                <c:pt idx="11">
                  <c:v>-44.06261553007846</c:v>
                </c:pt>
                <c:pt idx="12">
                  <c:v>-18.689873669721905</c:v>
                </c:pt>
                <c:pt idx="13">
                  <c:v>-28.476906903114266</c:v>
                </c:pt>
                <c:pt idx="14">
                  <c:v>-31.326892779776305</c:v>
                </c:pt>
                <c:pt idx="15">
                  <c:v>-32.998297546314262</c:v>
                </c:pt>
                <c:pt idx="16">
                  <c:v>-33.338667755776314</c:v>
                </c:pt>
                <c:pt idx="17">
                  <c:v>-33.955317008608588</c:v>
                </c:pt>
                <c:pt idx="18">
                  <c:v>-33.973858852389213</c:v>
                </c:pt>
                <c:pt idx="19">
                  <c:v>-34.830964955552005</c:v>
                </c:pt>
                <c:pt idx="20">
                  <c:v>-33.851101113442169</c:v>
                </c:pt>
                <c:pt idx="21">
                  <c:v>-48.118760657408636</c:v>
                </c:pt>
                <c:pt idx="22">
                  <c:v>-34.304365852759787</c:v>
                </c:pt>
                <c:pt idx="23">
                  <c:v>-34.899451401907037</c:v>
                </c:pt>
                <c:pt idx="24">
                  <c:v>-34.524657369955968</c:v>
                </c:pt>
                <c:pt idx="25">
                  <c:v>-31.31995420890258</c:v>
                </c:pt>
                <c:pt idx="26">
                  <c:v>-30.744979091251672</c:v>
                </c:pt>
                <c:pt idx="27">
                  <c:v>-31.423163573831786</c:v>
                </c:pt>
                <c:pt idx="28">
                  <c:v>-30.066534570344231</c:v>
                </c:pt>
                <c:pt idx="29">
                  <c:v>-24.13468205948913</c:v>
                </c:pt>
                <c:pt idx="30">
                  <c:v>-24.967329320751393</c:v>
                </c:pt>
              </c:numCache>
            </c:numRef>
          </c:yVal>
          <c:smooth val="0"/>
          <c:extLst>
            <c:ext xmlns:c16="http://schemas.microsoft.com/office/drawing/2014/chart" uri="{C3380CC4-5D6E-409C-BE32-E72D297353CC}">
              <c16:uniqueId val="{00000004-38BA-4784-8B6D-B2B1E55484C8}"/>
            </c:ext>
          </c:extLst>
        </c:ser>
        <c:ser>
          <c:idx val="5"/>
          <c:order val="5"/>
          <c:tx>
            <c:strRef>
              <c:f>Cashflow!$B$96</c:f>
              <c:strCache>
                <c:ptCount val="1"/>
                <c:pt idx="0">
                  <c:v>Net cash flow (post-tax)</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Cashflow!$C$80:$AG$80</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Cashflow!$C$96:$AG$96</c:f>
              <c:numCache>
                <c:formatCode>0.00_);[Red]\(0.00\)</c:formatCode>
                <c:ptCount val="31"/>
                <c:pt idx="0">
                  <c:v>-17.077500000000001</c:v>
                </c:pt>
                <c:pt idx="1">
                  <c:v>-13.1325</c:v>
                </c:pt>
                <c:pt idx="2">
                  <c:v>-6.1574999999999998</c:v>
                </c:pt>
                <c:pt idx="3">
                  <c:v>-39.342500000000001</c:v>
                </c:pt>
                <c:pt idx="4">
                  <c:v>-133.9975</c:v>
                </c:pt>
                <c:pt idx="5">
                  <c:v>-83.397499999999994</c:v>
                </c:pt>
                <c:pt idx="6">
                  <c:v>-60.375</c:v>
                </c:pt>
                <c:pt idx="7">
                  <c:v>-47.987499999999997</c:v>
                </c:pt>
                <c:pt idx="8">
                  <c:v>13.676634497489211</c:v>
                </c:pt>
                <c:pt idx="9">
                  <c:v>42.36686209013304</c:v>
                </c:pt>
                <c:pt idx="10">
                  <c:v>58.353877957140831</c:v>
                </c:pt>
                <c:pt idx="11">
                  <c:v>70.6890726181948</c:v>
                </c:pt>
                <c:pt idx="12">
                  <c:v>80.239906185355323</c:v>
                </c:pt>
                <c:pt idx="13">
                  <c:v>65.937791226712292</c:v>
                </c:pt>
                <c:pt idx="14">
                  <c:v>66.602887075300899</c:v>
                </c:pt>
                <c:pt idx="15">
                  <c:v>61.416400583512299</c:v>
                </c:pt>
                <c:pt idx="16">
                  <c:v>64.591112099300915</c:v>
                </c:pt>
                <c:pt idx="17">
                  <c:v>58.637294115742762</c:v>
                </c:pt>
                <c:pt idx="18">
                  <c:v>62.31950078673492</c:v>
                </c:pt>
                <c:pt idx="19">
                  <c:v>58.08072958895724</c:v>
                </c:pt>
                <c:pt idx="20">
                  <c:v>62.743427986965443</c:v>
                </c:pt>
                <c:pt idx="21">
                  <c:v>45.018807712033798</c:v>
                </c:pt>
                <c:pt idx="22">
                  <c:v>62.407495518620976</c:v>
                </c:pt>
                <c:pt idx="23">
                  <c:v>58.276992402075031</c:v>
                </c:pt>
                <c:pt idx="24">
                  <c:v>62.202809518501802</c:v>
                </c:pt>
                <c:pt idx="25">
                  <c:v>48.211772529608758</c:v>
                </c:pt>
                <c:pt idx="26">
                  <c:v>51.73551223828138</c:v>
                </c:pt>
                <c:pt idx="27">
                  <c:v>48.081717218967569</c:v>
                </c:pt>
                <c:pt idx="28">
                  <c:v>52.35243631952541</c:v>
                </c:pt>
                <c:pt idx="29">
                  <c:v>34.063797299336926</c:v>
                </c:pt>
                <c:pt idx="30">
                  <c:v>35.243805403326107</c:v>
                </c:pt>
              </c:numCache>
            </c:numRef>
          </c:yVal>
          <c:smooth val="0"/>
          <c:extLst>
            <c:ext xmlns:c16="http://schemas.microsoft.com/office/drawing/2014/chart" uri="{C3380CC4-5D6E-409C-BE32-E72D297353CC}">
              <c16:uniqueId val="{00000005-38BA-4784-8B6D-B2B1E55484C8}"/>
            </c:ext>
          </c:extLst>
        </c:ser>
        <c:dLbls>
          <c:showLegendKey val="0"/>
          <c:showVal val="0"/>
          <c:showCatName val="0"/>
          <c:showSerName val="0"/>
          <c:showPercent val="0"/>
          <c:showBubbleSize val="0"/>
        </c:dLbls>
        <c:axId val="655473424"/>
        <c:axId val="655473752"/>
      </c:scatterChart>
      <c:valAx>
        <c:axId val="655473424"/>
        <c:scaling>
          <c:orientation val="minMax"/>
        </c:scaling>
        <c:delete val="0"/>
        <c:axPos val="b"/>
        <c:title>
          <c:tx>
            <c:rich>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Year</a:t>
                </a:r>
              </a:p>
            </c:rich>
          </c:tx>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cross"/>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752"/>
        <c:crosses val="autoZero"/>
        <c:crossBetween val="midCat"/>
      </c:valAx>
      <c:valAx>
        <c:axId val="655473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Million Dollars ($ MM)</a:t>
                </a:r>
              </a:p>
            </c:rich>
          </c:tx>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424"/>
        <c:crosses val="autoZero"/>
        <c:crossBetween val="midCat"/>
        <c:minorUnit val="10"/>
      </c:valAx>
      <c:spPr>
        <a:noFill/>
        <a:ln>
          <a:noFill/>
        </a:ln>
        <a:effectLst/>
      </c:spPr>
    </c:plotArea>
    <c:legend>
      <c:legendPos val="r"/>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r>
              <a:rPr lang="en-US"/>
              <a:t>Yearly discounted cashflow</a:t>
            </a:r>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DCF!$B$14</c:f>
              <c:strCache>
                <c:ptCount val="1"/>
                <c:pt idx="0">
                  <c:v>PV Total cash-in</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DCF!$C$7:$AG$7</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DCF!$C$14:$AG$14</c:f>
              <c:numCache>
                <c:formatCode>0.0</c:formatCode>
                <c:ptCount val="31"/>
                <c:pt idx="0">
                  <c:v>0</c:v>
                </c:pt>
                <c:pt idx="1">
                  <c:v>0</c:v>
                </c:pt>
                <c:pt idx="2">
                  <c:v>0</c:v>
                </c:pt>
                <c:pt idx="3">
                  <c:v>0</c:v>
                </c:pt>
                <c:pt idx="4">
                  <c:v>0</c:v>
                </c:pt>
                <c:pt idx="5">
                  <c:v>0</c:v>
                </c:pt>
                <c:pt idx="6">
                  <c:v>0</c:v>
                </c:pt>
                <c:pt idx="7">
                  <c:v>0</c:v>
                </c:pt>
                <c:pt idx="8">
                  <c:v>24.427077036030386</c:v>
                </c:pt>
                <c:pt idx="9">
                  <c:v>31.511032576259879</c:v>
                </c:pt>
                <c:pt idx="10">
                  <c:v>29.416548340957988</c:v>
                </c:pt>
                <c:pt idx="11">
                  <c:v>32.988368247630135</c:v>
                </c:pt>
                <c:pt idx="12">
                  <c:v>25.392810439368823</c:v>
                </c:pt>
                <c:pt idx="13">
                  <c:v>21.637411980253638</c:v>
                </c:pt>
                <c:pt idx="14">
                  <c:v>20.038373203462548</c:v>
                </c:pt>
                <c:pt idx="15">
                  <c:v>17.2492123567073</c:v>
                </c:pt>
                <c:pt idx="16">
                  <c:v>15.974468433882773</c:v>
                </c:pt>
                <c:pt idx="17">
                  <c:v>13.485589822312576</c:v>
                </c:pt>
                <c:pt idx="18">
                  <c:v>12.521949018481315</c:v>
                </c:pt>
                <c:pt idx="19">
                  <c:v>10.787677388985625</c:v>
                </c:pt>
                <c:pt idx="20">
                  <c:v>10.013642356331665</c:v>
                </c:pt>
                <c:pt idx="21">
                  <c:v>8.6207771610192268</c:v>
                </c:pt>
                <c:pt idx="22">
                  <c:v>7.9925110118805973</c:v>
                </c:pt>
                <c:pt idx="23">
                  <c:v>6.8752993113393446</c:v>
                </c:pt>
                <c:pt idx="24">
                  <c:v>6.3726089692190415</c:v>
                </c:pt>
                <c:pt idx="25">
                  <c:v>4.6783191425695199</c:v>
                </c:pt>
                <c:pt idx="26">
                  <c:v>4.3319421661228761</c:v>
                </c:pt>
                <c:pt idx="27">
                  <c:v>3.7282684751875141</c:v>
                </c:pt>
                <c:pt idx="28">
                  <c:v>3.4508219569800516</c:v>
                </c:pt>
                <c:pt idx="29">
                  <c:v>2.175649743641686</c:v>
                </c:pt>
                <c:pt idx="30">
                  <c:v>2.0097226715436594</c:v>
                </c:pt>
              </c:numCache>
            </c:numRef>
          </c:yVal>
          <c:smooth val="0"/>
          <c:extLst>
            <c:ext xmlns:c16="http://schemas.microsoft.com/office/drawing/2014/chart" uri="{C3380CC4-5D6E-409C-BE32-E72D297353CC}">
              <c16:uniqueId val="{00000000-8FFB-40A3-B62D-377AF245C758}"/>
            </c:ext>
          </c:extLst>
        </c:ser>
        <c:ser>
          <c:idx val="1"/>
          <c:order val="1"/>
          <c:tx>
            <c:strRef>
              <c:f>DCF!$B$17</c:f>
              <c:strCache>
                <c:ptCount val="1"/>
                <c:pt idx="0">
                  <c:v>PV Capex</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DCF!$C$16:$AG$16</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DCF!$C$17:$AG$17</c:f>
              <c:numCache>
                <c:formatCode>0.00_);[Red]\(0.00\)</c:formatCode>
                <c:ptCount val="31"/>
                <c:pt idx="0">
                  <c:v>-15.5</c:v>
                </c:pt>
                <c:pt idx="1">
                  <c:v>-9.8214285714285712</c:v>
                </c:pt>
                <c:pt idx="2">
                  <c:v>-3.9859693877551017</c:v>
                </c:pt>
                <c:pt idx="3">
                  <c:v>-26.335869169096203</c:v>
                </c:pt>
                <c:pt idx="4">
                  <c:v>-83.252868271032881</c:v>
                </c:pt>
                <c:pt idx="5">
                  <c:v>-45.394148457487937</c:v>
                </c:pt>
                <c:pt idx="6">
                  <c:v>-28.118027225341297</c:v>
                </c:pt>
                <c:pt idx="7">
                  <c:v>-19.224841651817972</c:v>
                </c:pt>
                <c:pt idx="8">
                  <c:v>-15.549504277205711</c:v>
                </c:pt>
                <c:pt idx="9">
                  <c:v>-12.621350874355285</c:v>
                </c:pt>
                <c:pt idx="10">
                  <c:v>-7.2443978232906598</c:v>
                </c:pt>
                <c:pt idx="11">
                  <c:v>-9.1992353311627415</c:v>
                </c:pt>
                <c:pt idx="12">
                  <c:v>0</c:v>
                </c:pt>
                <c:pt idx="13">
                  <c:v>0</c:v>
                </c:pt>
                <c:pt idx="14">
                  <c:v>0</c:v>
                </c:pt>
                <c:pt idx="15">
                  <c:v>0</c:v>
                </c:pt>
                <c:pt idx="16">
                  <c:v>0</c:v>
                </c:pt>
                <c:pt idx="17">
                  <c:v>0</c:v>
                </c:pt>
                <c:pt idx="18">
                  <c:v>0</c:v>
                </c:pt>
                <c:pt idx="19">
                  <c:v>0</c:v>
                </c:pt>
                <c:pt idx="20">
                  <c:v>0</c:v>
                </c:pt>
                <c:pt idx="21">
                  <c:v>-1.3883941751877897</c:v>
                </c:pt>
                <c:pt idx="22">
                  <c:v>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6-8FFB-40A3-B62D-377AF245C758}"/>
            </c:ext>
          </c:extLst>
        </c:ser>
        <c:ser>
          <c:idx val="2"/>
          <c:order val="2"/>
          <c:tx>
            <c:strRef>
              <c:f>DCF!$B$18</c:f>
              <c:strCache>
                <c:ptCount val="1"/>
                <c:pt idx="0">
                  <c:v>PV Opex</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DCF!$C$16:$AG$16</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DCF!$C$18:$AG$18</c:f>
              <c:numCache>
                <c:formatCode>0.00_);[Red]\(0.00\)</c:formatCode>
                <c:ptCount val="31"/>
                <c:pt idx="0">
                  <c:v>-1.0774999999999999</c:v>
                </c:pt>
                <c:pt idx="1">
                  <c:v>-1.0111607142857142</c:v>
                </c:pt>
                <c:pt idx="2">
                  <c:v>-0.92275191326530592</c:v>
                </c:pt>
                <c:pt idx="3">
                  <c:v>-1.6673452305029151</c:v>
                </c:pt>
                <c:pt idx="4">
                  <c:v>-1.9049654400184814</c:v>
                </c:pt>
                <c:pt idx="5">
                  <c:v>-1.927832742303941</c:v>
                </c:pt>
                <c:pt idx="6">
                  <c:v>-2.4698267157394382</c:v>
                </c:pt>
                <c:pt idx="7">
                  <c:v>-2.4822663191612033</c:v>
                </c:pt>
                <c:pt idx="8">
                  <c:v>-2.7734237862824269</c:v>
                </c:pt>
                <c:pt idx="9">
                  <c:v>-2.8510364426577026</c:v>
                </c:pt>
                <c:pt idx="10">
                  <c:v>-2.6724978484085744</c:v>
                </c:pt>
                <c:pt idx="11">
                  <c:v>-2.6645652194457274</c:v>
                </c:pt>
                <c:pt idx="12">
                  <c:v>-2.5675565386720791</c:v>
                </c:pt>
                <c:pt idx="13">
                  <c:v>-2.5055398342564561</c:v>
                </c:pt>
                <c:pt idx="14">
                  <c:v>-2.2514601655113737</c:v>
                </c:pt>
                <c:pt idx="15">
                  <c:v>-2.362793538357844</c:v>
                </c:pt>
                <c:pt idx="16">
                  <c:v>-1.7948502594956741</c:v>
                </c:pt>
                <c:pt idx="17">
                  <c:v>-1.8836045426959847</c:v>
                </c:pt>
                <c:pt idx="18">
                  <c:v>-1.4308436379908114</c:v>
                </c:pt>
                <c:pt idx="19">
                  <c:v>-1.5015980091645282</c:v>
                </c:pt>
                <c:pt idx="20">
                  <c:v>-1.0369930228584152</c:v>
                </c:pt>
                <c:pt idx="21">
                  <c:v>-1.01888748696633</c:v>
                </c:pt>
                <c:pt idx="22">
                  <c:v>-0.91552518759578694</c:v>
                </c:pt>
                <c:pt idx="23">
                  <c:v>-0.95982677800119731</c:v>
                </c:pt>
                <c:pt idx="24">
                  <c:v>-0.72985107429511076</c:v>
                </c:pt>
                <c:pt idx="25">
                  <c:v>-0.76516803093207675</c:v>
                </c:pt>
                <c:pt idx="26">
                  <c:v>-0.58183280795209702</c:v>
                </c:pt>
                <c:pt idx="27">
                  <c:v>-0.60998726955682125</c:v>
                </c:pt>
                <c:pt idx="28">
                  <c:v>-0.42196428454276308</c:v>
                </c:pt>
                <c:pt idx="29">
                  <c:v>-0.41151156718374876</c:v>
                </c:pt>
                <c:pt idx="30">
                  <c:v>-0.3697652680626039</c:v>
                </c:pt>
              </c:numCache>
            </c:numRef>
          </c:yVal>
          <c:smooth val="0"/>
          <c:extLst>
            <c:ext xmlns:c16="http://schemas.microsoft.com/office/drawing/2014/chart" uri="{C3380CC4-5D6E-409C-BE32-E72D297353CC}">
              <c16:uniqueId val="{00000007-8FFB-40A3-B62D-377AF245C758}"/>
            </c:ext>
          </c:extLst>
        </c:ser>
        <c:ser>
          <c:idx val="3"/>
          <c:order val="3"/>
          <c:tx>
            <c:strRef>
              <c:f>DCF!$B$24</c:f>
              <c:strCache>
                <c:ptCount val="1"/>
                <c:pt idx="0">
                  <c:v>Total Govt take, PV 12%</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DCF!$C$16:$AG$16</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DCF!$C$24:$AG$24</c:f>
              <c:numCache>
                <c:formatCode>0.00_);[Red]\(0.00\)</c:formatCode>
                <c:ptCount val="31"/>
                <c:pt idx="0">
                  <c:v>-0.5</c:v>
                </c:pt>
                <c:pt idx="1">
                  <c:v>-0.89285714285714279</c:v>
                </c:pt>
                <c:pt idx="2">
                  <c:v>0</c:v>
                </c:pt>
                <c:pt idx="3">
                  <c:v>0</c:v>
                </c:pt>
                <c:pt idx="4">
                  <c:v>0</c:v>
                </c:pt>
                <c:pt idx="5">
                  <c:v>0</c:v>
                </c:pt>
                <c:pt idx="6">
                  <c:v>0</c:v>
                </c:pt>
                <c:pt idx="7">
                  <c:v>0</c:v>
                </c:pt>
                <c:pt idx="8">
                  <c:v>-0.58038568380230704</c:v>
                </c:pt>
                <c:pt idx="9">
                  <c:v>-0.76073006253287845</c:v>
                </c:pt>
                <c:pt idx="10">
                  <c:v>-0.71126571577964759</c:v>
                </c:pt>
                <c:pt idx="11">
                  <c:v>-0.80314849838334068</c:v>
                </c:pt>
                <c:pt idx="12">
                  <c:v>-2.2296685226413695</c:v>
                </c:pt>
                <c:pt idx="13">
                  <c:v>-4.020632242666796</c:v>
                </c:pt>
                <c:pt idx="14">
                  <c:v>-4.1586427649249442</c:v>
                </c:pt>
                <c:pt idx="15">
                  <c:v>-3.6658720514373733</c:v>
                </c:pt>
                <c:pt idx="16">
                  <c:v>-3.6434086284593659</c:v>
                </c:pt>
                <c:pt idx="17">
                  <c:v>-3.0617952241355377</c:v>
                </c:pt>
                <c:pt idx="18">
                  <c:v>-2.9871030418740125</c:v>
                </c:pt>
                <c:pt idx="19">
                  <c:v>-2.5425130678060759</c:v>
                </c:pt>
                <c:pt idx="20">
                  <c:v>-2.4722411239914206</c:v>
                </c:pt>
                <c:pt idx="21">
                  <c:v>-2.0465721387793154</c:v>
                </c:pt>
                <c:pt idx="22">
                  <c:v>-1.9194737251115106</c:v>
                </c:pt>
                <c:pt idx="23">
                  <c:v>-1.6153323973632299</c:v>
                </c:pt>
                <c:pt idx="24">
                  <c:v>-1.5447059702794654</c:v>
                </c:pt>
                <c:pt idx="25">
                  <c:v>-1.0771752367007463</c:v>
                </c:pt>
                <c:pt idx="26">
                  <c:v>-1.0329183795723007</c:v>
                </c:pt>
                <c:pt idx="27">
                  <c:v>-0.86355736034202824</c:v>
                </c:pt>
                <c:pt idx="28">
                  <c:v>-0.83689950064429997</c:v>
                </c:pt>
                <c:pt idx="29">
                  <c:v>-0.49072188314158116</c:v>
                </c:pt>
                <c:pt idx="30">
                  <c:v>-0.4635923494902448</c:v>
                </c:pt>
              </c:numCache>
            </c:numRef>
          </c:yVal>
          <c:smooth val="0"/>
          <c:extLst>
            <c:ext xmlns:c16="http://schemas.microsoft.com/office/drawing/2014/chart" uri="{C3380CC4-5D6E-409C-BE32-E72D297353CC}">
              <c16:uniqueId val="{00000008-8FFB-40A3-B62D-377AF245C758}"/>
            </c:ext>
          </c:extLst>
        </c:ser>
        <c:ser>
          <c:idx val="4"/>
          <c:order val="4"/>
          <c:tx>
            <c:strRef>
              <c:f>DCF!$B$30</c:f>
              <c:strCache>
                <c:ptCount val="1"/>
                <c:pt idx="0">
                  <c:v>PV Total cash-out</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DCF!$C$16:$AG$16</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DCF!$C$30:$AG$30</c:f>
              <c:numCache>
                <c:formatCode>0.00_);[Red]\(0.00\)</c:formatCode>
                <c:ptCount val="31"/>
                <c:pt idx="0">
                  <c:v>-17.077500000000001</c:v>
                </c:pt>
                <c:pt idx="1">
                  <c:v>-11.725446428571427</c:v>
                </c:pt>
                <c:pt idx="2">
                  <c:v>-4.9087213010204076</c:v>
                </c:pt>
                <c:pt idx="3">
                  <c:v>-28.00321439959912</c:v>
                </c:pt>
                <c:pt idx="4">
                  <c:v>-85.157833711051367</c:v>
                </c:pt>
                <c:pt idx="5">
                  <c:v>-47.321981199791878</c:v>
                </c:pt>
                <c:pt idx="6">
                  <c:v>-30.587853941080734</c:v>
                </c:pt>
                <c:pt idx="7">
                  <c:v>-21.707107970979173</c:v>
                </c:pt>
                <c:pt idx="8">
                  <c:v>-18.903313747290447</c:v>
                </c:pt>
                <c:pt idx="9">
                  <c:v>-16.233117379545867</c:v>
                </c:pt>
                <c:pt idx="10">
                  <c:v>-10.628161387478881</c:v>
                </c:pt>
                <c:pt idx="11">
                  <c:v>-12.666949048991809</c:v>
                </c:pt>
                <c:pt idx="12">
                  <c:v>-4.7972250613134486</c:v>
                </c:pt>
                <c:pt idx="13">
                  <c:v>-6.5261720769232525</c:v>
                </c:pt>
                <c:pt idx="14">
                  <c:v>-6.4101029304363175</c:v>
                </c:pt>
                <c:pt idx="15">
                  <c:v>-6.0286655897952164</c:v>
                </c:pt>
                <c:pt idx="16">
                  <c:v>-5.4382588879550395</c:v>
                </c:pt>
                <c:pt idx="17">
                  <c:v>-4.9453997668315228</c:v>
                </c:pt>
                <c:pt idx="18">
                  <c:v>-4.4179466798648237</c:v>
                </c:pt>
                <c:pt idx="19">
                  <c:v>-4.0441110769706041</c:v>
                </c:pt>
                <c:pt idx="20">
                  <c:v>-3.5092341468498356</c:v>
                </c:pt>
                <c:pt idx="21">
                  <c:v>-4.4538538009334347</c:v>
                </c:pt>
                <c:pt idx="22">
                  <c:v>-2.8349989127072974</c:v>
                </c:pt>
                <c:pt idx="23">
                  <c:v>-2.5751591753644272</c:v>
                </c:pt>
                <c:pt idx="24">
                  <c:v>-2.2745570445745762</c:v>
                </c:pt>
                <c:pt idx="25">
                  <c:v>-1.8423432676328231</c:v>
                </c:pt>
                <c:pt idx="26">
                  <c:v>-1.6147511875243978</c:v>
                </c:pt>
                <c:pt idx="27">
                  <c:v>-1.4735446298988495</c:v>
                </c:pt>
                <c:pt idx="28">
                  <c:v>-1.258863785187063</c:v>
                </c:pt>
                <c:pt idx="29">
                  <c:v>-0.90223345032532987</c:v>
                </c:pt>
                <c:pt idx="30">
                  <c:v>-0.83335761755284876</c:v>
                </c:pt>
              </c:numCache>
            </c:numRef>
          </c:yVal>
          <c:smooth val="0"/>
          <c:extLst>
            <c:ext xmlns:c16="http://schemas.microsoft.com/office/drawing/2014/chart" uri="{C3380CC4-5D6E-409C-BE32-E72D297353CC}">
              <c16:uniqueId val="{00000009-8FFB-40A3-B62D-377AF245C758}"/>
            </c:ext>
          </c:extLst>
        </c:ser>
        <c:ser>
          <c:idx val="5"/>
          <c:order val="5"/>
          <c:tx>
            <c:strRef>
              <c:f>DCF!$B$32</c:f>
              <c:strCache>
                <c:ptCount val="1"/>
                <c:pt idx="0">
                  <c:v>Net cash flow, PV 12%</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DCF!$C$16:$AG$16</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DCF!$C$32:$AG$32</c:f>
              <c:numCache>
                <c:formatCode>0.00_);[Red]\(0.00\)</c:formatCode>
                <c:ptCount val="31"/>
                <c:pt idx="0">
                  <c:v>-17.077500000000001</c:v>
                </c:pt>
                <c:pt idx="1">
                  <c:v>-11.725446428571427</c:v>
                </c:pt>
                <c:pt idx="2">
                  <c:v>-4.9087213010204076</c:v>
                </c:pt>
                <c:pt idx="3">
                  <c:v>-28.00321439959912</c:v>
                </c:pt>
                <c:pt idx="4">
                  <c:v>-85.157833711051367</c:v>
                </c:pt>
                <c:pt idx="5">
                  <c:v>-47.321981199791878</c:v>
                </c:pt>
                <c:pt idx="6">
                  <c:v>-30.587853941080734</c:v>
                </c:pt>
                <c:pt idx="7">
                  <c:v>-21.707107970979173</c:v>
                </c:pt>
                <c:pt idx="8">
                  <c:v>5.5237632887399393</c:v>
                </c:pt>
                <c:pt idx="9">
                  <c:v>15.277915196714012</c:v>
                </c:pt>
                <c:pt idx="10">
                  <c:v>18.788386953479105</c:v>
                </c:pt>
                <c:pt idx="11">
                  <c:v>20.321419198638324</c:v>
                </c:pt>
                <c:pt idx="12">
                  <c:v>20.595585378055375</c:v>
                </c:pt>
                <c:pt idx="13">
                  <c:v>15.111239903330386</c:v>
                </c:pt>
                <c:pt idx="14">
                  <c:v>13.628270273026232</c:v>
                </c:pt>
                <c:pt idx="15">
                  <c:v>11.220546766912083</c:v>
                </c:pt>
                <c:pt idx="16">
                  <c:v>10.536209545927733</c:v>
                </c:pt>
                <c:pt idx="17">
                  <c:v>8.5401900554810535</c:v>
                </c:pt>
                <c:pt idx="18">
                  <c:v>8.1040023386164926</c:v>
                </c:pt>
                <c:pt idx="19">
                  <c:v>6.7435663120150204</c:v>
                </c:pt>
                <c:pt idx="20">
                  <c:v>6.5044082094818299</c:v>
                </c:pt>
                <c:pt idx="21">
                  <c:v>4.166923360085792</c:v>
                </c:pt>
                <c:pt idx="22">
                  <c:v>5.1575120991732994</c:v>
                </c:pt>
                <c:pt idx="23">
                  <c:v>4.3001401359749174</c:v>
                </c:pt>
                <c:pt idx="24">
                  <c:v>4.0980519246444658</c:v>
                </c:pt>
                <c:pt idx="25">
                  <c:v>2.8359758749366968</c:v>
                </c:pt>
                <c:pt idx="26">
                  <c:v>2.7171909785984782</c:v>
                </c:pt>
                <c:pt idx="27">
                  <c:v>2.2547238452886647</c:v>
                </c:pt>
                <c:pt idx="28">
                  <c:v>2.1919581717929884</c:v>
                </c:pt>
                <c:pt idx="29">
                  <c:v>1.2734162933163562</c:v>
                </c:pt>
                <c:pt idx="30">
                  <c:v>1.1763650539908106</c:v>
                </c:pt>
              </c:numCache>
            </c:numRef>
          </c:yVal>
          <c:smooth val="0"/>
          <c:extLst>
            <c:ext xmlns:c16="http://schemas.microsoft.com/office/drawing/2014/chart" uri="{C3380CC4-5D6E-409C-BE32-E72D297353CC}">
              <c16:uniqueId val="{0000000A-8FFB-40A3-B62D-377AF245C758}"/>
            </c:ext>
          </c:extLst>
        </c:ser>
        <c:dLbls>
          <c:showLegendKey val="0"/>
          <c:showVal val="0"/>
          <c:showCatName val="0"/>
          <c:showSerName val="0"/>
          <c:showPercent val="0"/>
          <c:showBubbleSize val="0"/>
        </c:dLbls>
        <c:axId val="655473424"/>
        <c:axId val="655473752"/>
      </c:scatterChart>
      <c:valAx>
        <c:axId val="655473424"/>
        <c:scaling>
          <c:orientation val="minMax"/>
        </c:scaling>
        <c:delete val="0"/>
        <c:axPos val="b"/>
        <c:title>
          <c:tx>
            <c:rich>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Year</a:t>
                </a:r>
              </a:p>
            </c:rich>
          </c:tx>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cross"/>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752"/>
        <c:crosses val="autoZero"/>
        <c:crossBetween val="midCat"/>
      </c:valAx>
      <c:valAx>
        <c:axId val="655473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Million Dollars ($ MM)</a:t>
                </a:r>
              </a:p>
            </c:rich>
          </c:tx>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424"/>
        <c:crosses val="autoZero"/>
        <c:crossBetween val="midCat"/>
        <c:minorUnit val="10"/>
      </c:valAx>
      <c:spPr>
        <a:noFill/>
        <a:ln>
          <a:noFill/>
        </a:ln>
        <a:effectLst/>
      </c:spPr>
    </c:plotArea>
    <c:legend>
      <c:legendPos val="r"/>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r>
              <a:rPr lang="en-US"/>
              <a:t>Cumulative undiscounted cashflow</a:t>
            </a:r>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CumCF!$B$10</c:f>
              <c:strCache>
                <c:ptCount val="1"/>
                <c:pt idx="0">
                  <c:v>Cum Total cash-in</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CumCF!$C$4:$AG$4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CumCF!$C$10:$AG$10</c:f>
              <c:numCache>
                <c:formatCode>0.0</c:formatCode>
                <c:ptCount val="31"/>
                <c:pt idx="0">
                  <c:v>0</c:v>
                </c:pt>
                <c:pt idx="1">
                  <c:v>0</c:v>
                </c:pt>
                <c:pt idx="2">
                  <c:v>0</c:v>
                </c:pt>
                <c:pt idx="3">
                  <c:v>0</c:v>
                </c:pt>
                <c:pt idx="4">
                  <c:v>0</c:v>
                </c:pt>
                <c:pt idx="5">
                  <c:v>0</c:v>
                </c:pt>
                <c:pt idx="6">
                  <c:v>0</c:v>
                </c:pt>
                <c:pt idx="7">
                  <c:v>0</c:v>
                </c:pt>
                <c:pt idx="8">
                  <c:v>60.48054324572783</c:v>
                </c:pt>
                <c:pt idx="9">
                  <c:v>147.86311830827498</c:v>
                </c:pt>
                <c:pt idx="10">
                  <c:v>239.2264522687102</c:v>
                </c:pt>
                <c:pt idx="11">
                  <c:v>353.97814041698348</c:v>
                </c:pt>
                <c:pt idx="12">
                  <c:v>452.90792027206072</c:v>
                </c:pt>
                <c:pt idx="13">
                  <c:v>547.32261840188733</c:v>
                </c:pt>
                <c:pt idx="14">
                  <c:v>645.25239825696451</c:v>
                </c:pt>
                <c:pt idx="15">
                  <c:v>739.66709638679106</c:v>
                </c:pt>
                <c:pt idx="16">
                  <c:v>837.59687624186824</c:v>
                </c:pt>
                <c:pt idx="17">
                  <c:v>930.18948736621962</c:v>
                </c:pt>
                <c:pt idx="18">
                  <c:v>1026.4828470053437</c:v>
                </c:pt>
                <c:pt idx="19">
                  <c:v>1119.3945415498529</c:v>
                </c:pt>
                <c:pt idx="20">
                  <c:v>1215.9890706502606</c:v>
                </c:pt>
                <c:pt idx="21">
                  <c:v>1309.1266390197031</c:v>
                </c:pt>
                <c:pt idx="22">
                  <c:v>1405.8385003910839</c:v>
                </c:pt>
                <c:pt idx="23">
                  <c:v>1499.0149441950659</c:v>
                </c:pt>
                <c:pt idx="24">
                  <c:v>1595.7424110835236</c:v>
                </c:pt>
                <c:pt idx="25">
                  <c:v>1675.2741378220348</c:v>
                </c:pt>
                <c:pt idx="26">
                  <c:v>1757.754629151568</c:v>
                </c:pt>
                <c:pt idx="27">
                  <c:v>1837.2595099443674</c:v>
                </c:pt>
                <c:pt idx="28">
                  <c:v>1919.678480834237</c:v>
                </c:pt>
                <c:pt idx="29">
                  <c:v>1977.876960193063</c:v>
                </c:pt>
                <c:pt idx="30">
                  <c:v>2038.0880949171406</c:v>
                </c:pt>
              </c:numCache>
            </c:numRef>
          </c:yVal>
          <c:smooth val="0"/>
          <c:extLst>
            <c:ext xmlns:c16="http://schemas.microsoft.com/office/drawing/2014/chart" uri="{C3380CC4-5D6E-409C-BE32-E72D297353CC}">
              <c16:uniqueId val="{00000000-EA89-486F-90E1-9FFD25EBBF87}"/>
            </c:ext>
          </c:extLst>
        </c:ser>
        <c:ser>
          <c:idx val="1"/>
          <c:order val="1"/>
          <c:tx>
            <c:strRef>
              <c:f>CumCF!$B$13</c:f>
              <c:strCache>
                <c:ptCount val="1"/>
                <c:pt idx="0">
                  <c:v>Cum Capex</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CumCF!$C$12:$AG$12</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CumCF!$C$13:$AG$13</c:f>
              <c:numCache>
                <c:formatCode>0.00_);[Red]\(0.00\)</c:formatCode>
                <c:ptCount val="31"/>
                <c:pt idx="0">
                  <c:v>-15.5</c:v>
                </c:pt>
                <c:pt idx="1">
                  <c:v>-26.5</c:v>
                </c:pt>
                <c:pt idx="2">
                  <c:v>-31.5</c:v>
                </c:pt>
                <c:pt idx="3">
                  <c:v>-68.5</c:v>
                </c:pt>
                <c:pt idx="4">
                  <c:v>-199.5</c:v>
                </c:pt>
                <c:pt idx="5">
                  <c:v>-279.5</c:v>
                </c:pt>
                <c:pt idx="6">
                  <c:v>-335</c:v>
                </c:pt>
                <c:pt idx="7">
                  <c:v>-377.5</c:v>
                </c:pt>
                <c:pt idx="8">
                  <c:v>-416</c:v>
                </c:pt>
                <c:pt idx="9">
                  <c:v>-451</c:v>
                </c:pt>
                <c:pt idx="10">
                  <c:v>-473.5</c:v>
                </c:pt>
                <c:pt idx="11">
                  <c:v>-505.5</c:v>
                </c:pt>
                <c:pt idx="12">
                  <c:v>-505.5</c:v>
                </c:pt>
                <c:pt idx="13">
                  <c:v>-505.5</c:v>
                </c:pt>
                <c:pt idx="14">
                  <c:v>-505.5</c:v>
                </c:pt>
                <c:pt idx="15">
                  <c:v>-505.5</c:v>
                </c:pt>
                <c:pt idx="16">
                  <c:v>-505.5</c:v>
                </c:pt>
                <c:pt idx="17">
                  <c:v>-505.5</c:v>
                </c:pt>
                <c:pt idx="18">
                  <c:v>-505.5</c:v>
                </c:pt>
                <c:pt idx="19">
                  <c:v>-505.5</c:v>
                </c:pt>
                <c:pt idx="20">
                  <c:v>-505.5</c:v>
                </c:pt>
                <c:pt idx="21">
                  <c:v>-520.5</c:v>
                </c:pt>
                <c:pt idx="22">
                  <c:v>-520.5</c:v>
                </c:pt>
                <c:pt idx="23">
                  <c:v>-520.5</c:v>
                </c:pt>
                <c:pt idx="24">
                  <c:v>-520.5</c:v>
                </c:pt>
                <c:pt idx="25">
                  <c:v>-520.5</c:v>
                </c:pt>
                <c:pt idx="26">
                  <c:v>-520.5</c:v>
                </c:pt>
                <c:pt idx="27">
                  <c:v>-520.5</c:v>
                </c:pt>
                <c:pt idx="28">
                  <c:v>-520.5</c:v>
                </c:pt>
                <c:pt idx="29">
                  <c:v>-520.5</c:v>
                </c:pt>
                <c:pt idx="30">
                  <c:v>-520.5</c:v>
                </c:pt>
              </c:numCache>
            </c:numRef>
          </c:yVal>
          <c:smooth val="0"/>
          <c:extLst>
            <c:ext xmlns:c16="http://schemas.microsoft.com/office/drawing/2014/chart" uri="{C3380CC4-5D6E-409C-BE32-E72D297353CC}">
              <c16:uniqueId val="{00000006-EA89-486F-90E1-9FFD25EBBF87}"/>
            </c:ext>
          </c:extLst>
        </c:ser>
        <c:ser>
          <c:idx val="2"/>
          <c:order val="2"/>
          <c:tx>
            <c:strRef>
              <c:f>CumCF!$B$14</c:f>
              <c:strCache>
                <c:ptCount val="1"/>
                <c:pt idx="0">
                  <c:v>Cum Opex</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CumCF!$C$12</c:f>
              <c:numCache>
                <c:formatCode>General</c:formatCode>
                <c:ptCount val="1"/>
                <c:pt idx="0">
                  <c:v>2017</c:v>
                </c:pt>
              </c:numCache>
            </c:numRef>
          </c:xVal>
          <c:yVal>
            <c:numRef>
              <c:f>CumCF!$C$14:$AG$14</c:f>
              <c:numCache>
                <c:formatCode>0.00_);[Red]\(0.00\)</c:formatCode>
                <c:ptCount val="31"/>
                <c:pt idx="0">
                  <c:v>-1.0774999999999999</c:v>
                </c:pt>
                <c:pt idx="1">
                  <c:v>-2.21</c:v>
                </c:pt>
                <c:pt idx="2">
                  <c:v>-3.3674999999999997</c:v>
                </c:pt>
                <c:pt idx="3">
                  <c:v>-5.71</c:v>
                </c:pt>
                <c:pt idx="4">
                  <c:v>-8.7074999999999996</c:v>
                </c:pt>
                <c:pt idx="5">
                  <c:v>-12.105</c:v>
                </c:pt>
                <c:pt idx="6">
                  <c:v>-16.98</c:v>
                </c:pt>
                <c:pt idx="7">
                  <c:v>-22.467500000000001</c:v>
                </c:pt>
                <c:pt idx="8">
                  <c:v>-29.334395167095419</c:v>
                </c:pt>
                <c:pt idx="9">
                  <c:v>-37.240543762945848</c:v>
                </c:pt>
                <c:pt idx="10">
                  <c:v>-45.540916417229376</c:v>
                </c:pt>
                <c:pt idx="11">
                  <c:v>-54.809739743601007</c:v>
                </c:pt>
                <c:pt idx="12">
                  <c:v>-64.812878377774439</c:v>
                </c:pt>
                <c:pt idx="13">
                  <c:v>-75.745784185523718</c:v>
                </c:pt>
                <c:pt idx="14">
                  <c:v>-86.748922819697157</c:v>
                </c:pt>
                <c:pt idx="15">
                  <c:v>-99.681828627446436</c:v>
                </c:pt>
                <c:pt idx="16">
                  <c:v>-110.68496726161987</c:v>
                </c:pt>
                <c:pt idx="17">
                  <c:v>-123.61787306936915</c:v>
                </c:pt>
                <c:pt idx="18">
                  <c:v>-134.62101170354259</c:v>
                </c:pt>
                <c:pt idx="19">
                  <c:v>-147.55391751129187</c:v>
                </c:pt>
                <c:pt idx="20">
                  <c:v>-157.55705614546531</c:v>
                </c:pt>
                <c:pt idx="21">
                  <c:v>-168.56496195321461</c:v>
                </c:pt>
                <c:pt idx="22">
                  <c:v>-179.64310058738806</c:v>
                </c:pt>
                <c:pt idx="23">
                  <c:v>-192.65100639513736</c:v>
                </c:pt>
                <c:pt idx="24">
                  <c:v>-203.72914502931081</c:v>
                </c:pt>
                <c:pt idx="25">
                  <c:v>-216.73705083706011</c:v>
                </c:pt>
                <c:pt idx="26">
                  <c:v>-227.81518947123354</c:v>
                </c:pt>
                <c:pt idx="27">
                  <c:v>-240.82309527898283</c:v>
                </c:pt>
                <c:pt idx="28">
                  <c:v>-250.90123391315626</c:v>
                </c:pt>
                <c:pt idx="29">
                  <c:v>-261.90913972090556</c:v>
                </c:pt>
                <c:pt idx="30">
                  <c:v>-272.98727835507901</c:v>
                </c:pt>
              </c:numCache>
            </c:numRef>
          </c:yVal>
          <c:smooth val="0"/>
          <c:extLst>
            <c:ext xmlns:c16="http://schemas.microsoft.com/office/drawing/2014/chart" uri="{C3380CC4-5D6E-409C-BE32-E72D297353CC}">
              <c16:uniqueId val="{00000007-EA89-486F-90E1-9FFD25EBBF87}"/>
            </c:ext>
          </c:extLst>
        </c:ser>
        <c:ser>
          <c:idx val="3"/>
          <c:order val="3"/>
          <c:tx>
            <c:strRef>
              <c:f>CumCF!$B$20</c:f>
              <c:strCache>
                <c:ptCount val="1"/>
                <c:pt idx="0">
                  <c:v>Cum Govt take</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CumCF!$C$12:$AG$12</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CumCF!$C$20:$AG$20</c:f>
              <c:numCache>
                <c:formatCode>0.00_);[Red]\(0.00\)</c:formatCode>
                <c:ptCount val="31"/>
                <c:pt idx="0">
                  <c:v>-0.5</c:v>
                </c:pt>
                <c:pt idx="1">
                  <c:v>-1.5</c:v>
                </c:pt>
                <c:pt idx="2">
                  <c:v>-1.5</c:v>
                </c:pt>
                <c:pt idx="3">
                  <c:v>-1.5</c:v>
                </c:pt>
                <c:pt idx="4">
                  <c:v>-1.5</c:v>
                </c:pt>
                <c:pt idx="5">
                  <c:v>-1.5</c:v>
                </c:pt>
                <c:pt idx="6">
                  <c:v>-1.5</c:v>
                </c:pt>
                <c:pt idx="7">
                  <c:v>-1.5</c:v>
                </c:pt>
                <c:pt idx="8">
                  <c:v>-2.9370135811431961</c:v>
                </c:pt>
                <c:pt idx="9">
                  <c:v>-5.0465779577068748</c:v>
                </c:pt>
                <c:pt idx="10">
                  <c:v>-7.255661306717756</c:v>
                </c:pt>
                <c:pt idx="11">
                  <c:v>-10.049453510424588</c:v>
                </c:pt>
                <c:pt idx="12">
                  <c:v>-18.73618854597305</c:v>
                </c:pt>
                <c:pt idx="13">
                  <c:v>-36.280189641338026</c:v>
                </c:pt>
                <c:pt idx="14">
                  <c:v>-56.603943786940889</c:v>
                </c:pt>
                <c:pt idx="15">
                  <c:v>-76.669335525505872</c:v>
                </c:pt>
                <c:pt idx="16">
                  <c:v>-99.004864647108747</c:v>
                </c:pt>
                <c:pt idx="17">
                  <c:v>-120.02727584796804</c:v>
                </c:pt>
                <c:pt idx="18">
                  <c:v>-142.99799606618382</c:v>
                </c:pt>
                <c:pt idx="19">
                  <c:v>-164.89605521398653</c:v>
                </c:pt>
                <c:pt idx="20">
                  <c:v>-188.74401769325527</c:v>
                </c:pt>
                <c:pt idx="21">
                  <c:v>-210.85487254291462</c:v>
                </c:pt>
                <c:pt idx="22">
                  <c:v>-234.08109976150098</c:v>
                </c:pt>
                <c:pt idx="23">
                  <c:v>-255.97264535565873</c:v>
                </c:pt>
                <c:pt idx="24">
                  <c:v>-279.41916409144125</c:v>
                </c:pt>
                <c:pt idx="25">
                  <c:v>-297.73121249259452</c:v>
                </c:pt>
                <c:pt idx="26">
                  <c:v>-317.39805294967277</c:v>
                </c:pt>
                <c:pt idx="27">
                  <c:v>-335.81331071575528</c:v>
                </c:pt>
                <c:pt idx="28">
                  <c:v>-355.80170665192605</c:v>
                </c:pt>
                <c:pt idx="29">
                  <c:v>-368.92848290366589</c:v>
                </c:pt>
                <c:pt idx="30">
                  <c:v>-382.81767359024383</c:v>
                </c:pt>
              </c:numCache>
            </c:numRef>
          </c:yVal>
          <c:smooth val="0"/>
          <c:extLst>
            <c:ext xmlns:c16="http://schemas.microsoft.com/office/drawing/2014/chart" uri="{C3380CC4-5D6E-409C-BE32-E72D297353CC}">
              <c16:uniqueId val="{00000008-EA89-486F-90E1-9FFD25EBBF87}"/>
            </c:ext>
          </c:extLst>
        </c:ser>
        <c:ser>
          <c:idx val="4"/>
          <c:order val="4"/>
          <c:tx>
            <c:strRef>
              <c:f>CumCF!$B$25</c:f>
              <c:strCache>
                <c:ptCount val="1"/>
                <c:pt idx="0">
                  <c:v>Cum Total cash-out</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CumCF!$C$12:$AG$12</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CumCF!$C$25:$AG$25</c:f>
              <c:numCache>
                <c:formatCode>0.0_);[Red]\(0.0\)</c:formatCode>
                <c:ptCount val="31"/>
                <c:pt idx="0">
                  <c:v>-17.077500000000001</c:v>
                </c:pt>
                <c:pt idx="1">
                  <c:v>-30.21</c:v>
                </c:pt>
                <c:pt idx="2">
                  <c:v>-36.3675</c:v>
                </c:pt>
                <c:pt idx="3">
                  <c:v>-75.710000000000008</c:v>
                </c:pt>
                <c:pt idx="4">
                  <c:v>-209.70750000000001</c:v>
                </c:pt>
                <c:pt idx="5">
                  <c:v>-293.10500000000002</c:v>
                </c:pt>
                <c:pt idx="6">
                  <c:v>-353.48</c:v>
                </c:pt>
                <c:pt idx="7">
                  <c:v>-401.46750000000003</c:v>
                </c:pt>
                <c:pt idx="8">
                  <c:v>-448.27140874823863</c:v>
                </c:pt>
                <c:pt idx="9">
                  <c:v>-493.28712172065275</c:v>
                </c:pt>
                <c:pt idx="10">
                  <c:v>-526.29657772394717</c:v>
                </c:pt>
                <c:pt idx="11">
                  <c:v>-570.35919325402563</c:v>
                </c:pt>
                <c:pt idx="12">
                  <c:v>-589.04906692374755</c:v>
                </c:pt>
                <c:pt idx="13">
                  <c:v>-617.52597382686179</c:v>
                </c:pt>
                <c:pt idx="14">
                  <c:v>-648.85286660663814</c:v>
                </c:pt>
                <c:pt idx="15">
                  <c:v>-681.85116415295238</c:v>
                </c:pt>
                <c:pt idx="16">
                  <c:v>-715.18983190872871</c:v>
                </c:pt>
                <c:pt idx="17">
                  <c:v>-749.14514891733734</c:v>
                </c:pt>
                <c:pt idx="18">
                  <c:v>-783.11900776972652</c:v>
                </c:pt>
                <c:pt idx="19">
                  <c:v>-817.94997272527849</c:v>
                </c:pt>
                <c:pt idx="20">
                  <c:v>-851.80107383872064</c:v>
                </c:pt>
                <c:pt idx="21">
                  <c:v>-899.91983449612928</c:v>
                </c:pt>
                <c:pt idx="22">
                  <c:v>-934.2242003488891</c:v>
                </c:pt>
                <c:pt idx="23">
                  <c:v>-969.12365175079617</c:v>
                </c:pt>
                <c:pt idx="24">
                  <c:v>-1003.6483091207522</c:v>
                </c:pt>
                <c:pt idx="25">
                  <c:v>-1034.9682633296547</c:v>
                </c:pt>
                <c:pt idx="26">
                  <c:v>-1065.7132424209065</c:v>
                </c:pt>
                <c:pt idx="27">
                  <c:v>-1097.1364059947382</c:v>
                </c:pt>
                <c:pt idx="28">
                  <c:v>-1127.2029405650824</c:v>
                </c:pt>
                <c:pt idx="29">
                  <c:v>-1151.3376226245714</c:v>
                </c:pt>
                <c:pt idx="30">
                  <c:v>-1176.3049519453227</c:v>
                </c:pt>
              </c:numCache>
            </c:numRef>
          </c:yVal>
          <c:smooth val="0"/>
          <c:extLst>
            <c:ext xmlns:c16="http://schemas.microsoft.com/office/drawing/2014/chart" uri="{C3380CC4-5D6E-409C-BE32-E72D297353CC}">
              <c16:uniqueId val="{00000009-EA89-486F-90E1-9FFD25EBBF87}"/>
            </c:ext>
          </c:extLst>
        </c:ser>
        <c:ser>
          <c:idx val="5"/>
          <c:order val="5"/>
          <c:tx>
            <c:strRef>
              <c:f>CumCF!$B$27</c:f>
              <c:strCache>
                <c:ptCount val="1"/>
                <c:pt idx="0">
                  <c:v>Cum Net cash flow</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CumCF!$C$12:$AG$12</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CumCF!$C$27:$AG$27</c:f>
              <c:numCache>
                <c:formatCode>0.0_);[Red]\(0.0\)</c:formatCode>
                <c:ptCount val="31"/>
                <c:pt idx="0">
                  <c:v>-17.077500000000001</c:v>
                </c:pt>
                <c:pt idx="1">
                  <c:v>-30.21</c:v>
                </c:pt>
                <c:pt idx="2">
                  <c:v>-36.3675</c:v>
                </c:pt>
                <c:pt idx="3">
                  <c:v>-75.710000000000008</c:v>
                </c:pt>
                <c:pt idx="4">
                  <c:v>-209.70750000000001</c:v>
                </c:pt>
                <c:pt idx="5">
                  <c:v>-293.10500000000002</c:v>
                </c:pt>
                <c:pt idx="6">
                  <c:v>-353.48</c:v>
                </c:pt>
                <c:pt idx="7">
                  <c:v>-401.46750000000003</c:v>
                </c:pt>
                <c:pt idx="8">
                  <c:v>-387.79086550251083</c:v>
                </c:pt>
                <c:pt idx="9">
                  <c:v>-345.42400341237777</c:v>
                </c:pt>
                <c:pt idx="10">
                  <c:v>-287.07012545523696</c:v>
                </c:pt>
                <c:pt idx="11">
                  <c:v>-216.38105283704215</c:v>
                </c:pt>
                <c:pt idx="12">
                  <c:v>-136.14114665168682</c:v>
                </c:pt>
                <c:pt idx="13">
                  <c:v>-70.203355424974532</c:v>
                </c:pt>
                <c:pt idx="14">
                  <c:v>-3.6004683496736334</c:v>
                </c:pt>
                <c:pt idx="15">
                  <c:v>57.815932233838666</c:v>
                </c:pt>
                <c:pt idx="16">
                  <c:v>122.40704433313958</c:v>
                </c:pt>
                <c:pt idx="17">
                  <c:v>181.04433844888234</c:v>
                </c:pt>
                <c:pt idx="18">
                  <c:v>243.36383923561726</c:v>
                </c:pt>
                <c:pt idx="19">
                  <c:v>301.4445688245745</c:v>
                </c:pt>
                <c:pt idx="20">
                  <c:v>364.18799681153996</c:v>
                </c:pt>
                <c:pt idx="21">
                  <c:v>409.20680452357374</c:v>
                </c:pt>
                <c:pt idx="22">
                  <c:v>471.61430004219471</c:v>
                </c:pt>
                <c:pt idx="23">
                  <c:v>529.89129244426977</c:v>
                </c:pt>
                <c:pt idx="24">
                  <c:v>592.09410196277156</c:v>
                </c:pt>
                <c:pt idx="25">
                  <c:v>640.30587449238033</c:v>
                </c:pt>
                <c:pt idx="26">
                  <c:v>692.04138673066166</c:v>
                </c:pt>
                <c:pt idx="27">
                  <c:v>740.12310394962924</c:v>
                </c:pt>
                <c:pt idx="28">
                  <c:v>792.47554026915464</c:v>
                </c:pt>
                <c:pt idx="29">
                  <c:v>826.53933756849153</c:v>
                </c:pt>
                <c:pt idx="30">
                  <c:v>861.7831429718176</c:v>
                </c:pt>
              </c:numCache>
            </c:numRef>
          </c:yVal>
          <c:smooth val="0"/>
          <c:extLst>
            <c:ext xmlns:c16="http://schemas.microsoft.com/office/drawing/2014/chart" uri="{C3380CC4-5D6E-409C-BE32-E72D297353CC}">
              <c16:uniqueId val="{0000000A-EA89-486F-90E1-9FFD25EBBF87}"/>
            </c:ext>
          </c:extLst>
        </c:ser>
        <c:dLbls>
          <c:showLegendKey val="0"/>
          <c:showVal val="0"/>
          <c:showCatName val="0"/>
          <c:showSerName val="0"/>
          <c:showPercent val="0"/>
          <c:showBubbleSize val="0"/>
        </c:dLbls>
        <c:axId val="655473424"/>
        <c:axId val="655473752"/>
      </c:scatterChart>
      <c:valAx>
        <c:axId val="655473424"/>
        <c:scaling>
          <c:orientation val="minMax"/>
        </c:scaling>
        <c:delete val="0"/>
        <c:axPos val="b"/>
        <c:title>
          <c:tx>
            <c:rich>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Year</a:t>
                </a:r>
              </a:p>
            </c:rich>
          </c:tx>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cross"/>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752"/>
        <c:crosses val="autoZero"/>
        <c:crossBetween val="midCat"/>
      </c:valAx>
      <c:valAx>
        <c:axId val="655473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Million Dollars ($ MM)</a:t>
                </a:r>
              </a:p>
            </c:rich>
          </c:tx>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424"/>
        <c:crosses val="autoZero"/>
        <c:crossBetween val="midCat"/>
      </c:valAx>
      <c:spPr>
        <a:noFill/>
        <a:ln>
          <a:noFill/>
        </a:ln>
        <a:effectLst/>
      </c:spPr>
    </c:plotArea>
    <c:legend>
      <c:legendPos val="r"/>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r>
              <a:rPr lang="en-US"/>
              <a:t>Cumulative discounted cashflow</a:t>
            </a:r>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CumDCF!$B$10</c:f>
              <c:strCache>
                <c:ptCount val="1"/>
                <c:pt idx="0">
                  <c:v>Cum PV Total cash-in</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CumDCF!$C$4:$AG$4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CumDCF!$C$10:$AG$10</c:f>
              <c:numCache>
                <c:formatCode>0.00_);[Red]\(0.00\)</c:formatCode>
                <c:ptCount val="31"/>
                <c:pt idx="0">
                  <c:v>0</c:v>
                </c:pt>
                <c:pt idx="1">
                  <c:v>0</c:v>
                </c:pt>
                <c:pt idx="2">
                  <c:v>0</c:v>
                </c:pt>
                <c:pt idx="3">
                  <c:v>0</c:v>
                </c:pt>
                <c:pt idx="4">
                  <c:v>0</c:v>
                </c:pt>
                <c:pt idx="5">
                  <c:v>0</c:v>
                </c:pt>
                <c:pt idx="6">
                  <c:v>0</c:v>
                </c:pt>
                <c:pt idx="7">
                  <c:v>0</c:v>
                </c:pt>
                <c:pt idx="8">
                  <c:v>24.427077036030386</c:v>
                </c:pt>
                <c:pt idx="9">
                  <c:v>55.938109612290262</c:v>
                </c:pt>
                <c:pt idx="10">
                  <c:v>85.35465795324825</c:v>
                </c:pt>
                <c:pt idx="11">
                  <c:v>118.34302620087838</c:v>
                </c:pt>
                <c:pt idx="12">
                  <c:v>143.73583664024721</c:v>
                </c:pt>
                <c:pt idx="13">
                  <c:v>165.37324862050085</c:v>
                </c:pt>
                <c:pt idx="14">
                  <c:v>185.4116218239634</c:v>
                </c:pt>
                <c:pt idx="15">
                  <c:v>202.66083418067069</c:v>
                </c:pt>
                <c:pt idx="16">
                  <c:v>218.63530261455347</c:v>
                </c:pt>
                <c:pt idx="17">
                  <c:v>232.12089243686603</c:v>
                </c:pt>
                <c:pt idx="18">
                  <c:v>244.64284145534734</c:v>
                </c:pt>
                <c:pt idx="19">
                  <c:v>255.43051884433297</c:v>
                </c:pt>
                <c:pt idx="20">
                  <c:v>265.44416120066461</c:v>
                </c:pt>
                <c:pt idx="21">
                  <c:v>274.06493836168386</c:v>
                </c:pt>
                <c:pt idx="22">
                  <c:v>282.05744937356445</c:v>
                </c:pt>
                <c:pt idx="23">
                  <c:v>288.9327486849038</c:v>
                </c:pt>
                <c:pt idx="24">
                  <c:v>295.30535765412282</c:v>
                </c:pt>
                <c:pt idx="25">
                  <c:v>299.98367679669235</c:v>
                </c:pt>
                <c:pt idx="26">
                  <c:v>304.31561896281522</c:v>
                </c:pt>
                <c:pt idx="27">
                  <c:v>308.04388743800274</c:v>
                </c:pt>
                <c:pt idx="28">
                  <c:v>311.49470939498281</c:v>
                </c:pt>
                <c:pt idx="29">
                  <c:v>313.67035913862452</c:v>
                </c:pt>
                <c:pt idx="30">
                  <c:v>315.68008181016819</c:v>
                </c:pt>
              </c:numCache>
            </c:numRef>
          </c:yVal>
          <c:smooth val="0"/>
          <c:extLst>
            <c:ext xmlns:c16="http://schemas.microsoft.com/office/drawing/2014/chart" uri="{C3380CC4-5D6E-409C-BE32-E72D297353CC}">
              <c16:uniqueId val="{00000000-EFB7-43DF-A34C-717C3DFC9832}"/>
            </c:ext>
          </c:extLst>
        </c:ser>
        <c:ser>
          <c:idx val="1"/>
          <c:order val="1"/>
          <c:tx>
            <c:strRef>
              <c:f>CumDCF!$B$13</c:f>
              <c:strCache>
                <c:ptCount val="1"/>
                <c:pt idx="0">
                  <c:v>Cum PV Capex</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CumDCF!$C$12:$AG$12</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CumDCF!$C$13:$AG$13</c:f>
              <c:numCache>
                <c:formatCode>0.00_);[Red]\(0.00\)</c:formatCode>
                <c:ptCount val="31"/>
                <c:pt idx="0">
                  <c:v>-15.5</c:v>
                </c:pt>
                <c:pt idx="1">
                  <c:v>-25.321428571428569</c:v>
                </c:pt>
                <c:pt idx="2">
                  <c:v>-29.307397959183671</c:v>
                </c:pt>
                <c:pt idx="3">
                  <c:v>-55.643267128279874</c:v>
                </c:pt>
                <c:pt idx="4">
                  <c:v>-138.89613539931275</c:v>
                </c:pt>
                <c:pt idx="5">
                  <c:v>-184.2902838568007</c:v>
                </c:pt>
                <c:pt idx="6">
                  <c:v>-212.40831108214201</c:v>
                </c:pt>
                <c:pt idx="7">
                  <c:v>-231.63315273395997</c:v>
                </c:pt>
                <c:pt idx="8">
                  <c:v>-247.18265701116567</c:v>
                </c:pt>
                <c:pt idx="9">
                  <c:v>-259.80400788552095</c:v>
                </c:pt>
                <c:pt idx="10">
                  <c:v>-267.04840570881163</c:v>
                </c:pt>
                <c:pt idx="11">
                  <c:v>-276.24764103997438</c:v>
                </c:pt>
                <c:pt idx="12">
                  <c:v>-276.24764103997438</c:v>
                </c:pt>
                <c:pt idx="13">
                  <c:v>-276.24764103997438</c:v>
                </c:pt>
                <c:pt idx="14">
                  <c:v>-276.24764103997438</c:v>
                </c:pt>
                <c:pt idx="15">
                  <c:v>-276.24764103997438</c:v>
                </c:pt>
                <c:pt idx="16">
                  <c:v>-276.24764103997438</c:v>
                </c:pt>
                <c:pt idx="17">
                  <c:v>-276.24764103997438</c:v>
                </c:pt>
                <c:pt idx="18">
                  <c:v>-276.24764103997438</c:v>
                </c:pt>
                <c:pt idx="19">
                  <c:v>-276.24764103997438</c:v>
                </c:pt>
                <c:pt idx="20">
                  <c:v>-276.24764103997438</c:v>
                </c:pt>
                <c:pt idx="21">
                  <c:v>-277.63603521516217</c:v>
                </c:pt>
                <c:pt idx="22">
                  <c:v>-277.63603521516217</c:v>
                </c:pt>
                <c:pt idx="23">
                  <c:v>-277.63603521516217</c:v>
                </c:pt>
                <c:pt idx="24">
                  <c:v>-277.63603521516217</c:v>
                </c:pt>
                <c:pt idx="25">
                  <c:v>-277.63603521516217</c:v>
                </c:pt>
                <c:pt idx="26">
                  <c:v>-277.63603521516217</c:v>
                </c:pt>
                <c:pt idx="27">
                  <c:v>-277.63603521516217</c:v>
                </c:pt>
                <c:pt idx="28">
                  <c:v>-277.63603521516217</c:v>
                </c:pt>
                <c:pt idx="29">
                  <c:v>-277.63603521516217</c:v>
                </c:pt>
                <c:pt idx="30">
                  <c:v>-277.63603521516217</c:v>
                </c:pt>
              </c:numCache>
            </c:numRef>
          </c:yVal>
          <c:smooth val="0"/>
          <c:extLst>
            <c:ext xmlns:c16="http://schemas.microsoft.com/office/drawing/2014/chart" uri="{C3380CC4-5D6E-409C-BE32-E72D297353CC}">
              <c16:uniqueId val="{00000006-EFB7-43DF-A34C-717C3DFC9832}"/>
            </c:ext>
          </c:extLst>
        </c:ser>
        <c:ser>
          <c:idx val="2"/>
          <c:order val="2"/>
          <c:tx>
            <c:strRef>
              <c:f>CumDCF!$B$14</c:f>
              <c:strCache>
                <c:ptCount val="1"/>
                <c:pt idx="0">
                  <c:v>Cum PV Opex</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CumDCF!$C$12:$AG$12</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CumDCF!$C$14:$AG$14</c:f>
              <c:numCache>
                <c:formatCode>0.00_);[Red]\(0.00\)</c:formatCode>
                <c:ptCount val="31"/>
                <c:pt idx="0">
                  <c:v>-1.0774999999999999</c:v>
                </c:pt>
                <c:pt idx="1">
                  <c:v>-2.0886607142857141</c:v>
                </c:pt>
                <c:pt idx="2">
                  <c:v>-3.01141262755102</c:v>
                </c:pt>
                <c:pt idx="3">
                  <c:v>-4.6787578580539346</c:v>
                </c:pt>
                <c:pt idx="4">
                  <c:v>-6.5837232980724156</c:v>
                </c:pt>
                <c:pt idx="5">
                  <c:v>-8.511556040376357</c:v>
                </c:pt>
                <c:pt idx="6">
                  <c:v>-10.981382756115796</c:v>
                </c:pt>
                <c:pt idx="7">
                  <c:v>-13.463649075276999</c:v>
                </c:pt>
                <c:pt idx="8">
                  <c:v>-16.237072861559426</c:v>
                </c:pt>
                <c:pt idx="9">
                  <c:v>-19.088109304217127</c:v>
                </c:pt>
                <c:pt idx="10">
                  <c:v>-21.760607152625703</c:v>
                </c:pt>
                <c:pt idx="11">
                  <c:v>-24.42517237207143</c:v>
                </c:pt>
                <c:pt idx="12">
                  <c:v>-26.992728910743509</c:v>
                </c:pt>
                <c:pt idx="13">
                  <c:v>-29.498268744999965</c:v>
                </c:pt>
                <c:pt idx="14">
                  <c:v>-31.74972891051134</c:v>
                </c:pt>
                <c:pt idx="15">
                  <c:v>-34.112522448869186</c:v>
                </c:pt>
                <c:pt idx="16">
                  <c:v>-35.907372708364861</c:v>
                </c:pt>
                <c:pt idx="17">
                  <c:v>-37.790977251060845</c:v>
                </c:pt>
                <c:pt idx="18">
                  <c:v>-39.221820889051656</c:v>
                </c:pt>
                <c:pt idx="19">
                  <c:v>-40.723418898216181</c:v>
                </c:pt>
                <c:pt idx="20">
                  <c:v>-41.760411921074599</c:v>
                </c:pt>
                <c:pt idx="21">
                  <c:v>-42.779299408040927</c:v>
                </c:pt>
                <c:pt idx="22">
                  <c:v>-43.694824595636717</c:v>
                </c:pt>
                <c:pt idx="23">
                  <c:v>-44.654651373637918</c:v>
                </c:pt>
                <c:pt idx="24">
                  <c:v>-45.384502447933031</c:v>
                </c:pt>
                <c:pt idx="25">
                  <c:v>-46.149670478865104</c:v>
                </c:pt>
                <c:pt idx="26">
                  <c:v>-46.731503286817201</c:v>
                </c:pt>
                <c:pt idx="27">
                  <c:v>-47.341490556374019</c:v>
                </c:pt>
                <c:pt idx="28">
                  <c:v>-47.763454840916779</c:v>
                </c:pt>
                <c:pt idx="29">
                  <c:v>-48.174966408100531</c:v>
                </c:pt>
                <c:pt idx="30">
                  <c:v>-48.544731676163131</c:v>
                </c:pt>
              </c:numCache>
            </c:numRef>
          </c:yVal>
          <c:smooth val="0"/>
          <c:extLst>
            <c:ext xmlns:c16="http://schemas.microsoft.com/office/drawing/2014/chart" uri="{C3380CC4-5D6E-409C-BE32-E72D297353CC}">
              <c16:uniqueId val="{00000007-EFB7-43DF-A34C-717C3DFC9832}"/>
            </c:ext>
          </c:extLst>
        </c:ser>
        <c:ser>
          <c:idx val="3"/>
          <c:order val="3"/>
          <c:tx>
            <c:strRef>
              <c:f>CumDCF!$B$20</c:f>
              <c:strCache>
                <c:ptCount val="1"/>
                <c:pt idx="0">
                  <c:v>Cum PV Govt take</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CumDCF!$C$12:$AG$12</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CumDCF!$C$20:$AG$20</c:f>
              <c:numCache>
                <c:formatCode>0.00_);[Red]\(0.00\)</c:formatCode>
                <c:ptCount val="31"/>
                <c:pt idx="0">
                  <c:v>0</c:v>
                </c:pt>
                <c:pt idx="1">
                  <c:v>0</c:v>
                </c:pt>
                <c:pt idx="2">
                  <c:v>0</c:v>
                </c:pt>
                <c:pt idx="3">
                  <c:v>0</c:v>
                </c:pt>
                <c:pt idx="4">
                  <c:v>0</c:v>
                </c:pt>
                <c:pt idx="5">
                  <c:v>0</c:v>
                </c:pt>
                <c:pt idx="6">
                  <c:v>0</c:v>
                </c:pt>
                <c:pt idx="7">
                  <c:v>0</c:v>
                </c:pt>
                <c:pt idx="8">
                  <c:v>-0.58038568380230704</c:v>
                </c:pt>
                <c:pt idx="9">
                  <c:v>-1.3411157463351855</c:v>
                </c:pt>
                <c:pt idx="10">
                  <c:v>-2.0523814621148331</c:v>
                </c:pt>
                <c:pt idx="11">
                  <c:v>-2.8555299604981736</c:v>
                </c:pt>
                <c:pt idx="12">
                  <c:v>-5.0851984831395427</c:v>
                </c:pt>
                <c:pt idx="13">
                  <c:v>-9.1058307258063387</c:v>
                </c:pt>
                <c:pt idx="14">
                  <c:v>-13.264473490731284</c:v>
                </c:pt>
                <c:pt idx="15">
                  <c:v>-16.930345542168659</c:v>
                </c:pt>
                <c:pt idx="16">
                  <c:v>-20.573754170628021</c:v>
                </c:pt>
                <c:pt idx="17">
                  <c:v>-23.635549394763562</c:v>
                </c:pt>
                <c:pt idx="18">
                  <c:v>-26.622652436637573</c:v>
                </c:pt>
                <c:pt idx="19">
                  <c:v>-29.16516550444365</c:v>
                </c:pt>
                <c:pt idx="20">
                  <c:v>-31.63740662843507</c:v>
                </c:pt>
                <c:pt idx="21">
                  <c:v>-33.683978767214384</c:v>
                </c:pt>
                <c:pt idx="22">
                  <c:v>-35.6034524923259</c:v>
                </c:pt>
                <c:pt idx="23">
                  <c:v>-37.218784889689125</c:v>
                </c:pt>
                <c:pt idx="24">
                  <c:v>-38.763490859968591</c:v>
                </c:pt>
                <c:pt idx="25">
                  <c:v>-39.840666096669338</c:v>
                </c:pt>
                <c:pt idx="26">
                  <c:v>-40.873584476241639</c:v>
                </c:pt>
                <c:pt idx="27">
                  <c:v>-41.737141836583667</c:v>
                </c:pt>
                <c:pt idx="28">
                  <c:v>-42.574041337227968</c:v>
                </c:pt>
                <c:pt idx="29">
                  <c:v>-43.064763220369549</c:v>
                </c:pt>
                <c:pt idx="30">
                  <c:v>-43.528355569859791</c:v>
                </c:pt>
              </c:numCache>
            </c:numRef>
          </c:yVal>
          <c:smooth val="0"/>
          <c:extLst>
            <c:ext xmlns:c16="http://schemas.microsoft.com/office/drawing/2014/chart" uri="{C3380CC4-5D6E-409C-BE32-E72D297353CC}">
              <c16:uniqueId val="{00000008-EFB7-43DF-A34C-717C3DFC9832}"/>
            </c:ext>
          </c:extLst>
        </c:ser>
        <c:ser>
          <c:idx val="4"/>
          <c:order val="4"/>
          <c:tx>
            <c:strRef>
              <c:f>CumDCF!$B$26</c:f>
              <c:strCache>
                <c:ptCount val="1"/>
                <c:pt idx="0">
                  <c:v>Cum PV Total cash-out</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CumDCF!$C$12:$AG$12</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CumDCF!$C$26:$AG$26</c:f>
              <c:numCache>
                <c:formatCode>0.00_);[Red]\(0.00\)</c:formatCode>
                <c:ptCount val="31"/>
                <c:pt idx="0">
                  <c:v>-17.077500000000001</c:v>
                </c:pt>
                <c:pt idx="1">
                  <c:v>-28.802946428571428</c:v>
                </c:pt>
                <c:pt idx="2">
                  <c:v>-33.711667729591838</c:v>
                </c:pt>
                <c:pt idx="3">
                  <c:v>-61.714882129190954</c:v>
                </c:pt>
                <c:pt idx="4">
                  <c:v>-146.87271584024234</c:v>
                </c:pt>
                <c:pt idx="5">
                  <c:v>-194.19469704003421</c:v>
                </c:pt>
                <c:pt idx="6">
                  <c:v>-224.78255098111495</c:v>
                </c:pt>
                <c:pt idx="7">
                  <c:v>-246.48965895209412</c:v>
                </c:pt>
                <c:pt idx="8">
                  <c:v>-265.39297269938459</c:v>
                </c:pt>
                <c:pt idx="9">
                  <c:v>-281.62609007893047</c:v>
                </c:pt>
                <c:pt idx="10">
                  <c:v>-292.25425146640936</c:v>
                </c:pt>
                <c:pt idx="11">
                  <c:v>-304.92120051540115</c:v>
                </c:pt>
                <c:pt idx="12">
                  <c:v>-309.71842557671459</c:v>
                </c:pt>
                <c:pt idx="13">
                  <c:v>-316.24459765363787</c:v>
                </c:pt>
                <c:pt idx="14">
                  <c:v>-322.65470058407419</c:v>
                </c:pt>
                <c:pt idx="15">
                  <c:v>-328.68336617386939</c:v>
                </c:pt>
                <c:pt idx="16">
                  <c:v>-334.12162506182443</c:v>
                </c:pt>
                <c:pt idx="17">
                  <c:v>-339.06702482865597</c:v>
                </c:pt>
                <c:pt idx="18">
                  <c:v>-343.4849715085208</c:v>
                </c:pt>
                <c:pt idx="19">
                  <c:v>-347.52908258549138</c:v>
                </c:pt>
                <c:pt idx="20">
                  <c:v>-351.03831673234123</c:v>
                </c:pt>
                <c:pt idx="21">
                  <c:v>-355.49217053327465</c:v>
                </c:pt>
                <c:pt idx="22">
                  <c:v>-358.32716944598195</c:v>
                </c:pt>
                <c:pt idx="23">
                  <c:v>-360.90232862134638</c:v>
                </c:pt>
                <c:pt idx="24">
                  <c:v>-363.17688566592096</c:v>
                </c:pt>
                <c:pt idx="25">
                  <c:v>-365.01922893355379</c:v>
                </c:pt>
                <c:pt idx="26">
                  <c:v>-366.6339801210782</c:v>
                </c:pt>
                <c:pt idx="27">
                  <c:v>-368.10752475097706</c:v>
                </c:pt>
                <c:pt idx="28">
                  <c:v>-369.36638853616415</c:v>
                </c:pt>
                <c:pt idx="29">
                  <c:v>-370.26862198648951</c:v>
                </c:pt>
                <c:pt idx="30">
                  <c:v>-371.10197960404236</c:v>
                </c:pt>
              </c:numCache>
            </c:numRef>
          </c:yVal>
          <c:smooth val="0"/>
          <c:extLst>
            <c:ext xmlns:c16="http://schemas.microsoft.com/office/drawing/2014/chart" uri="{C3380CC4-5D6E-409C-BE32-E72D297353CC}">
              <c16:uniqueId val="{00000009-EFB7-43DF-A34C-717C3DFC9832}"/>
            </c:ext>
          </c:extLst>
        </c:ser>
        <c:ser>
          <c:idx val="5"/>
          <c:order val="5"/>
          <c:tx>
            <c:strRef>
              <c:f>CumDCF!$B$28</c:f>
              <c:strCache>
                <c:ptCount val="1"/>
                <c:pt idx="0">
                  <c:v>Cum PV Net cash flow</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CumDCF!$C$12:$AG$12</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CumDCF!$C$28:$AG$28</c:f>
              <c:numCache>
                <c:formatCode>0.00_);[Red]\(0.00\)</c:formatCode>
                <c:ptCount val="31"/>
                <c:pt idx="0">
                  <c:v>-17.077500000000001</c:v>
                </c:pt>
                <c:pt idx="1">
                  <c:v>-28.802946428571428</c:v>
                </c:pt>
                <c:pt idx="2">
                  <c:v>-33.711667729591838</c:v>
                </c:pt>
                <c:pt idx="3">
                  <c:v>-61.714882129190954</c:v>
                </c:pt>
                <c:pt idx="4">
                  <c:v>-146.87271584024234</c:v>
                </c:pt>
                <c:pt idx="5">
                  <c:v>-194.19469704003421</c:v>
                </c:pt>
                <c:pt idx="6">
                  <c:v>-224.78255098111495</c:v>
                </c:pt>
                <c:pt idx="7">
                  <c:v>-246.48965895209412</c:v>
                </c:pt>
                <c:pt idx="8">
                  <c:v>-240.96589566335419</c:v>
                </c:pt>
                <c:pt idx="9">
                  <c:v>-225.68798046664017</c:v>
                </c:pt>
                <c:pt idx="10">
                  <c:v>-206.89959351316105</c:v>
                </c:pt>
                <c:pt idx="11">
                  <c:v>-186.57817431452273</c:v>
                </c:pt>
                <c:pt idx="12">
                  <c:v>-165.98258893646735</c:v>
                </c:pt>
                <c:pt idx="13">
                  <c:v>-150.87134903313697</c:v>
                </c:pt>
                <c:pt idx="14">
                  <c:v>-137.24307876011073</c:v>
                </c:pt>
                <c:pt idx="15">
                  <c:v>-126.02253199319865</c:v>
                </c:pt>
                <c:pt idx="16">
                  <c:v>-115.48632244727092</c:v>
                </c:pt>
                <c:pt idx="17">
                  <c:v>-106.94613239178987</c:v>
                </c:pt>
                <c:pt idx="18">
                  <c:v>-98.842130053173378</c:v>
                </c:pt>
                <c:pt idx="19">
                  <c:v>-92.098563741158358</c:v>
                </c:pt>
                <c:pt idx="20">
                  <c:v>-85.594155531676535</c:v>
                </c:pt>
                <c:pt idx="21">
                  <c:v>-81.427232171590745</c:v>
                </c:pt>
                <c:pt idx="22">
                  <c:v>-76.269720072417442</c:v>
                </c:pt>
                <c:pt idx="23">
                  <c:v>-71.969579936442528</c:v>
                </c:pt>
                <c:pt idx="24">
                  <c:v>-67.871528011798063</c:v>
                </c:pt>
                <c:pt idx="25">
                  <c:v>-65.035552136861369</c:v>
                </c:pt>
                <c:pt idx="26">
                  <c:v>-62.318361158262888</c:v>
                </c:pt>
                <c:pt idx="27">
                  <c:v>-60.063637312974222</c:v>
                </c:pt>
                <c:pt idx="28">
                  <c:v>-57.871679141181232</c:v>
                </c:pt>
                <c:pt idx="29">
                  <c:v>-56.598262847864873</c:v>
                </c:pt>
                <c:pt idx="30">
                  <c:v>-55.421897793874066</c:v>
                </c:pt>
              </c:numCache>
            </c:numRef>
          </c:yVal>
          <c:smooth val="0"/>
          <c:extLst>
            <c:ext xmlns:c16="http://schemas.microsoft.com/office/drawing/2014/chart" uri="{C3380CC4-5D6E-409C-BE32-E72D297353CC}">
              <c16:uniqueId val="{0000000A-EFB7-43DF-A34C-717C3DFC9832}"/>
            </c:ext>
          </c:extLst>
        </c:ser>
        <c:dLbls>
          <c:showLegendKey val="0"/>
          <c:showVal val="0"/>
          <c:showCatName val="0"/>
          <c:showSerName val="0"/>
          <c:showPercent val="0"/>
          <c:showBubbleSize val="0"/>
        </c:dLbls>
        <c:axId val="655473424"/>
        <c:axId val="655473752"/>
      </c:scatterChart>
      <c:valAx>
        <c:axId val="655473424"/>
        <c:scaling>
          <c:orientation val="minMax"/>
        </c:scaling>
        <c:delete val="0"/>
        <c:axPos val="b"/>
        <c:title>
          <c:tx>
            <c:rich>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Year</a:t>
                </a:r>
              </a:p>
            </c:rich>
          </c:tx>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cross"/>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752"/>
        <c:crosses val="autoZero"/>
        <c:crossBetween val="midCat"/>
      </c:valAx>
      <c:valAx>
        <c:axId val="655473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Million Dollars ($ MM)</a:t>
                </a:r>
              </a:p>
            </c:rich>
          </c:tx>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424"/>
        <c:crosses val="autoZero"/>
        <c:crossBetween val="midCat"/>
      </c:valAx>
      <c:spPr>
        <a:noFill/>
        <a:ln>
          <a:noFill/>
        </a:ln>
        <a:effectLst/>
      </c:spPr>
    </c:plotArea>
    <c:legend>
      <c:legendPos val="r"/>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l-NL"/>
              <a:t>Demo of the 10-yr depreciation for 2008 capital (not overall)</a:t>
            </a:r>
          </a:p>
        </c:rich>
      </c:tx>
      <c:overlay val="0"/>
    </c:title>
    <c:autoTitleDeleted val="0"/>
    <c:plotArea>
      <c:layout/>
      <c:scatterChart>
        <c:scatterStyle val="smoothMarker"/>
        <c:varyColors val="0"/>
        <c:ser>
          <c:idx val="0"/>
          <c:order val="0"/>
          <c:xVal>
            <c:numRef>
              <c:f>Cashflow!$D$164:$M$164</c:f>
              <c:numCache>
                <c:formatCode>General</c:formatCode>
                <c:ptCount val="10"/>
                <c:pt idx="0">
                  <c:v>2018</c:v>
                </c:pt>
                <c:pt idx="1">
                  <c:v>2019</c:v>
                </c:pt>
                <c:pt idx="2">
                  <c:v>2020</c:v>
                </c:pt>
                <c:pt idx="3">
                  <c:v>2021</c:v>
                </c:pt>
                <c:pt idx="4">
                  <c:v>2022</c:v>
                </c:pt>
                <c:pt idx="5">
                  <c:v>2023</c:v>
                </c:pt>
                <c:pt idx="6">
                  <c:v>2024</c:v>
                </c:pt>
                <c:pt idx="7">
                  <c:v>2025</c:v>
                </c:pt>
                <c:pt idx="8">
                  <c:v>2026</c:v>
                </c:pt>
                <c:pt idx="9">
                  <c:v>2027</c:v>
                </c:pt>
              </c:numCache>
            </c:numRef>
          </c:xVal>
          <c:yVal>
            <c:numRef>
              <c:f>Cashflow!$D$166:$M$166</c:f>
              <c:numCache>
                <c:formatCode>0.00_);[Red]\(0.00\)</c:formatCode>
                <c:ptCount val="10"/>
                <c:pt idx="0">
                  <c:v>2.2000000000000002</c:v>
                </c:pt>
                <c:pt idx="1">
                  <c:v>1.7600000000000002</c:v>
                </c:pt>
                <c:pt idx="2">
                  <c:v>1.4080000000000004</c:v>
                </c:pt>
                <c:pt idx="3">
                  <c:v>1.1264000000000003</c:v>
                </c:pt>
                <c:pt idx="4">
                  <c:v>0.90112000000000048</c:v>
                </c:pt>
                <c:pt idx="5">
                  <c:v>0.72089600000000054</c:v>
                </c:pt>
                <c:pt idx="6">
                  <c:v>0.57671680000000036</c:v>
                </c:pt>
                <c:pt idx="7">
                  <c:v>0.46137344000000041</c:v>
                </c:pt>
                <c:pt idx="8">
                  <c:v>0.36909875200000036</c:v>
                </c:pt>
                <c:pt idx="9">
                  <c:v>0.29527900160000026</c:v>
                </c:pt>
              </c:numCache>
            </c:numRef>
          </c:yVal>
          <c:smooth val="1"/>
          <c:extLst>
            <c:ext xmlns:c16="http://schemas.microsoft.com/office/drawing/2014/chart" uri="{C3380CC4-5D6E-409C-BE32-E72D297353CC}">
              <c16:uniqueId val="{00000000-939F-42B1-9A51-8EA634A4C2EE}"/>
            </c:ext>
          </c:extLst>
        </c:ser>
        <c:dLbls>
          <c:showLegendKey val="0"/>
          <c:showVal val="0"/>
          <c:showCatName val="0"/>
          <c:showSerName val="0"/>
          <c:showPercent val="0"/>
          <c:showBubbleSize val="0"/>
        </c:dLbls>
        <c:axId val="188423552"/>
        <c:axId val="188405248"/>
      </c:scatterChart>
      <c:valAx>
        <c:axId val="188423552"/>
        <c:scaling>
          <c:orientation val="minMax"/>
        </c:scaling>
        <c:delete val="0"/>
        <c:axPos val="b"/>
        <c:title>
          <c:tx>
            <c:rich>
              <a:bodyPr/>
              <a:lstStyle/>
              <a:p>
                <a:pPr>
                  <a:defRPr/>
                </a:pPr>
                <a:r>
                  <a:rPr lang="nl-NL"/>
                  <a:t>Year</a:t>
                </a:r>
              </a:p>
            </c:rich>
          </c:tx>
          <c:layout>
            <c:manualLayout>
              <c:xMode val="edge"/>
              <c:yMode val="edge"/>
              <c:x val="0.47968511506320133"/>
              <c:y val="0.92931758530183728"/>
            </c:manualLayout>
          </c:layout>
          <c:overlay val="0"/>
        </c:title>
        <c:numFmt formatCode="General" sourceLinked="1"/>
        <c:majorTickMark val="out"/>
        <c:minorTickMark val="none"/>
        <c:tickLblPos val="nextTo"/>
        <c:crossAx val="188405248"/>
        <c:crosses val="autoZero"/>
        <c:crossBetween val="midCat"/>
      </c:valAx>
      <c:valAx>
        <c:axId val="188405248"/>
        <c:scaling>
          <c:orientation val="minMax"/>
        </c:scaling>
        <c:delete val="0"/>
        <c:axPos val="l"/>
        <c:majorGridlines/>
        <c:title>
          <c:tx>
            <c:rich>
              <a:bodyPr rot="-5400000" vert="horz"/>
              <a:lstStyle/>
              <a:p>
                <a:pPr>
                  <a:defRPr/>
                </a:pPr>
                <a:r>
                  <a:rPr lang="nl-NL"/>
                  <a:t>Capital</a:t>
                </a:r>
                <a:r>
                  <a:rPr lang="nl-NL" baseline="0"/>
                  <a:t> Spent ($ MM)</a:t>
                </a:r>
                <a:endParaRPr lang="nl-NL"/>
              </a:p>
            </c:rich>
          </c:tx>
          <c:overlay val="0"/>
        </c:title>
        <c:numFmt formatCode="0.00_);[Red]\(0.00\)" sourceLinked="1"/>
        <c:majorTickMark val="out"/>
        <c:minorTickMark val="none"/>
        <c:tickLblPos val="nextTo"/>
        <c:crossAx val="188423552"/>
        <c:crosses val="autoZero"/>
        <c:crossBetween val="midCat"/>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Well Success Rate Learning Curve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'Well Success'!$AK$3:$AK$102</c:f>
              <c:numCache>
                <c:formatCode>0</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xVal>
          <c:yVal>
            <c:numRef>
              <c:f>'Well Success'!$AL$3:$AL$102</c:f>
              <c:numCache>
                <c:formatCode>0.000</c:formatCode>
                <c:ptCount val="100"/>
                <c:pt idx="0">
                  <c:v>0.48</c:v>
                </c:pt>
                <c:pt idx="1">
                  <c:v>0.52852030263919614</c:v>
                </c:pt>
                <c:pt idx="2">
                  <c:v>0.55690286020676771</c:v>
                </c:pt>
                <c:pt idx="3">
                  <c:v>0.57704060527839229</c:v>
                </c:pt>
                <c:pt idx="4">
                  <c:v>0.59266065387038702</c:v>
                </c:pt>
                <c:pt idx="5">
                  <c:v>0.60542316284596387</c:v>
                </c:pt>
                <c:pt idx="6">
                  <c:v>0.61621371043387185</c:v>
                </c:pt>
                <c:pt idx="7">
                  <c:v>0.62556090791758856</c:v>
                </c:pt>
                <c:pt idx="8">
                  <c:v>0.63380572041353533</c:v>
                </c:pt>
                <c:pt idx="9">
                  <c:v>0.64118095650958318</c:v>
                </c:pt>
                <c:pt idx="10">
                  <c:v>0.6478526690958859</c:v>
                </c:pt>
                <c:pt idx="11">
                  <c:v>0.65394346548516002</c:v>
                </c:pt>
                <c:pt idx="12">
                  <c:v>0.65954645502230758</c:v>
                </c:pt>
                <c:pt idx="13">
                  <c:v>0.66473401307306812</c:v>
                </c:pt>
                <c:pt idx="14">
                  <c:v>0.66956351407715475</c:v>
                </c:pt>
                <c:pt idx="15">
                  <c:v>0.67408121055678472</c:v>
                </c:pt>
                <c:pt idx="16">
                  <c:v>0.67832493408393513</c:v>
                </c:pt>
                <c:pt idx="17">
                  <c:v>0.68232602305273149</c:v>
                </c:pt>
                <c:pt idx="18">
                  <c:v>0.68611072854165078</c:v>
                </c:pt>
                <c:pt idx="19">
                  <c:v>0.68970125914877933</c:v>
                </c:pt>
                <c:pt idx="20">
                  <c:v>0.69311657064063958</c:v>
                </c:pt>
                <c:pt idx="21">
                  <c:v>0.69637297173508217</c:v>
                </c:pt>
                <c:pt idx="22">
                  <c:v>0.69948459511504046</c:v>
                </c:pt>
                <c:pt idx="23">
                  <c:v>0.70246376812435618</c:v>
                </c:pt>
                <c:pt idx="24">
                  <c:v>0.70532130774077406</c:v>
                </c:pt>
                <c:pt idx="25">
                  <c:v>0.70806675766150373</c:v>
                </c:pt>
                <c:pt idx="26">
                  <c:v>0.71070858062030307</c:v>
                </c:pt>
                <c:pt idx="27">
                  <c:v>0.71325431571226428</c:v>
                </c:pt>
                <c:pt idx="28">
                  <c:v>0.71571070809905324</c:v>
                </c:pt>
                <c:pt idx="29">
                  <c:v>0.71808381671635091</c:v>
                </c:pt>
                <c:pt idx="30">
                  <c:v>0.72037910431396024</c:v>
                </c:pt>
                <c:pt idx="31">
                  <c:v>0.72260151319598087</c:v>
                </c:pt>
                <c:pt idx="32">
                  <c:v>0.72475552930265363</c:v>
                </c:pt>
                <c:pt idx="33">
                  <c:v>0.72684523672313128</c:v>
                </c:pt>
                <c:pt idx="34">
                  <c:v>0.728874364304259</c:v>
                </c:pt>
                <c:pt idx="35">
                  <c:v>0.73084632569192776</c:v>
                </c:pt>
                <c:pt idx="36">
                  <c:v>0.7327642538850957</c:v>
                </c:pt>
                <c:pt idx="37">
                  <c:v>0.73463103118084705</c:v>
                </c:pt>
                <c:pt idx="38">
                  <c:v>0.7364493152290752</c:v>
                </c:pt>
                <c:pt idx="39">
                  <c:v>0.73822156178797549</c:v>
                </c:pt>
                <c:pt idx="40">
                  <c:v>0.73995004466930159</c:v>
                </c:pt>
                <c:pt idx="41">
                  <c:v>0.74163687327983574</c:v>
                </c:pt>
                <c:pt idx="42">
                  <c:v>0.74328400809854944</c:v>
                </c:pt>
                <c:pt idx="43">
                  <c:v>0.74489327437427821</c:v>
                </c:pt>
                <c:pt idx="44">
                  <c:v>0.74646637428392237</c:v>
                </c:pt>
                <c:pt idx="45">
                  <c:v>0.74800489775423662</c:v>
                </c:pt>
                <c:pt idx="46">
                  <c:v>0.74951033211970408</c:v>
                </c:pt>
                <c:pt idx="47">
                  <c:v>0.75098407076355245</c:v>
                </c:pt>
                <c:pt idx="48">
                  <c:v>0.75242742086774383</c:v>
                </c:pt>
                <c:pt idx="49">
                  <c:v>0.75384161037997022</c:v>
                </c:pt>
                <c:pt idx="50">
                  <c:v>0.75522779429070286</c:v>
                </c:pt>
                <c:pt idx="51">
                  <c:v>0.75658706030069989</c:v>
                </c:pt>
                <c:pt idx="52">
                  <c:v>0.7579204339486485</c:v>
                </c:pt>
                <c:pt idx="53">
                  <c:v>0.75922888325949922</c:v>
                </c:pt>
                <c:pt idx="54">
                  <c:v>0.76051332296627305</c:v>
                </c:pt>
                <c:pt idx="55">
                  <c:v>0.76177461835146043</c:v>
                </c:pt>
                <c:pt idx="56">
                  <c:v>0.76301358874841851</c:v>
                </c:pt>
                <c:pt idx="57">
                  <c:v>0.76423101073824928</c:v>
                </c:pt>
                <c:pt idx="58">
                  <c:v>0.76542762107340034</c:v>
                </c:pt>
                <c:pt idx="59">
                  <c:v>0.76660411935554706</c:v>
                </c:pt>
                <c:pt idx="60">
                  <c:v>0.76776117049213188</c:v>
                </c:pt>
                <c:pt idx="61">
                  <c:v>0.76889940695315651</c:v>
                </c:pt>
                <c:pt idx="62">
                  <c:v>0.77001943084740732</c:v>
                </c:pt>
                <c:pt idx="63">
                  <c:v>0.77112181583517703</c:v>
                </c:pt>
                <c:pt idx="64">
                  <c:v>0.7722071088926945</c:v>
                </c:pt>
                <c:pt idx="65">
                  <c:v>0.77327583194184979</c:v>
                </c:pt>
                <c:pt idx="66">
                  <c:v>0.77432848335736759</c:v>
                </c:pt>
                <c:pt idx="67">
                  <c:v>0.77536553936232755</c:v>
                </c:pt>
                <c:pt idx="68">
                  <c:v>0.7763874553218082</c:v>
                </c:pt>
                <c:pt idx="69">
                  <c:v>0.77739466694345516</c:v>
                </c:pt>
                <c:pt idx="70">
                  <c:v>0.77838759139289215</c:v>
                </c:pt>
                <c:pt idx="71">
                  <c:v>0.7793666283311238</c:v>
                </c:pt>
                <c:pt idx="72">
                  <c:v>0.78033216088038737</c:v>
                </c:pt>
                <c:pt idx="73">
                  <c:v>0.78128455652429185</c:v>
                </c:pt>
                <c:pt idx="74">
                  <c:v>0.78222416794754168</c:v>
                </c:pt>
                <c:pt idx="75">
                  <c:v>0.78315133382004321</c:v>
                </c:pt>
                <c:pt idx="76">
                  <c:v>0.78406637952975788</c:v>
                </c:pt>
                <c:pt idx="77">
                  <c:v>0.78496961786827146</c:v>
                </c:pt>
                <c:pt idx="78">
                  <c:v>0.7858613496726915</c:v>
                </c:pt>
                <c:pt idx="79">
                  <c:v>0.78674186442717176</c:v>
                </c:pt>
                <c:pt idx="80">
                  <c:v>0.78761144082707069</c:v>
                </c:pt>
                <c:pt idx="81">
                  <c:v>0.78847034730849774</c:v>
                </c:pt>
                <c:pt idx="82">
                  <c:v>0.7893188425457619</c:v>
                </c:pt>
                <c:pt idx="83">
                  <c:v>0.79015717591903201</c:v>
                </c:pt>
                <c:pt idx="84">
                  <c:v>0.79098558795432217</c:v>
                </c:pt>
                <c:pt idx="85">
                  <c:v>0.79180431073774549</c:v>
                </c:pt>
                <c:pt idx="86">
                  <c:v>0.79261356830582086</c:v>
                </c:pt>
                <c:pt idx="87">
                  <c:v>0.79341357701347448</c:v>
                </c:pt>
                <c:pt idx="88">
                  <c:v>0.79420454588124978</c:v>
                </c:pt>
                <c:pt idx="89">
                  <c:v>0.79498667692311864</c:v>
                </c:pt>
                <c:pt idx="90">
                  <c:v>0.79576016545617945</c:v>
                </c:pt>
                <c:pt idx="91">
                  <c:v>0.79652520039343289</c:v>
                </c:pt>
                <c:pt idx="92">
                  <c:v>0.79728196452072797</c:v>
                </c:pt>
                <c:pt idx="93">
                  <c:v>0.79803063475890035</c:v>
                </c:pt>
                <c:pt idx="94">
                  <c:v>0.79877138241203793</c:v>
                </c:pt>
                <c:pt idx="95">
                  <c:v>0.79950437340274849</c:v>
                </c:pt>
                <c:pt idx="96">
                  <c:v>0.80022976849523686</c:v>
                </c:pt>
                <c:pt idx="97">
                  <c:v>0.8009477235069401</c:v>
                </c:pt>
                <c:pt idx="98">
                  <c:v>0.80165838950942137</c:v>
                </c:pt>
                <c:pt idx="99">
                  <c:v>0.80236191301916637</c:v>
                </c:pt>
              </c:numCache>
            </c:numRef>
          </c:yVal>
          <c:smooth val="1"/>
          <c:extLst>
            <c:ext xmlns:c16="http://schemas.microsoft.com/office/drawing/2014/chart" uri="{C3380CC4-5D6E-409C-BE32-E72D297353CC}">
              <c16:uniqueId val="{00000000-D025-4E9B-B8F2-27D69D3CF4AC}"/>
            </c:ext>
          </c:extLst>
        </c:ser>
        <c:dLbls>
          <c:showLegendKey val="0"/>
          <c:showVal val="0"/>
          <c:showCatName val="0"/>
          <c:showSerName val="0"/>
          <c:showPercent val="0"/>
          <c:showBubbleSize val="0"/>
        </c:dLbls>
        <c:axId val="523611536"/>
        <c:axId val="523607928"/>
      </c:scatterChart>
      <c:valAx>
        <c:axId val="523611536"/>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Wells</a:t>
                </a:r>
                <a:r>
                  <a:rPr lang="en-US" baseline="0"/>
                  <a:t> built</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3607928"/>
        <c:crosses val="autoZero"/>
        <c:crossBetween val="midCat"/>
      </c:valAx>
      <c:valAx>
        <c:axId val="52360792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Well Success</a:t>
                </a:r>
                <a:r>
                  <a:rPr lang="en-US" baseline="0"/>
                  <a:t> Rate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36115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Thermodynamics!$B$57</c:f>
              <c:strCache>
                <c:ptCount val="1"/>
                <c:pt idx="0">
                  <c:v>Actual pressure at wellhead (Pa)</c:v>
                </c:pt>
              </c:strCache>
            </c:strRef>
          </c:tx>
          <c:spPr>
            <a:ln w="28575" cap="rnd">
              <a:noFill/>
              <a:round/>
            </a:ln>
            <a:effectLst/>
          </c:spPr>
          <c:marker>
            <c:symbol val="circle"/>
            <c:size val="5"/>
            <c:spPr>
              <a:solidFill>
                <a:schemeClr val="accent1"/>
              </a:solidFill>
              <a:ln w="9525">
                <a:solidFill>
                  <a:schemeClr val="accent1"/>
                </a:solidFill>
              </a:ln>
              <a:effectLst/>
            </c:spPr>
          </c:marker>
          <c:xVal>
            <c:numRef>
              <c:f>Thermodynamics!$C$49:$AG$49</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Thermodynamics!$C$57:$AG$57</c:f>
              <c:numCache>
                <c:formatCode>0.00E+00</c:formatCode>
                <c:ptCount val="31"/>
                <c:pt idx="0">
                  <c:v>25000000</c:v>
                </c:pt>
                <c:pt idx="1">
                  <c:v>25000000</c:v>
                </c:pt>
                <c:pt idx="2">
                  <c:v>25000000</c:v>
                </c:pt>
                <c:pt idx="3">
                  <c:v>25000000</c:v>
                </c:pt>
                <c:pt idx="4">
                  <c:v>25000000</c:v>
                </c:pt>
                <c:pt idx="5">
                  <c:v>25000000</c:v>
                </c:pt>
                <c:pt idx="6">
                  <c:v>25000000</c:v>
                </c:pt>
                <c:pt idx="7">
                  <c:v>25000000</c:v>
                </c:pt>
                <c:pt idx="8">
                  <c:v>4831241.4095020434</c:v>
                </c:pt>
                <c:pt idx="9">
                  <c:v>-24398262.975602478</c:v>
                </c:pt>
                <c:pt idx="10">
                  <c:v>-5711655.1111908192</c:v>
                </c:pt>
                <c:pt idx="11">
                  <c:v>-3021685.6196794212</c:v>
                </c:pt>
                <c:pt idx="12">
                  <c:v>3725135.6826211666</c:v>
                </c:pt>
                <c:pt idx="13">
                  <c:v>-3021685.6196794212</c:v>
                </c:pt>
                <c:pt idx="14">
                  <c:v>3725135.6826211684</c:v>
                </c:pt>
                <c:pt idx="15">
                  <c:v>-3021685.6196794212</c:v>
                </c:pt>
                <c:pt idx="16">
                  <c:v>3725135.6826211666</c:v>
                </c:pt>
                <c:pt idx="17">
                  <c:v>-163070.70617470224</c:v>
                </c:pt>
                <c:pt idx="18">
                  <c:v>8726349.4901368953</c:v>
                </c:pt>
                <c:pt idx="19">
                  <c:v>5259122.9089173451</c:v>
                </c:pt>
                <c:pt idx="20">
                  <c:v>13245400.869613718</c:v>
                </c:pt>
                <c:pt idx="21">
                  <c:v>9717072.1378164683</c:v>
                </c:pt>
                <c:pt idx="22">
                  <c:v>15934186.781688597</c:v>
                </c:pt>
                <c:pt idx="23">
                  <c:v>12062444.167279037</c:v>
                </c:pt>
                <c:pt idx="24">
                  <c:v>17829372.136347584</c:v>
                </c:pt>
                <c:pt idx="25">
                  <c:v>14188820.287259016</c:v>
                </c:pt>
                <c:pt idx="26">
                  <c:v>18883116.862095051</c:v>
                </c:pt>
                <c:pt idx="27">
                  <c:v>14575551.940034159</c:v>
                </c:pt>
                <c:pt idx="28">
                  <c:v>18978301.470638432</c:v>
                </c:pt>
                <c:pt idx="29">
                  <c:v>14770802.641888902</c:v>
                </c:pt>
                <c:pt idx="30">
                  <c:v>18878118.284170326</c:v>
                </c:pt>
              </c:numCache>
            </c:numRef>
          </c:yVal>
          <c:smooth val="0"/>
          <c:extLst>
            <c:ext xmlns:c16="http://schemas.microsoft.com/office/drawing/2014/chart" uri="{C3380CC4-5D6E-409C-BE32-E72D297353CC}">
              <c16:uniqueId val="{00000000-CE36-4ACD-953F-2FB7687CD103}"/>
            </c:ext>
          </c:extLst>
        </c:ser>
        <c:dLbls>
          <c:showLegendKey val="0"/>
          <c:showVal val="0"/>
          <c:showCatName val="0"/>
          <c:showSerName val="0"/>
          <c:showPercent val="0"/>
          <c:showBubbleSize val="0"/>
        </c:dLbls>
        <c:axId val="476604224"/>
        <c:axId val="476604552"/>
      </c:scatterChart>
      <c:valAx>
        <c:axId val="4766042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604552"/>
        <c:crosses val="autoZero"/>
        <c:crossBetween val="midCat"/>
      </c:valAx>
      <c:valAx>
        <c:axId val="476604552"/>
        <c:scaling>
          <c:orientation val="minMax"/>
        </c:scaling>
        <c:delete val="0"/>
        <c:axPos val="l"/>
        <c:majorGridlines>
          <c:spPr>
            <a:ln w="9525" cap="flat" cmpd="sng" algn="ctr">
              <a:solidFill>
                <a:schemeClr val="tx1">
                  <a:lumMod val="15000"/>
                  <a:lumOff val="85000"/>
                </a:schemeClr>
              </a:solidFill>
              <a:round/>
            </a:ln>
            <a:effectLst/>
          </c:spPr>
        </c:majorGridlines>
        <c:numFmt formatCode="0.00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6042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Enthalpy for a liquid (based on pressure)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6"/>
            <c:dispRSqr val="0"/>
            <c:dispEq val="1"/>
            <c:trendlineLbl>
              <c:layout>
                <c:manualLayout>
                  <c:x val="7.1542463442069743E-2"/>
                  <c:y val="-6.2909738462528703E-2"/>
                </c:manualLayout>
              </c:layout>
              <c:numFmt formatCode="0.0000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'Steam Tables'!$C$12:$C$60</c:f>
              <c:numCache>
                <c:formatCode>0.0000000</c:formatCode>
                <c:ptCount val="49"/>
                <c:pt idx="0">
                  <c:v>6.1165000000000004E-4</c:v>
                </c:pt>
                <c:pt idx="1">
                  <c:v>8.7257999999999997E-4</c:v>
                </c:pt>
                <c:pt idx="2" formatCode="0.000000">
                  <c:v>1.2282E-3</c:v>
                </c:pt>
                <c:pt idx="3" formatCode="0.000000">
                  <c:v>1.7057999999999999E-3</c:v>
                </c:pt>
                <c:pt idx="4" formatCode="0.000000">
                  <c:v>2.3392999999999999E-3</c:v>
                </c:pt>
                <c:pt idx="5" formatCode="0.000000">
                  <c:v>3.1698999999999998E-3</c:v>
                </c:pt>
                <c:pt idx="6" formatCode="0.000000">
                  <c:v>4.2469999999999999E-3</c:v>
                </c:pt>
                <c:pt idx="7" formatCode="0.000000">
                  <c:v>5.6290000000000003E-3</c:v>
                </c:pt>
                <c:pt idx="8" formatCode="0.000000">
                  <c:v>7.3848999999999998E-3</c:v>
                </c:pt>
                <c:pt idx="9" formatCode="0.000000">
                  <c:v>9.5949999999999994E-3</c:v>
                </c:pt>
                <c:pt idx="10" formatCode="0.00000">
                  <c:v>1.2352E-2</c:v>
                </c:pt>
                <c:pt idx="11" formatCode="0.00000">
                  <c:v>1.5762000000000002E-2</c:v>
                </c:pt>
                <c:pt idx="12" formatCode="0.00000">
                  <c:v>1.9945999999999998E-2</c:v>
                </c:pt>
                <c:pt idx="13" formatCode="0.00000">
                  <c:v>2.5041999999999998E-2</c:v>
                </c:pt>
                <c:pt idx="14" formatCode="0.00000">
                  <c:v>3.1201E-2</c:v>
                </c:pt>
                <c:pt idx="15" formatCode="0.00000">
                  <c:v>3.8594999999999997E-2</c:v>
                </c:pt>
                <c:pt idx="16" formatCode="0.00000">
                  <c:v>4.7413999999999998E-2</c:v>
                </c:pt>
                <c:pt idx="17" formatCode="0.00000">
                  <c:v>5.7867000000000002E-2</c:v>
                </c:pt>
                <c:pt idx="18" formatCode="0.00000">
                  <c:v>7.0181999999999994E-2</c:v>
                </c:pt>
                <c:pt idx="19" formatCode="0.00000">
                  <c:v>8.4608000000000003E-2</c:v>
                </c:pt>
                <c:pt idx="20" formatCode="0.0000">
                  <c:v>0.10142</c:v>
                </c:pt>
                <c:pt idx="21" formatCode="0.0000">
                  <c:v>0.14338000000000001</c:v>
                </c:pt>
                <c:pt idx="22" formatCode="0.0000">
                  <c:v>0.19867000000000001</c:v>
                </c:pt>
                <c:pt idx="23" formatCode="0.0000">
                  <c:v>0.27028000000000002</c:v>
                </c:pt>
                <c:pt idx="24" formatCode="0.0000">
                  <c:v>0.36153999999999997</c:v>
                </c:pt>
                <c:pt idx="25" formatCode="0.0000">
                  <c:v>0.47616000000000003</c:v>
                </c:pt>
                <c:pt idx="26" formatCode="0.0000">
                  <c:v>0.61822999999999995</c:v>
                </c:pt>
                <c:pt idx="27" formatCode="0.0000">
                  <c:v>0.79218999999999995</c:v>
                </c:pt>
                <c:pt idx="28" formatCode="0.0000">
                  <c:v>1.0027999999999999</c:v>
                </c:pt>
                <c:pt idx="29" formatCode="0.0000">
                  <c:v>1.2552000000000001</c:v>
                </c:pt>
                <c:pt idx="30" formatCode="0.0000">
                  <c:v>1.5548999999999999</c:v>
                </c:pt>
                <c:pt idx="31" formatCode="0.0000">
                  <c:v>1.9077</c:v>
                </c:pt>
                <c:pt idx="32" formatCode="0.0000">
                  <c:v>2.3195999999999999</c:v>
                </c:pt>
                <c:pt idx="33" formatCode="0.0000">
                  <c:v>2.7970999999999999</c:v>
                </c:pt>
                <c:pt idx="34" formatCode="0.0000">
                  <c:v>3.3469000000000002</c:v>
                </c:pt>
                <c:pt idx="35" formatCode="0.0000">
                  <c:v>3.9762</c:v>
                </c:pt>
                <c:pt idx="36" formatCode="0.0000">
                  <c:v>4.6923000000000004</c:v>
                </c:pt>
                <c:pt idx="37" formatCode="0.0000">
                  <c:v>5.5030000000000001</c:v>
                </c:pt>
                <c:pt idx="38" formatCode="0.0000">
                  <c:v>6.4165999999999999</c:v>
                </c:pt>
                <c:pt idx="39" formatCode="0.0000">
                  <c:v>7.4417999999999997</c:v>
                </c:pt>
                <c:pt idx="40" formatCode="0.0000">
                  <c:v>8.5878999999999994</c:v>
                </c:pt>
                <c:pt idx="41" formatCode="0.0000">
                  <c:v>9.8651</c:v>
                </c:pt>
                <c:pt idx="42" formatCode="General">
                  <c:v>11.284000000000001</c:v>
                </c:pt>
                <c:pt idx="43" formatCode="General">
                  <c:v>12.858000000000001</c:v>
                </c:pt>
                <c:pt idx="44" formatCode="General">
                  <c:v>14.601000000000001</c:v>
                </c:pt>
                <c:pt idx="45" formatCode="General">
                  <c:v>16.529</c:v>
                </c:pt>
                <c:pt idx="46" formatCode="General">
                  <c:v>18.666</c:v>
                </c:pt>
                <c:pt idx="47" formatCode="General">
                  <c:v>21.044</c:v>
                </c:pt>
                <c:pt idx="48" formatCode="General">
                  <c:v>22.064</c:v>
                </c:pt>
              </c:numCache>
            </c:numRef>
          </c:xVal>
          <c:yVal>
            <c:numRef>
              <c:f>'Steam Tables'!$H$12:$H$60</c:f>
              <c:numCache>
                <c:formatCode>0.00</c:formatCode>
                <c:ptCount val="49"/>
                <c:pt idx="0">
                  <c:v>1E-3</c:v>
                </c:pt>
                <c:pt idx="1">
                  <c:v>21.02</c:v>
                </c:pt>
                <c:pt idx="2">
                  <c:v>42.021000000000001</c:v>
                </c:pt>
                <c:pt idx="3">
                  <c:v>62.981000000000002</c:v>
                </c:pt>
                <c:pt idx="4">
                  <c:v>83.914000000000001</c:v>
                </c:pt>
                <c:pt idx="5">
                  <c:v>104.83</c:v>
                </c:pt>
                <c:pt idx="6">
                  <c:v>125.73</c:v>
                </c:pt>
                <c:pt idx="7">
                  <c:v>146.63</c:v>
                </c:pt>
                <c:pt idx="8">
                  <c:v>167.53</c:v>
                </c:pt>
                <c:pt idx="9">
                  <c:v>188.43</c:v>
                </c:pt>
                <c:pt idx="10">
                  <c:v>209.34</c:v>
                </c:pt>
                <c:pt idx="11">
                  <c:v>230.26</c:v>
                </c:pt>
                <c:pt idx="12">
                  <c:v>251.18</c:v>
                </c:pt>
                <c:pt idx="13">
                  <c:v>272.12</c:v>
                </c:pt>
                <c:pt idx="14">
                  <c:v>293.07</c:v>
                </c:pt>
                <c:pt idx="15">
                  <c:v>314.02999999999997</c:v>
                </c:pt>
                <c:pt idx="16">
                  <c:v>335.01</c:v>
                </c:pt>
                <c:pt idx="17">
                  <c:v>356.01</c:v>
                </c:pt>
                <c:pt idx="18">
                  <c:v>377.04</c:v>
                </c:pt>
                <c:pt idx="19">
                  <c:v>398.09</c:v>
                </c:pt>
                <c:pt idx="20">
                  <c:v>419.17</c:v>
                </c:pt>
                <c:pt idx="21">
                  <c:v>461.42</c:v>
                </c:pt>
                <c:pt idx="22">
                  <c:v>503.81</c:v>
                </c:pt>
                <c:pt idx="23">
                  <c:v>546.38</c:v>
                </c:pt>
                <c:pt idx="24">
                  <c:v>589.16</c:v>
                </c:pt>
                <c:pt idx="25">
                  <c:v>632.17999999999995</c:v>
                </c:pt>
                <c:pt idx="26">
                  <c:v>675.47</c:v>
                </c:pt>
                <c:pt idx="27">
                  <c:v>719.08</c:v>
                </c:pt>
                <c:pt idx="28">
                  <c:v>763.05</c:v>
                </c:pt>
                <c:pt idx="29">
                  <c:v>807.43</c:v>
                </c:pt>
                <c:pt idx="30">
                  <c:v>852.27</c:v>
                </c:pt>
                <c:pt idx="31">
                  <c:v>897.63</c:v>
                </c:pt>
                <c:pt idx="32">
                  <c:v>943.58</c:v>
                </c:pt>
                <c:pt idx="33">
                  <c:v>990.19</c:v>
                </c:pt>
                <c:pt idx="34">
                  <c:v>1037.5999999999999</c:v>
                </c:pt>
                <c:pt idx="35">
                  <c:v>1085.8</c:v>
                </c:pt>
                <c:pt idx="36">
                  <c:v>1135</c:v>
                </c:pt>
                <c:pt idx="37">
                  <c:v>1185.3</c:v>
                </c:pt>
                <c:pt idx="38">
                  <c:v>1236.9000000000001</c:v>
                </c:pt>
                <c:pt idx="39">
                  <c:v>1290</c:v>
                </c:pt>
                <c:pt idx="40">
                  <c:v>1345</c:v>
                </c:pt>
                <c:pt idx="41">
                  <c:v>1402.2</c:v>
                </c:pt>
                <c:pt idx="42">
                  <c:v>1462.2</c:v>
                </c:pt>
                <c:pt idx="43">
                  <c:v>1525.9</c:v>
                </c:pt>
                <c:pt idx="44">
                  <c:v>1594.5</c:v>
                </c:pt>
                <c:pt idx="45">
                  <c:v>1670.9</c:v>
                </c:pt>
                <c:pt idx="46">
                  <c:v>1761.7</c:v>
                </c:pt>
                <c:pt idx="47">
                  <c:v>1890.7</c:v>
                </c:pt>
                <c:pt idx="48">
                  <c:v>2084.3000000000002</c:v>
                </c:pt>
              </c:numCache>
            </c:numRef>
          </c:yVal>
          <c:smooth val="0"/>
          <c:extLst>
            <c:ext xmlns:c16="http://schemas.microsoft.com/office/drawing/2014/chart" uri="{C3380CC4-5D6E-409C-BE32-E72D297353CC}">
              <c16:uniqueId val="{00000001-2116-4459-A048-E223AC730729}"/>
            </c:ext>
          </c:extLst>
        </c:ser>
        <c:dLbls>
          <c:showLegendKey val="0"/>
          <c:showVal val="0"/>
          <c:showCatName val="0"/>
          <c:showSerName val="0"/>
          <c:showPercent val="0"/>
          <c:showBubbleSize val="0"/>
        </c:dLbls>
        <c:axId val="547887880"/>
        <c:axId val="547888208"/>
      </c:scatterChart>
      <c:valAx>
        <c:axId val="5478878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Pressure (MPa)</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7888208"/>
        <c:crosses val="autoZero"/>
        <c:crossBetween val="midCat"/>
      </c:valAx>
      <c:valAx>
        <c:axId val="547888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Enthalpy of Fluid (kJ/kg)</a:t>
                </a:r>
              </a:p>
            </c:rich>
          </c:tx>
          <c:layout>
            <c:manualLayout>
              <c:xMode val="edge"/>
              <c:yMode val="edge"/>
              <c:x val="1.9736842105263157E-2"/>
              <c:y val="0.2990400995515887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78878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Enthalpy for a gas (based on pressure)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6"/>
            <c:dispRSqr val="0"/>
            <c:dispEq val="1"/>
            <c:trendlineLbl>
              <c:layout>
                <c:manualLayout>
                  <c:x val="0.10038276465441819"/>
                  <c:y val="0.11487309317942887"/>
                </c:manualLayout>
              </c:layout>
              <c:numFmt formatCode="0.0000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'Steam Tables'!$C$12:$C$60</c:f>
              <c:numCache>
                <c:formatCode>0.0000000</c:formatCode>
                <c:ptCount val="49"/>
                <c:pt idx="0">
                  <c:v>6.1165000000000004E-4</c:v>
                </c:pt>
                <c:pt idx="1">
                  <c:v>8.7257999999999997E-4</c:v>
                </c:pt>
                <c:pt idx="2" formatCode="0.000000">
                  <c:v>1.2282E-3</c:v>
                </c:pt>
                <c:pt idx="3" formatCode="0.000000">
                  <c:v>1.7057999999999999E-3</c:v>
                </c:pt>
                <c:pt idx="4" formatCode="0.000000">
                  <c:v>2.3392999999999999E-3</c:v>
                </c:pt>
                <c:pt idx="5" formatCode="0.000000">
                  <c:v>3.1698999999999998E-3</c:v>
                </c:pt>
                <c:pt idx="6" formatCode="0.000000">
                  <c:v>4.2469999999999999E-3</c:v>
                </c:pt>
                <c:pt idx="7" formatCode="0.000000">
                  <c:v>5.6290000000000003E-3</c:v>
                </c:pt>
                <c:pt idx="8" formatCode="0.000000">
                  <c:v>7.3848999999999998E-3</c:v>
                </c:pt>
                <c:pt idx="9" formatCode="0.000000">
                  <c:v>9.5949999999999994E-3</c:v>
                </c:pt>
                <c:pt idx="10" formatCode="0.00000">
                  <c:v>1.2352E-2</c:v>
                </c:pt>
                <c:pt idx="11" formatCode="0.00000">
                  <c:v>1.5762000000000002E-2</c:v>
                </c:pt>
                <c:pt idx="12" formatCode="0.00000">
                  <c:v>1.9945999999999998E-2</c:v>
                </c:pt>
                <c:pt idx="13" formatCode="0.00000">
                  <c:v>2.5041999999999998E-2</c:v>
                </c:pt>
                <c:pt idx="14" formatCode="0.00000">
                  <c:v>3.1201E-2</c:v>
                </c:pt>
                <c:pt idx="15" formatCode="0.00000">
                  <c:v>3.8594999999999997E-2</c:v>
                </c:pt>
                <c:pt idx="16" formatCode="0.00000">
                  <c:v>4.7413999999999998E-2</c:v>
                </c:pt>
                <c:pt idx="17" formatCode="0.00000">
                  <c:v>5.7867000000000002E-2</c:v>
                </c:pt>
                <c:pt idx="18" formatCode="0.00000">
                  <c:v>7.0181999999999994E-2</c:v>
                </c:pt>
                <c:pt idx="19" formatCode="0.00000">
                  <c:v>8.4608000000000003E-2</c:v>
                </c:pt>
                <c:pt idx="20" formatCode="0.0000">
                  <c:v>0.10142</c:v>
                </c:pt>
                <c:pt idx="21" formatCode="0.0000">
                  <c:v>0.14338000000000001</c:v>
                </c:pt>
                <c:pt idx="22" formatCode="0.0000">
                  <c:v>0.19867000000000001</c:v>
                </c:pt>
                <c:pt idx="23" formatCode="0.0000">
                  <c:v>0.27028000000000002</c:v>
                </c:pt>
                <c:pt idx="24" formatCode="0.0000">
                  <c:v>0.36153999999999997</c:v>
                </c:pt>
                <c:pt idx="25" formatCode="0.0000">
                  <c:v>0.47616000000000003</c:v>
                </c:pt>
                <c:pt idx="26" formatCode="0.0000">
                  <c:v>0.61822999999999995</c:v>
                </c:pt>
                <c:pt idx="27" formatCode="0.0000">
                  <c:v>0.79218999999999995</c:v>
                </c:pt>
                <c:pt idx="28" formatCode="0.0000">
                  <c:v>1.0027999999999999</c:v>
                </c:pt>
                <c:pt idx="29" formatCode="0.0000">
                  <c:v>1.2552000000000001</c:v>
                </c:pt>
                <c:pt idx="30" formatCode="0.0000">
                  <c:v>1.5548999999999999</c:v>
                </c:pt>
                <c:pt idx="31" formatCode="0.0000">
                  <c:v>1.9077</c:v>
                </c:pt>
                <c:pt idx="32" formatCode="0.0000">
                  <c:v>2.3195999999999999</c:v>
                </c:pt>
                <c:pt idx="33" formatCode="0.0000">
                  <c:v>2.7970999999999999</c:v>
                </c:pt>
                <c:pt idx="34" formatCode="0.0000">
                  <c:v>3.3469000000000002</c:v>
                </c:pt>
                <c:pt idx="35" formatCode="0.0000">
                  <c:v>3.9762</c:v>
                </c:pt>
                <c:pt idx="36" formatCode="0.0000">
                  <c:v>4.6923000000000004</c:v>
                </c:pt>
                <c:pt idx="37" formatCode="0.0000">
                  <c:v>5.5030000000000001</c:v>
                </c:pt>
                <c:pt idx="38" formatCode="0.0000">
                  <c:v>6.4165999999999999</c:v>
                </c:pt>
                <c:pt idx="39" formatCode="0.0000">
                  <c:v>7.4417999999999997</c:v>
                </c:pt>
                <c:pt idx="40" formatCode="0.0000">
                  <c:v>8.5878999999999994</c:v>
                </c:pt>
                <c:pt idx="41" formatCode="0.0000">
                  <c:v>9.8651</c:v>
                </c:pt>
                <c:pt idx="42" formatCode="General">
                  <c:v>11.284000000000001</c:v>
                </c:pt>
                <c:pt idx="43" formatCode="General">
                  <c:v>12.858000000000001</c:v>
                </c:pt>
                <c:pt idx="44" formatCode="General">
                  <c:v>14.601000000000001</c:v>
                </c:pt>
                <c:pt idx="45" formatCode="General">
                  <c:v>16.529</c:v>
                </c:pt>
                <c:pt idx="46" formatCode="General">
                  <c:v>18.666</c:v>
                </c:pt>
                <c:pt idx="47" formatCode="General">
                  <c:v>21.044</c:v>
                </c:pt>
                <c:pt idx="48" formatCode="General">
                  <c:v>22.064</c:v>
                </c:pt>
              </c:numCache>
            </c:numRef>
          </c:xVal>
          <c:yVal>
            <c:numRef>
              <c:f>'Steam Tables'!$J$12:$J$60</c:f>
              <c:numCache>
                <c:formatCode>0.0</c:formatCode>
                <c:ptCount val="49"/>
                <c:pt idx="0">
                  <c:v>2500.9</c:v>
                </c:pt>
                <c:pt idx="1">
                  <c:v>2510.1</c:v>
                </c:pt>
                <c:pt idx="2">
                  <c:v>2519.1999999999998</c:v>
                </c:pt>
                <c:pt idx="3">
                  <c:v>2528.3000000000002</c:v>
                </c:pt>
                <c:pt idx="4">
                  <c:v>2537.4</c:v>
                </c:pt>
                <c:pt idx="5">
                  <c:v>2546.5</c:v>
                </c:pt>
                <c:pt idx="6">
                  <c:v>2555.5</c:v>
                </c:pt>
                <c:pt idx="7">
                  <c:v>2564.5</c:v>
                </c:pt>
                <c:pt idx="8">
                  <c:v>2573.5</c:v>
                </c:pt>
                <c:pt idx="9">
                  <c:v>2582.4</c:v>
                </c:pt>
                <c:pt idx="10">
                  <c:v>2591.3000000000002</c:v>
                </c:pt>
                <c:pt idx="11">
                  <c:v>2600.1</c:v>
                </c:pt>
                <c:pt idx="12">
                  <c:v>2608.8000000000002</c:v>
                </c:pt>
                <c:pt idx="13">
                  <c:v>2617.5</c:v>
                </c:pt>
                <c:pt idx="14">
                  <c:v>2626.1</c:v>
                </c:pt>
                <c:pt idx="15">
                  <c:v>2634.6</c:v>
                </c:pt>
                <c:pt idx="16">
                  <c:v>2643</c:v>
                </c:pt>
                <c:pt idx="17">
                  <c:v>2651.3</c:v>
                </c:pt>
                <c:pt idx="18">
                  <c:v>2659.5</c:v>
                </c:pt>
                <c:pt idx="19">
                  <c:v>2667.6</c:v>
                </c:pt>
                <c:pt idx="20">
                  <c:v>2675.6</c:v>
                </c:pt>
                <c:pt idx="21">
                  <c:v>2691.1</c:v>
                </c:pt>
                <c:pt idx="22">
                  <c:v>2705.9</c:v>
                </c:pt>
                <c:pt idx="23">
                  <c:v>2720.1</c:v>
                </c:pt>
                <c:pt idx="24">
                  <c:v>2733.4</c:v>
                </c:pt>
                <c:pt idx="25">
                  <c:v>2745.9</c:v>
                </c:pt>
                <c:pt idx="26">
                  <c:v>2757.4</c:v>
                </c:pt>
                <c:pt idx="27">
                  <c:v>2767.9</c:v>
                </c:pt>
                <c:pt idx="28">
                  <c:v>2777.2</c:v>
                </c:pt>
                <c:pt idx="29">
                  <c:v>2785.3</c:v>
                </c:pt>
                <c:pt idx="30">
                  <c:v>2792</c:v>
                </c:pt>
                <c:pt idx="31">
                  <c:v>2797.3</c:v>
                </c:pt>
                <c:pt idx="32">
                  <c:v>2800.9</c:v>
                </c:pt>
                <c:pt idx="33">
                  <c:v>2802.9</c:v>
                </c:pt>
                <c:pt idx="34">
                  <c:v>2803</c:v>
                </c:pt>
                <c:pt idx="35">
                  <c:v>2800.9</c:v>
                </c:pt>
                <c:pt idx="36">
                  <c:v>2796.6</c:v>
                </c:pt>
                <c:pt idx="37">
                  <c:v>2789.7</c:v>
                </c:pt>
                <c:pt idx="38">
                  <c:v>2779.9</c:v>
                </c:pt>
                <c:pt idx="39">
                  <c:v>2766.7</c:v>
                </c:pt>
                <c:pt idx="40">
                  <c:v>2749.6</c:v>
                </c:pt>
                <c:pt idx="41">
                  <c:v>2727.9</c:v>
                </c:pt>
                <c:pt idx="42">
                  <c:v>2700.6</c:v>
                </c:pt>
                <c:pt idx="43">
                  <c:v>2666</c:v>
                </c:pt>
                <c:pt idx="44">
                  <c:v>2621.8</c:v>
                </c:pt>
                <c:pt idx="45">
                  <c:v>2563.6</c:v>
                </c:pt>
                <c:pt idx="46">
                  <c:v>2481.5</c:v>
                </c:pt>
                <c:pt idx="47">
                  <c:v>2334.5</c:v>
                </c:pt>
                <c:pt idx="48">
                  <c:v>2084.3000000000002</c:v>
                </c:pt>
              </c:numCache>
            </c:numRef>
          </c:yVal>
          <c:smooth val="0"/>
          <c:extLst>
            <c:ext xmlns:c16="http://schemas.microsoft.com/office/drawing/2014/chart" uri="{C3380CC4-5D6E-409C-BE32-E72D297353CC}">
              <c16:uniqueId val="{00000001-029F-461B-828C-AE0726EBB924}"/>
            </c:ext>
          </c:extLst>
        </c:ser>
        <c:dLbls>
          <c:showLegendKey val="0"/>
          <c:showVal val="0"/>
          <c:showCatName val="0"/>
          <c:showSerName val="0"/>
          <c:showPercent val="0"/>
          <c:showBubbleSize val="0"/>
        </c:dLbls>
        <c:axId val="547887880"/>
        <c:axId val="547888208"/>
      </c:scatterChart>
      <c:valAx>
        <c:axId val="5478878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Pressure (MPa)</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7888208"/>
        <c:crosses val="autoZero"/>
        <c:crossBetween val="midCat"/>
      </c:valAx>
      <c:valAx>
        <c:axId val="547888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Enthalpy of Vapor (kJ/kg)</a:t>
                </a:r>
              </a:p>
            </c:rich>
          </c:tx>
          <c:layout>
            <c:manualLayout>
              <c:xMode val="edge"/>
              <c:yMode val="edge"/>
              <c:x val="1.9736842105263157E-2"/>
              <c:y val="0.2990400995515887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78878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r>
              <a:rPr lang="en-US" sz="2400" b="1"/>
              <a:t>Drilling / workover</a:t>
            </a:r>
            <a:r>
              <a:rPr lang="en-US" sz="2400" b="1" baseline="0"/>
              <a:t> rig schedule</a:t>
            </a:r>
            <a:endParaRPr lang="en-US" sz="2400" b="1"/>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775833333333327E-2"/>
          <c:y val="0.12662370370370374"/>
          <c:w val="0.74484120370370377"/>
          <c:h val="0.69185611111111123"/>
        </c:manualLayout>
      </c:layout>
      <c:barChart>
        <c:barDir val="col"/>
        <c:grouping val="stacked"/>
        <c:varyColors val="0"/>
        <c:ser>
          <c:idx val="5"/>
          <c:order val="1"/>
          <c:tx>
            <c:v>Inj. well workover + stim.</c:v>
          </c:tx>
          <c:spPr>
            <a:pattFill prst="dkUpDiag">
              <a:fgClr>
                <a:schemeClr val="accent6"/>
              </a:fgClr>
              <a:bgClr>
                <a:schemeClr val="bg1"/>
              </a:bgClr>
            </a:pattFill>
            <a:ln w="19050">
              <a:solidFill>
                <a:schemeClr val="accent6"/>
              </a:solidFill>
            </a:ln>
            <a:effectLst/>
          </c:spPr>
          <c:invertIfNegative val="0"/>
          <c:cat>
            <c:numRef>
              <c:f>Cashflow!$C$134:$AG$134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cat>
          <c:val>
            <c:numRef>
              <c:f>'Well Opex'!$C$83:$AG$83</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1</c:v>
                </c:pt>
                <c:pt idx="13">
                  <c:v>2</c:v>
                </c:pt>
                <c:pt idx="14">
                  <c:v>1</c:v>
                </c:pt>
                <c:pt idx="15">
                  <c:v>2</c:v>
                </c:pt>
                <c:pt idx="16">
                  <c:v>1</c:v>
                </c:pt>
                <c:pt idx="17">
                  <c:v>2</c:v>
                </c:pt>
                <c:pt idx="18">
                  <c:v>1</c:v>
                </c:pt>
                <c:pt idx="19">
                  <c:v>2</c:v>
                </c:pt>
                <c:pt idx="20">
                  <c:v>1</c:v>
                </c:pt>
                <c:pt idx="21">
                  <c:v>2</c:v>
                </c:pt>
                <c:pt idx="22">
                  <c:v>1</c:v>
                </c:pt>
                <c:pt idx="23">
                  <c:v>2</c:v>
                </c:pt>
                <c:pt idx="24">
                  <c:v>1</c:v>
                </c:pt>
                <c:pt idx="25">
                  <c:v>2</c:v>
                </c:pt>
                <c:pt idx="26">
                  <c:v>1</c:v>
                </c:pt>
                <c:pt idx="27">
                  <c:v>2</c:v>
                </c:pt>
                <c:pt idx="28">
                  <c:v>1</c:v>
                </c:pt>
                <c:pt idx="29">
                  <c:v>2</c:v>
                </c:pt>
                <c:pt idx="30">
                  <c:v>1</c:v>
                </c:pt>
              </c:numCache>
            </c:numRef>
          </c:val>
          <c:extLst>
            <c:ext xmlns:c16="http://schemas.microsoft.com/office/drawing/2014/chart" uri="{C3380CC4-5D6E-409C-BE32-E72D297353CC}">
              <c16:uniqueId val="{00000007-55A3-4672-8D79-7C4489796312}"/>
            </c:ext>
          </c:extLst>
        </c:ser>
        <c:ser>
          <c:idx val="4"/>
          <c:order val="2"/>
          <c:tx>
            <c:v>Prod. well workover + stim.</c:v>
          </c:tx>
          <c:spPr>
            <a:pattFill prst="dkUpDiag">
              <a:fgClr>
                <a:schemeClr val="accent5"/>
              </a:fgClr>
              <a:bgClr>
                <a:schemeClr val="bg1"/>
              </a:bgClr>
            </a:pattFill>
            <a:ln w="19050">
              <a:solidFill>
                <a:schemeClr val="accent5"/>
              </a:solidFill>
            </a:ln>
            <a:effectLst/>
          </c:spPr>
          <c:invertIfNegative val="0"/>
          <c:cat>
            <c:numRef>
              <c:f>Cashflow!$C$134:$AG$134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cat>
          <c:val>
            <c:numRef>
              <c:f>'Well Opex'!$C$45:$AG$45</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2</c:v>
                </c:pt>
                <c:pt idx="16">
                  <c:v>1</c:v>
                </c:pt>
                <c:pt idx="17">
                  <c:v>2</c:v>
                </c:pt>
                <c:pt idx="18">
                  <c:v>1</c:v>
                </c:pt>
                <c:pt idx="19">
                  <c:v>2</c:v>
                </c:pt>
                <c:pt idx="20">
                  <c:v>0</c:v>
                </c:pt>
                <c:pt idx="21">
                  <c:v>0</c:v>
                </c:pt>
                <c:pt idx="22">
                  <c:v>1</c:v>
                </c:pt>
                <c:pt idx="23">
                  <c:v>2</c:v>
                </c:pt>
                <c:pt idx="24">
                  <c:v>1</c:v>
                </c:pt>
                <c:pt idx="25">
                  <c:v>2</c:v>
                </c:pt>
                <c:pt idx="26">
                  <c:v>1</c:v>
                </c:pt>
                <c:pt idx="27">
                  <c:v>2</c:v>
                </c:pt>
                <c:pt idx="28">
                  <c:v>0</c:v>
                </c:pt>
                <c:pt idx="29">
                  <c:v>0</c:v>
                </c:pt>
                <c:pt idx="30">
                  <c:v>1</c:v>
                </c:pt>
              </c:numCache>
            </c:numRef>
          </c:val>
          <c:extLst>
            <c:ext xmlns:c16="http://schemas.microsoft.com/office/drawing/2014/chart" uri="{C3380CC4-5D6E-409C-BE32-E72D297353CC}">
              <c16:uniqueId val="{00000006-55A3-4672-8D79-7C4489796312}"/>
            </c:ext>
          </c:extLst>
        </c:ser>
        <c:ser>
          <c:idx val="3"/>
          <c:order val="3"/>
          <c:tx>
            <c:v>Injection well drilled</c:v>
          </c:tx>
          <c:spPr>
            <a:solidFill>
              <a:schemeClr val="accent4"/>
            </a:solidFill>
            <a:ln w="19050">
              <a:solidFill>
                <a:schemeClr val="accent4"/>
              </a:solidFill>
            </a:ln>
            <a:effectLst/>
          </c:spPr>
          <c:invertIfNegative val="0"/>
          <c:cat>
            <c:numRef>
              <c:f>Cashflow!$C$134:$AG$134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cat>
          <c:val>
            <c:numRef>
              <c:f>Cashflow!$C$156:$AG$156</c:f>
              <c:numCache>
                <c:formatCode>0</c:formatCode>
                <c:ptCount val="31"/>
                <c:pt idx="0">
                  <c:v>0</c:v>
                </c:pt>
                <c:pt idx="1">
                  <c:v>0</c:v>
                </c:pt>
                <c:pt idx="2">
                  <c:v>0</c:v>
                </c:pt>
                <c:pt idx="3">
                  <c:v>0</c:v>
                </c:pt>
                <c:pt idx="4">
                  <c:v>0</c:v>
                </c:pt>
                <c:pt idx="5">
                  <c:v>0</c:v>
                </c:pt>
                <c:pt idx="6">
                  <c:v>0</c:v>
                </c:pt>
                <c:pt idx="7">
                  <c:v>1</c:v>
                </c:pt>
                <c:pt idx="8">
                  <c:v>1</c:v>
                </c:pt>
                <c:pt idx="9">
                  <c:v>2</c:v>
                </c:pt>
                <c:pt idx="10">
                  <c:v>1</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5-55A3-4672-8D79-7C4489796312}"/>
            </c:ext>
          </c:extLst>
        </c:ser>
        <c:ser>
          <c:idx val="2"/>
          <c:order val="4"/>
          <c:tx>
            <c:v>Development well success</c:v>
          </c:tx>
          <c:spPr>
            <a:solidFill>
              <a:schemeClr val="accent3"/>
            </a:solidFill>
            <a:ln w="19050">
              <a:solidFill>
                <a:schemeClr val="accent3"/>
              </a:solidFill>
            </a:ln>
            <a:effectLst/>
          </c:spPr>
          <c:invertIfNegative val="0"/>
          <c:cat>
            <c:numRef>
              <c:f>Cashflow!$C$134:$AG$134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cat>
          <c:val>
            <c:numRef>
              <c:f>Cashflow!$C$149:$AG$149</c:f>
              <c:numCache>
                <c:formatCode>0</c:formatCode>
                <c:ptCount val="31"/>
                <c:pt idx="0">
                  <c:v>0</c:v>
                </c:pt>
                <c:pt idx="1">
                  <c:v>0</c:v>
                </c:pt>
                <c:pt idx="2">
                  <c:v>0</c:v>
                </c:pt>
                <c:pt idx="3">
                  <c:v>0</c:v>
                </c:pt>
                <c:pt idx="4">
                  <c:v>0</c:v>
                </c:pt>
                <c:pt idx="5">
                  <c:v>0</c:v>
                </c:pt>
                <c:pt idx="6">
                  <c:v>1</c:v>
                </c:pt>
                <c:pt idx="7">
                  <c:v>2</c:v>
                </c:pt>
                <c:pt idx="8">
                  <c:v>1</c:v>
                </c:pt>
                <c:pt idx="9">
                  <c:v>2</c:v>
                </c:pt>
                <c:pt idx="10">
                  <c:v>1</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55A3-4672-8D79-7C4489796312}"/>
            </c:ext>
          </c:extLst>
        </c:ser>
        <c:ser>
          <c:idx val="8"/>
          <c:order val="5"/>
          <c:tx>
            <c:v>Development well failure</c:v>
          </c:tx>
          <c:spPr>
            <a:noFill/>
            <a:ln w="19050">
              <a:solidFill>
                <a:schemeClr val="accent3"/>
              </a:solidFill>
            </a:ln>
            <a:effectLst/>
          </c:spPr>
          <c:invertIfNegative val="0"/>
          <c:cat>
            <c:numRef>
              <c:f>Cashflow!$C$134:$AG$134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cat>
          <c:val>
            <c:numRef>
              <c:f>Cashflow!$C$151:$AG$151</c:f>
              <c:numCache>
                <c:formatCode>0</c:formatCode>
                <c:ptCount val="31"/>
                <c:pt idx="0">
                  <c:v>0</c:v>
                </c:pt>
                <c:pt idx="1">
                  <c:v>0</c:v>
                </c:pt>
                <c:pt idx="2">
                  <c:v>0</c:v>
                </c:pt>
                <c:pt idx="3">
                  <c:v>0</c:v>
                </c:pt>
                <c:pt idx="4">
                  <c:v>0</c:v>
                </c:pt>
                <c:pt idx="5">
                  <c:v>0</c:v>
                </c:pt>
                <c:pt idx="6">
                  <c:v>0</c:v>
                </c:pt>
                <c:pt idx="7">
                  <c:v>0</c:v>
                </c:pt>
                <c:pt idx="8">
                  <c:v>1</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A-55A3-4672-8D79-7C4489796312}"/>
            </c:ext>
          </c:extLst>
        </c:ser>
        <c:ser>
          <c:idx val="1"/>
          <c:order val="6"/>
          <c:tx>
            <c:v>Appraisal well success</c:v>
          </c:tx>
          <c:spPr>
            <a:solidFill>
              <a:schemeClr val="accent2"/>
            </a:solidFill>
            <a:ln w="19050">
              <a:solidFill>
                <a:schemeClr val="accent2"/>
              </a:solidFill>
            </a:ln>
            <a:effectLst/>
          </c:spPr>
          <c:invertIfNegative val="0"/>
          <c:cat>
            <c:numRef>
              <c:f>Cashflow!$C$134:$AG$134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cat>
          <c:val>
            <c:numRef>
              <c:f>Cashflow!$C$143:$AG$143</c:f>
              <c:numCache>
                <c:formatCode>0</c:formatCode>
                <c:ptCount val="31"/>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3-55A3-4672-8D79-7C4489796312}"/>
            </c:ext>
          </c:extLst>
        </c:ser>
        <c:ser>
          <c:idx val="7"/>
          <c:order val="7"/>
          <c:tx>
            <c:v>Appraisal well failure</c:v>
          </c:tx>
          <c:spPr>
            <a:noFill/>
            <a:ln w="19050">
              <a:solidFill>
                <a:schemeClr val="accent2"/>
              </a:solidFill>
            </a:ln>
            <a:effectLst/>
          </c:spPr>
          <c:invertIfNegative val="0"/>
          <c:cat>
            <c:numRef>
              <c:f>Cashflow!$C$134:$AG$134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cat>
          <c:val>
            <c:numRef>
              <c:f>Cashflow!$C$145:$AG$145</c:f>
              <c:numCache>
                <c:formatCode>0</c:formatCode>
                <c:ptCount val="31"/>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9-55A3-4672-8D79-7C4489796312}"/>
            </c:ext>
          </c:extLst>
        </c:ser>
        <c:ser>
          <c:idx val="0"/>
          <c:order val="8"/>
          <c:tx>
            <c:v>Exploration well success</c:v>
          </c:tx>
          <c:spPr>
            <a:solidFill>
              <a:schemeClr val="accent1"/>
            </a:solidFill>
            <a:ln w="19050">
              <a:solidFill>
                <a:schemeClr val="accent1"/>
              </a:solidFill>
            </a:ln>
            <a:effectLst/>
          </c:spPr>
          <c:invertIfNegative val="0"/>
          <c:cat>
            <c:numRef>
              <c:f>Cashflow!$C$134:$AG$134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cat>
          <c:val>
            <c:numRef>
              <c:f>Cashflow!$C$137:$AG$137</c:f>
              <c:numCache>
                <c:formatCode>0</c:formatCode>
                <c:ptCount val="31"/>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55A3-4672-8D79-7C4489796312}"/>
            </c:ext>
          </c:extLst>
        </c:ser>
        <c:ser>
          <c:idx val="6"/>
          <c:order val="9"/>
          <c:tx>
            <c:v>Exploration well failure</c:v>
          </c:tx>
          <c:spPr>
            <a:noFill/>
            <a:ln w="19050">
              <a:solidFill>
                <a:schemeClr val="accent1"/>
              </a:solidFill>
            </a:ln>
            <a:effectLst/>
          </c:spPr>
          <c:invertIfNegative val="0"/>
          <c:cat>
            <c:numRef>
              <c:f>Cashflow!$C$134:$AG$134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cat>
          <c:val>
            <c:numRef>
              <c:f>Cashflow!$C$139:$AG$139</c:f>
              <c:numCache>
                <c:formatCode>0</c:formatCode>
                <c:ptCount val="31"/>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8-55A3-4672-8D79-7C4489796312}"/>
            </c:ext>
          </c:extLst>
        </c:ser>
        <c:dLbls>
          <c:showLegendKey val="0"/>
          <c:showVal val="0"/>
          <c:showCatName val="0"/>
          <c:showSerName val="0"/>
          <c:showPercent val="0"/>
          <c:showBubbleSize val="0"/>
        </c:dLbls>
        <c:gapWidth val="219"/>
        <c:overlap val="100"/>
        <c:axId val="555198880"/>
        <c:axId val="555191992"/>
      </c:barChart>
      <c:lineChart>
        <c:grouping val="standard"/>
        <c:varyColors val="0"/>
        <c:ser>
          <c:idx val="9"/>
          <c:order val="0"/>
          <c:tx>
            <c:v>New well cluster added</c:v>
          </c:tx>
          <c:spPr>
            <a:ln w="28575" cap="rnd">
              <a:noFill/>
              <a:round/>
            </a:ln>
            <a:effectLst/>
          </c:spPr>
          <c:marker>
            <c:symbol val="diamond"/>
            <c:size val="8"/>
            <c:spPr>
              <a:solidFill>
                <a:srgbClr val="FF0000"/>
              </a:solidFill>
              <a:ln w="19050">
                <a:solidFill>
                  <a:schemeClr val="tx1"/>
                </a:solidFill>
              </a:ln>
              <a:effectLst/>
            </c:spPr>
          </c:marker>
          <c:val>
            <c:numRef>
              <c:f>'Fig. Rig'!$C$40:$AG$40</c:f>
              <c:numCache>
                <c:formatCode>General</c:formatCode>
                <c:ptCount val="31"/>
                <c:pt idx="0">
                  <c:v>#N/A</c:v>
                </c:pt>
                <c:pt idx="1">
                  <c:v>#N/A</c:v>
                </c:pt>
                <c:pt idx="2">
                  <c:v>#N/A</c:v>
                </c:pt>
                <c:pt idx="3">
                  <c:v>#N/A</c:v>
                </c:pt>
                <c:pt idx="4">
                  <c:v>#N/A</c:v>
                </c:pt>
                <c:pt idx="5">
                  <c:v>#N/A</c:v>
                </c:pt>
                <c:pt idx="6">
                  <c:v>#N/A</c:v>
                </c:pt>
                <c:pt idx="7">
                  <c:v>0</c:v>
                </c:pt>
                <c:pt idx="8">
                  <c:v>0</c:v>
                </c:pt>
                <c:pt idx="9">
                  <c:v>#N/A</c:v>
                </c:pt>
                <c:pt idx="10">
                  <c:v>0</c:v>
                </c:pt>
                <c:pt idx="11">
                  <c:v>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mooth val="0"/>
          <c:extLst>
            <c:ext xmlns:c16="http://schemas.microsoft.com/office/drawing/2014/chart" uri="{C3380CC4-5D6E-409C-BE32-E72D297353CC}">
              <c16:uniqueId val="{00000001-C0C7-43DC-A929-F61203BF391A}"/>
            </c:ext>
          </c:extLst>
        </c:ser>
        <c:dLbls>
          <c:showLegendKey val="0"/>
          <c:showVal val="0"/>
          <c:showCatName val="0"/>
          <c:showSerName val="0"/>
          <c:showPercent val="0"/>
          <c:showBubbleSize val="0"/>
        </c:dLbls>
        <c:marker val="1"/>
        <c:smooth val="0"/>
        <c:axId val="555198880"/>
        <c:axId val="555191992"/>
      </c:lineChart>
      <c:dateAx>
        <c:axId val="555198880"/>
        <c:scaling>
          <c:orientation val="minMax"/>
        </c:scaling>
        <c:delete val="0"/>
        <c:axPos val="b"/>
        <c:title>
          <c:tx>
            <c:rich>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Year</a:t>
                </a:r>
              </a:p>
            </c:rich>
          </c:tx>
          <c:layout>
            <c:manualLayout>
              <c:xMode val="edge"/>
              <c:yMode val="edge"/>
              <c:x val="0.4261241617147129"/>
              <c:y val="0.94110696017012474"/>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55191992"/>
        <c:crosses val="autoZero"/>
        <c:auto val="0"/>
        <c:lblOffset val="100"/>
        <c:baseTimeUnit val="days"/>
      </c:dateAx>
      <c:valAx>
        <c:axId val="555191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Nr wells drilled, nr</a:t>
                </a:r>
                <a:r>
                  <a:rPr lang="en-US" sz="2000" b="0" baseline="0"/>
                  <a:t> opex workovers</a:t>
                </a:r>
                <a:endParaRPr lang="en-US" sz="2000" b="0"/>
              </a:p>
            </c:rich>
          </c:tx>
          <c:layout>
            <c:manualLayout>
              <c:xMode val="edge"/>
              <c:yMode val="edge"/>
              <c:x val="1.1843796296296295E-2"/>
              <c:y val="8.4682777777777773E-2"/>
            </c:manualLayout>
          </c:layout>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55198880"/>
        <c:crosses val="autoZero"/>
        <c:crossBetween val="between"/>
        <c:majorUnit val="1"/>
      </c:valAx>
      <c:spPr>
        <a:noFill/>
        <a:ln>
          <a:noFill/>
        </a:ln>
        <a:effectLst/>
      </c:spPr>
    </c:plotArea>
    <c:legend>
      <c:legendPos val="r"/>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Enthalpy for a liquid (based on temperature)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6"/>
            <c:dispRSqr val="0"/>
            <c:dispEq val="1"/>
            <c:trendlineLbl>
              <c:layout>
                <c:manualLayout>
                  <c:x val="4.1452721370355002E-2"/>
                  <c:y val="-6.3007859712358838E-2"/>
                </c:manualLayout>
              </c:layout>
              <c:numFmt formatCode="0.0000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'Steam Tables'!$B$12:$B$60</c:f>
              <c:numCache>
                <c:formatCode>General</c:formatCode>
                <c:ptCount val="49"/>
                <c:pt idx="0">
                  <c:v>0.01</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110</c:v>
                </c:pt>
                <c:pt idx="22">
                  <c:v>120</c:v>
                </c:pt>
                <c:pt idx="23">
                  <c:v>130</c:v>
                </c:pt>
                <c:pt idx="24">
                  <c:v>140</c:v>
                </c:pt>
                <c:pt idx="25">
                  <c:v>150</c:v>
                </c:pt>
                <c:pt idx="26">
                  <c:v>160</c:v>
                </c:pt>
                <c:pt idx="27">
                  <c:v>170</c:v>
                </c:pt>
                <c:pt idx="28">
                  <c:v>180</c:v>
                </c:pt>
                <c:pt idx="29">
                  <c:v>190</c:v>
                </c:pt>
                <c:pt idx="30">
                  <c:v>200</c:v>
                </c:pt>
                <c:pt idx="31">
                  <c:v>210</c:v>
                </c:pt>
                <c:pt idx="32">
                  <c:v>220</c:v>
                </c:pt>
                <c:pt idx="33">
                  <c:v>230</c:v>
                </c:pt>
                <c:pt idx="34">
                  <c:v>240</c:v>
                </c:pt>
                <c:pt idx="35">
                  <c:v>250</c:v>
                </c:pt>
                <c:pt idx="36">
                  <c:v>260</c:v>
                </c:pt>
                <c:pt idx="37">
                  <c:v>270</c:v>
                </c:pt>
                <c:pt idx="38">
                  <c:v>280</c:v>
                </c:pt>
                <c:pt idx="39">
                  <c:v>290</c:v>
                </c:pt>
                <c:pt idx="40">
                  <c:v>300</c:v>
                </c:pt>
                <c:pt idx="41">
                  <c:v>310</c:v>
                </c:pt>
                <c:pt idx="42">
                  <c:v>320</c:v>
                </c:pt>
                <c:pt idx="43">
                  <c:v>330</c:v>
                </c:pt>
                <c:pt idx="44">
                  <c:v>340</c:v>
                </c:pt>
                <c:pt idx="45">
                  <c:v>350</c:v>
                </c:pt>
                <c:pt idx="46">
                  <c:v>360</c:v>
                </c:pt>
                <c:pt idx="47">
                  <c:v>370</c:v>
                </c:pt>
                <c:pt idx="48">
                  <c:v>373.95</c:v>
                </c:pt>
              </c:numCache>
            </c:numRef>
          </c:xVal>
          <c:yVal>
            <c:numRef>
              <c:f>'Steam Tables'!$H$12:$H$60</c:f>
              <c:numCache>
                <c:formatCode>0.00</c:formatCode>
                <c:ptCount val="49"/>
                <c:pt idx="0">
                  <c:v>1E-3</c:v>
                </c:pt>
                <c:pt idx="1">
                  <c:v>21.02</c:v>
                </c:pt>
                <c:pt idx="2">
                  <c:v>42.021000000000001</c:v>
                </c:pt>
                <c:pt idx="3">
                  <c:v>62.981000000000002</c:v>
                </c:pt>
                <c:pt idx="4">
                  <c:v>83.914000000000001</c:v>
                </c:pt>
                <c:pt idx="5">
                  <c:v>104.83</c:v>
                </c:pt>
                <c:pt idx="6">
                  <c:v>125.73</c:v>
                </c:pt>
                <c:pt idx="7">
                  <c:v>146.63</c:v>
                </c:pt>
                <c:pt idx="8">
                  <c:v>167.53</c:v>
                </c:pt>
                <c:pt idx="9">
                  <c:v>188.43</c:v>
                </c:pt>
                <c:pt idx="10">
                  <c:v>209.34</c:v>
                </c:pt>
                <c:pt idx="11">
                  <c:v>230.26</c:v>
                </c:pt>
                <c:pt idx="12">
                  <c:v>251.18</c:v>
                </c:pt>
                <c:pt idx="13">
                  <c:v>272.12</c:v>
                </c:pt>
                <c:pt idx="14">
                  <c:v>293.07</c:v>
                </c:pt>
                <c:pt idx="15">
                  <c:v>314.02999999999997</c:v>
                </c:pt>
                <c:pt idx="16">
                  <c:v>335.01</c:v>
                </c:pt>
                <c:pt idx="17">
                  <c:v>356.01</c:v>
                </c:pt>
                <c:pt idx="18">
                  <c:v>377.04</c:v>
                </c:pt>
                <c:pt idx="19">
                  <c:v>398.09</c:v>
                </c:pt>
                <c:pt idx="20">
                  <c:v>419.17</c:v>
                </c:pt>
                <c:pt idx="21">
                  <c:v>461.42</c:v>
                </c:pt>
                <c:pt idx="22">
                  <c:v>503.81</c:v>
                </c:pt>
                <c:pt idx="23">
                  <c:v>546.38</c:v>
                </c:pt>
                <c:pt idx="24">
                  <c:v>589.16</c:v>
                </c:pt>
                <c:pt idx="25">
                  <c:v>632.17999999999995</c:v>
                </c:pt>
                <c:pt idx="26">
                  <c:v>675.47</c:v>
                </c:pt>
                <c:pt idx="27">
                  <c:v>719.08</c:v>
                </c:pt>
                <c:pt idx="28">
                  <c:v>763.05</c:v>
                </c:pt>
                <c:pt idx="29">
                  <c:v>807.43</c:v>
                </c:pt>
                <c:pt idx="30">
                  <c:v>852.27</c:v>
                </c:pt>
                <c:pt idx="31">
                  <c:v>897.63</c:v>
                </c:pt>
                <c:pt idx="32">
                  <c:v>943.58</c:v>
                </c:pt>
                <c:pt idx="33">
                  <c:v>990.19</c:v>
                </c:pt>
                <c:pt idx="34">
                  <c:v>1037.5999999999999</c:v>
                </c:pt>
                <c:pt idx="35">
                  <c:v>1085.8</c:v>
                </c:pt>
                <c:pt idx="36">
                  <c:v>1135</c:v>
                </c:pt>
                <c:pt idx="37">
                  <c:v>1185.3</c:v>
                </c:pt>
                <c:pt idx="38">
                  <c:v>1236.9000000000001</c:v>
                </c:pt>
                <c:pt idx="39">
                  <c:v>1290</c:v>
                </c:pt>
                <c:pt idx="40">
                  <c:v>1345</c:v>
                </c:pt>
                <c:pt idx="41">
                  <c:v>1402.2</c:v>
                </c:pt>
                <c:pt idx="42">
                  <c:v>1462.2</c:v>
                </c:pt>
                <c:pt idx="43">
                  <c:v>1525.9</c:v>
                </c:pt>
                <c:pt idx="44">
                  <c:v>1594.5</c:v>
                </c:pt>
                <c:pt idx="45">
                  <c:v>1670.9</c:v>
                </c:pt>
                <c:pt idx="46">
                  <c:v>1761.7</c:v>
                </c:pt>
                <c:pt idx="47">
                  <c:v>1890.7</c:v>
                </c:pt>
                <c:pt idx="48">
                  <c:v>2084.3000000000002</c:v>
                </c:pt>
              </c:numCache>
            </c:numRef>
          </c:yVal>
          <c:smooth val="0"/>
          <c:extLst>
            <c:ext xmlns:c16="http://schemas.microsoft.com/office/drawing/2014/chart" uri="{C3380CC4-5D6E-409C-BE32-E72D297353CC}">
              <c16:uniqueId val="{00000001-47D0-4E2C-9079-7DC48C1A54C3}"/>
            </c:ext>
          </c:extLst>
        </c:ser>
        <c:dLbls>
          <c:showLegendKey val="0"/>
          <c:showVal val="0"/>
          <c:showCatName val="0"/>
          <c:showSerName val="0"/>
          <c:showPercent val="0"/>
          <c:showBubbleSize val="0"/>
        </c:dLbls>
        <c:axId val="547887880"/>
        <c:axId val="547888208"/>
      </c:scatterChart>
      <c:valAx>
        <c:axId val="5478878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7888208"/>
        <c:crosses val="autoZero"/>
        <c:crossBetween val="midCat"/>
      </c:valAx>
      <c:valAx>
        <c:axId val="547888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Enthalpy of Fluid (kJ/kg)</a:t>
                </a:r>
              </a:p>
            </c:rich>
          </c:tx>
          <c:layout>
            <c:manualLayout>
              <c:xMode val="edge"/>
              <c:yMode val="edge"/>
              <c:x val="1.9736842105263157E-2"/>
              <c:y val="0.2990400995515887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78878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Water properties as temperature changes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250374303673935"/>
          <c:y val="0.11088188720222045"/>
          <c:w val="0.60487995005243278"/>
          <c:h val="0.75637283138005218"/>
        </c:manualLayout>
      </c:layout>
      <c:scatterChart>
        <c:scatterStyle val="smoothMarker"/>
        <c:varyColors val="0"/>
        <c:ser>
          <c:idx val="0"/>
          <c:order val="0"/>
          <c:tx>
            <c:strRef>
              <c:f>'Steam Tables'!$G$67:$H$67</c:f>
              <c:strCache>
                <c:ptCount val="1"/>
                <c:pt idx="0">
                  <c:v>Specific heat (J/kg*K)</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'Steam Tables'!$B$69:$B$107</c:f>
              <c:numCache>
                <c:formatCode>General</c:formatCode>
                <c:ptCount val="39"/>
                <c:pt idx="0">
                  <c:v>0.01</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110</c:v>
                </c:pt>
                <c:pt idx="22">
                  <c:v>120</c:v>
                </c:pt>
                <c:pt idx="23">
                  <c:v>130</c:v>
                </c:pt>
                <c:pt idx="24">
                  <c:v>140</c:v>
                </c:pt>
                <c:pt idx="25">
                  <c:v>150</c:v>
                </c:pt>
                <c:pt idx="26">
                  <c:v>160</c:v>
                </c:pt>
                <c:pt idx="27">
                  <c:v>170</c:v>
                </c:pt>
                <c:pt idx="28">
                  <c:v>180</c:v>
                </c:pt>
                <c:pt idx="29">
                  <c:v>190</c:v>
                </c:pt>
                <c:pt idx="30">
                  <c:v>200</c:v>
                </c:pt>
                <c:pt idx="31">
                  <c:v>220</c:v>
                </c:pt>
                <c:pt idx="32">
                  <c:v>240</c:v>
                </c:pt>
                <c:pt idx="33">
                  <c:v>260</c:v>
                </c:pt>
                <c:pt idx="34">
                  <c:v>280</c:v>
                </c:pt>
                <c:pt idx="35">
                  <c:v>300</c:v>
                </c:pt>
                <c:pt idx="36">
                  <c:v>320</c:v>
                </c:pt>
                <c:pt idx="37">
                  <c:v>340</c:v>
                </c:pt>
                <c:pt idx="38">
                  <c:v>360</c:v>
                </c:pt>
              </c:numCache>
            </c:numRef>
          </c:xVal>
          <c:yVal>
            <c:numRef>
              <c:f>'Steam Tables'!$G$69:$G$107</c:f>
              <c:numCache>
                <c:formatCode>General</c:formatCode>
                <c:ptCount val="39"/>
                <c:pt idx="0">
                  <c:v>4217</c:v>
                </c:pt>
                <c:pt idx="1">
                  <c:v>4205</c:v>
                </c:pt>
                <c:pt idx="2">
                  <c:v>4194</c:v>
                </c:pt>
                <c:pt idx="3">
                  <c:v>4185</c:v>
                </c:pt>
                <c:pt idx="4">
                  <c:v>4182</c:v>
                </c:pt>
                <c:pt idx="5">
                  <c:v>4180</c:v>
                </c:pt>
                <c:pt idx="6">
                  <c:v>4178</c:v>
                </c:pt>
                <c:pt idx="7">
                  <c:v>4178</c:v>
                </c:pt>
                <c:pt idx="8">
                  <c:v>4179</c:v>
                </c:pt>
                <c:pt idx="9">
                  <c:v>4180</c:v>
                </c:pt>
                <c:pt idx="10">
                  <c:v>4181</c:v>
                </c:pt>
                <c:pt idx="11">
                  <c:v>4183</c:v>
                </c:pt>
                <c:pt idx="12">
                  <c:v>4185</c:v>
                </c:pt>
                <c:pt idx="13">
                  <c:v>4187</c:v>
                </c:pt>
                <c:pt idx="14">
                  <c:v>4190</c:v>
                </c:pt>
                <c:pt idx="15">
                  <c:v>4193</c:v>
                </c:pt>
                <c:pt idx="16">
                  <c:v>4197</c:v>
                </c:pt>
                <c:pt idx="17">
                  <c:v>4201</c:v>
                </c:pt>
                <c:pt idx="18">
                  <c:v>4206</c:v>
                </c:pt>
                <c:pt idx="19">
                  <c:v>4212</c:v>
                </c:pt>
                <c:pt idx="20">
                  <c:v>4217</c:v>
                </c:pt>
                <c:pt idx="21">
                  <c:v>4229</c:v>
                </c:pt>
                <c:pt idx="22">
                  <c:v>4244</c:v>
                </c:pt>
                <c:pt idx="23">
                  <c:v>4263</c:v>
                </c:pt>
                <c:pt idx="24">
                  <c:v>4286</c:v>
                </c:pt>
                <c:pt idx="25">
                  <c:v>4311</c:v>
                </c:pt>
                <c:pt idx="26">
                  <c:v>4340</c:v>
                </c:pt>
                <c:pt idx="27">
                  <c:v>4370</c:v>
                </c:pt>
                <c:pt idx="28">
                  <c:v>4410</c:v>
                </c:pt>
                <c:pt idx="29">
                  <c:v>4460</c:v>
                </c:pt>
                <c:pt idx="30">
                  <c:v>4500</c:v>
                </c:pt>
                <c:pt idx="31">
                  <c:v>4610</c:v>
                </c:pt>
                <c:pt idx="32">
                  <c:v>4760</c:v>
                </c:pt>
                <c:pt idx="33">
                  <c:v>4970</c:v>
                </c:pt>
                <c:pt idx="34">
                  <c:v>5280</c:v>
                </c:pt>
                <c:pt idx="35">
                  <c:v>5750</c:v>
                </c:pt>
                <c:pt idx="36">
                  <c:v>6540</c:v>
                </c:pt>
                <c:pt idx="37">
                  <c:v>8240</c:v>
                </c:pt>
                <c:pt idx="38" formatCode="#,##0">
                  <c:v>14690</c:v>
                </c:pt>
              </c:numCache>
            </c:numRef>
          </c:yVal>
          <c:smooth val="1"/>
          <c:extLst>
            <c:ext xmlns:c16="http://schemas.microsoft.com/office/drawing/2014/chart" uri="{C3380CC4-5D6E-409C-BE32-E72D297353CC}">
              <c16:uniqueId val="{00000000-5088-4512-A9E1-D325974AFEE7}"/>
            </c:ext>
          </c:extLst>
        </c:ser>
        <c:dLbls>
          <c:showLegendKey val="0"/>
          <c:showVal val="0"/>
          <c:showCatName val="0"/>
          <c:showSerName val="0"/>
          <c:showPercent val="0"/>
          <c:showBubbleSize val="0"/>
        </c:dLbls>
        <c:axId val="607439888"/>
        <c:axId val="607440216"/>
      </c:scatterChart>
      <c:scatterChart>
        <c:scatterStyle val="smoothMarker"/>
        <c:varyColors val="0"/>
        <c:ser>
          <c:idx val="1"/>
          <c:order val="1"/>
          <c:tx>
            <c:strRef>
              <c:f>'Steam Tables'!$D$67:$E$67</c:f>
              <c:strCache>
                <c:ptCount val="1"/>
                <c:pt idx="0">
                  <c:v>Density (kg/m3)</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'Steam Tables'!$B$69:$B$108</c:f>
              <c:numCache>
                <c:formatCode>General</c:formatCode>
                <c:ptCount val="40"/>
                <c:pt idx="0">
                  <c:v>0.01</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110</c:v>
                </c:pt>
                <c:pt idx="22">
                  <c:v>120</c:v>
                </c:pt>
                <c:pt idx="23">
                  <c:v>130</c:v>
                </c:pt>
                <c:pt idx="24">
                  <c:v>140</c:v>
                </c:pt>
                <c:pt idx="25">
                  <c:v>150</c:v>
                </c:pt>
                <c:pt idx="26">
                  <c:v>160</c:v>
                </c:pt>
                <c:pt idx="27">
                  <c:v>170</c:v>
                </c:pt>
                <c:pt idx="28">
                  <c:v>180</c:v>
                </c:pt>
                <c:pt idx="29">
                  <c:v>190</c:v>
                </c:pt>
                <c:pt idx="30">
                  <c:v>200</c:v>
                </c:pt>
                <c:pt idx="31">
                  <c:v>220</c:v>
                </c:pt>
                <c:pt idx="32">
                  <c:v>240</c:v>
                </c:pt>
                <c:pt idx="33">
                  <c:v>260</c:v>
                </c:pt>
                <c:pt idx="34">
                  <c:v>280</c:v>
                </c:pt>
                <c:pt idx="35">
                  <c:v>300</c:v>
                </c:pt>
                <c:pt idx="36">
                  <c:v>320</c:v>
                </c:pt>
                <c:pt idx="37">
                  <c:v>340</c:v>
                </c:pt>
                <c:pt idx="38">
                  <c:v>360</c:v>
                </c:pt>
                <c:pt idx="39">
                  <c:v>374.14</c:v>
                </c:pt>
              </c:numCache>
            </c:numRef>
          </c:xVal>
          <c:yVal>
            <c:numRef>
              <c:f>'Steam Tables'!$D$69:$D$108</c:f>
              <c:numCache>
                <c:formatCode>General</c:formatCode>
                <c:ptCount val="40"/>
                <c:pt idx="0">
                  <c:v>999.8</c:v>
                </c:pt>
                <c:pt idx="1">
                  <c:v>999.9</c:v>
                </c:pt>
                <c:pt idx="2">
                  <c:v>999.7</c:v>
                </c:pt>
                <c:pt idx="3">
                  <c:v>999.1</c:v>
                </c:pt>
                <c:pt idx="4">
                  <c:v>998</c:v>
                </c:pt>
                <c:pt idx="5">
                  <c:v>997</c:v>
                </c:pt>
                <c:pt idx="6">
                  <c:v>996</c:v>
                </c:pt>
                <c:pt idx="7">
                  <c:v>994</c:v>
                </c:pt>
                <c:pt idx="8">
                  <c:v>992.1</c:v>
                </c:pt>
                <c:pt idx="9">
                  <c:v>990.1</c:v>
                </c:pt>
                <c:pt idx="10">
                  <c:v>988.1</c:v>
                </c:pt>
                <c:pt idx="11">
                  <c:v>985.2</c:v>
                </c:pt>
                <c:pt idx="12">
                  <c:v>983.3</c:v>
                </c:pt>
                <c:pt idx="13">
                  <c:v>980.4</c:v>
                </c:pt>
                <c:pt idx="14">
                  <c:v>977.5</c:v>
                </c:pt>
                <c:pt idx="15">
                  <c:v>974.7</c:v>
                </c:pt>
                <c:pt idx="16">
                  <c:v>971.8</c:v>
                </c:pt>
                <c:pt idx="17">
                  <c:v>968.1</c:v>
                </c:pt>
                <c:pt idx="18">
                  <c:v>965.3</c:v>
                </c:pt>
                <c:pt idx="19">
                  <c:v>961.5</c:v>
                </c:pt>
                <c:pt idx="20">
                  <c:v>957.9</c:v>
                </c:pt>
                <c:pt idx="21">
                  <c:v>950.6</c:v>
                </c:pt>
                <c:pt idx="22">
                  <c:v>943.4</c:v>
                </c:pt>
                <c:pt idx="23">
                  <c:v>934.6</c:v>
                </c:pt>
                <c:pt idx="24">
                  <c:v>921.7</c:v>
                </c:pt>
                <c:pt idx="25">
                  <c:v>916.6</c:v>
                </c:pt>
                <c:pt idx="26">
                  <c:v>907.4</c:v>
                </c:pt>
                <c:pt idx="27">
                  <c:v>897.7</c:v>
                </c:pt>
                <c:pt idx="28">
                  <c:v>887.3</c:v>
                </c:pt>
                <c:pt idx="29">
                  <c:v>876.4</c:v>
                </c:pt>
                <c:pt idx="30">
                  <c:v>864.3</c:v>
                </c:pt>
                <c:pt idx="31">
                  <c:v>840.3</c:v>
                </c:pt>
                <c:pt idx="32">
                  <c:v>813.7</c:v>
                </c:pt>
                <c:pt idx="33">
                  <c:v>783.7</c:v>
                </c:pt>
                <c:pt idx="34">
                  <c:v>750.8</c:v>
                </c:pt>
                <c:pt idx="35">
                  <c:v>713.8</c:v>
                </c:pt>
                <c:pt idx="36">
                  <c:v>667.1</c:v>
                </c:pt>
                <c:pt idx="37">
                  <c:v>610.5</c:v>
                </c:pt>
                <c:pt idx="38">
                  <c:v>528.29999999999995</c:v>
                </c:pt>
                <c:pt idx="39">
                  <c:v>317</c:v>
                </c:pt>
              </c:numCache>
            </c:numRef>
          </c:yVal>
          <c:smooth val="1"/>
          <c:extLst>
            <c:ext xmlns:c16="http://schemas.microsoft.com/office/drawing/2014/chart" uri="{C3380CC4-5D6E-409C-BE32-E72D297353CC}">
              <c16:uniqueId val="{00000001-5088-4512-A9E1-D325974AFEE7}"/>
            </c:ext>
          </c:extLst>
        </c:ser>
        <c:dLbls>
          <c:showLegendKey val="0"/>
          <c:showVal val="0"/>
          <c:showCatName val="0"/>
          <c:showSerName val="0"/>
          <c:showPercent val="0"/>
          <c:showBubbleSize val="0"/>
        </c:dLbls>
        <c:axId val="607435624"/>
        <c:axId val="607434312"/>
      </c:scatterChart>
      <c:valAx>
        <c:axId val="6074398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a:t>
                </a:r>
                <a:r>
                  <a:rPr lang="en-US" baseline="0"/>
                  <a:t> (°C)</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440216"/>
        <c:crosses val="autoZero"/>
        <c:crossBetween val="midCat"/>
      </c:valAx>
      <c:valAx>
        <c:axId val="607440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Specific heat (J/kg*K)</a:t>
                </a:r>
              </a:p>
            </c:rich>
          </c:tx>
          <c:layout>
            <c:manualLayout>
              <c:xMode val="edge"/>
              <c:yMode val="edge"/>
              <c:x val="2.3428803501178982E-2"/>
              <c:y val="0.351026364175849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439888"/>
        <c:crosses val="autoZero"/>
        <c:crossBetween val="midCat"/>
      </c:valAx>
      <c:valAx>
        <c:axId val="6074343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Density (kg/m3)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435624"/>
        <c:crosses val="max"/>
        <c:crossBetween val="midCat"/>
      </c:valAx>
      <c:valAx>
        <c:axId val="607435624"/>
        <c:scaling>
          <c:orientation val="minMax"/>
        </c:scaling>
        <c:delete val="1"/>
        <c:axPos val="b"/>
        <c:numFmt formatCode="General" sourceLinked="1"/>
        <c:majorTickMark val="out"/>
        <c:minorTickMark val="none"/>
        <c:tickLblPos val="nextTo"/>
        <c:crossAx val="60743431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'Water-props'!$A$9</c:f>
              <c:strCache>
                <c:ptCount val="1"/>
                <c:pt idx="0">
                  <c:v>Spec heat (kJ/kg.°C)</c:v>
                </c:pt>
              </c:strCache>
            </c:strRef>
          </c:tx>
          <c:spPr>
            <a:ln w="28575">
              <a:noFill/>
            </a:ln>
          </c:spPr>
          <c:trendline>
            <c:trendlineType val="poly"/>
            <c:order val="4"/>
            <c:dispRSqr val="1"/>
            <c:dispEq val="1"/>
            <c:trendlineLbl>
              <c:layout>
                <c:manualLayout>
                  <c:x val="3.7006244664761032E-2"/>
                  <c:y val="0.62735665857116263"/>
                </c:manualLayout>
              </c:layout>
              <c:numFmt formatCode="0.000000000000000E+00" sourceLinked="0"/>
            </c:trendlineLbl>
          </c:trendline>
          <c:xVal>
            <c:numRef>
              <c:f>'Water-props'!$B$8:$K$8</c:f>
              <c:numCache>
                <c:formatCode>General</c:formatCode>
                <c:ptCount val="10"/>
                <c:pt idx="0">
                  <c:v>200</c:v>
                </c:pt>
                <c:pt idx="1">
                  <c:v>220</c:v>
                </c:pt>
                <c:pt idx="2">
                  <c:v>240</c:v>
                </c:pt>
                <c:pt idx="3">
                  <c:v>250</c:v>
                </c:pt>
                <c:pt idx="4">
                  <c:v>260</c:v>
                </c:pt>
                <c:pt idx="5">
                  <c:v>275</c:v>
                </c:pt>
                <c:pt idx="6">
                  <c:v>300</c:v>
                </c:pt>
                <c:pt idx="7">
                  <c:v>325</c:v>
                </c:pt>
                <c:pt idx="8">
                  <c:v>350</c:v>
                </c:pt>
                <c:pt idx="9">
                  <c:v>360</c:v>
                </c:pt>
              </c:numCache>
            </c:numRef>
          </c:xVal>
          <c:yVal>
            <c:numRef>
              <c:f>'Water-props'!$B$9:$K$9</c:f>
              <c:numCache>
                <c:formatCode>General</c:formatCode>
                <c:ptCount val="10"/>
                <c:pt idx="0">
                  <c:v>4.51</c:v>
                </c:pt>
                <c:pt idx="1">
                  <c:v>4.63</c:v>
                </c:pt>
                <c:pt idx="2">
                  <c:v>4.78</c:v>
                </c:pt>
                <c:pt idx="3">
                  <c:v>4.87</c:v>
                </c:pt>
                <c:pt idx="4">
                  <c:v>4.9800000000000004</c:v>
                </c:pt>
                <c:pt idx="5">
                  <c:v>5.2</c:v>
                </c:pt>
                <c:pt idx="6">
                  <c:v>5.65</c:v>
                </c:pt>
                <c:pt idx="7">
                  <c:v>6.86</c:v>
                </c:pt>
                <c:pt idx="8">
                  <c:v>10.1</c:v>
                </c:pt>
                <c:pt idx="9">
                  <c:v>14.6</c:v>
                </c:pt>
              </c:numCache>
            </c:numRef>
          </c:yVal>
          <c:smooth val="0"/>
          <c:extLst>
            <c:ext xmlns:c16="http://schemas.microsoft.com/office/drawing/2014/chart" uri="{C3380CC4-5D6E-409C-BE32-E72D297353CC}">
              <c16:uniqueId val="{00000001-8A5F-45F8-84AD-EBBA94AEAC14}"/>
            </c:ext>
          </c:extLst>
        </c:ser>
        <c:dLbls>
          <c:showLegendKey val="0"/>
          <c:showVal val="0"/>
          <c:showCatName val="0"/>
          <c:showSerName val="0"/>
          <c:showPercent val="0"/>
          <c:showBubbleSize val="0"/>
        </c:dLbls>
        <c:axId val="193086592"/>
        <c:axId val="193088512"/>
      </c:scatterChart>
      <c:scatterChart>
        <c:scatterStyle val="lineMarker"/>
        <c:varyColors val="0"/>
        <c:ser>
          <c:idx val="1"/>
          <c:order val="1"/>
          <c:tx>
            <c:strRef>
              <c:f>'Water-props'!$A$10</c:f>
              <c:strCache>
                <c:ptCount val="1"/>
                <c:pt idx="0">
                  <c:v>Density (kg/m3)</c:v>
                </c:pt>
              </c:strCache>
            </c:strRef>
          </c:tx>
          <c:spPr>
            <a:ln w="28575">
              <a:noFill/>
            </a:ln>
          </c:spPr>
          <c:trendline>
            <c:trendlineType val="poly"/>
            <c:order val="2"/>
            <c:dispRSqr val="1"/>
            <c:dispEq val="1"/>
            <c:trendlineLbl>
              <c:layout>
                <c:manualLayout>
                  <c:x val="-5.3911257044286467E-2"/>
                  <c:y val="-0.23477541266256385"/>
                </c:manualLayout>
              </c:layout>
              <c:numFmt formatCode="General" sourceLinked="0"/>
            </c:trendlineLbl>
          </c:trendline>
          <c:xVal>
            <c:numRef>
              <c:f>'Water-props'!$B$8:$K$8</c:f>
              <c:numCache>
                <c:formatCode>General</c:formatCode>
                <c:ptCount val="10"/>
                <c:pt idx="0">
                  <c:v>200</c:v>
                </c:pt>
                <c:pt idx="1">
                  <c:v>220</c:v>
                </c:pt>
                <c:pt idx="2">
                  <c:v>240</c:v>
                </c:pt>
                <c:pt idx="3">
                  <c:v>250</c:v>
                </c:pt>
                <c:pt idx="4">
                  <c:v>260</c:v>
                </c:pt>
                <c:pt idx="5">
                  <c:v>275</c:v>
                </c:pt>
                <c:pt idx="6">
                  <c:v>300</c:v>
                </c:pt>
                <c:pt idx="7">
                  <c:v>325</c:v>
                </c:pt>
                <c:pt idx="8">
                  <c:v>350</c:v>
                </c:pt>
                <c:pt idx="9">
                  <c:v>360</c:v>
                </c:pt>
              </c:numCache>
            </c:numRef>
          </c:xVal>
          <c:yVal>
            <c:numRef>
              <c:f>'Water-props'!$B$10:$K$10</c:f>
              <c:numCache>
                <c:formatCode>General</c:formatCode>
                <c:ptCount val="10"/>
                <c:pt idx="0">
                  <c:v>864</c:v>
                </c:pt>
                <c:pt idx="1">
                  <c:v>840</c:v>
                </c:pt>
                <c:pt idx="2">
                  <c:v>814</c:v>
                </c:pt>
                <c:pt idx="3">
                  <c:v>799</c:v>
                </c:pt>
                <c:pt idx="4">
                  <c:v>784</c:v>
                </c:pt>
                <c:pt idx="5">
                  <c:v>756</c:v>
                </c:pt>
                <c:pt idx="6">
                  <c:v>714</c:v>
                </c:pt>
                <c:pt idx="7">
                  <c:v>654</c:v>
                </c:pt>
                <c:pt idx="8">
                  <c:v>575</c:v>
                </c:pt>
                <c:pt idx="9">
                  <c:v>528</c:v>
                </c:pt>
              </c:numCache>
            </c:numRef>
          </c:yVal>
          <c:smooth val="0"/>
          <c:extLst>
            <c:ext xmlns:c16="http://schemas.microsoft.com/office/drawing/2014/chart" uri="{C3380CC4-5D6E-409C-BE32-E72D297353CC}">
              <c16:uniqueId val="{00000003-8A5F-45F8-84AD-EBBA94AEAC14}"/>
            </c:ext>
          </c:extLst>
        </c:ser>
        <c:dLbls>
          <c:showLegendKey val="0"/>
          <c:showVal val="0"/>
          <c:showCatName val="0"/>
          <c:showSerName val="0"/>
          <c:showPercent val="0"/>
          <c:showBubbleSize val="0"/>
        </c:dLbls>
        <c:axId val="193096704"/>
        <c:axId val="193094784"/>
      </c:scatterChart>
      <c:valAx>
        <c:axId val="193086592"/>
        <c:scaling>
          <c:orientation val="minMax"/>
          <c:min val="200"/>
        </c:scaling>
        <c:delete val="0"/>
        <c:axPos val="b"/>
        <c:title>
          <c:tx>
            <c:rich>
              <a:bodyPr/>
              <a:lstStyle/>
              <a:p>
                <a:pPr>
                  <a:defRPr/>
                </a:pPr>
                <a:r>
                  <a:rPr lang="nl-NL"/>
                  <a:t>Temperature (°C)</a:t>
                </a:r>
              </a:p>
            </c:rich>
          </c:tx>
          <c:overlay val="0"/>
        </c:title>
        <c:numFmt formatCode="General" sourceLinked="1"/>
        <c:majorTickMark val="out"/>
        <c:minorTickMark val="none"/>
        <c:tickLblPos val="nextTo"/>
        <c:crossAx val="193088512"/>
        <c:crosses val="autoZero"/>
        <c:crossBetween val="midCat"/>
        <c:majorUnit val="20"/>
      </c:valAx>
      <c:valAx>
        <c:axId val="193088512"/>
        <c:scaling>
          <c:orientation val="minMax"/>
        </c:scaling>
        <c:delete val="0"/>
        <c:axPos val="l"/>
        <c:majorGridlines/>
        <c:title>
          <c:tx>
            <c:rich>
              <a:bodyPr rot="-5400000" vert="horz"/>
              <a:lstStyle/>
              <a:p>
                <a:pPr>
                  <a:defRPr/>
                </a:pPr>
                <a:r>
                  <a:rPr lang="nl-NL"/>
                  <a:t>Specific heat of water (kJ/kg.°C)</a:t>
                </a:r>
              </a:p>
            </c:rich>
          </c:tx>
          <c:overlay val="0"/>
        </c:title>
        <c:numFmt formatCode="General" sourceLinked="1"/>
        <c:majorTickMark val="out"/>
        <c:minorTickMark val="none"/>
        <c:tickLblPos val="nextTo"/>
        <c:crossAx val="193086592"/>
        <c:crosses val="autoZero"/>
        <c:crossBetween val="midCat"/>
      </c:valAx>
      <c:valAx>
        <c:axId val="193094784"/>
        <c:scaling>
          <c:orientation val="minMax"/>
        </c:scaling>
        <c:delete val="0"/>
        <c:axPos val="r"/>
        <c:title>
          <c:tx>
            <c:rich>
              <a:bodyPr rot="-5400000" vert="horz"/>
              <a:lstStyle/>
              <a:p>
                <a:pPr>
                  <a:defRPr/>
                </a:pPr>
                <a:r>
                  <a:rPr lang="en-US"/>
                  <a:t>Density of water (kg/m3)</a:t>
                </a:r>
              </a:p>
            </c:rich>
          </c:tx>
          <c:overlay val="0"/>
        </c:title>
        <c:numFmt formatCode="General" sourceLinked="1"/>
        <c:majorTickMark val="out"/>
        <c:minorTickMark val="none"/>
        <c:tickLblPos val="nextTo"/>
        <c:crossAx val="193096704"/>
        <c:crosses val="max"/>
        <c:crossBetween val="midCat"/>
      </c:valAx>
      <c:valAx>
        <c:axId val="193096704"/>
        <c:scaling>
          <c:orientation val="minMax"/>
        </c:scaling>
        <c:delete val="1"/>
        <c:axPos val="b"/>
        <c:numFmt formatCode="General" sourceLinked="1"/>
        <c:majorTickMark val="out"/>
        <c:minorTickMark val="none"/>
        <c:tickLblPos val="nextTo"/>
        <c:crossAx val="193094784"/>
        <c:crosses val="autoZero"/>
        <c:crossBetween val="midCat"/>
      </c:valAx>
    </c:plotArea>
    <c:legend>
      <c:legendPos val="r"/>
      <c:overlay val="0"/>
    </c:legend>
    <c:plotVisOnly val="1"/>
    <c:dispBlanksAs val="gap"/>
    <c:showDLblsOverMax val="0"/>
  </c:chart>
  <c:spPr>
    <a:solidFill>
      <a:srgbClr val="EAEAEA">
        <a:alpha val="75000"/>
      </a:srgbClr>
    </a:solidFill>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Temperature vs. Absolute Vapor Pressure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0"/>
            <c:dispEq val="1"/>
            <c:trendlineLbl>
              <c:layout>
                <c:manualLayout>
                  <c:x val="-0.10757631323481825"/>
                  <c:y val="0.49415760666678155"/>
                </c:manualLayout>
              </c:layout>
              <c:numFmt formatCode="#,##0.0000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'Water-props'!$I$143:$I$169</c:f>
              <c:numCache>
                <c:formatCode>0.00</c:formatCode>
                <c:ptCount val="27"/>
                <c:pt idx="0">
                  <c:v>0</c:v>
                </c:pt>
                <c:pt idx="1">
                  <c:v>4.4444444444444446</c:v>
                </c:pt>
                <c:pt idx="2">
                  <c:v>10</c:v>
                </c:pt>
                <c:pt idx="3">
                  <c:v>15.555555555555555</c:v>
                </c:pt>
                <c:pt idx="4">
                  <c:v>21.111111111111111</c:v>
                </c:pt>
                <c:pt idx="5">
                  <c:v>26.666666666666664</c:v>
                </c:pt>
                <c:pt idx="6">
                  <c:v>32.222222222222221</c:v>
                </c:pt>
                <c:pt idx="7">
                  <c:v>37.777777777777779</c:v>
                </c:pt>
                <c:pt idx="8">
                  <c:v>48.888888888888886</c:v>
                </c:pt>
                <c:pt idx="9">
                  <c:v>60</c:v>
                </c:pt>
                <c:pt idx="10">
                  <c:v>71.111111111111114</c:v>
                </c:pt>
                <c:pt idx="11">
                  <c:v>82.222222222222214</c:v>
                </c:pt>
                <c:pt idx="12">
                  <c:v>93.333333333333329</c:v>
                </c:pt>
                <c:pt idx="13">
                  <c:v>100</c:v>
                </c:pt>
                <c:pt idx="14">
                  <c:v>104.44444444444444</c:v>
                </c:pt>
                <c:pt idx="15">
                  <c:v>115.55555555555556</c:v>
                </c:pt>
                <c:pt idx="16">
                  <c:v>126.66666666666666</c:v>
                </c:pt>
                <c:pt idx="17">
                  <c:v>137.77777777777777</c:v>
                </c:pt>
                <c:pt idx="18">
                  <c:v>148.88888888888889</c:v>
                </c:pt>
                <c:pt idx="19">
                  <c:v>176.66666666666666</c:v>
                </c:pt>
                <c:pt idx="20">
                  <c:v>204.44444444444443</c:v>
                </c:pt>
                <c:pt idx="21">
                  <c:v>232.22222222222223</c:v>
                </c:pt>
                <c:pt idx="22">
                  <c:v>260</c:v>
                </c:pt>
                <c:pt idx="23">
                  <c:v>287.77777777777777</c:v>
                </c:pt>
                <c:pt idx="24">
                  <c:v>315.55555555555554</c:v>
                </c:pt>
                <c:pt idx="25">
                  <c:v>343.33333333333331</c:v>
                </c:pt>
                <c:pt idx="26">
                  <c:v>371.11111111111109</c:v>
                </c:pt>
              </c:numCache>
            </c:numRef>
          </c:xVal>
          <c:yVal>
            <c:numRef>
              <c:f>'Water-props'!$J$143:$J$169</c:f>
              <c:numCache>
                <c:formatCode>General</c:formatCode>
                <c:ptCount val="27"/>
                <c:pt idx="0">
                  <c:v>0.61018602044540005</c:v>
                </c:pt>
                <c:pt idx="1">
                  <c:v>0.83909196257858965</c:v>
                </c:pt>
                <c:pt idx="2">
                  <c:v>1.2279562739132852</c:v>
                </c:pt>
                <c:pt idx="3">
                  <c:v>1.7671262942390509</c:v>
                </c:pt>
                <c:pt idx="4">
                  <c:v>2.5034863731494319</c:v>
                </c:pt>
                <c:pt idx="5">
                  <c:v>3.4949524719070428</c:v>
                </c:pt>
                <c:pt idx="6">
                  <c:v>4.8118511149021996</c:v>
                </c:pt>
                <c:pt idx="7">
                  <c:v>6.5451930984047255</c:v>
                </c:pt>
                <c:pt idx="8">
                  <c:v>11.665929340040869</c:v>
                </c:pt>
                <c:pt idx="9">
                  <c:v>19.912059062670227</c:v>
                </c:pt>
                <c:pt idx="10">
                  <c:v>32.653570540445358</c:v>
                </c:pt>
                <c:pt idx="11">
                  <c:v>51.758942999814892</c:v>
                </c:pt>
                <c:pt idx="12">
                  <c:v>79.427604017299529</c:v>
                </c:pt>
                <c:pt idx="13">
                  <c:v>101.28398463664323</c:v>
                </c:pt>
                <c:pt idx="14">
                  <c:v>118.52087786956415</c:v>
                </c:pt>
                <c:pt idx="15">
                  <c:v>172.162089610414</c:v>
                </c:pt>
                <c:pt idx="16">
                  <c:v>244.28125089695504</c:v>
                </c:pt>
                <c:pt idx="17">
                  <c:v>339.2220588238834</c:v>
                </c:pt>
                <c:pt idx="18">
                  <c:v>462.01768621521194</c:v>
                </c:pt>
                <c:pt idx="19">
                  <c:v>928.03433166046148</c:v>
                </c:pt>
                <c:pt idx="20">
                  <c:v>1704.797688308809</c:v>
                </c:pt>
                <c:pt idx="21">
                  <c:v>2913.3796942282916</c:v>
                </c:pt>
                <c:pt idx="22">
                  <c:v>4694.364450626611</c:v>
                </c:pt>
                <c:pt idx="23">
                  <c:v>7207.9861169970009</c:v>
                </c:pt>
                <c:pt idx="24">
                  <c:v>10639.989454817416</c:v>
                </c:pt>
                <c:pt idx="25">
                  <c:v>15226.382006233011</c:v>
                </c:pt>
                <c:pt idx="26">
                  <c:v>21334.447492250863</c:v>
                </c:pt>
              </c:numCache>
            </c:numRef>
          </c:yVal>
          <c:smooth val="0"/>
          <c:extLst>
            <c:ext xmlns:c16="http://schemas.microsoft.com/office/drawing/2014/chart" uri="{C3380CC4-5D6E-409C-BE32-E72D297353CC}">
              <c16:uniqueId val="{00000000-CC4D-49D5-9CFF-62B309BBCB04}"/>
            </c:ext>
          </c:extLst>
        </c:ser>
        <c:dLbls>
          <c:showLegendKey val="0"/>
          <c:showVal val="0"/>
          <c:showCatName val="0"/>
          <c:showSerName val="0"/>
          <c:showPercent val="0"/>
          <c:showBubbleSize val="0"/>
        </c:dLbls>
        <c:axId val="547824024"/>
        <c:axId val="547827632"/>
      </c:scatterChart>
      <c:valAx>
        <c:axId val="54782402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Temperature (C)</a:t>
                </a:r>
              </a:p>
            </c:rich>
          </c:tx>
          <c:layout>
            <c:manualLayout>
              <c:xMode val="edge"/>
              <c:yMode val="edge"/>
              <c:x val="0.46969791104879011"/>
              <c:y val="0.9322974781325200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7827632"/>
        <c:crosses val="autoZero"/>
        <c:crossBetween val="midCat"/>
      </c:valAx>
      <c:valAx>
        <c:axId val="547827632"/>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Absolute Vapor Pressure (kPa)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78240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Well cost</a:t>
            </a:r>
            <a:r>
              <a:rPr lang="en-US" baseline="0"/>
              <a:t> related to depth of well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948556430446197E-2"/>
          <c:y val="0.1045524785553809"/>
          <c:w val="0.88359146981627312"/>
          <c:h val="0.77085764714917415"/>
        </c:manualLayout>
      </c:layout>
      <c:scatterChart>
        <c:scatterStyle val="lineMarker"/>
        <c:varyColors val="0"/>
        <c:ser>
          <c:idx val="0"/>
          <c:order val="0"/>
          <c:tx>
            <c:strRef>
              <c:f>'Well Cost Suggestions'!$C$4</c:f>
              <c:strCache>
                <c:ptCount val="1"/>
                <c:pt idx="0">
                  <c:v>van Wees calculation of well cost ($MM)</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'Well Cost Suggestions'!$B$5:$B$24</c:f>
              <c:numCache>
                <c:formatCode>General</c:formatCode>
                <c:ptCount val="20"/>
                <c:pt idx="0">
                  <c:v>500</c:v>
                </c:pt>
                <c:pt idx="1">
                  <c:v>1000</c:v>
                </c:pt>
                <c:pt idx="2">
                  <c:v>1500</c:v>
                </c:pt>
                <c:pt idx="3">
                  <c:v>2000</c:v>
                </c:pt>
                <c:pt idx="4">
                  <c:v>2500</c:v>
                </c:pt>
                <c:pt idx="5">
                  <c:v>3000</c:v>
                </c:pt>
                <c:pt idx="6">
                  <c:v>3500</c:v>
                </c:pt>
                <c:pt idx="7">
                  <c:v>4000</c:v>
                </c:pt>
                <c:pt idx="8">
                  <c:v>4500</c:v>
                </c:pt>
                <c:pt idx="9">
                  <c:v>5000</c:v>
                </c:pt>
                <c:pt idx="10">
                  <c:v>5500</c:v>
                </c:pt>
                <c:pt idx="11">
                  <c:v>6000</c:v>
                </c:pt>
                <c:pt idx="12">
                  <c:v>6500</c:v>
                </c:pt>
                <c:pt idx="13">
                  <c:v>7000</c:v>
                </c:pt>
                <c:pt idx="14">
                  <c:v>7500</c:v>
                </c:pt>
                <c:pt idx="15">
                  <c:v>8000</c:v>
                </c:pt>
                <c:pt idx="16">
                  <c:v>8500</c:v>
                </c:pt>
                <c:pt idx="17">
                  <c:v>9000</c:v>
                </c:pt>
                <c:pt idx="18">
                  <c:v>9500</c:v>
                </c:pt>
                <c:pt idx="19">
                  <c:v>10000</c:v>
                </c:pt>
              </c:numCache>
            </c:numRef>
          </c:xVal>
          <c:yVal>
            <c:numRef>
              <c:f>'Well Cost Suggestions'!$C$5:$C$24</c:f>
              <c:numCache>
                <c:formatCode>General</c:formatCode>
                <c:ptCount val="20"/>
                <c:pt idx="0">
                  <c:v>0.65</c:v>
                </c:pt>
                <c:pt idx="1">
                  <c:v>1.1499999999999999</c:v>
                </c:pt>
                <c:pt idx="2">
                  <c:v>1.75</c:v>
                </c:pt>
                <c:pt idx="3">
                  <c:v>2.4499999999999997</c:v>
                </c:pt>
                <c:pt idx="4">
                  <c:v>3.25</c:v>
                </c:pt>
                <c:pt idx="5">
                  <c:v>4.1499999999999995</c:v>
                </c:pt>
                <c:pt idx="6">
                  <c:v>5.1499999999999995</c:v>
                </c:pt>
                <c:pt idx="7">
                  <c:v>6.25</c:v>
                </c:pt>
                <c:pt idx="8">
                  <c:v>7.4499999999999993</c:v>
                </c:pt>
                <c:pt idx="9">
                  <c:v>8.75</c:v>
                </c:pt>
                <c:pt idx="10">
                  <c:v>10.15</c:v>
                </c:pt>
                <c:pt idx="11">
                  <c:v>11.65</c:v>
                </c:pt>
                <c:pt idx="12">
                  <c:v>13.25</c:v>
                </c:pt>
                <c:pt idx="13">
                  <c:v>14.95</c:v>
                </c:pt>
                <c:pt idx="14">
                  <c:v>16.75</c:v>
                </c:pt>
                <c:pt idx="15">
                  <c:v>18.649999999999999</c:v>
                </c:pt>
                <c:pt idx="16">
                  <c:v>20.65</c:v>
                </c:pt>
                <c:pt idx="17">
                  <c:v>22.75</c:v>
                </c:pt>
                <c:pt idx="18">
                  <c:v>24.95</c:v>
                </c:pt>
                <c:pt idx="19">
                  <c:v>27.25</c:v>
                </c:pt>
              </c:numCache>
            </c:numRef>
          </c:yVal>
          <c:smooth val="0"/>
          <c:extLst>
            <c:ext xmlns:c16="http://schemas.microsoft.com/office/drawing/2014/chart" uri="{C3380CC4-5D6E-409C-BE32-E72D297353CC}">
              <c16:uniqueId val="{00000000-A166-4D6A-9E5B-5317C4C391FC}"/>
            </c:ext>
          </c:extLst>
        </c:ser>
        <c:ser>
          <c:idx val="1"/>
          <c:order val="1"/>
          <c:tx>
            <c:strRef>
              <c:f>'Well Cost Suggestions'!$D$4</c:f>
              <c:strCache>
                <c:ptCount val="1"/>
                <c:pt idx="0">
                  <c:v>DOE calculation of well cost ($MM)</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'Well Cost Suggestions'!$B$5:$B$24</c:f>
              <c:numCache>
                <c:formatCode>General</c:formatCode>
                <c:ptCount val="20"/>
                <c:pt idx="0">
                  <c:v>500</c:v>
                </c:pt>
                <c:pt idx="1">
                  <c:v>1000</c:v>
                </c:pt>
                <c:pt idx="2">
                  <c:v>1500</c:v>
                </c:pt>
                <c:pt idx="3">
                  <c:v>2000</c:v>
                </c:pt>
                <c:pt idx="4">
                  <c:v>2500</c:v>
                </c:pt>
                <c:pt idx="5">
                  <c:v>3000</c:v>
                </c:pt>
                <c:pt idx="6">
                  <c:v>3500</c:v>
                </c:pt>
                <c:pt idx="7">
                  <c:v>4000</c:v>
                </c:pt>
                <c:pt idx="8">
                  <c:v>4500</c:v>
                </c:pt>
                <c:pt idx="9">
                  <c:v>5000</c:v>
                </c:pt>
                <c:pt idx="10">
                  <c:v>5500</c:v>
                </c:pt>
                <c:pt idx="11">
                  <c:v>6000</c:v>
                </c:pt>
                <c:pt idx="12">
                  <c:v>6500</c:v>
                </c:pt>
                <c:pt idx="13">
                  <c:v>7000</c:v>
                </c:pt>
                <c:pt idx="14">
                  <c:v>7500</c:v>
                </c:pt>
                <c:pt idx="15">
                  <c:v>8000</c:v>
                </c:pt>
                <c:pt idx="16">
                  <c:v>8500</c:v>
                </c:pt>
                <c:pt idx="17">
                  <c:v>9000</c:v>
                </c:pt>
                <c:pt idx="18">
                  <c:v>9500</c:v>
                </c:pt>
                <c:pt idx="19">
                  <c:v>10000</c:v>
                </c:pt>
              </c:numCache>
            </c:numRef>
          </c:xVal>
          <c:yVal>
            <c:numRef>
              <c:f>'Well Cost Suggestions'!$D$5:$D$24</c:f>
              <c:numCache>
                <c:formatCode>0.00</c:formatCode>
                <c:ptCount val="20"/>
                <c:pt idx="0">
                  <c:v>0.63658745521817162</c:v>
                </c:pt>
                <c:pt idx="1">
                  <c:v>1.1350184208726863</c:v>
                </c:pt>
                <c:pt idx="2">
                  <c:v>1.7360778969635446</c:v>
                </c:pt>
                <c:pt idx="3">
                  <c:v>2.4397658834907459</c:v>
                </c:pt>
                <c:pt idx="4">
                  <c:v>3.2460823804542902</c:v>
                </c:pt>
                <c:pt idx="5">
                  <c:v>4.1550273878541777</c:v>
                </c:pt>
                <c:pt idx="6">
                  <c:v>5.1666009056904088</c:v>
                </c:pt>
                <c:pt idx="7">
                  <c:v>6.2808029339629821</c:v>
                </c:pt>
                <c:pt idx="8">
                  <c:v>7.4976334726719003</c:v>
                </c:pt>
                <c:pt idx="9">
                  <c:v>8.8170925218171607</c:v>
                </c:pt>
                <c:pt idx="10">
                  <c:v>10.239180081398763</c:v>
                </c:pt>
                <c:pt idx="11">
                  <c:v>11.763896151416711</c:v>
                </c:pt>
                <c:pt idx="12">
                  <c:v>13.391240731870997</c:v>
                </c:pt>
                <c:pt idx="13">
                  <c:v>15.121213822761632</c:v>
                </c:pt>
                <c:pt idx="14">
                  <c:v>16.95381542408861</c:v>
                </c:pt>
                <c:pt idx="15">
                  <c:v>18.889045535851928</c:v>
                </c:pt>
                <c:pt idx="16">
                  <c:v>20.926904158051592</c:v>
                </c:pt>
                <c:pt idx="17">
                  <c:v>23.067391290687599</c:v>
                </c:pt>
                <c:pt idx="18">
                  <c:v>25.310506933759946</c:v>
                </c:pt>
                <c:pt idx="19">
                  <c:v>27.656251087268643</c:v>
                </c:pt>
              </c:numCache>
            </c:numRef>
          </c:yVal>
          <c:smooth val="0"/>
          <c:extLst>
            <c:ext xmlns:c16="http://schemas.microsoft.com/office/drawing/2014/chart" uri="{C3380CC4-5D6E-409C-BE32-E72D297353CC}">
              <c16:uniqueId val="{00000001-A166-4D6A-9E5B-5317C4C391FC}"/>
            </c:ext>
          </c:extLst>
        </c:ser>
        <c:dLbls>
          <c:showLegendKey val="0"/>
          <c:showVal val="0"/>
          <c:showCatName val="0"/>
          <c:showSerName val="0"/>
          <c:showPercent val="0"/>
          <c:showBubbleSize val="0"/>
        </c:dLbls>
        <c:axId val="569995176"/>
        <c:axId val="569998128"/>
      </c:scatterChart>
      <c:valAx>
        <c:axId val="5699951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t>Depth of well (m)</a:t>
                </a:r>
              </a:p>
            </c:rich>
          </c:tx>
          <c:layout>
            <c:manualLayout>
              <c:xMode val="edge"/>
              <c:yMode val="edge"/>
              <c:x val="0.44600682414698162"/>
              <c:y val="0.932346738060686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cross"/>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998128"/>
        <c:crosses val="autoZero"/>
        <c:crossBetween val="midCat"/>
      </c:valAx>
      <c:valAx>
        <c:axId val="569998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Well</a:t>
                </a:r>
                <a:r>
                  <a:rPr lang="en-US" sz="1200" baseline="0"/>
                  <a:t> cost ($MM)</a:t>
                </a:r>
                <a:endParaRPr lang="en-US" sz="1200"/>
              </a:p>
            </c:rich>
          </c:tx>
          <c:layout>
            <c:manualLayout>
              <c:xMode val="edge"/>
              <c:yMode val="edge"/>
              <c:x val="1.7991601049868765E-2"/>
              <c:y val="0.4209537778176318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cross"/>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995176"/>
        <c:crosses val="autoZero"/>
        <c:crossBetween val="midCat"/>
      </c:valAx>
      <c:spPr>
        <a:noFill/>
        <a:ln>
          <a:noFill/>
        </a:ln>
        <a:effectLst/>
      </c:spPr>
    </c:plotArea>
    <c:legend>
      <c:legendPos val="r"/>
      <c:layout>
        <c:manualLayout>
          <c:xMode val="edge"/>
          <c:yMode val="edge"/>
          <c:x val="0.62754002624671912"/>
          <c:y val="0.69780078067602647"/>
          <c:w val="0.31912664041994748"/>
          <c:h val="0.1092324950514125"/>
        </c:manualLayout>
      </c:layout>
      <c:overlay val="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r>
              <a:rPr lang="en-US"/>
              <a:t>Yearly pressure</a:t>
            </a:r>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Cashflow!$B$47</c:f>
              <c:strCache>
                <c:ptCount val="1"/>
                <c:pt idx="0">
                  <c:v>Reservoir pressure (MPa)</c:v>
                </c:pt>
              </c:strCache>
            </c:strRef>
          </c:tx>
          <c:spPr>
            <a:ln w="19050" cap="rnd">
              <a:solidFill>
                <a:schemeClr val="accent1"/>
              </a:solidFill>
              <a:prstDash val="dash"/>
              <a:round/>
            </a:ln>
            <a:effectLst/>
          </c:spPr>
          <c:marker>
            <c:symbol val="none"/>
          </c:marker>
          <c:xVal>
            <c:numRef>
              <c:f>Cashflow!$C$46:$AG$46</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Cashflow!$C$47:$AG$47</c:f>
              <c:numCache>
                <c:formatCode>0.0</c:formatCode>
                <c:ptCount val="31"/>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numCache>
            </c:numRef>
          </c:yVal>
          <c:smooth val="0"/>
          <c:extLst>
            <c:ext xmlns:c16="http://schemas.microsoft.com/office/drawing/2014/chart" uri="{C3380CC4-5D6E-409C-BE32-E72D297353CC}">
              <c16:uniqueId val="{00000001-8299-4AED-9BB4-3D4CEB0B49A9}"/>
            </c:ext>
          </c:extLst>
        </c:ser>
        <c:ser>
          <c:idx val="1"/>
          <c:order val="1"/>
          <c:tx>
            <c:strRef>
              <c:f>Cashflow!$B$48</c:f>
              <c:strCache>
                <c:ptCount val="1"/>
                <c:pt idx="0">
                  <c:v>Flowing bottomhole pressure producer (MPa)</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Cashflow!$C$46:$AG$46</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Cashflow!$C$48:$AG$48</c:f>
              <c:numCache>
                <c:formatCode>0.0</c:formatCode>
                <c:ptCount val="31"/>
                <c:pt idx="0">
                  <c:v>0</c:v>
                </c:pt>
                <c:pt idx="1">
                  <c:v>0</c:v>
                </c:pt>
                <c:pt idx="2">
                  <c:v>0</c:v>
                </c:pt>
                <c:pt idx="3">
                  <c:v>0</c:v>
                </c:pt>
                <c:pt idx="4">
                  <c:v>0</c:v>
                </c:pt>
                <c:pt idx="5">
                  <c:v>0</c:v>
                </c:pt>
                <c:pt idx="6">
                  <c:v>0</c:v>
                </c:pt>
                <c:pt idx="7">
                  <c:v>0</c:v>
                </c:pt>
                <c:pt idx="8">
                  <c:v>18</c:v>
                </c:pt>
                <c:pt idx="9">
                  <c:v>18</c:v>
                </c:pt>
                <c:pt idx="10">
                  <c:v>18</c:v>
                </c:pt>
                <c:pt idx="11">
                  <c:v>18</c:v>
                </c:pt>
                <c:pt idx="12">
                  <c:v>18</c:v>
                </c:pt>
                <c:pt idx="13">
                  <c:v>18</c:v>
                </c:pt>
                <c:pt idx="14">
                  <c:v>18</c:v>
                </c:pt>
                <c:pt idx="15">
                  <c:v>18</c:v>
                </c:pt>
                <c:pt idx="16">
                  <c:v>18</c:v>
                </c:pt>
                <c:pt idx="17">
                  <c:v>18</c:v>
                </c:pt>
                <c:pt idx="18">
                  <c:v>18</c:v>
                </c:pt>
                <c:pt idx="19">
                  <c:v>18</c:v>
                </c:pt>
                <c:pt idx="20">
                  <c:v>18</c:v>
                </c:pt>
                <c:pt idx="21">
                  <c:v>18</c:v>
                </c:pt>
                <c:pt idx="22">
                  <c:v>18</c:v>
                </c:pt>
                <c:pt idx="23">
                  <c:v>18</c:v>
                </c:pt>
                <c:pt idx="24">
                  <c:v>18</c:v>
                </c:pt>
                <c:pt idx="25">
                  <c:v>18</c:v>
                </c:pt>
                <c:pt idx="26">
                  <c:v>18</c:v>
                </c:pt>
                <c:pt idx="27">
                  <c:v>18</c:v>
                </c:pt>
                <c:pt idx="28">
                  <c:v>18</c:v>
                </c:pt>
                <c:pt idx="29">
                  <c:v>18</c:v>
                </c:pt>
                <c:pt idx="30">
                  <c:v>18</c:v>
                </c:pt>
              </c:numCache>
            </c:numRef>
          </c:yVal>
          <c:smooth val="0"/>
          <c:extLst>
            <c:ext xmlns:c16="http://schemas.microsoft.com/office/drawing/2014/chart" uri="{C3380CC4-5D6E-409C-BE32-E72D297353CC}">
              <c16:uniqueId val="{00000002-8299-4AED-9BB4-3D4CEB0B49A9}"/>
            </c:ext>
          </c:extLst>
        </c:ser>
        <c:ser>
          <c:idx val="2"/>
          <c:order val="2"/>
          <c:tx>
            <c:strRef>
              <c:f>Cashflow!$B$50</c:f>
              <c:strCache>
                <c:ptCount val="1"/>
                <c:pt idx="0">
                  <c:v>Flowing tubing head pressure producer (MPa)</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Cashflow!$C$46:$AG$46</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Cashflow!$C$50:$AG$50</c:f>
              <c:numCache>
                <c:formatCode>0.0</c:formatCode>
                <c:ptCount val="31"/>
                <c:pt idx="0">
                  <c:v>0</c:v>
                </c:pt>
                <c:pt idx="1">
                  <c:v>0</c:v>
                </c:pt>
                <c:pt idx="2">
                  <c:v>0</c:v>
                </c:pt>
                <c:pt idx="3">
                  <c:v>0</c:v>
                </c:pt>
                <c:pt idx="4">
                  <c:v>0</c:v>
                </c:pt>
                <c:pt idx="5">
                  <c:v>0</c:v>
                </c:pt>
                <c:pt idx="6">
                  <c:v>0</c:v>
                </c:pt>
                <c:pt idx="7">
                  <c:v>0</c:v>
                </c:pt>
                <c:pt idx="8">
                  <c:v>3.5</c:v>
                </c:pt>
                <c:pt idx="9">
                  <c:v>3.5</c:v>
                </c:pt>
                <c:pt idx="10">
                  <c:v>3.5</c:v>
                </c:pt>
                <c:pt idx="11">
                  <c:v>3.5</c:v>
                </c:pt>
                <c:pt idx="12">
                  <c:v>3.5</c:v>
                </c:pt>
                <c:pt idx="13">
                  <c:v>3.5</c:v>
                </c:pt>
                <c:pt idx="14">
                  <c:v>3.5</c:v>
                </c:pt>
                <c:pt idx="15">
                  <c:v>3.5</c:v>
                </c:pt>
                <c:pt idx="16">
                  <c:v>3.5</c:v>
                </c:pt>
                <c:pt idx="17">
                  <c:v>3.5</c:v>
                </c:pt>
                <c:pt idx="18">
                  <c:v>3.5</c:v>
                </c:pt>
                <c:pt idx="19">
                  <c:v>3.5</c:v>
                </c:pt>
                <c:pt idx="20">
                  <c:v>3.5</c:v>
                </c:pt>
                <c:pt idx="21">
                  <c:v>3.5</c:v>
                </c:pt>
                <c:pt idx="22">
                  <c:v>3.5</c:v>
                </c:pt>
                <c:pt idx="23">
                  <c:v>3.5</c:v>
                </c:pt>
                <c:pt idx="24">
                  <c:v>3.5</c:v>
                </c:pt>
                <c:pt idx="25">
                  <c:v>2.5</c:v>
                </c:pt>
                <c:pt idx="26">
                  <c:v>2.5</c:v>
                </c:pt>
                <c:pt idx="27">
                  <c:v>2.5</c:v>
                </c:pt>
                <c:pt idx="28">
                  <c:v>2.5</c:v>
                </c:pt>
                <c:pt idx="29">
                  <c:v>1.5</c:v>
                </c:pt>
                <c:pt idx="30">
                  <c:v>1.5</c:v>
                </c:pt>
              </c:numCache>
            </c:numRef>
          </c:yVal>
          <c:smooth val="0"/>
          <c:extLst>
            <c:ext xmlns:c16="http://schemas.microsoft.com/office/drawing/2014/chart" uri="{C3380CC4-5D6E-409C-BE32-E72D297353CC}">
              <c16:uniqueId val="{00000003-8299-4AED-9BB4-3D4CEB0B49A9}"/>
            </c:ext>
          </c:extLst>
        </c:ser>
        <c:ser>
          <c:idx val="3"/>
          <c:order val="3"/>
          <c:tx>
            <c:strRef>
              <c:f>Cashflow!$B$51</c:f>
              <c:strCache>
                <c:ptCount val="1"/>
                <c:pt idx="0">
                  <c:v>Pressure after turbine (MPa)</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Cashflow!$C$46:$AG$46</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Cashflow!$C$51:$AG$51</c:f>
              <c:numCache>
                <c:formatCode>0.0</c:formatCode>
                <c:ptCount val="31"/>
                <c:pt idx="0">
                  <c:v>0</c:v>
                </c:pt>
                <c:pt idx="1">
                  <c:v>0</c:v>
                </c:pt>
                <c:pt idx="2">
                  <c:v>0</c:v>
                </c:pt>
                <c:pt idx="3">
                  <c:v>0</c:v>
                </c:pt>
                <c:pt idx="4">
                  <c:v>0</c:v>
                </c:pt>
                <c:pt idx="5">
                  <c:v>0</c:v>
                </c:pt>
                <c:pt idx="6">
                  <c:v>0</c:v>
                </c:pt>
                <c:pt idx="7">
                  <c:v>0</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yVal>
          <c:smooth val="0"/>
          <c:extLst>
            <c:ext xmlns:c16="http://schemas.microsoft.com/office/drawing/2014/chart" uri="{C3380CC4-5D6E-409C-BE32-E72D297353CC}">
              <c16:uniqueId val="{00000004-8299-4AED-9BB4-3D4CEB0B49A9}"/>
            </c:ext>
          </c:extLst>
        </c:ser>
        <c:ser>
          <c:idx val="4"/>
          <c:order val="4"/>
          <c:tx>
            <c:strRef>
              <c:f>Cashflow!$B$52</c:f>
              <c:strCache>
                <c:ptCount val="1"/>
                <c:pt idx="0">
                  <c:v>Reinjection pressure at inj. wellhead (MPa)</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Cashflow!$C$46:$AG$46</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Cashflow!$C$52:$AG$52</c:f>
              <c:numCache>
                <c:formatCode>0.0</c:formatCode>
                <c:ptCount val="31"/>
                <c:pt idx="0">
                  <c:v>0</c:v>
                </c:pt>
                <c:pt idx="1">
                  <c:v>0</c:v>
                </c:pt>
                <c:pt idx="2">
                  <c:v>0</c:v>
                </c:pt>
                <c:pt idx="3">
                  <c:v>0</c:v>
                </c:pt>
                <c:pt idx="4">
                  <c:v>0</c:v>
                </c:pt>
                <c:pt idx="5">
                  <c:v>0</c:v>
                </c:pt>
                <c:pt idx="6">
                  <c:v>0</c:v>
                </c:pt>
                <c:pt idx="7">
                  <c:v>0</c:v>
                </c:pt>
                <c:pt idx="8">
                  <c:v>13.2</c:v>
                </c:pt>
                <c:pt idx="9">
                  <c:v>13.2</c:v>
                </c:pt>
                <c:pt idx="10">
                  <c:v>13.2</c:v>
                </c:pt>
                <c:pt idx="11">
                  <c:v>13.2</c:v>
                </c:pt>
                <c:pt idx="12">
                  <c:v>13.2</c:v>
                </c:pt>
                <c:pt idx="13">
                  <c:v>13.2</c:v>
                </c:pt>
                <c:pt idx="14">
                  <c:v>13.2</c:v>
                </c:pt>
                <c:pt idx="15">
                  <c:v>13.2</c:v>
                </c:pt>
                <c:pt idx="16">
                  <c:v>13.2</c:v>
                </c:pt>
                <c:pt idx="17">
                  <c:v>13.2</c:v>
                </c:pt>
                <c:pt idx="18">
                  <c:v>13.2</c:v>
                </c:pt>
                <c:pt idx="19">
                  <c:v>13.2</c:v>
                </c:pt>
                <c:pt idx="20">
                  <c:v>13.2</c:v>
                </c:pt>
                <c:pt idx="21">
                  <c:v>13.2</c:v>
                </c:pt>
                <c:pt idx="22">
                  <c:v>13.2</c:v>
                </c:pt>
                <c:pt idx="23">
                  <c:v>13.2</c:v>
                </c:pt>
                <c:pt idx="24">
                  <c:v>13.2</c:v>
                </c:pt>
                <c:pt idx="25">
                  <c:v>13.2</c:v>
                </c:pt>
                <c:pt idx="26">
                  <c:v>13.2</c:v>
                </c:pt>
                <c:pt idx="27">
                  <c:v>13.2</c:v>
                </c:pt>
                <c:pt idx="28">
                  <c:v>13.2</c:v>
                </c:pt>
                <c:pt idx="29">
                  <c:v>13.2</c:v>
                </c:pt>
                <c:pt idx="30">
                  <c:v>13.2</c:v>
                </c:pt>
              </c:numCache>
            </c:numRef>
          </c:yVal>
          <c:smooth val="0"/>
          <c:extLst>
            <c:ext xmlns:c16="http://schemas.microsoft.com/office/drawing/2014/chart" uri="{C3380CC4-5D6E-409C-BE32-E72D297353CC}">
              <c16:uniqueId val="{00000005-8299-4AED-9BB4-3D4CEB0B49A9}"/>
            </c:ext>
          </c:extLst>
        </c:ser>
        <c:dLbls>
          <c:showLegendKey val="0"/>
          <c:showVal val="0"/>
          <c:showCatName val="0"/>
          <c:showSerName val="0"/>
          <c:showPercent val="0"/>
          <c:showBubbleSize val="0"/>
        </c:dLbls>
        <c:axId val="655473424"/>
        <c:axId val="655473752"/>
      </c:scatterChart>
      <c:valAx>
        <c:axId val="655473424"/>
        <c:scaling>
          <c:orientation val="minMax"/>
        </c:scaling>
        <c:delete val="0"/>
        <c:axPos val="b"/>
        <c:title>
          <c:tx>
            <c:rich>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Year</a:t>
                </a:r>
              </a:p>
            </c:rich>
          </c:tx>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cross"/>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752"/>
        <c:crosses val="autoZero"/>
        <c:crossBetween val="midCat"/>
      </c:valAx>
      <c:valAx>
        <c:axId val="655473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Pressure (MPa)</a:t>
                </a:r>
              </a:p>
            </c:rich>
          </c:tx>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424"/>
        <c:crosses val="autoZero"/>
        <c:crossBetween val="midCat"/>
      </c:valAx>
      <c:spPr>
        <a:noFill/>
        <a:ln>
          <a:noFill/>
        </a:ln>
        <a:effectLst/>
      </c:spPr>
    </c:plotArea>
    <c:legend>
      <c:legendPos val="r"/>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r>
              <a:rPr lang="en-US"/>
              <a:t>Yearly temperature</a:t>
            </a:r>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Cashflow!$B$58</c:f>
              <c:strCache>
                <c:ptCount val="1"/>
                <c:pt idx="0">
                  <c:v>Flowing tubing head temperature (°C)</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Cashflow!$C$54:$AG$54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Cashflow!$C$58:$AG$58</c:f>
              <c:numCache>
                <c:formatCode>0.0_);[Red]\(0.0\)</c:formatCode>
                <c:ptCount val="31"/>
                <c:pt idx="0">
                  <c:v>0</c:v>
                </c:pt>
                <c:pt idx="1">
                  <c:v>0</c:v>
                </c:pt>
                <c:pt idx="2">
                  <c:v>0</c:v>
                </c:pt>
                <c:pt idx="3">
                  <c:v>0</c:v>
                </c:pt>
                <c:pt idx="4">
                  <c:v>0</c:v>
                </c:pt>
                <c:pt idx="5">
                  <c:v>0</c:v>
                </c:pt>
                <c:pt idx="6">
                  <c:v>0</c:v>
                </c:pt>
                <c:pt idx="7">
                  <c:v>0</c:v>
                </c:pt>
                <c:pt idx="8">
                  <c:v>280</c:v>
                </c:pt>
                <c:pt idx="9">
                  <c:v>280</c:v>
                </c:pt>
                <c:pt idx="10">
                  <c:v>280</c:v>
                </c:pt>
                <c:pt idx="11">
                  <c:v>280</c:v>
                </c:pt>
                <c:pt idx="12">
                  <c:v>280</c:v>
                </c:pt>
                <c:pt idx="13">
                  <c:v>280</c:v>
                </c:pt>
                <c:pt idx="14">
                  <c:v>280</c:v>
                </c:pt>
                <c:pt idx="15">
                  <c:v>280</c:v>
                </c:pt>
                <c:pt idx="16">
                  <c:v>280</c:v>
                </c:pt>
                <c:pt idx="17">
                  <c:v>275.71891784600189</c:v>
                </c:pt>
                <c:pt idx="18">
                  <c:v>271.25054815487272</c:v>
                </c:pt>
                <c:pt idx="19">
                  <c:v>266.9694660008746</c:v>
                </c:pt>
                <c:pt idx="20">
                  <c:v>262.50109630974544</c:v>
                </c:pt>
                <c:pt idx="21">
                  <c:v>258.22001415574738</c:v>
                </c:pt>
                <c:pt idx="22">
                  <c:v>253.75164446461818</c:v>
                </c:pt>
                <c:pt idx="23">
                  <c:v>249.4705623106201</c:v>
                </c:pt>
                <c:pt idx="24">
                  <c:v>245.0021926194909</c:v>
                </c:pt>
                <c:pt idx="25">
                  <c:v>240.72111046549281</c:v>
                </c:pt>
                <c:pt idx="26">
                  <c:v>236.25274077436364</c:v>
                </c:pt>
                <c:pt idx="27">
                  <c:v>231.97165862036553</c:v>
                </c:pt>
                <c:pt idx="28">
                  <c:v>227.50328892923636</c:v>
                </c:pt>
                <c:pt idx="29">
                  <c:v>223.22220677523825</c:v>
                </c:pt>
                <c:pt idx="30">
                  <c:v>218.75383708410908</c:v>
                </c:pt>
              </c:numCache>
            </c:numRef>
          </c:yVal>
          <c:smooth val="0"/>
          <c:extLst>
            <c:ext xmlns:c16="http://schemas.microsoft.com/office/drawing/2014/chart" uri="{C3380CC4-5D6E-409C-BE32-E72D297353CC}">
              <c16:uniqueId val="{00000000-CC59-4BE9-8AC7-8593FF4C3516}"/>
            </c:ext>
          </c:extLst>
        </c:ser>
        <c:ser>
          <c:idx val="1"/>
          <c:order val="1"/>
          <c:tx>
            <c:strRef>
              <c:f>Cashflow!$B$59</c:f>
              <c:strCache>
                <c:ptCount val="1"/>
                <c:pt idx="0">
                  <c:v>Flowing bottom hole temperature (°C)</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Cashflow!$C$54:$AG$54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Cashflow!$C$59:$AG$59</c:f>
              <c:numCache>
                <c:formatCode>0.0_);[Red]\(0.0\)</c:formatCode>
                <c:ptCount val="31"/>
                <c:pt idx="0">
                  <c:v>0</c:v>
                </c:pt>
                <c:pt idx="1">
                  <c:v>0</c:v>
                </c:pt>
                <c:pt idx="2">
                  <c:v>0</c:v>
                </c:pt>
                <c:pt idx="3">
                  <c:v>0</c:v>
                </c:pt>
                <c:pt idx="4">
                  <c:v>0</c:v>
                </c:pt>
                <c:pt idx="5">
                  <c:v>0</c:v>
                </c:pt>
                <c:pt idx="6">
                  <c:v>0</c:v>
                </c:pt>
                <c:pt idx="7">
                  <c:v>0</c:v>
                </c:pt>
                <c:pt idx="8">
                  <c:v>295</c:v>
                </c:pt>
                <c:pt idx="9">
                  <c:v>295</c:v>
                </c:pt>
                <c:pt idx="10">
                  <c:v>295</c:v>
                </c:pt>
                <c:pt idx="11">
                  <c:v>295</c:v>
                </c:pt>
                <c:pt idx="12">
                  <c:v>295</c:v>
                </c:pt>
                <c:pt idx="13">
                  <c:v>295</c:v>
                </c:pt>
                <c:pt idx="14">
                  <c:v>295</c:v>
                </c:pt>
                <c:pt idx="15">
                  <c:v>295</c:v>
                </c:pt>
                <c:pt idx="16">
                  <c:v>295</c:v>
                </c:pt>
                <c:pt idx="17">
                  <c:v>290.71891784600189</c:v>
                </c:pt>
                <c:pt idx="18">
                  <c:v>286.25054815487272</c:v>
                </c:pt>
                <c:pt idx="19">
                  <c:v>281.9694660008746</c:v>
                </c:pt>
                <c:pt idx="20">
                  <c:v>277.50109630974544</c:v>
                </c:pt>
                <c:pt idx="21">
                  <c:v>273.22001415574738</c:v>
                </c:pt>
                <c:pt idx="22">
                  <c:v>268.75164446461815</c:v>
                </c:pt>
                <c:pt idx="23">
                  <c:v>264.4705623106201</c:v>
                </c:pt>
                <c:pt idx="24">
                  <c:v>260.00219261949087</c:v>
                </c:pt>
                <c:pt idx="25">
                  <c:v>255.72111046549281</c:v>
                </c:pt>
                <c:pt idx="26">
                  <c:v>251.25274077436364</c:v>
                </c:pt>
                <c:pt idx="27">
                  <c:v>246.97165862036553</c:v>
                </c:pt>
                <c:pt idx="28">
                  <c:v>242.50328892923636</c:v>
                </c:pt>
                <c:pt idx="29">
                  <c:v>238.22220677523825</c:v>
                </c:pt>
                <c:pt idx="30">
                  <c:v>233.75383708410908</c:v>
                </c:pt>
              </c:numCache>
            </c:numRef>
          </c:yVal>
          <c:smooth val="0"/>
          <c:extLst>
            <c:ext xmlns:c16="http://schemas.microsoft.com/office/drawing/2014/chart" uri="{C3380CC4-5D6E-409C-BE32-E72D297353CC}">
              <c16:uniqueId val="{00000006-CC59-4BE9-8AC7-8593FF4C3516}"/>
            </c:ext>
          </c:extLst>
        </c:ser>
        <c:ser>
          <c:idx val="2"/>
          <c:order val="2"/>
          <c:tx>
            <c:strRef>
              <c:f>'Fig. Temperature'!$B$35</c:f>
              <c:strCache>
                <c:ptCount val="1"/>
                <c:pt idx="0">
                  <c:v>Minimum allowable temperature at tubing head (°C)</c:v>
                </c:pt>
              </c:strCache>
            </c:strRef>
          </c:tx>
          <c:spPr>
            <a:ln w="19050" cap="rnd">
              <a:solidFill>
                <a:schemeClr val="accent3"/>
              </a:solidFill>
              <a:prstDash val="dash"/>
              <a:round/>
            </a:ln>
            <a:effectLst/>
          </c:spPr>
          <c:marker>
            <c:symbol val="none"/>
          </c:marker>
          <c:xVal>
            <c:numRef>
              <c:f>'Fig. Temperature'!$A$36:$A$37</c:f>
              <c:numCache>
                <c:formatCode>General</c:formatCode>
                <c:ptCount val="2"/>
                <c:pt idx="0">
                  <c:v>2017</c:v>
                </c:pt>
                <c:pt idx="1">
                  <c:v>2047</c:v>
                </c:pt>
              </c:numCache>
            </c:numRef>
          </c:xVal>
          <c:yVal>
            <c:numRef>
              <c:f>'Fig. Temperature'!$B$36:$B$37</c:f>
              <c:numCache>
                <c:formatCode>General</c:formatCode>
                <c:ptCount val="2"/>
                <c:pt idx="0">
                  <c:v>180</c:v>
                </c:pt>
                <c:pt idx="1">
                  <c:v>180</c:v>
                </c:pt>
              </c:numCache>
            </c:numRef>
          </c:yVal>
          <c:smooth val="0"/>
          <c:extLst>
            <c:ext xmlns:c16="http://schemas.microsoft.com/office/drawing/2014/chart" uri="{C3380CC4-5D6E-409C-BE32-E72D297353CC}">
              <c16:uniqueId val="{00000007-CC59-4BE9-8AC7-8593FF4C3516}"/>
            </c:ext>
          </c:extLst>
        </c:ser>
        <c:ser>
          <c:idx val="3"/>
          <c:order val="3"/>
          <c:tx>
            <c:strRef>
              <c:f>'Fig. Temperature'!$C$35</c:f>
              <c:strCache>
                <c:ptCount val="1"/>
                <c:pt idx="0">
                  <c:v>Injected water temperature (°C)</c:v>
                </c:pt>
              </c:strCache>
            </c:strRef>
          </c:tx>
          <c:spPr>
            <a:ln w="19050" cap="rnd">
              <a:solidFill>
                <a:schemeClr val="accent4"/>
              </a:solidFill>
              <a:prstDash val="dash"/>
              <a:round/>
            </a:ln>
            <a:effectLst/>
          </c:spPr>
          <c:marker>
            <c:symbol val="none"/>
          </c:marker>
          <c:xVal>
            <c:numRef>
              <c:f>'Fig. Temperature'!$A$36:$A$37</c:f>
              <c:numCache>
                <c:formatCode>General</c:formatCode>
                <c:ptCount val="2"/>
                <c:pt idx="0">
                  <c:v>2017</c:v>
                </c:pt>
                <c:pt idx="1">
                  <c:v>2047</c:v>
                </c:pt>
              </c:numCache>
            </c:numRef>
          </c:xVal>
          <c:yVal>
            <c:numRef>
              <c:f>'Fig. Temperature'!$C$36:$C$37</c:f>
              <c:numCache>
                <c:formatCode>General</c:formatCode>
                <c:ptCount val="2"/>
                <c:pt idx="0">
                  <c:v>151.67804603364539</c:v>
                </c:pt>
                <c:pt idx="1">
                  <c:v>151.67804603364539</c:v>
                </c:pt>
              </c:numCache>
            </c:numRef>
          </c:yVal>
          <c:smooth val="0"/>
          <c:extLst>
            <c:ext xmlns:c16="http://schemas.microsoft.com/office/drawing/2014/chart" uri="{C3380CC4-5D6E-409C-BE32-E72D297353CC}">
              <c16:uniqueId val="{00000008-CC59-4BE9-8AC7-8593FF4C3516}"/>
            </c:ext>
          </c:extLst>
        </c:ser>
        <c:ser>
          <c:idx val="4"/>
          <c:order val="4"/>
          <c:tx>
            <c:strRef>
              <c:f>'Fig. Temperature'!$D$35</c:f>
              <c:strCache>
                <c:ptCount val="1"/>
                <c:pt idx="0">
                  <c:v>Average ambient temp (°C)</c:v>
                </c:pt>
              </c:strCache>
            </c:strRef>
          </c:tx>
          <c:spPr>
            <a:ln w="19050" cap="rnd">
              <a:solidFill>
                <a:schemeClr val="accent5"/>
              </a:solidFill>
              <a:prstDash val="dash"/>
              <a:round/>
            </a:ln>
            <a:effectLst/>
          </c:spPr>
          <c:marker>
            <c:symbol val="none"/>
          </c:marker>
          <c:xVal>
            <c:numRef>
              <c:f>'Fig. Temperature'!$A$36:$A$37</c:f>
              <c:numCache>
                <c:formatCode>General</c:formatCode>
                <c:ptCount val="2"/>
                <c:pt idx="0">
                  <c:v>2017</c:v>
                </c:pt>
                <c:pt idx="1">
                  <c:v>2047</c:v>
                </c:pt>
              </c:numCache>
            </c:numRef>
          </c:xVal>
          <c:yVal>
            <c:numRef>
              <c:f>'Fig. Temperature'!$D$36:$D$37</c:f>
              <c:numCache>
                <c:formatCode>General</c:formatCode>
                <c:ptCount val="2"/>
                <c:pt idx="0">
                  <c:v>10</c:v>
                </c:pt>
                <c:pt idx="1">
                  <c:v>10</c:v>
                </c:pt>
              </c:numCache>
            </c:numRef>
          </c:yVal>
          <c:smooth val="0"/>
          <c:extLst>
            <c:ext xmlns:c16="http://schemas.microsoft.com/office/drawing/2014/chart" uri="{C3380CC4-5D6E-409C-BE32-E72D297353CC}">
              <c16:uniqueId val="{00000009-CC59-4BE9-8AC7-8593FF4C3516}"/>
            </c:ext>
          </c:extLst>
        </c:ser>
        <c:dLbls>
          <c:showLegendKey val="0"/>
          <c:showVal val="0"/>
          <c:showCatName val="0"/>
          <c:showSerName val="0"/>
          <c:showPercent val="0"/>
          <c:showBubbleSize val="0"/>
        </c:dLbls>
        <c:axId val="655473424"/>
        <c:axId val="655473752"/>
      </c:scatterChart>
      <c:valAx>
        <c:axId val="655473424"/>
        <c:scaling>
          <c:orientation val="minMax"/>
        </c:scaling>
        <c:delete val="0"/>
        <c:axPos val="b"/>
        <c:title>
          <c:tx>
            <c:rich>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Year</a:t>
                </a:r>
              </a:p>
            </c:rich>
          </c:tx>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cross"/>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752"/>
        <c:crosses val="autoZero"/>
        <c:crossBetween val="midCat"/>
      </c:valAx>
      <c:valAx>
        <c:axId val="655473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Temperature (</a:t>
                </a:r>
                <a:r>
                  <a:rPr lang="en-US" sz="2000" b="0">
                    <a:latin typeface="Calibri" panose="020F0502020204030204" pitchFamily="34" charset="0"/>
                    <a:cs typeface="Calibri" panose="020F0502020204030204" pitchFamily="34" charset="0"/>
                  </a:rPr>
                  <a:t>°</a:t>
                </a:r>
                <a:r>
                  <a:rPr lang="en-US" sz="2000" b="0"/>
                  <a:t>C)</a:t>
                </a:r>
              </a:p>
            </c:rich>
          </c:tx>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424"/>
        <c:crosses val="autoZero"/>
        <c:crossBetween val="midCat"/>
      </c:valAx>
      <c:spPr>
        <a:noFill/>
        <a:ln>
          <a:noFill/>
        </a:ln>
        <a:effectLst/>
      </c:spPr>
    </c:plotArea>
    <c:legend>
      <c:legendPos val="r"/>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r>
              <a:rPr lang="en-US"/>
              <a:t>Yearly mass flow rate for total field</a:t>
            </a:r>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558333333333334E-2"/>
          <c:y val="0.12192"/>
          <c:w val="0.76215379629629632"/>
          <c:h val="0.72311259259259264"/>
        </c:manualLayout>
      </c:layout>
      <c:scatterChart>
        <c:scatterStyle val="lineMarker"/>
        <c:varyColors val="0"/>
        <c:ser>
          <c:idx val="0"/>
          <c:order val="0"/>
          <c:tx>
            <c:v>Mass Flow Rate</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Cashflow!$C$30:$AG$30</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Cashflow!$C$40:$AG$40</c:f>
              <c:numCache>
                <c:formatCode>0.00</c:formatCode>
                <c:ptCount val="31"/>
                <c:pt idx="0">
                  <c:v>0</c:v>
                </c:pt>
                <c:pt idx="1">
                  <c:v>0</c:v>
                </c:pt>
                <c:pt idx="2">
                  <c:v>0</c:v>
                </c:pt>
                <c:pt idx="3">
                  <c:v>0</c:v>
                </c:pt>
                <c:pt idx="4">
                  <c:v>0</c:v>
                </c:pt>
                <c:pt idx="5">
                  <c:v>0</c:v>
                </c:pt>
                <c:pt idx="6">
                  <c:v>0</c:v>
                </c:pt>
                <c:pt idx="7">
                  <c:v>0</c:v>
                </c:pt>
                <c:pt idx="8">
                  <c:v>164.88221569228375</c:v>
                </c:pt>
                <c:pt idx="9">
                  <c:v>242.44580757930791</c:v>
                </c:pt>
                <c:pt idx="10">
                  <c:v>256.09958183931809</c:v>
                </c:pt>
                <c:pt idx="11">
                  <c:v>324.34011443114207</c:v>
                </c:pt>
                <c:pt idx="12">
                  <c:v>306.46649676435516</c:v>
                </c:pt>
                <c:pt idx="13">
                  <c:v>324.34011443114207</c:v>
                </c:pt>
                <c:pt idx="14">
                  <c:v>306.4664967643551</c:v>
                </c:pt>
                <c:pt idx="15">
                  <c:v>324.34011443114207</c:v>
                </c:pt>
                <c:pt idx="16">
                  <c:v>306.46649676435516</c:v>
                </c:pt>
                <c:pt idx="17">
                  <c:v>327.38237119932836</c:v>
                </c:pt>
                <c:pt idx="18">
                  <c:v>312.34146452199587</c:v>
                </c:pt>
                <c:pt idx="19">
                  <c:v>333.59997650010484</c:v>
                </c:pt>
                <c:pt idx="20">
                  <c:v>318.21643227963654</c:v>
                </c:pt>
                <c:pt idx="21">
                  <c:v>339.70608537333794</c:v>
                </c:pt>
                <c:pt idx="22">
                  <c:v>323.72157826508408</c:v>
                </c:pt>
                <c:pt idx="23">
                  <c:v>345.3756342798211</c:v>
                </c:pt>
                <c:pt idx="24">
                  <c:v>329.0786917218993</c:v>
                </c:pt>
                <c:pt idx="25">
                  <c:v>351.0451831863042</c:v>
                </c:pt>
                <c:pt idx="26">
                  <c:v>334.17577641040157</c:v>
                </c:pt>
                <c:pt idx="27">
                  <c:v>356.1251406736348</c:v>
                </c:pt>
                <c:pt idx="28">
                  <c:v>338.92575034211114</c:v>
                </c:pt>
                <c:pt idx="29">
                  <c:v>361.15214070404983</c:v>
                </c:pt>
                <c:pt idx="30">
                  <c:v>343.60959756388456</c:v>
                </c:pt>
              </c:numCache>
            </c:numRef>
          </c:yVal>
          <c:smooth val="0"/>
          <c:extLst>
            <c:ext xmlns:c16="http://schemas.microsoft.com/office/drawing/2014/chart" uri="{C3380CC4-5D6E-409C-BE32-E72D297353CC}">
              <c16:uniqueId val="{00000000-3246-4FEE-B1B0-7E97D6E9649C}"/>
            </c:ext>
          </c:extLst>
        </c:ser>
        <c:dLbls>
          <c:showLegendKey val="0"/>
          <c:showVal val="0"/>
          <c:showCatName val="0"/>
          <c:showSerName val="0"/>
          <c:showPercent val="0"/>
          <c:showBubbleSize val="0"/>
        </c:dLbls>
        <c:axId val="655473424"/>
        <c:axId val="655473752"/>
      </c:scatterChart>
      <c:scatterChart>
        <c:scatterStyle val="lineMarker"/>
        <c:varyColors val="0"/>
        <c:ser>
          <c:idx val="1"/>
          <c:order val="1"/>
          <c:tx>
            <c:strRef>
              <c:f>'Fig. Prod'!$A$36</c:f>
              <c:strCache>
                <c:ptCount val="1"/>
                <c:pt idx="0">
                  <c:v>Year of breakthrough</c:v>
                </c:pt>
              </c:strCache>
            </c:strRef>
          </c:tx>
          <c:spPr>
            <a:ln w="19050" cap="rnd">
              <a:solidFill>
                <a:schemeClr val="accent2"/>
              </a:solidFill>
              <a:prstDash val="dash"/>
              <a:round/>
            </a:ln>
            <a:effectLst/>
          </c:spPr>
          <c:marker>
            <c:symbol val="none"/>
          </c:marker>
          <c:xVal>
            <c:numRef>
              <c:f>'Fig. Prod'!$A$37:$A$38</c:f>
              <c:numCache>
                <c:formatCode>General</c:formatCode>
                <c:ptCount val="2"/>
                <c:pt idx="0">
                  <c:v>2034</c:v>
                </c:pt>
                <c:pt idx="1">
                  <c:v>2034</c:v>
                </c:pt>
              </c:numCache>
            </c:numRef>
          </c:xVal>
          <c:yVal>
            <c:numRef>
              <c:f>'Fig. Prod'!$B$37:$B$38</c:f>
              <c:numCache>
                <c:formatCode>0.00</c:formatCode>
                <c:ptCount val="2"/>
                <c:pt idx="0" formatCode="General">
                  <c:v>0</c:v>
                </c:pt>
                <c:pt idx="1">
                  <c:v>100</c:v>
                </c:pt>
              </c:numCache>
            </c:numRef>
          </c:yVal>
          <c:smooth val="0"/>
          <c:extLst>
            <c:ext xmlns:c16="http://schemas.microsoft.com/office/drawing/2014/chart" uri="{C3380CC4-5D6E-409C-BE32-E72D297353CC}">
              <c16:uniqueId val="{00000000-6C21-4D8F-87D5-E2F7C1DC2105}"/>
            </c:ext>
          </c:extLst>
        </c:ser>
        <c:dLbls>
          <c:showLegendKey val="0"/>
          <c:showVal val="0"/>
          <c:showCatName val="0"/>
          <c:showSerName val="0"/>
          <c:showPercent val="0"/>
          <c:showBubbleSize val="0"/>
        </c:dLbls>
        <c:axId val="806720024"/>
        <c:axId val="806709856"/>
      </c:scatterChart>
      <c:valAx>
        <c:axId val="655473424"/>
        <c:scaling>
          <c:orientation val="minMax"/>
        </c:scaling>
        <c:delete val="0"/>
        <c:axPos val="b"/>
        <c:title>
          <c:tx>
            <c:rich>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Year</a:t>
                </a:r>
              </a:p>
            </c:rich>
          </c:tx>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752"/>
        <c:crosses val="autoZero"/>
        <c:crossBetween val="midCat"/>
      </c:valAx>
      <c:valAx>
        <c:axId val="655473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Mass flow rate (kg/s)</a:t>
                </a:r>
              </a:p>
            </c:rich>
          </c:tx>
          <c:layout>
            <c:manualLayout>
              <c:xMode val="edge"/>
              <c:yMode val="edge"/>
              <c:x val="8.231481481481482E-3"/>
              <c:y val="0.27622518518518518"/>
            </c:manualLayout>
          </c:layout>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424"/>
        <c:crosses val="autoZero"/>
        <c:crossBetween val="midCat"/>
      </c:valAx>
      <c:valAx>
        <c:axId val="806709856"/>
        <c:scaling>
          <c:orientation val="minMax"/>
          <c:max val="100"/>
        </c:scaling>
        <c:delete val="0"/>
        <c:axPos val="r"/>
        <c:numFmt formatCode="General" sourceLinked="1"/>
        <c:majorTickMark val="out"/>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900" b="0" i="0" u="none" strike="noStrike" kern="1200" baseline="0">
                <a:ln>
                  <a:noFill/>
                </a:ln>
                <a:solidFill>
                  <a:schemeClr val="bg1"/>
                </a:solidFill>
                <a:latin typeface="+mn-lt"/>
                <a:ea typeface="+mn-ea"/>
                <a:cs typeface="+mn-cs"/>
              </a:defRPr>
            </a:pPr>
            <a:endParaRPr lang="en-US"/>
          </a:p>
        </c:txPr>
        <c:crossAx val="806720024"/>
        <c:crosses val="max"/>
        <c:crossBetween val="midCat"/>
      </c:valAx>
      <c:valAx>
        <c:axId val="806720024"/>
        <c:scaling>
          <c:orientation val="minMax"/>
        </c:scaling>
        <c:delete val="1"/>
        <c:axPos val="t"/>
        <c:numFmt formatCode="General" sourceLinked="1"/>
        <c:majorTickMark val="out"/>
        <c:minorTickMark val="none"/>
        <c:tickLblPos val="nextTo"/>
        <c:crossAx val="806709856"/>
        <c:crosses val="max"/>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r>
              <a:rPr lang="en-US" sz="2400" b="1"/>
              <a:t>Drilling / workover</a:t>
            </a:r>
            <a:r>
              <a:rPr lang="en-US" sz="2400" b="1" baseline="0"/>
              <a:t> rig schedule with production</a:t>
            </a:r>
            <a:endParaRPr lang="en-US" sz="2400" b="1"/>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508164063686038E-2"/>
          <c:y val="0.12662370370370374"/>
          <c:w val="0.63674519429675125"/>
          <c:h val="0.69185611111111123"/>
        </c:manualLayout>
      </c:layout>
      <c:barChart>
        <c:barDir val="col"/>
        <c:grouping val="stacked"/>
        <c:varyColors val="0"/>
        <c:ser>
          <c:idx val="5"/>
          <c:order val="0"/>
          <c:tx>
            <c:v>Inj. well workover + stim.</c:v>
          </c:tx>
          <c:spPr>
            <a:pattFill prst="dkUpDiag">
              <a:fgClr>
                <a:schemeClr val="accent6"/>
              </a:fgClr>
              <a:bgClr>
                <a:schemeClr val="bg1"/>
              </a:bgClr>
            </a:pattFill>
            <a:ln w="19050">
              <a:solidFill>
                <a:schemeClr val="accent6"/>
              </a:solidFill>
            </a:ln>
            <a:effectLst/>
          </c:spPr>
          <c:invertIfNegative val="0"/>
          <c:cat>
            <c:numRef>
              <c:f>Cashflow!$C$134:$AG$134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cat>
          <c:val>
            <c:numRef>
              <c:f>'Well Opex'!$C$83:$AG$83</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1</c:v>
                </c:pt>
                <c:pt idx="13">
                  <c:v>2</c:v>
                </c:pt>
                <c:pt idx="14">
                  <c:v>1</c:v>
                </c:pt>
                <c:pt idx="15">
                  <c:v>2</c:v>
                </c:pt>
                <c:pt idx="16">
                  <c:v>1</c:v>
                </c:pt>
                <c:pt idx="17">
                  <c:v>2</c:v>
                </c:pt>
                <c:pt idx="18">
                  <c:v>1</c:v>
                </c:pt>
                <c:pt idx="19">
                  <c:v>2</c:v>
                </c:pt>
                <c:pt idx="20">
                  <c:v>1</c:v>
                </c:pt>
                <c:pt idx="21">
                  <c:v>2</c:v>
                </c:pt>
                <c:pt idx="22">
                  <c:v>1</c:v>
                </c:pt>
                <c:pt idx="23">
                  <c:v>2</c:v>
                </c:pt>
                <c:pt idx="24">
                  <c:v>1</c:v>
                </c:pt>
                <c:pt idx="25">
                  <c:v>2</c:v>
                </c:pt>
                <c:pt idx="26">
                  <c:v>1</c:v>
                </c:pt>
                <c:pt idx="27">
                  <c:v>2</c:v>
                </c:pt>
                <c:pt idx="28">
                  <c:v>1</c:v>
                </c:pt>
                <c:pt idx="29">
                  <c:v>2</c:v>
                </c:pt>
                <c:pt idx="30">
                  <c:v>1</c:v>
                </c:pt>
              </c:numCache>
            </c:numRef>
          </c:val>
          <c:extLst>
            <c:ext xmlns:c16="http://schemas.microsoft.com/office/drawing/2014/chart" uri="{C3380CC4-5D6E-409C-BE32-E72D297353CC}">
              <c16:uniqueId val="{00000000-F681-4225-9EBE-AC07E498BF49}"/>
            </c:ext>
          </c:extLst>
        </c:ser>
        <c:ser>
          <c:idx val="4"/>
          <c:order val="1"/>
          <c:tx>
            <c:v>Prod. well workover + stim.</c:v>
          </c:tx>
          <c:spPr>
            <a:pattFill prst="dkUpDiag">
              <a:fgClr>
                <a:schemeClr val="accent5"/>
              </a:fgClr>
              <a:bgClr>
                <a:schemeClr val="bg1"/>
              </a:bgClr>
            </a:pattFill>
            <a:ln w="19050">
              <a:solidFill>
                <a:schemeClr val="accent5"/>
              </a:solidFill>
            </a:ln>
            <a:effectLst/>
          </c:spPr>
          <c:invertIfNegative val="0"/>
          <c:cat>
            <c:numRef>
              <c:f>Cashflow!$C$134:$AG$134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cat>
          <c:val>
            <c:numRef>
              <c:f>'Well Opex'!$C$45:$AG$45</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2</c:v>
                </c:pt>
                <c:pt idx="16">
                  <c:v>1</c:v>
                </c:pt>
                <c:pt idx="17">
                  <c:v>2</c:v>
                </c:pt>
                <c:pt idx="18">
                  <c:v>1</c:v>
                </c:pt>
                <c:pt idx="19">
                  <c:v>2</c:v>
                </c:pt>
                <c:pt idx="20">
                  <c:v>0</c:v>
                </c:pt>
                <c:pt idx="21">
                  <c:v>0</c:v>
                </c:pt>
                <c:pt idx="22">
                  <c:v>1</c:v>
                </c:pt>
                <c:pt idx="23">
                  <c:v>2</c:v>
                </c:pt>
                <c:pt idx="24">
                  <c:v>1</c:v>
                </c:pt>
                <c:pt idx="25">
                  <c:v>2</c:v>
                </c:pt>
                <c:pt idx="26">
                  <c:v>1</c:v>
                </c:pt>
                <c:pt idx="27">
                  <c:v>2</c:v>
                </c:pt>
                <c:pt idx="28">
                  <c:v>0</c:v>
                </c:pt>
                <c:pt idx="29">
                  <c:v>0</c:v>
                </c:pt>
                <c:pt idx="30">
                  <c:v>1</c:v>
                </c:pt>
              </c:numCache>
            </c:numRef>
          </c:val>
          <c:extLst>
            <c:ext xmlns:c16="http://schemas.microsoft.com/office/drawing/2014/chart" uri="{C3380CC4-5D6E-409C-BE32-E72D297353CC}">
              <c16:uniqueId val="{00000001-F681-4225-9EBE-AC07E498BF49}"/>
            </c:ext>
          </c:extLst>
        </c:ser>
        <c:ser>
          <c:idx val="3"/>
          <c:order val="2"/>
          <c:tx>
            <c:v>Injection well drilled</c:v>
          </c:tx>
          <c:spPr>
            <a:solidFill>
              <a:schemeClr val="accent4"/>
            </a:solidFill>
            <a:ln w="19050">
              <a:solidFill>
                <a:schemeClr val="accent4"/>
              </a:solidFill>
            </a:ln>
            <a:effectLst/>
          </c:spPr>
          <c:invertIfNegative val="0"/>
          <c:cat>
            <c:numRef>
              <c:f>Cashflow!$C$134:$AG$134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cat>
          <c:val>
            <c:numRef>
              <c:f>Cashflow!$C$156:$AG$156</c:f>
              <c:numCache>
                <c:formatCode>0</c:formatCode>
                <c:ptCount val="31"/>
                <c:pt idx="0">
                  <c:v>0</c:v>
                </c:pt>
                <c:pt idx="1">
                  <c:v>0</c:v>
                </c:pt>
                <c:pt idx="2">
                  <c:v>0</c:v>
                </c:pt>
                <c:pt idx="3">
                  <c:v>0</c:v>
                </c:pt>
                <c:pt idx="4">
                  <c:v>0</c:v>
                </c:pt>
                <c:pt idx="5">
                  <c:v>0</c:v>
                </c:pt>
                <c:pt idx="6">
                  <c:v>0</c:v>
                </c:pt>
                <c:pt idx="7">
                  <c:v>1</c:v>
                </c:pt>
                <c:pt idx="8">
                  <c:v>1</c:v>
                </c:pt>
                <c:pt idx="9">
                  <c:v>2</c:v>
                </c:pt>
                <c:pt idx="10">
                  <c:v>1</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F681-4225-9EBE-AC07E498BF49}"/>
            </c:ext>
          </c:extLst>
        </c:ser>
        <c:ser>
          <c:idx val="2"/>
          <c:order val="3"/>
          <c:tx>
            <c:v>Development well success</c:v>
          </c:tx>
          <c:spPr>
            <a:solidFill>
              <a:schemeClr val="accent3"/>
            </a:solidFill>
            <a:ln w="19050">
              <a:solidFill>
                <a:schemeClr val="accent3"/>
              </a:solidFill>
            </a:ln>
            <a:effectLst/>
          </c:spPr>
          <c:invertIfNegative val="0"/>
          <c:cat>
            <c:numRef>
              <c:f>Cashflow!$C$134:$AG$134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cat>
          <c:val>
            <c:numRef>
              <c:f>Cashflow!$C$149:$AG$149</c:f>
              <c:numCache>
                <c:formatCode>0</c:formatCode>
                <c:ptCount val="31"/>
                <c:pt idx="0">
                  <c:v>0</c:v>
                </c:pt>
                <c:pt idx="1">
                  <c:v>0</c:v>
                </c:pt>
                <c:pt idx="2">
                  <c:v>0</c:v>
                </c:pt>
                <c:pt idx="3">
                  <c:v>0</c:v>
                </c:pt>
                <c:pt idx="4">
                  <c:v>0</c:v>
                </c:pt>
                <c:pt idx="5">
                  <c:v>0</c:v>
                </c:pt>
                <c:pt idx="6">
                  <c:v>1</c:v>
                </c:pt>
                <c:pt idx="7">
                  <c:v>2</c:v>
                </c:pt>
                <c:pt idx="8">
                  <c:v>1</c:v>
                </c:pt>
                <c:pt idx="9">
                  <c:v>2</c:v>
                </c:pt>
                <c:pt idx="10">
                  <c:v>1</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3-F681-4225-9EBE-AC07E498BF49}"/>
            </c:ext>
          </c:extLst>
        </c:ser>
        <c:ser>
          <c:idx val="8"/>
          <c:order val="4"/>
          <c:tx>
            <c:v>Development well failure</c:v>
          </c:tx>
          <c:spPr>
            <a:noFill/>
            <a:ln w="19050">
              <a:solidFill>
                <a:schemeClr val="accent3"/>
              </a:solidFill>
            </a:ln>
            <a:effectLst/>
          </c:spPr>
          <c:invertIfNegative val="0"/>
          <c:cat>
            <c:numRef>
              <c:f>Cashflow!$C$134:$AG$134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cat>
          <c:val>
            <c:numRef>
              <c:f>Cashflow!$C$151:$AG$151</c:f>
              <c:numCache>
                <c:formatCode>0</c:formatCode>
                <c:ptCount val="31"/>
                <c:pt idx="0">
                  <c:v>0</c:v>
                </c:pt>
                <c:pt idx="1">
                  <c:v>0</c:v>
                </c:pt>
                <c:pt idx="2">
                  <c:v>0</c:v>
                </c:pt>
                <c:pt idx="3">
                  <c:v>0</c:v>
                </c:pt>
                <c:pt idx="4">
                  <c:v>0</c:v>
                </c:pt>
                <c:pt idx="5">
                  <c:v>0</c:v>
                </c:pt>
                <c:pt idx="6">
                  <c:v>0</c:v>
                </c:pt>
                <c:pt idx="7">
                  <c:v>0</c:v>
                </c:pt>
                <c:pt idx="8">
                  <c:v>1</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F681-4225-9EBE-AC07E498BF49}"/>
            </c:ext>
          </c:extLst>
        </c:ser>
        <c:ser>
          <c:idx val="1"/>
          <c:order val="5"/>
          <c:tx>
            <c:v>Appraisal well success</c:v>
          </c:tx>
          <c:spPr>
            <a:solidFill>
              <a:schemeClr val="accent2"/>
            </a:solidFill>
            <a:ln w="19050">
              <a:solidFill>
                <a:schemeClr val="accent2"/>
              </a:solidFill>
            </a:ln>
            <a:effectLst/>
          </c:spPr>
          <c:invertIfNegative val="0"/>
          <c:cat>
            <c:numRef>
              <c:f>Cashflow!$C$134:$AG$134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cat>
          <c:val>
            <c:numRef>
              <c:f>Cashflow!$C$143:$AG$143</c:f>
              <c:numCache>
                <c:formatCode>0</c:formatCode>
                <c:ptCount val="31"/>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5-F681-4225-9EBE-AC07E498BF49}"/>
            </c:ext>
          </c:extLst>
        </c:ser>
        <c:ser>
          <c:idx val="7"/>
          <c:order val="6"/>
          <c:tx>
            <c:v>Appraisal well failure</c:v>
          </c:tx>
          <c:spPr>
            <a:noFill/>
            <a:ln w="19050">
              <a:solidFill>
                <a:schemeClr val="accent2"/>
              </a:solidFill>
            </a:ln>
            <a:effectLst/>
          </c:spPr>
          <c:invertIfNegative val="0"/>
          <c:cat>
            <c:numRef>
              <c:f>Cashflow!$C$134:$AG$134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cat>
          <c:val>
            <c:numRef>
              <c:f>Cashflow!$C$145:$AG$145</c:f>
              <c:numCache>
                <c:formatCode>0</c:formatCode>
                <c:ptCount val="31"/>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6-F681-4225-9EBE-AC07E498BF49}"/>
            </c:ext>
          </c:extLst>
        </c:ser>
        <c:ser>
          <c:idx val="0"/>
          <c:order val="7"/>
          <c:tx>
            <c:v>Exploration well success</c:v>
          </c:tx>
          <c:spPr>
            <a:solidFill>
              <a:schemeClr val="accent1"/>
            </a:solidFill>
            <a:ln w="19050">
              <a:solidFill>
                <a:schemeClr val="accent1"/>
              </a:solidFill>
            </a:ln>
            <a:effectLst/>
          </c:spPr>
          <c:invertIfNegative val="0"/>
          <c:cat>
            <c:numRef>
              <c:f>Cashflow!$C$134:$AG$134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cat>
          <c:val>
            <c:numRef>
              <c:f>Cashflow!$C$137:$AG$137</c:f>
              <c:numCache>
                <c:formatCode>0</c:formatCode>
                <c:ptCount val="31"/>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7-F681-4225-9EBE-AC07E498BF49}"/>
            </c:ext>
          </c:extLst>
        </c:ser>
        <c:ser>
          <c:idx val="6"/>
          <c:order val="8"/>
          <c:tx>
            <c:v>Exploration well failure</c:v>
          </c:tx>
          <c:spPr>
            <a:noFill/>
            <a:ln w="19050">
              <a:solidFill>
                <a:schemeClr val="accent1"/>
              </a:solidFill>
            </a:ln>
            <a:effectLst/>
          </c:spPr>
          <c:invertIfNegative val="0"/>
          <c:cat>
            <c:numRef>
              <c:f>Cashflow!$C$134:$AG$134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cat>
          <c:val>
            <c:numRef>
              <c:f>Cashflow!$C$139:$AG$139</c:f>
              <c:numCache>
                <c:formatCode>0</c:formatCode>
                <c:ptCount val="31"/>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8-F681-4225-9EBE-AC07E498BF49}"/>
            </c:ext>
          </c:extLst>
        </c:ser>
        <c:dLbls>
          <c:showLegendKey val="0"/>
          <c:showVal val="0"/>
          <c:showCatName val="0"/>
          <c:showSerName val="0"/>
          <c:showPercent val="0"/>
          <c:showBubbleSize val="0"/>
        </c:dLbls>
        <c:gapWidth val="219"/>
        <c:overlap val="100"/>
        <c:axId val="555198880"/>
        <c:axId val="555191992"/>
      </c:barChart>
      <c:scatterChart>
        <c:scatterStyle val="lineMarker"/>
        <c:varyColors val="0"/>
        <c:ser>
          <c:idx val="9"/>
          <c:order val="9"/>
          <c:tx>
            <c:strRef>
              <c:f>Cashflow!$B$40</c:f>
              <c:strCache>
                <c:ptCount val="1"/>
                <c:pt idx="0">
                  <c:v>Mass flow rate per field (kg/s)</c:v>
                </c:pt>
              </c:strCache>
            </c:strRef>
          </c:tx>
          <c:spPr>
            <a:ln w="28575" cap="rnd">
              <a:solidFill>
                <a:schemeClr val="tx1"/>
              </a:solidFill>
              <a:round/>
            </a:ln>
            <a:effectLst/>
          </c:spPr>
          <c:marker>
            <c:symbol val="circle"/>
            <c:size val="5"/>
            <c:spPr>
              <a:solidFill>
                <a:schemeClr val="tx1"/>
              </a:solidFill>
              <a:ln w="9525">
                <a:solidFill>
                  <a:schemeClr val="accent4">
                    <a:lumMod val="60000"/>
                  </a:schemeClr>
                </a:solidFill>
              </a:ln>
              <a:effectLst/>
            </c:spPr>
          </c:marker>
          <c:xVal>
            <c:numRef>
              <c:f>Cashflow!$C$30:$AG$30</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Cashflow!$C$40:$AG$40</c:f>
              <c:numCache>
                <c:formatCode>0.00</c:formatCode>
                <c:ptCount val="31"/>
                <c:pt idx="0">
                  <c:v>0</c:v>
                </c:pt>
                <c:pt idx="1">
                  <c:v>0</c:v>
                </c:pt>
                <c:pt idx="2">
                  <c:v>0</c:v>
                </c:pt>
                <c:pt idx="3">
                  <c:v>0</c:v>
                </c:pt>
                <c:pt idx="4">
                  <c:v>0</c:v>
                </c:pt>
                <c:pt idx="5">
                  <c:v>0</c:v>
                </c:pt>
                <c:pt idx="6">
                  <c:v>0</c:v>
                </c:pt>
                <c:pt idx="7">
                  <c:v>0</c:v>
                </c:pt>
                <c:pt idx="8">
                  <c:v>164.88221569228375</c:v>
                </c:pt>
                <c:pt idx="9">
                  <c:v>242.44580757930791</c:v>
                </c:pt>
                <c:pt idx="10">
                  <c:v>256.09958183931809</c:v>
                </c:pt>
                <c:pt idx="11">
                  <c:v>324.34011443114207</c:v>
                </c:pt>
                <c:pt idx="12">
                  <c:v>306.46649676435516</c:v>
                </c:pt>
                <c:pt idx="13">
                  <c:v>324.34011443114207</c:v>
                </c:pt>
                <c:pt idx="14">
                  <c:v>306.4664967643551</c:v>
                </c:pt>
                <c:pt idx="15">
                  <c:v>324.34011443114207</c:v>
                </c:pt>
                <c:pt idx="16">
                  <c:v>306.46649676435516</c:v>
                </c:pt>
                <c:pt idx="17">
                  <c:v>327.38237119932836</c:v>
                </c:pt>
                <c:pt idx="18">
                  <c:v>312.34146452199587</c:v>
                </c:pt>
                <c:pt idx="19">
                  <c:v>333.59997650010484</c:v>
                </c:pt>
                <c:pt idx="20">
                  <c:v>318.21643227963654</c:v>
                </c:pt>
                <c:pt idx="21">
                  <c:v>339.70608537333794</c:v>
                </c:pt>
                <c:pt idx="22">
                  <c:v>323.72157826508408</c:v>
                </c:pt>
                <c:pt idx="23">
                  <c:v>345.3756342798211</c:v>
                </c:pt>
                <c:pt idx="24">
                  <c:v>329.0786917218993</c:v>
                </c:pt>
                <c:pt idx="25">
                  <c:v>351.0451831863042</c:v>
                </c:pt>
                <c:pt idx="26">
                  <c:v>334.17577641040157</c:v>
                </c:pt>
                <c:pt idx="27">
                  <c:v>356.1251406736348</c:v>
                </c:pt>
                <c:pt idx="28">
                  <c:v>338.92575034211114</c:v>
                </c:pt>
                <c:pt idx="29">
                  <c:v>361.15214070404983</c:v>
                </c:pt>
                <c:pt idx="30">
                  <c:v>343.60959756388456</c:v>
                </c:pt>
              </c:numCache>
            </c:numRef>
          </c:yVal>
          <c:smooth val="0"/>
          <c:extLst>
            <c:ext xmlns:c16="http://schemas.microsoft.com/office/drawing/2014/chart" uri="{C3380CC4-5D6E-409C-BE32-E72D297353CC}">
              <c16:uniqueId val="{00000009-F681-4225-9EBE-AC07E498BF49}"/>
            </c:ext>
          </c:extLst>
        </c:ser>
        <c:ser>
          <c:idx val="10"/>
          <c:order val="10"/>
          <c:tx>
            <c:v>New well cluster added</c:v>
          </c:tx>
          <c:spPr>
            <a:ln w="25400" cap="rnd">
              <a:noFill/>
              <a:round/>
            </a:ln>
            <a:effectLst/>
          </c:spPr>
          <c:marker>
            <c:symbol val="diamond"/>
            <c:size val="8"/>
            <c:spPr>
              <a:solidFill>
                <a:srgbClr val="FF0000"/>
              </a:solidFill>
              <a:ln w="19050">
                <a:solidFill>
                  <a:schemeClr val="tx1"/>
                </a:solidFill>
              </a:ln>
              <a:effectLst/>
            </c:spPr>
          </c:marker>
          <c:xVal>
            <c:numRef>
              <c:f>'Fig. Rig &amp; Prod'!$C$37:$AG$37</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'Fig. Rig &amp; Prod'!$C$40:$AG$40</c:f>
              <c:numCache>
                <c:formatCode>General</c:formatCode>
                <c:ptCount val="31"/>
                <c:pt idx="0">
                  <c:v>#N/A</c:v>
                </c:pt>
                <c:pt idx="1">
                  <c:v>#N/A</c:v>
                </c:pt>
                <c:pt idx="2">
                  <c:v>#N/A</c:v>
                </c:pt>
                <c:pt idx="3">
                  <c:v>#N/A</c:v>
                </c:pt>
                <c:pt idx="4">
                  <c:v>#N/A</c:v>
                </c:pt>
                <c:pt idx="5">
                  <c:v>#N/A</c:v>
                </c:pt>
                <c:pt idx="6">
                  <c:v>#N/A</c:v>
                </c:pt>
                <c:pt idx="7">
                  <c:v>0</c:v>
                </c:pt>
                <c:pt idx="8">
                  <c:v>0</c:v>
                </c:pt>
                <c:pt idx="9">
                  <c:v>#N/A</c:v>
                </c:pt>
                <c:pt idx="10">
                  <c:v>0</c:v>
                </c:pt>
                <c:pt idx="11">
                  <c:v>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yVal>
          <c:smooth val="0"/>
          <c:extLst>
            <c:ext xmlns:c16="http://schemas.microsoft.com/office/drawing/2014/chart" uri="{C3380CC4-5D6E-409C-BE32-E72D297353CC}">
              <c16:uniqueId val="{00000001-7A4B-4890-A3E8-59C98754B752}"/>
            </c:ext>
          </c:extLst>
        </c:ser>
        <c:dLbls>
          <c:showLegendKey val="0"/>
          <c:showVal val="0"/>
          <c:showCatName val="0"/>
          <c:showSerName val="0"/>
          <c:showPercent val="0"/>
          <c:showBubbleSize val="0"/>
        </c:dLbls>
        <c:axId val="540277048"/>
        <c:axId val="540282624"/>
      </c:scatterChart>
      <c:dateAx>
        <c:axId val="555198880"/>
        <c:scaling>
          <c:orientation val="minMax"/>
        </c:scaling>
        <c:delete val="0"/>
        <c:axPos val="b"/>
        <c:title>
          <c:tx>
            <c:rich>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Year</a:t>
                </a:r>
              </a:p>
            </c:rich>
          </c:tx>
          <c:layout>
            <c:manualLayout>
              <c:xMode val="edge"/>
              <c:yMode val="edge"/>
              <c:x val="0.4261241617147129"/>
              <c:y val="0.94110696017012474"/>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55191992"/>
        <c:crosses val="autoZero"/>
        <c:auto val="0"/>
        <c:lblOffset val="100"/>
        <c:baseTimeUnit val="days"/>
      </c:dateAx>
      <c:valAx>
        <c:axId val="555191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Nr wells drilled, nr</a:t>
                </a:r>
                <a:r>
                  <a:rPr lang="en-US" sz="2000" b="0" baseline="0"/>
                  <a:t> opex workovers</a:t>
                </a:r>
                <a:endParaRPr lang="en-US" sz="2000" b="0"/>
              </a:p>
            </c:rich>
          </c:tx>
          <c:layout>
            <c:manualLayout>
              <c:xMode val="edge"/>
              <c:yMode val="edge"/>
              <c:x val="1.1843796296296295E-2"/>
              <c:y val="8.4682777777777773E-2"/>
            </c:manualLayout>
          </c:layout>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55198880"/>
        <c:crosses val="autoZero"/>
        <c:crossBetween val="between"/>
        <c:majorUnit val="1"/>
      </c:valAx>
      <c:valAx>
        <c:axId val="54028262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2000"/>
                  <a:t>Mass flow rate (kg/s)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40277048"/>
        <c:crosses val="max"/>
        <c:crossBetween val="midCat"/>
      </c:valAx>
      <c:valAx>
        <c:axId val="540277048"/>
        <c:scaling>
          <c:orientation val="minMax"/>
        </c:scaling>
        <c:delete val="1"/>
        <c:axPos val="b"/>
        <c:numFmt formatCode="General" sourceLinked="1"/>
        <c:majorTickMark val="out"/>
        <c:minorTickMark val="none"/>
        <c:tickLblPos val="nextTo"/>
        <c:crossAx val="54028262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r>
              <a:rPr lang="en-US"/>
              <a:t>Yearly electricity production and sales</a:t>
            </a:r>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Cashflow!$B$63</c:f>
              <c:strCache>
                <c:ptCount val="1"/>
                <c:pt idx="0">
                  <c:v>Electricity produced (GWh)</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Cashflow!$C$54:$AG$54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Cashflow!$C$63:$AG$63</c:f>
              <c:numCache>
                <c:formatCode>0.0_);[Red]\(0.0\)</c:formatCode>
                <c:ptCount val="31"/>
                <c:pt idx="0">
                  <c:v>0</c:v>
                </c:pt>
                <c:pt idx="1">
                  <c:v>0</c:v>
                </c:pt>
                <c:pt idx="2">
                  <c:v>0</c:v>
                </c:pt>
                <c:pt idx="3">
                  <c:v>0</c:v>
                </c:pt>
                <c:pt idx="4">
                  <c:v>0</c:v>
                </c:pt>
                <c:pt idx="5">
                  <c:v>0</c:v>
                </c:pt>
                <c:pt idx="6">
                  <c:v>0</c:v>
                </c:pt>
                <c:pt idx="7">
                  <c:v>0</c:v>
                </c:pt>
                <c:pt idx="8">
                  <c:v>443.86330889805595</c:v>
                </c:pt>
                <c:pt idx="9">
                  <c:v>652.66467901819385</c:v>
                </c:pt>
                <c:pt idx="10">
                  <c:v>689.42067114596603</c:v>
                </c:pt>
                <c:pt idx="11">
                  <c:v>873.12434391623754</c:v>
                </c:pt>
                <c:pt idx="12">
                  <c:v>753.63071325055159</c:v>
                </c:pt>
                <c:pt idx="13">
                  <c:v>722.04298664161831</c:v>
                </c:pt>
                <c:pt idx="14">
                  <c:v>753.63071325055148</c:v>
                </c:pt>
                <c:pt idx="15">
                  <c:v>722.04298664161831</c:v>
                </c:pt>
                <c:pt idx="16">
                  <c:v>753.63071325055159</c:v>
                </c:pt>
                <c:pt idx="17">
                  <c:v>723.31379374536687</c:v>
                </c:pt>
                <c:pt idx="18">
                  <c:v>756.22771170802957</c:v>
                </c:pt>
                <c:pt idx="19">
                  <c:v>725.5929610322089</c:v>
                </c:pt>
                <c:pt idx="20">
                  <c:v>758.37892214576868</c:v>
                </c:pt>
                <c:pt idx="21">
                  <c:v>727.20634549601732</c:v>
                </c:pt>
                <c:pt idx="22">
                  <c:v>759.21700979557693</c:v>
                </c:pt>
                <c:pt idx="23">
                  <c:v>727.48402717130045</c:v>
                </c:pt>
                <c:pt idx="24">
                  <c:v>759.3284777746984</c:v>
                </c:pt>
                <c:pt idx="25">
                  <c:v>630.02176241793813</c:v>
                </c:pt>
                <c:pt idx="26">
                  <c:v>657.56436663952184</c:v>
                </c:pt>
                <c:pt idx="27">
                  <c:v>629.8300056628525</c:v>
                </c:pt>
                <c:pt idx="28">
                  <c:v>657.12493492764031</c:v>
                </c:pt>
                <c:pt idx="29">
                  <c:v>477.64142399161466</c:v>
                </c:pt>
                <c:pt idx="30">
                  <c:v>498.49753374341066</c:v>
                </c:pt>
              </c:numCache>
            </c:numRef>
          </c:yVal>
          <c:smooth val="0"/>
          <c:extLst>
            <c:ext xmlns:c16="http://schemas.microsoft.com/office/drawing/2014/chart" uri="{C3380CC4-5D6E-409C-BE32-E72D297353CC}">
              <c16:uniqueId val="{00000000-6FA8-41C6-B78C-D927B04769BA}"/>
            </c:ext>
          </c:extLst>
        </c:ser>
        <c:ser>
          <c:idx val="1"/>
          <c:order val="1"/>
          <c:tx>
            <c:strRef>
              <c:f>Cashflow!$B$69</c:f>
              <c:strCache>
                <c:ptCount val="1"/>
                <c:pt idx="0">
                  <c:v>Injection pump electricity consumed (GWh)</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Cashflow!$C$54:$AG$54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Cashflow!$C$69:$AG$69</c:f>
              <c:numCache>
                <c:formatCode>0.0_);[Red]\(0.0\)</c:formatCode>
                <c:ptCount val="31"/>
                <c:pt idx="0">
                  <c:v>0</c:v>
                </c:pt>
                <c:pt idx="1">
                  <c:v>0</c:v>
                </c:pt>
                <c:pt idx="2">
                  <c:v>0</c:v>
                </c:pt>
                <c:pt idx="3">
                  <c:v>0</c:v>
                </c:pt>
                <c:pt idx="4">
                  <c:v>0</c:v>
                </c:pt>
                <c:pt idx="5">
                  <c:v>0</c:v>
                </c:pt>
                <c:pt idx="6">
                  <c:v>0</c:v>
                </c:pt>
                <c:pt idx="7">
                  <c:v>0</c:v>
                </c:pt>
                <c:pt idx="8">
                  <c:v>33.287999999999997</c:v>
                </c:pt>
                <c:pt idx="9">
                  <c:v>49.932000000000002</c:v>
                </c:pt>
                <c:pt idx="10">
                  <c:v>58.253999999999998</c:v>
                </c:pt>
                <c:pt idx="11">
                  <c:v>74.897999999999996</c:v>
                </c:pt>
                <c:pt idx="12">
                  <c:v>68.418000000000006</c:v>
                </c:pt>
                <c:pt idx="13">
                  <c:v>61.938000000000002</c:v>
                </c:pt>
                <c:pt idx="14">
                  <c:v>68.418000000000006</c:v>
                </c:pt>
                <c:pt idx="15">
                  <c:v>61.938000000000002</c:v>
                </c:pt>
                <c:pt idx="16">
                  <c:v>68.418000000000006</c:v>
                </c:pt>
                <c:pt idx="17">
                  <c:v>61.938000000000002</c:v>
                </c:pt>
                <c:pt idx="18">
                  <c:v>68.418000000000006</c:v>
                </c:pt>
                <c:pt idx="19">
                  <c:v>61.938000000000002</c:v>
                </c:pt>
                <c:pt idx="20">
                  <c:v>68.418000000000006</c:v>
                </c:pt>
                <c:pt idx="21">
                  <c:v>61.938000000000002</c:v>
                </c:pt>
                <c:pt idx="22">
                  <c:v>68.418000000000006</c:v>
                </c:pt>
                <c:pt idx="23">
                  <c:v>61.938000000000002</c:v>
                </c:pt>
                <c:pt idx="24">
                  <c:v>68.418000000000006</c:v>
                </c:pt>
                <c:pt idx="25">
                  <c:v>61.938000000000002</c:v>
                </c:pt>
                <c:pt idx="26">
                  <c:v>68.418000000000006</c:v>
                </c:pt>
                <c:pt idx="27">
                  <c:v>61.938000000000002</c:v>
                </c:pt>
                <c:pt idx="28">
                  <c:v>68.418000000000006</c:v>
                </c:pt>
                <c:pt idx="29">
                  <c:v>61.938000000000002</c:v>
                </c:pt>
                <c:pt idx="30">
                  <c:v>68.418000000000006</c:v>
                </c:pt>
              </c:numCache>
            </c:numRef>
          </c:yVal>
          <c:smooth val="0"/>
          <c:extLst>
            <c:ext xmlns:c16="http://schemas.microsoft.com/office/drawing/2014/chart" uri="{C3380CC4-5D6E-409C-BE32-E72D297353CC}">
              <c16:uniqueId val="{00000001-6FA8-41C6-B78C-D927B04769BA}"/>
            </c:ext>
          </c:extLst>
        </c:ser>
        <c:dLbls>
          <c:showLegendKey val="0"/>
          <c:showVal val="0"/>
          <c:showCatName val="0"/>
          <c:showSerName val="0"/>
          <c:showPercent val="0"/>
          <c:showBubbleSize val="0"/>
        </c:dLbls>
        <c:axId val="655473424"/>
        <c:axId val="655473752"/>
      </c:scatterChart>
      <c:scatterChart>
        <c:scatterStyle val="lineMarker"/>
        <c:varyColors val="0"/>
        <c:ser>
          <c:idx val="2"/>
          <c:order val="2"/>
          <c:tx>
            <c:strRef>
              <c:f>Cashflow!$B$75</c:f>
              <c:strCache>
                <c:ptCount val="1"/>
                <c:pt idx="0">
                  <c:v>Electricity sales ($ MM)</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Cashflow!$C$54:$AG$54</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Cashflow!$C$75:$AG$75</c:f>
              <c:numCache>
                <c:formatCode>0.00_);[Red]\(0.00\)</c:formatCode>
                <c:ptCount val="31"/>
                <c:pt idx="0">
                  <c:v>0</c:v>
                </c:pt>
                <c:pt idx="1">
                  <c:v>0</c:v>
                </c:pt>
                <c:pt idx="2">
                  <c:v>0</c:v>
                </c:pt>
                <c:pt idx="3">
                  <c:v>0</c:v>
                </c:pt>
                <c:pt idx="4">
                  <c:v>0</c:v>
                </c:pt>
                <c:pt idx="5">
                  <c:v>0</c:v>
                </c:pt>
                <c:pt idx="6">
                  <c:v>0</c:v>
                </c:pt>
                <c:pt idx="7">
                  <c:v>0</c:v>
                </c:pt>
                <c:pt idx="8">
                  <c:v>57.48054324572783</c:v>
                </c:pt>
                <c:pt idx="9">
                  <c:v>84.382575062547147</c:v>
                </c:pt>
                <c:pt idx="10">
                  <c:v>88.363333960435241</c:v>
                </c:pt>
                <c:pt idx="11">
                  <c:v>111.75168814827326</c:v>
                </c:pt>
                <c:pt idx="12">
                  <c:v>95.929779855077228</c:v>
                </c:pt>
                <c:pt idx="13">
                  <c:v>92.414698129826562</c:v>
                </c:pt>
                <c:pt idx="14">
                  <c:v>95.9297798550772</c:v>
                </c:pt>
                <c:pt idx="15">
                  <c:v>92.414698129826562</c:v>
                </c:pt>
                <c:pt idx="16">
                  <c:v>95.929779855077228</c:v>
                </c:pt>
                <c:pt idx="17">
                  <c:v>92.59261112435135</c:v>
                </c:pt>
                <c:pt idx="18">
                  <c:v>96.293359639124134</c:v>
                </c:pt>
                <c:pt idx="19">
                  <c:v>92.911694544509245</c:v>
                </c:pt>
                <c:pt idx="20">
                  <c:v>96.594529100407613</c:v>
                </c:pt>
                <c:pt idx="21">
                  <c:v>93.137568369442434</c:v>
                </c:pt>
                <c:pt idx="22">
                  <c:v>96.711861371380763</c:v>
                </c:pt>
                <c:pt idx="23">
                  <c:v>93.176443803982067</c:v>
                </c:pt>
                <c:pt idx="24">
                  <c:v>96.727466888457769</c:v>
                </c:pt>
                <c:pt idx="25">
                  <c:v>79.531726738511338</c:v>
                </c:pt>
                <c:pt idx="26">
                  <c:v>82.480491329533052</c:v>
                </c:pt>
                <c:pt idx="27">
                  <c:v>79.504880792799355</c:v>
                </c:pt>
                <c:pt idx="28">
                  <c:v>82.418970889869641</c:v>
                </c:pt>
                <c:pt idx="29">
                  <c:v>58.198479358826056</c:v>
                </c:pt>
                <c:pt idx="30">
                  <c:v>60.211134724077496</c:v>
                </c:pt>
              </c:numCache>
            </c:numRef>
          </c:yVal>
          <c:smooth val="0"/>
          <c:extLst>
            <c:ext xmlns:c16="http://schemas.microsoft.com/office/drawing/2014/chart" uri="{C3380CC4-5D6E-409C-BE32-E72D297353CC}">
              <c16:uniqueId val="{00000002-6FA8-41C6-B78C-D927B04769BA}"/>
            </c:ext>
          </c:extLst>
        </c:ser>
        <c:dLbls>
          <c:showLegendKey val="0"/>
          <c:showVal val="0"/>
          <c:showCatName val="0"/>
          <c:showSerName val="0"/>
          <c:showPercent val="0"/>
          <c:showBubbleSize val="0"/>
        </c:dLbls>
        <c:axId val="616673608"/>
        <c:axId val="616682792"/>
      </c:scatterChart>
      <c:valAx>
        <c:axId val="655473424"/>
        <c:scaling>
          <c:orientation val="minMax"/>
        </c:scaling>
        <c:delete val="0"/>
        <c:axPos val="b"/>
        <c:title>
          <c:tx>
            <c:rich>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Year</a:t>
                </a:r>
              </a:p>
            </c:rich>
          </c:tx>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cross"/>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752"/>
        <c:crosses val="autoZero"/>
        <c:crossBetween val="midCat"/>
      </c:valAx>
      <c:valAx>
        <c:axId val="655473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Electricity</a:t>
                </a:r>
                <a:r>
                  <a:rPr lang="en-US" sz="2000" b="0" baseline="0"/>
                  <a:t> (GWh)</a:t>
                </a:r>
                <a:endParaRPr lang="en-US" sz="2000" b="0"/>
              </a:p>
            </c:rich>
          </c:tx>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424"/>
        <c:crosses val="autoZero"/>
        <c:crossBetween val="midCat"/>
      </c:valAx>
      <c:valAx>
        <c:axId val="616682792"/>
        <c:scaling>
          <c:orientation val="minMax"/>
        </c:scaling>
        <c:delete val="0"/>
        <c:axPos val="r"/>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Sales</a:t>
                </a:r>
                <a:r>
                  <a:rPr lang="en-US" sz="2000" baseline="0"/>
                  <a:t>  ($ MM)</a:t>
                </a:r>
                <a:endParaRPr lang="en-US" sz="2000"/>
              </a:p>
            </c:rich>
          </c:tx>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16673608"/>
        <c:crosses val="max"/>
        <c:crossBetween val="midCat"/>
      </c:valAx>
      <c:valAx>
        <c:axId val="616673608"/>
        <c:scaling>
          <c:orientation val="minMax"/>
        </c:scaling>
        <c:delete val="1"/>
        <c:axPos val="b"/>
        <c:numFmt formatCode="General" sourceLinked="1"/>
        <c:majorTickMark val="out"/>
        <c:minorTickMark val="none"/>
        <c:tickLblPos val="nextTo"/>
        <c:crossAx val="616682792"/>
        <c:crosses val="autoZero"/>
        <c:crossBetween val="midCat"/>
      </c:valAx>
      <c:spPr>
        <a:noFill/>
        <a:ln>
          <a:noFill/>
        </a:ln>
        <a:effectLst/>
      </c:spPr>
    </c:plotArea>
    <c:legend>
      <c:legendPos val="r"/>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r>
              <a:rPr lang="en-US"/>
              <a:t>Yearly opex</a:t>
            </a:r>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Cashflow!$B$82</c:f>
              <c:strCache>
                <c:ptCount val="1"/>
                <c:pt idx="0">
                  <c:v>Total opex (fixed + var)</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Cashflow!$C$80:$AG$80</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Cashflow!$C$82:$AG$82</c:f>
              <c:numCache>
                <c:formatCode>0.00_);[Red]\(0.00\)</c:formatCode>
                <c:ptCount val="31"/>
                <c:pt idx="0">
                  <c:v>-1.0774999999999999</c:v>
                </c:pt>
                <c:pt idx="1">
                  <c:v>-1.1325000000000001</c:v>
                </c:pt>
                <c:pt idx="2">
                  <c:v>-1.1575</c:v>
                </c:pt>
                <c:pt idx="3">
                  <c:v>-2.3425000000000002</c:v>
                </c:pt>
                <c:pt idx="4">
                  <c:v>-2.9975000000000001</c:v>
                </c:pt>
                <c:pt idx="5">
                  <c:v>-3.3975</c:v>
                </c:pt>
                <c:pt idx="6">
                  <c:v>-4.875</c:v>
                </c:pt>
                <c:pt idx="7">
                  <c:v>-5.4875000000000007</c:v>
                </c:pt>
                <c:pt idx="8">
                  <c:v>-6.8668951670954188</c:v>
                </c:pt>
                <c:pt idx="9">
                  <c:v>-7.9061485958504267</c:v>
                </c:pt>
                <c:pt idx="10">
                  <c:v>-8.3003726542835299</c:v>
                </c:pt>
                <c:pt idx="11">
                  <c:v>-9.2688233263716313</c:v>
                </c:pt>
                <c:pt idx="12">
                  <c:v>-10.003138634173439</c:v>
                </c:pt>
                <c:pt idx="13">
                  <c:v>-10.932905807749286</c:v>
                </c:pt>
                <c:pt idx="14">
                  <c:v>-11.003138634173439</c:v>
                </c:pt>
                <c:pt idx="15">
                  <c:v>-12.932905807749286</c:v>
                </c:pt>
                <c:pt idx="16">
                  <c:v>-11.003138634173439</c:v>
                </c:pt>
                <c:pt idx="17">
                  <c:v>-12.932905807749286</c:v>
                </c:pt>
                <c:pt idx="18">
                  <c:v>-11.003138634173439</c:v>
                </c:pt>
                <c:pt idx="19">
                  <c:v>-12.932905807749286</c:v>
                </c:pt>
                <c:pt idx="20">
                  <c:v>-10.003138634173439</c:v>
                </c:pt>
                <c:pt idx="21">
                  <c:v>-11.007905807749287</c:v>
                </c:pt>
                <c:pt idx="22">
                  <c:v>-11.078138634173442</c:v>
                </c:pt>
                <c:pt idx="23">
                  <c:v>-13.007905807749287</c:v>
                </c:pt>
                <c:pt idx="24">
                  <c:v>-11.078138634173442</c:v>
                </c:pt>
                <c:pt idx="25">
                  <c:v>-13.007905807749287</c:v>
                </c:pt>
                <c:pt idx="26">
                  <c:v>-11.07813863417344</c:v>
                </c:pt>
                <c:pt idx="27">
                  <c:v>-13.007905807749287</c:v>
                </c:pt>
                <c:pt idx="28">
                  <c:v>-10.078138634173442</c:v>
                </c:pt>
                <c:pt idx="29">
                  <c:v>-11.007905807749287</c:v>
                </c:pt>
                <c:pt idx="30">
                  <c:v>-11.078138634173442</c:v>
                </c:pt>
              </c:numCache>
            </c:numRef>
          </c:yVal>
          <c:smooth val="0"/>
          <c:extLst>
            <c:ext xmlns:c16="http://schemas.microsoft.com/office/drawing/2014/chart" uri="{C3380CC4-5D6E-409C-BE32-E72D297353CC}">
              <c16:uniqueId val="{00000000-3A1D-40EE-8391-BBD37B31BB04}"/>
            </c:ext>
          </c:extLst>
        </c:ser>
        <c:ser>
          <c:idx val="1"/>
          <c:order val="1"/>
          <c:tx>
            <c:strRef>
              <c:f>Cashflow!$B$86</c:f>
              <c:strCache>
                <c:ptCount val="1"/>
                <c:pt idx="0">
                  <c:v>Variable opex (water prod)</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Cashflow!$C$80:$AG$80</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Cashflow!$C$86:$AG$86</c:f>
              <c:numCache>
                <c:formatCode>0.00_);[Red]\(0.00\)</c:formatCode>
                <c:ptCount val="31"/>
                <c:pt idx="0">
                  <c:v>0</c:v>
                </c:pt>
                <c:pt idx="1">
                  <c:v>0</c:v>
                </c:pt>
                <c:pt idx="2">
                  <c:v>0</c:v>
                </c:pt>
                <c:pt idx="3">
                  <c:v>0</c:v>
                </c:pt>
                <c:pt idx="4">
                  <c:v>0</c:v>
                </c:pt>
                <c:pt idx="5">
                  <c:v>0</c:v>
                </c:pt>
                <c:pt idx="6">
                  <c:v>0</c:v>
                </c:pt>
                <c:pt idx="7">
                  <c:v>0</c:v>
                </c:pt>
                <c:pt idx="8">
                  <c:v>-0.98689516709541847</c:v>
                </c:pt>
                <c:pt idx="9">
                  <c:v>-1.4511485958504264</c:v>
                </c:pt>
                <c:pt idx="10">
                  <c:v>-1.5328726542835305</c:v>
                </c:pt>
                <c:pt idx="11">
                  <c:v>-1.9413233263716314</c:v>
                </c:pt>
                <c:pt idx="12">
                  <c:v>-1.6756386341734406</c:v>
                </c:pt>
                <c:pt idx="13">
                  <c:v>-1.605405807749287</c:v>
                </c:pt>
                <c:pt idx="14">
                  <c:v>-1.6756386341734404</c:v>
                </c:pt>
                <c:pt idx="15">
                  <c:v>-1.605405807749287</c:v>
                </c:pt>
                <c:pt idx="16">
                  <c:v>-1.6756386341734406</c:v>
                </c:pt>
                <c:pt idx="17">
                  <c:v>-1.605405807749287</c:v>
                </c:pt>
                <c:pt idx="18">
                  <c:v>-1.6756386341734406</c:v>
                </c:pt>
                <c:pt idx="19">
                  <c:v>-1.605405807749287</c:v>
                </c:pt>
                <c:pt idx="20">
                  <c:v>-1.6756386341734404</c:v>
                </c:pt>
                <c:pt idx="21">
                  <c:v>-1.605405807749287</c:v>
                </c:pt>
                <c:pt idx="22">
                  <c:v>-1.6756386341734406</c:v>
                </c:pt>
                <c:pt idx="23">
                  <c:v>-1.605405807749287</c:v>
                </c:pt>
                <c:pt idx="24">
                  <c:v>-1.6756386341734406</c:v>
                </c:pt>
                <c:pt idx="25">
                  <c:v>-1.605405807749287</c:v>
                </c:pt>
                <c:pt idx="26">
                  <c:v>-1.6756386341734404</c:v>
                </c:pt>
                <c:pt idx="27">
                  <c:v>-1.605405807749287</c:v>
                </c:pt>
                <c:pt idx="28">
                  <c:v>-1.6756386341734406</c:v>
                </c:pt>
                <c:pt idx="29">
                  <c:v>-1.605405807749287</c:v>
                </c:pt>
                <c:pt idx="30">
                  <c:v>-1.6756386341734406</c:v>
                </c:pt>
              </c:numCache>
            </c:numRef>
          </c:yVal>
          <c:smooth val="0"/>
          <c:extLst>
            <c:ext xmlns:c16="http://schemas.microsoft.com/office/drawing/2014/chart" uri="{C3380CC4-5D6E-409C-BE32-E72D297353CC}">
              <c16:uniqueId val="{00000006-3A1D-40EE-8391-BBD37B31BB04}"/>
            </c:ext>
          </c:extLst>
        </c:ser>
        <c:ser>
          <c:idx val="2"/>
          <c:order val="2"/>
          <c:tx>
            <c:strRef>
              <c:f>Cashflow!$B$87</c:f>
              <c:strCache>
                <c:ptCount val="1"/>
                <c:pt idx="0">
                  <c:v>Variable opex (total wells in operation)</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Cashflow!$C$80:$AG$80</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Cashflow!$C$87:$AG$87</c:f>
              <c:numCache>
                <c:formatCode>0.00_);[Red]\(0.00\)</c:formatCode>
                <c:ptCount val="31"/>
                <c:pt idx="0">
                  <c:v>0</c:v>
                </c:pt>
                <c:pt idx="1">
                  <c:v>0</c:v>
                </c:pt>
                <c:pt idx="2">
                  <c:v>0</c:v>
                </c:pt>
                <c:pt idx="3">
                  <c:v>0</c:v>
                </c:pt>
                <c:pt idx="4">
                  <c:v>0</c:v>
                </c:pt>
                <c:pt idx="5">
                  <c:v>0</c:v>
                </c:pt>
                <c:pt idx="6">
                  <c:v>-0.2</c:v>
                </c:pt>
                <c:pt idx="7">
                  <c:v>-0.60000000000000009</c:v>
                </c:pt>
                <c:pt idx="8">
                  <c:v>-0.8</c:v>
                </c:pt>
                <c:pt idx="9">
                  <c:v>-1.2000000000000002</c:v>
                </c:pt>
                <c:pt idx="10">
                  <c:v>-1.4000000000000001</c:v>
                </c:pt>
                <c:pt idx="11">
                  <c:v>-1.8</c:v>
                </c:pt>
                <c:pt idx="12">
                  <c:v>-2.8</c:v>
                </c:pt>
                <c:pt idx="13">
                  <c:v>-3.8</c:v>
                </c:pt>
                <c:pt idx="14">
                  <c:v>-3.8</c:v>
                </c:pt>
                <c:pt idx="15">
                  <c:v>-5.8</c:v>
                </c:pt>
                <c:pt idx="16">
                  <c:v>-3.8</c:v>
                </c:pt>
                <c:pt idx="17">
                  <c:v>-5.8</c:v>
                </c:pt>
                <c:pt idx="18">
                  <c:v>-3.8</c:v>
                </c:pt>
                <c:pt idx="19">
                  <c:v>-5.8</c:v>
                </c:pt>
                <c:pt idx="20">
                  <c:v>-2.8</c:v>
                </c:pt>
                <c:pt idx="21">
                  <c:v>-3.8</c:v>
                </c:pt>
                <c:pt idx="22">
                  <c:v>-3.8</c:v>
                </c:pt>
                <c:pt idx="23">
                  <c:v>-5.8</c:v>
                </c:pt>
                <c:pt idx="24">
                  <c:v>-3.8</c:v>
                </c:pt>
                <c:pt idx="25">
                  <c:v>-5.8</c:v>
                </c:pt>
                <c:pt idx="26">
                  <c:v>-3.8</c:v>
                </c:pt>
                <c:pt idx="27">
                  <c:v>-5.8</c:v>
                </c:pt>
                <c:pt idx="28">
                  <c:v>-2.8</c:v>
                </c:pt>
                <c:pt idx="29">
                  <c:v>-3.8</c:v>
                </c:pt>
                <c:pt idx="30">
                  <c:v>-3.8</c:v>
                </c:pt>
              </c:numCache>
            </c:numRef>
          </c:yVal>
          <c:smooth val="0"/>
          <c:extLst>
            <c:ext xmlns:c16="http://schemas.microsoft.com/office/drawing/2014/chart" uri="{C3380CC4-5D6E-409C-BE32-E72D297353CC}">
              <c16:uniqueId val="{00000007-3A1D-40EE-8391-BBD37B31BB04}"/>
            </c:ext>
          </c:extLst>
        </c:ser>
        <c:ser>
          <c:idx val="3"/>
          <c:order val="3"/>
          <c:tx>
            <c:strRef>
              <c:f>Cashflow!$B$85</c:f>
              <c:strCache>
                <c:ptCount val="1"/>
                <c:pt idx="0">
                  <c:v>Fixed O&amp;M costs</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Cashflow!$C$80:$AG$80</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Cashflow!$C$85:$AG$85</c:f>
              <c:numCache>
                <c:formatCode>0.00_);[Red]\(0.00\)</c:formatCode>
                <c:ptCount val="31"/>
                <c:pt idx="0">
                  <c:v>-7.7499999999999999E-2</c:v>
                </c:pt>
                <c:pt idx="1">
                  <c:v>-0.13250000000000001</c:v>
                </c:pt>
                <c:pt idx="2">
                  <c:v>-0.1575</c:v>
                </c:pt>
                <c:pt idx="3">
                  <c:v>-0.34250000000000003</c:v>
                </c:pt>
                <c:pt idx="4">
                  <c:v>-0.99750000000000005</c:v>
                </c:pt>
                <c:pt idx="5">
                  <c:v>-1.3975</c:v>
                </c:pt>
                <c:pt idx="6">
                  <c:v>-1.675</c:v>
                </c:pt>
                <c:pt idx="7">
                  <c:v>-1.8875</c:v>
                </c:pt>
                <c:pt idx="8">
                  <c:v>-2.08</c:v>
                </c:pt>
                <c:pt idx="9">
                  <c:v>-2.2549999999999999</c:v>
                </c:pt>
                <c:pt idx="10">
                  <c:v>-2.3675000000000002</c:v>
                </c:pt>
                <c:pt idx="11">
                  <c:v>-2.5274999999999999</c:v>
                </c:pt>
                <c:pt idx="12">
                  <c:v>-2.5274999999999999</c:v>
                </c:pt>
                <c:pt idx="13">
                  <c:v>-2.5274999999999999</c:v>
                </c:pt>
                <c:pt idx="14">
                  <c:v>-2.5274999999999999</c:v>
                </c:pt>
                <c:pt idx="15">
                  <c:v>-2.5274999999999999</c:v>
                </c:pt>
                <c:pt idx="16">
                  <c:v>-2.5274999999999999</c:v>
                </c:pt>
                <c:pt idx="17">
                  <c:v>-2.5274999999999999</c:v>
                </c:pt>
                <c:pt idx="18">
                  <c:v>-2.5274999999999999</c:v>
                </c:pt>
                <c:pt idx="19">
                  <c:v>-2.5274999999999999</c:v>
                </c:pt>
                <c:pt idx="20">
                  <c:v>-2.5274999999999999</c:v>
                </c:pt>
                <c:pt idx="21">
                  <c:v>-2.6025</c:v>
                </c:pt>
                <c:pt idx="22">
                  <c:v>-2.6025</c:v>
                </c:pt>
                <c:pt idx="23">
                  <c:v>-2.6025</c:v>
                </c:pt>
                <c:pt idx="24">
                  <c:v>-2.6025</c:v>
                </c:pt>
                <c:pt idx="25">
                  <c:v>-2.6025</c:v>
                </c:pt>
                <c:pt idx="26">
                  <c:v>-2.6025</c:v>
                </c:pt>
                <c:pt idx="27">
                  <c:v>-2.6025</c:v>
                </c:pt>
                <c:pt idx="28">
                  <c:v>-2.6025</c:v>
                </c:pt>
                <c:pt idx="29">
                  <c:v>-2.6025</c:v>
                </c:pt>
                <c:pt idx="30">
                  <c:v>-2.6025</c:v>
                </c:pt>
              </c:numCache>
            </c:numRef>
          </c:yVal>
          <c:smooth val="0"/>
          <c:extLst>
            <c:ext xmlns:c16="http://schemas.microsoft.com/office/drawing/2014/chart" uri="{C3380CC4-5D6E-409C-BE32-E72D297353CC}">
              <c16:uniqueId val="{00000008-3A1D-40EE-8391-BBD37B31BB04}"/>
            </c:ext>
          </c:extLst>
        </c:ser>
        <c:ser>
          <c:idx val="4"/>
          <c:order val="4"/>
          <c:tx>
            <c:strRef>
              <c:f>Cashflow!$B$84</c:f>
              <c:strCache>
                <c:ptCount val="1"/>
                <c:pt idx="0">
                  <c:v>Fixed opex (not related to prod)</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Cashflow!$C$80:$AG$80</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Cashflow!$C$84:$AG$84</c:f>
              <c:numCache>
                <c:formatCode>0.00_);[Red]\(0.00\)</c:formatCode>
                <c:ptCount val="31"/>
                <c:pt idx="0">
                  <c:v>-1</c:v>
                </c:pt>
                <c:pt idx="1">
                  <c:v>-1</c:v>
                </c:pt>
                <c:pt idx="2">
                  <c:v>-1</c:v>
                </c:pt>
                <c:pt idx="3">
                  <c:v>-2</c:v>
                </c:pt>
                <c:pt idx="4">
                  <c:v>-2</c:v>
                </c:pt>
                <c:pt idx="5">
                  <c:v>-2</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numCache>
            </c:numRef>
          </c:yVal>
          <c:smooth val="0"/>
          <c:extLst>
            <c:ext xmlns:c16="http://schemas.microsoft.com/office/drawing/2014/chart" uri="{C3380CC4-5D6E-409C-BE32-E72D297353CC}">
              <c16:uniqueId val="{00000009-3A1D-40EE-8391-BBD37B31BB04}"/>
            </c:ext>
          </c:extLst>
        </c:ser>
        <c:ser>
          <c:idx val="5"/>
          <c:order val="5"/>
          <c:tx>
            <c:strRef>
              <c:f>Cashflow!$B$88</c:f>
              <c:strCache>
                <c:ptCount val="1"/>
                <c:pt idx="0">
                  <c:v>Fixed opex mandatory monitoring period</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Cashflow!$C$80:$AG$80</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Cashflow!$C$88:$AG$88</c:f>
              <c:numCache>
                <c:formatCode>0.00_);[Red]\(0.00\)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yVal>
          <c:smooth val="0"/>
          <c:extLst>
            <c:ext xmlns:c16="http://schemas.microsoft.com/office/drawing/2014/chart" uri="{C3380CC4-5D6E-409C-BE32-E72D297353CC}">
              <c16:uniqueId val="{00000001-C7C8-4CF5-95D8-CF241ED8F886}"/>
            </c:ext>
          </c:extLst>
        </c:ser>
        <c:dLbls>
          <c:showLegendKey val="0"/>
          <c:showVal val="0"/>
          <c:showCatName val="0"/>
          <c:showSerName val="0"/>
          <c:showPercent val="0"/>
          <c:showBubbleSize val="0"/>
        </c:dLbls>
        <c:axId val="655473424"/>
        <c:axId val="655473752"/>
      </c:scatterChart>
      <c:valAx>
        <c:axId val="655473424"/>
        <c:scaling>
          <c:orientation val="minMax"/>
        </c:scaling>
        <c:delete val="0"/>
        <c:axPos val="b"/>
        <c:title>
          <c:tx>
            <c:rich>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Year</a:t>
                </a:r>
              </a:p>
            </c:rich>
          </c:tx>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cross"/>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752"/>
        <c:crosses val="autoZero"/>
        <c:crossBetween val="midCat"/>
      </c:valAx>
      <c:valAx>
        <c:axId val="655473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Million Dollars ($ MM)</a:t>
                </a:r>
              </a:p>
            </c:rich>
          </c:tx>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424"/>
        <c:crosses val="autoZero"/>
        <c:crossBetween val="midCat"/>
      </c:valAx>
      <c:spPr>
        <a:noFill/>
        <a:ln>
          <a:noFill/>
        </a:ln>
        <a:effectLst/>
      </c:spPr>
    </c:plotArea>
    <c:legend>
      <c:legendPos val="r"/>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r>
              <a:rPr lang="en-US"/>
              <a:t>Fiscal status</a:t>
            </a:r>
          </a:p>
        </c:rich>
      </c:tx>
      <c:layout>
        <c:manualLayout>
          <c:xMode val="edge"/>
          <c:yMode val="edge"/>
          <c:x val="2.0680777777777798E-2"/>
          <c:y val="1.4111111111111111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35699999999998"/>
          <c:y val="0.16644444444444442"/>
          <c:w val="0.6686725555555556"/>
          <c:h val="0.74320907407407411"/>
        </c:manualLayout>
      </c:layout>
      <c:scatterChart>
        <c:scatterStyle val="lineMarker"/>
        <c:varyColors val="0"/>
        <c:ser>
          <c:idx val="4"/>
          <c:order val="4"/>
          <c:tx>
            <c:strRef>
              <c:f>Cashflow!$B$101</c:f>
              <c:strCache>
                <c:ptCount val="1"/>
                <c:pt idx="0">
                  <c:v>Capital allowance realized</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Cashflow!$C$98:$AG$98</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Cashflow!$C$101:$AG$101</c:f>
              <c:numCache>
                <c:formatCode>0.00_);[Red]\(0.00\)</c:formatCode>
                <c:ptCount val="31"/>
                <c:pt idx="0">
                  <c:v>0</c:v>
                </c:pt>
                <c:pt idx="1">
                  <c:v>0</c:v>
                </c:pt>
                <c:pt idx="2">
                  <c:v>0</c:v>
                </c:pt>
                <c:pt idx="3">
                  <c:v>0</c:v>
                </c:pt>
                <c:pt idx="4">
                  <c:v>0</c:v>
                </c:pt>
                <c:pt idx="5">
                  <c:v>0</c:v>
                </c:pt>
                <c:pt idx="6">
                  <c:v>0</c:v>
                </c:pt>
                <c:pt idx="7">
                  <c:v>0</c:v>
                </c:pt>
                <c:pt idx="8">
                  <c:v>53.613648078632409</c:v>
                </c:pt>
                <c:pt idx="9">
                  <c:v>79.476426466696722</c:v>
                </c:pt>
                <c:pt idx="10">
                  <c:v>83.062961306151706</c:v>
                </c:pt>
                <c:pt idx="11">
                  <c:v>105.48286482190163</c:v>
                </c:pt>
                <c:pt idx="12">
                  <c:v>63.772679064217655</c:v>
                </c:pt>
                <c:pt idx="13">
                  <c:v>22.547257753600014</c:v>
                </c:pt>
                <c:pt idx="14">
                  <c:v>15.224602624000012</c:v>
                </c:pt>
                <c:pt idx="15">
                  <c:v>10.461695180800008</c:v>
                </c:pt>
                <c:pt idx="16">
                  <c:v>7.177502720000005</c:v>
                </c:pt>
                <c:pt idx="17">
                  <c:v>4.829321625600004</c:v>
                </c:pt>
                <c:pt idx="18">
                  <c:v>3.0366760960000025</c:v>
                </c:pt>
                <c:pt idx="19">
                  <c:v>1.6777216000000015</c:v>
                </c:pt>
                <c:pt idx="20">
                  <c:v>0.85899345920000081</c:v>
                </c:pt>
                <c:pt idx="21">
                  <c:v>3</c:v>
                </c:pt>
                <c:pt idx="22">
                  <c:v>2.4000000000000004</c:v>
                </c:pt>
                <c:pt idx="23">
                  <c:v>1.9200000000000004</c:v>
                </c:pt>
                <c:pt idx="24">
                  <c:v>1.5360000000000005</c:v>
                </c:pt>
                <c:pt idx="25">
                  <c:v>1.2288000000000006</c:v>
                </c:pt>
                <c:pt idx="26">
                  <c:v>0.98304000000000069</c:v>
                </c:pt>
                <c:pt idx="27">
                  <c:v>0.78643200000000046</c:v>
                </c:pt>
                <c:pt idx="28">
                  <c:v>0.62914560000000053</c:v>
                </c:pt>
                <c:pt idx="29">
                  <c:v>0.5033164800000004</c:v>
                </c:pt>
                <c:pt idx="30">
                  <c:v>-0.40265318400000033</c:v>
                </c:pt>
              </c:numCache>
            </c:numRef>
          </c:yVal>
          <c:smooth val="0"/>
          <c:extLst>
            <c:ext xmlns:c16="http://schemas.microsoft.com/office/drawing/2014/chart" uri="{C3380CC4-5D6E-409C-BE32-E72D297353CC}">
              <c16:uniqueId val="{00000005-A47C-4DDB-9690-9B8EA4409B1E}"/>
            </c:ext>
          </c:extLst>
        </c:ser>
        <c:ser>
          <c:idx val="5"/>
          <c:order val="5"/>
          <c:tx>
            <c:strRef>
              <c:f>Cashflow!$B$105</c:f>
              <c:strCache>
                <c:ptCount val="1"/>
                <c:pt idx="0">
                  <c:v>Capital employed</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Cashflow!$C$98:$AG$98</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Cashflow!$C$105:$AG$105</c:f>
              <c:numCache>
                <c:formatCode>0.00_);[Red]\(0.00\)</c:formatCode>
                <c:ptCount val="31"/>
                <c:pt idx="0">
                  <c:v>15.5</c:v>
                </c:pt>
                <c:pt idx="1">
                  <c:v>26.5</c:v>
                </c:pt>
                <c:pt idx="2">
                  <c:v>31.5</c:v>
                </c:pt>
                <c:pt idx="3">
                  <c:v>68.5</c:v>
                </c:pt>
                <c:pt idx="4">
                  <c:v>199.5</c:v>
                </c:pt>
                <c:pt idx="5">
                  <c:v>279.5</c:v>
                </c:pt>
                <c:pt idx="6">
                  <c:v>335</c:v>
                </c:pt>
                <c:pt idx="7">
                  <c:v>377.5</c:v>
                </c:pt>
                <c:pt idx="8">
                  <c:v>362.38635192136758</c:v>
                </c:pt>
                <c:pt idx="9">
                  <c:v>317.90992545467088</c:v>
                </c:pt>
                <c:pt idx="10">
                  <c:v>257.34696414851919</c:v>
                </c:pt>
                <c:pt idx="11">
                  <c:v>183.86409932661758</c:v>
                </c:pt>
                <c:pt idx="12">
                  <c:v>120.09142026239994</c:v>
                </c:pt>
                <c:pt idx="13">
                  <c:v>97.5441625087999</c:v>
                </c:pt>
                <c:pt idx="14">
                  <c:v>82.319559884799901</c:v>
                </c:pt>
                <c:pt idx="15">
                  <c:v>71.857864703999894</c:v>
                </c:pt>
                <c:pt idx="16">
                  <c:v>64.680361983999887</c:v>
                </c:pt>
                <c:pt idx="17">
                  <c:v>59.851040358399871</c:v>
                </c:pt>
                <c:pt idx="18">
                  <c:v>56.814364262399863</c:v>
                </c:pt>
                <c:pt idx="19">
                  <c:v>55.136642662399879</c:v>
                </c:pt>
                <c:pt idx="20">
                  <c:v>54.277649203199871</c:v>
                </c:pt>
                <c:pt idx="21">
                  <c:v>66.277649203199871</c:v>
                </c:pt>
                <c:pt idx="22">
                  <c:v>63.877649203199894</c:v>
                </c:pt>
                <c:pt idx="23">
                  <c:v>61.957649203199878</c:v>
                </c:pt>
                <c:pt idx="24">
                  <c:v>60.421649203199877</c:v>
                </c:pt>
                <c:pt idx="25">
                  <c:v>59.192849203199899</c:v>
                </c:pt>
                <c:pt idx="26">
                  <c:v>58.209809203199882</c:v>
                </c:pt>
                <c:pt idx="27">
                  <c:v>57.423377203199891</c:v>
                </c:pt>
                <c:pt idx="28">
                  <c:v>56.794231603199876</c:v>
                </c:pt>
                <c:pt idx="29">
                  <c:v>56.290915123199852</c:v>
                </c:pt>
                <c:pt idx="30">
                  <c:v>56.693568307199826</c:v>
                </c:pt>
              </c:numCache>
            </c:numRef>
          </c:yVal>
          <c:smooth val="0"/>
          <c:extLst>
            <c:ext xmlns:c16="http://schemas.microsoft.com/office/drawing/2014/chart" uri="{C3380CC4-5D6E-409C-BE32-E72D297353CC}">
              <c16:uniqueId val="{00000006-A47C-4DDB-9690-9B8EA4409B1E}"/>
            </c:ext>
          </c:extLst>
        </c:ser>
        <c:ser>
          <c:idx val="6"/>
          <c:order val="6"/>
          <c:tx>
            <c:strRef>
              <c:f>Cashflow!$B$104</c:f>
              <c:strCache>
                <c:ptCount val="1"/>
                <c:pt idx="0">
                  <c:v>Fiscal costs</c:v>
                </c:pt>
              </c:strCache>
            </c:strRef>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Cashflow!$C$98:$AG$98</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Cashflow!$C$104:$AG$104</c:f>
              <c:numCache>
                <c:formatCode>0.00_);[Red]\(0.00\)</c:formatCode>
                <c:ptCount val="31"/>
                <c:pt idx="0">
                  <c:v>-1.0774999999999999</c:v>
                </c:pt>
                <c:pt idx="1">
                  <c:v>-1.1325000000000001</c:v>
                </c:pt>
                <c:pt idx="2">
                  <c:v>-1.1575</c:v>
                </c:pt>
                <c:pt idx="3">
                  <c:v>-2.3425000000000002</c:v>
                </c:pt>
                <c:pt idx="4">
                  <c:v>-2.9975000000000001</c:v>
                </c:pt>
                <c:pt idx="5">
                  <c:v>-3.3975</c:v>
                </c:pt>
                <c:pt idx="6">
                  <c:v>-4.875</c:v>
                </c:pt>
                <c:pt idx="7">
                  <c:v>-5.4875000000000007</c:v>
                </c:pt>
                <c:pt idx="8">
                  <c:v>-60.48054324572783</c:v>
                </c:pt>
                <c:pt idx="9">
                  <c:v>-87.382575062547147</c:v>
                </c:pt>
                <c:pt idx="10">
                  <c:v>-91.363333960435241</c:v>
                </c:pt>
                <c:pt idx="11">
                  <c:v>-114.75168814827326</c:v>
                </c:pt>
                <c:pt idx="12">
                  <c:v>-73.775817698391094</c:v>
                </c:pt>
                <c:pt idx="13">
                  <c:v>-33.4801635613493</c:v>
                </c:pt>
                <c:pt idx="14">
                  <c:v>-26.227741258173452</c:v>
                </c:pt>
                <c:pt idx="15">
                  <c:v>-23.394600988549293</c:v>
                </c:pt>
                <c:pt idx="16">
                  <c:v>-18.180641354173446</c:v>
                </c:pt>
                <c:pt idx="17">
                  <c:v>-17.762227433349288</c:v>
                </c:pt>
                <c:pt idx="18">
                  <c:v>-14.039814730173442</c:v>
                </c:pt>
                <c:pt idx="19">
                  <c:v>-14.610627407749288</c:v>
                </c:pt>
                <c:pt idx="20">
                  <c:v>-10.86213209337344</c:v>
                </c:pt>
                <c:pt idx="21">
                  <c:v>-14.007905807749287</c:v>
                </c:pt>
                <c:pt idx="22">
                  <c:v>-13.478138634173442</c:v>
                </c:pt>
                <c:pt idx="23">
                  <c:v>-14.927905807749287</c:v>
                </c:pt>
                <c:pt idx="24">
                  <c:v>-12.614138634173443</c:v>
                </c:pt>
                <c:pt idx="25">
                  <c:v>-14.236705807749289</c:v>
                </c:pt>
                <c:pt idx="26">
                  <c:v>-12.061178634173441</c:v>
                </c:pt>
                <c:pt idx="27">
                  <c:v>-13.794337807749287</c:v>
                </c:pt>
                <c:pt idx="28">
                  <c:v>-10.707284234173443</c:v>
                </c:pt>
                <c:pt idx="29">
                  <c:v>-11.511222287749288</c:v>
                </c:pt>
                <c:pt idx="30">
                  <c:v>-10.675485450173442</c:v>
                </c:pt>
              </c:numCache>
            </c:numRef>
          </c:yVal>
          <c:smooth val="0"/>
          <c:extLst>
            <c:ext xmlns:c16="http://schemas.microsoft.com/office/drawing/2014/chart" uri="{C3380CC4-5D6E-409C-BE32-E72D297353CC}">
              <c16:uniqueId val="{00000007-A47C-4DDB-9690-9B8EA4409B1E}"/>
            </c:ext>
          </c:extLst>
        </c:ser>
        <c:ser>
          <c:idx val="7"/>
          <c:order val="7"/>
          <c:tx>
            <c:strRef>
              <c:f>Cashflow!$B$106</c:f>
              <c:strCache>
                <c:ptCount val="1"/>
                <c:pt idx="0">
                  <c:v>Taxable income</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Cashflow!$C$98:$AG$98</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f>Cashflow!$C$106:$AG$106</c:f>
              <c:numCache>
                <c:formatCode>0.00_);[Red]\(0.00\)</c:formatCode>
                <c:ptCount val="31"/>
                <c:pt idx="0">
                  <c:v>0</c:v>
                </c:pt>
                <c:pt idx="1">
                  <c:v>0</c:v>
                </c:pt>
                <c:pt idx="2">
                  <c:v>0</c:v>
                </c:pt>
                <c:pt idx="3">
                  <c:v>0</c:v>
                </c:pt>
                <c:pt idx="4">
                  <c:v>0</c:v>
                </c:pt>
                <c:pt idx="5">
                  <c:v>0</c:v>
                </c:pt>
                <c:pt idx="6">
                  <c:v>0</c:v>
                </c:pt>
                <c:pt idx="7">
                  <c:v>0</c:v>
                </c:pt>
                <c:pt idx="8">
                  <c:v>0</c:v>
                </c:pt>
                <c:pt idx="9">
                  <c:v>0</c:v>
                </c:pt>
                <c:pt idx="10">
                  <c:v>0</c:v>
                </c:pt>
                <c:pt idx="11">
                  <c:v>0</c:v>
                </c:pt>
                <c:pt idx="12">
                  <c:v>25.153962156686134</c:v>
                </c:pt>
                <c:pt idx="13">
                  <c:v>60.934534568477261</c:v>
                </c:pt>
                <c:pt idx="14">
                  <c:v>71.702038596903748</c:v>
                </c:pt>
                <c:pt idx="15">
                  <c:v>71.020097141277262</c:v>
                </c:pt>
                <c:pt idx="16">
                  <c:v>79.749138500903783</c:v>
                </c:pt>
                <c:pt idx="17">
                  <c:v>74.830383691002055</c:v>
                </c:pt>
                <c:pt idx="18">
                  <c:v>82.253544908950687</c:v>
                </c:pt>
                <c:pt idx="19">
                  <c:v>78.301067136759954</c:v>
                </c:pt>
                <c:pt idx="20">
                  <c:v>85.732397007034166</c:v>
                </c:pt>
                <c:pt idx="21">
                  <c:v>79.129662561693152</c:v>
                </c:pt>
                <c:pt idx="22">
                  <c:v>83.233722737207316</c:v>
                </c:pt>
                <c:pt idx="23">
                  <c:v>78.248537996232784</c:v>
                </c:pt>
                <c:pt idx="24">
                  <c:v>84.113328254284326</c:v>
                </c:pt>
                <c:pt idx="25">
                  <c:v>65.29502093076205</c:v>
                </c:pt>
                <c:pt idx="26">
                  <c:v>70.419312695359608</c:v>
                </c:pt>
                <c:pt idx="27">
                  <c:v>65.710542985050068</c:v>
                </c:pt>
                <c:pt idx="28">
                  <c:v>71.711686655696198</c:v>
                </c:pt>
                <c:pt idx="29">
                  <c:v>46.687257071076772</c:v>
                </c:pt>
                <c:pt idx="30">
                  <c:v>49.535649273904056</c:v>
                </c:pt>
              </c:numCache>
            </c:numRef>
          </c:yVal>
          <c:smooth val="0"/>
          <c:extLst>
            <c:ext xmlns:c16="http://schemas.microsoft.com/office/drawing/2014/chart" uri="{C3380CC4-5D6E-409C-BE32-E72D297353CC}">
              <c16:uniqueId val="{00000000-C375-4E53-972D-39E5A9DEBC15}"/>
            </c:ext>
          </c:extLst>
        </c:ser>
        <c:dLbls>
          <c:showLegendKey val="0"/>
          <c:showVal val="0"/>
          <c:showCatName val="0"/>
          <c:showSerName val="0"/>
          <c:showPercent val="0"/>
          <c:showBubbleSize val="0"/>
        </c:dLbls>
        <c:axId val="655473424"/>
        <c:axId val="655473752"/>
        <c:extLst>
          <c:ext xmlns:c15="http://schemas.microsoft.com/office/drawing/2012/chart" uri="{02D57815-91ED-43cb-92C2-25804820EDAC}">
            <c15:filteredScatterSeries>
              <c15:ser>
                <c:idx val="0"/>
                <c:order val="0"/>
                <c:tx>
                  <c:strRef>
                    <c:extLst>
                      <c:ext uri="{02D57815-91ED-43cb-92C2-25804820EDAC}">
                        <c15:formulaRef>
                          <c15:sqref>Cashflow!$B$101</c15:sqref>
                        </c15:formulaRef>
                      </c:ext>
                    </c:extLst>
                    <c:strCache>
                      <c:ptCount val="1"/>
                      <c:pt idx="0">
                        <c:v>Capital allowance realized</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extLst>
                      <c:ext uri="{02D57815-91ED-43cb-92C2-25804820EDAC}">
                        <c15:formulaRef>
                          <c15:sqref>Cashflow!$C$98:$AG$98</c15:sqref>
                        </c15:formulaRef>
                      </c:ext>
                    </c:extLst>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extLst>
                      <c:ext uri="{02D57815-91ED-43cb-92C2-25804820EDAC}">
                        <c15:formulaRef>
                          <c15:sqref>Cashflow!$C$101:$AG$101</c15:sqref>
                        </c15:formulaRef>
                      </c:ext>
                    </c:extLst>
                    <c:numCache>
                      <c:formatCode>0.00_);[Red]\(0.00\)</c:formatCode>
                      <c:ptCount val="31"/>
                      <c:pt idx="0">
                        <c:v>0</c:v>
                      </c:pt>
                      <c:pt idx="1">
                        <c:v>0</c:v>
                      </c:pt>
                      <c:pt idx="2">
                        <c:v>0</c:v>
                      </c:pt>
                      <c:pt idx="3">
                        <c:v>0</c:v>
                      </c:pt>
                      <c:pt idx="4">
                        <c:v>0</c:v>
                      </c:pt>
                      <c:pt idx="5">
                        <c:v>0</c:v>
                      </c:pt>
                      <c:pt idx="6">
                        <c:v>0</c:v>
                      </c:pt>
                      <c:pt idx="7">
                        <c:v>0</c:v>
                      </c:pt>
                      <c:pt idx="8">
                        <c:v>53.613648078632409</c:v>
                      </c:pt>
                      <c:pt idx="9">
                        <c:v>79.476426466696722</c:v>
                      </c:pt>
                      <c:pt idx="10">
                        <c:v>83.062961306151706</c:v>
                      </c:pt>
                      <c:pt idx="11">
                        <c:v>105.48286482190163</c:v>
                      </c:pt>
                      <c:pt idx="12">
                        <c:v>63.772679064217655</c:v>
                      </c:pt>
                      <c:pt idx="13">
                        <c:v>22.547257753600014</c:v>
                      </c:pt>
                      <c:pt idx="14">
                        <c:v>15.224602624000012</c:v>
                      </c:pt>
                      <c:pt idx="15">
                        <c:v>10.461695180800008</c:v>
                      </c:pt>
                      <c:pt idx="16">
                        <c:v>7.177502720000005</c:v>
                      </c:pt>
                      <c:pt idx="17">
                        <c:v>4.829321625600004</c:v>
                      </c:pt>
                      <c:pt idx="18">
                        <c:v>3.0366760960000025</c:v>
                      </c:pt>
                      <c:pt idx="19">
                        <c:v>1.6777216000000015</c:v>
                      </c:pt>
                      <c:pt idx="20">
                        <c:v>0.85899345920000081</c:v>
                      </c:pt>
                      <c:pt idx="21">
                        <c:v>3</c:v>
                      </c:pt>
                      <c:pt idx="22">
                        <c:v>2.4000000000000004</c:v>
                      </c:pt>
                      <c:pt idx="23">
                        <c:v>1.9200000000000004</c:v>
                      </c:pt>
                      <c:pt idx="24">
                        <c:v>1.5360000000000005</c:v>
                      </c:pt>
                      <c:pt idx="25">
                        <c:v>1.2288000000000006</c:v>
                      </c:pt>
                      <c:pt idx="26">
                        <c:v>0.98304000000000069</c:v>
                      </c:pt>
                      <c:pt idx="27">
                        <c:v>0.78643200000000046</c:v>
                      </c:pt>
                      <c:pt idx="28">
                        <c:v>0.62914560000000053</c:v>
                      </c:pt>
                      <c:pt idx="29">
                        <c:v>0.5033164800000004</c:v>
                      </c:pt>
                      <c:pt idx="30">
                        <c:v>-0.40265318400000033</c:v>
                      </c:pt>
                    </c:numCache>
                  </c:numRef>
                </c:yVal>
                <c:smooth val="0"/>
                <c:extLst>
                  <c:ext xmlns:c16="http://schemas.microsoft.com/office/drawing/2014/chart" uri="{C3380CC4-5D6E-409C-BE32-E72D297353CC}">
                    <c16:uniqueId val="{00000000-A47C-4DDB-9690-9B8EA4409B1E}"/>
                  </c:ext>
                </c:extLst>
              </c15:ser>
            </c15:filteredScatterSeries>
            <c15:filteredScatterSeries>
              <c15:ser>
                <c:idx val="1"/>
                <c:order val="1"/>
                <c:tx>
                  <c:strRef>
                    <c:extLst xmlns:c15="http://schemas.microsoft.com/office/drawing/2012/chart">
                      <c:ext xmlns:c15="http://schemas.microsoft.com/office/drawing/2012/chart" uri="{02D57815-91ED-43cb-92C2-25804820EDAC}">
                        <c15:formulaRef>
                          <c15:sqref>Cashflow!$B$105</c15:sqref>
                        </c15:formulaRef>
                      </c:ext>
                    </c:extLst>
                    <c:strCache>
                      <c:ptCount val="1"/>
                      <c:pt idx="0">
                        <c:v>Capital employed</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extLst xmlns:c15="http://schemas.microsoft.com/office/drawing/2012/chart">
                      <c:ext xmlns:c15="http://schemas.microsoft.com/office/drawing/2012/chart" uri="{02D57815-91ED-43cb-92C2-25804820EDAC}">
                        <c15:formulaRef>
                          <c15:sqref>Cashflow!$C$98:$AG$98</c15:sqref>
                        </c15:formulaRef>
                      </c:ext>
                    </c:extLst>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extLst xmlns:c15="http://schemas.microsoft.com/office/drawing/2012/chart">
                      <c:ext xmlns:c15="http://schemas.microsoft.com/office/drawing/2012/chart" uri="{02D57815-91ED-43cb-92C2-25804820EDAC}">
                        <c15:formulaRef>
                          <c15:sqref>Cashflow!$C$105:$AG$105</c15:sqref>
                        </c15:formulaRef>
                      </c:ext>
                    </c:extLst>
                    <c:numCache>
                      <c:formatCode>0.00_);[Red]\(0.00\)</c:formatCode>
                      <c:ptCount val="31"/>
                      <c:pt idx="0">
                        <c:v>15.5</c:v>
                      </c:pt>
                      <c:pt idx="1">
                        <c:v>26.5</c:v>
                      </c:pt>
                      <c:pt idx="2">
                        <c:v>31.5</c:v>
                      </c:pt>
                      <c:pt idx="3">
                        <c:v>68.5</c:v>
                      </c:pt>
                      <c:pt idx="4">
                        <c:v>199.5</c:v>
                      </c:pt>
                      <c:pt idx="5">
                        <c:v>279.5</c:v>
                      </c:pt>
                      <c:pt idx="6">
                        <c:v>335</c:v>
                      </c:pt>
                      <c:pt idx="7">
                        <c:v>377.5</c:v>
                      </c:pt>
                      <c:pt idx="8">
                        <c:v>362.38635192136758</c:v>
                      </c:pt>
                      <c:pt idx="9">
                        <c:v>317.90992545467088</c:v>
                      </c:pt>
                      <c:pt idx="10">
                        <c:v>257.34696414851919</c:v>
                      </c:pt>
                      <c:pt idx="11">
                        <c:v>183.86409932661758</c:v>
                      </c:pt>
                      <c:pt idx="12">
                        <c:v>120.09142026239994</c:v>
                      </c:pt>
                      <c:pt idx="13">
                        <c:v>97.5441625087999</c:v>
                      </c:pt>
                      <c:pt idx="14">
                        <c:v>82.319559884799901</c:v>
                      </c:pt>
                      <c:pt idx="15">
                        <c:v>71.857864703999894</c:v>
                      </c:pt>
                      <c:pt idx="16">
                        <c:v>64.680361983999887</c:v>
                      </c:pt>
                      <c:pt idx="17">
                        <c:v>59.851040358399871</c:v>
                      </c:pt>
                      <c:pt idx="18">
                        <c:v>56.814364262399863</c:v>
                      </c:pt>
                      <c:pt idx="19">
                        <c:v>55.136642662399879</c:v>
                      </c:pt>
                      <c:pt idx="20">
                        <c:v>54.277649203199871</c:v>
                      </c:pt>
                      <c:pt idx="21">
                        <c:v>66.277649203199871</c:v>
                      </c:pt>
                      <c:pt idx="22">
                        <c:v>63.877649203199894</c:v>
                      </c:pt>
                      <c:pt idx="23">
                        <c:v>61.957649203199878</c:v>
                      </c:pt>
                      <c:pt idx="24">
                        <c:v>60.421649203199877</c:v>
                      </c:pt>
                      <c:pt idx="25">
                        <c:v>59.192849203199899</c:v>
                      </c:pt>
                      <c:pt idx="26">
                        <c:v>58.209809203199882</c:v>
                      </c:pt>
                      <c:pt idx="27">
                        <c:v>57.423377203199891</c:v>
                      </c:pt>
                      <c:pt idx="28">
                        <c:v>56.794231603199876</c:v>
                      </c:pt>
                      <c:pt idx="29">
                        <c:v>56.290915123199852</c:v>
                      </c:pt>
                      <c:pt idx="30">
                        <c:v>56.693568307199826</c:v>
                      </c:pt>
                    </c:numCache>
                  </c:numRef>
                </c:yVal>
                <c:smooth val="0"/>
                <c:extLst xmlns:c15="http://schemas.microsoft.com/office/drawing/2012/chart">
                  <c:ext xmlns:c16="http://schemas.microsoft.com/office/drawing/2014/chart" uri="{C3380CC4-5D6E-409C-BE32-E72D297353CC}">
                    <c16:uniqueId val="{00000001-A47C-4DDB-9690-9B8EA4409B1E}"/>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Cashflow!$B$104</c15:sqref>
                        </c15:formulaRef>
                      </c:ext>
                    </c:extLst>
                    <c:strCache>
                      <c:ptCount val="1"/>
                      <c:pt idx="0">
                        <c:v>Fiscal costs</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extLst xmlns:c15="http://schemas.microsoft.com/office/drawing/2012/chart">
                      <c:ext xmlns:c15="http://schemas.microsoft.com/office/drawing/2012/chart" uri="{02D57815-91ED-43cb-92C2-25804820EDAC}">
                        <c15:formulaRef>
                          <c15:sqref>Cashflow!$C$98:$AG$98</c15:sqref>
                        </c15:formulaRef>
                      </c:ext>
                    </c:extLst>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extLst xmlns:c15="http://schemas.microsoft.com/office/drawing/2012/chart">
                      <c:ext xmlns:c15="http://schemas.microsoft.com/office/drawing/2012/chart" uri="{02D57815-91ED-43cb-92C2-25804820EDAC}">
                        <c15:formulaRef>
                          <c15:sqref>Cashflow!$C$104:$AG$104</c15:sqref>
                        </c15:formulaRef>
                      </c:ext>
                    </c:extLst>
                    <c:numCache>
                      <c:formatCode>0.00_);[Red]\(0.00\)</c:formatCode>
                      <c:ptCount val="31"/>
                      <c:pt idx="0">
                        <c:v>-1.0774999999999999</c:v>
                      </c:pt>
                      <c:pt idx="1">
                        <c:v>-1.1325000000000001</c:v>
                      </c:pt>
                      <c:pt idx="2">
                        <c:v>-1.1575</c:v>
                      </c:pt>
                      <c:pt idx="3">
                        <c:v>-2.3425000000000002</c:v>
                      </c:pt>
                      <c:pt idx="4">
                        <c:v>-2.9975000000000001</c:v>
                      </c:pt>
                      <c:pt idx="5">
                        <c:v>-3.3975</c:v>
                      </c:pt>
                      <c:pt idx="6">
                        <c:v>-4.875</c:v>
                      </c:pt>
                      <c:pt idx="7">
                        <c:v>-5.4875000000000007</c:v>
                      </c:pt>
                      <c:pt idx="8">
                        <c:v>-60.48054324572783</c:v>
                      </c:pt>
                      <c:pt idx="9">
                        <c:v>-87.382575062547147</c:v>
                      </c:pt>
                      <c:pt idx="10">
                        <c:v>-91.363333960435241</c:v>
                      </c:pt>
                      <c:pt idx="11">
                        <c:v>-114.75168814827326</c:v>
                      </c:pt>
                      <c:pt idx="12">
                        <c:v>-73.775817698391094</c:v>
                      </c:pt>
                      <c:pt idx="13">
                        <c:v>-33.4801635613493</c:v>
                      </c:pt>
                      <c:pt idx="14">
                        <c:v>-26.227741258173452</c:v>
                      </c:pt>
                      <c:pt idx="15">
                        <c:v>-23.394600988549293</c:v>
                      </c:pt>
                      <c:pt idx="16">
                        <c:v>-18.180641354173446</c:v>
                      </c:pt>
                      <c:pt idx="17">
                        <c:v>-17.762227433349288</c:v>
                      </c:pt>
                      <c:pt idx="18">
                        <c:v>-14.039814730173442</c:v>
                      </c:pt>
                      <c:pt idx="19">
                        <c:v>-14.610627407749288</c:v>
                      </c:pt>
                      <c:pt idx="20">
                        <c:v>-10.86213209337344</c:v>
                      </c:pt>
                      <c:pt idx="21">
                        <c:v>-14.007905807749287</c:v>
                      </c:pt>
                      <c:pt idx="22">
                        <c:v>-13.478138634173442</c:v>
                      </c:pt>
                      <c:pt idx="23">
                        <c:v>-14.927905807749287</c:v>
                      </c:pt>
                      <c:pt idx="24">
                        <c:v>-12.614138634173443</c:v>
                      </c:pt>
                      <c:pt idx="25">
                        <c:v>-14.236705807749289</c:v>
                      </c:pt>
                      <c:pt idx="26">
                        <c:v>-12.061178634173441</c:v>
                      </c:pt>
                      <c:pt idx="27">
                        <c:v>-13.794337807749287</c:v>
                      </c:pt>
                      <c:pt idx="28">
                        <c:v>-10.707284234173443</c:v>
                      </c:pt>
                      <c:pt idx="29">
                        <c:v>-11.511222287749288</c:v>
                      </c:pt>
                      <c:pt idx="30">
                        <c:v>-10.675485450173442</c:v>
                      </c:pt>
                    </c:numCache>
                  </c:numRef>
                </c:yVal>
                <c:smooth val="0"/>
                <c:extLst xmlns:c15="http://schemas.microsoft.com/office/drawing/2012/chart">
                  <c:ext xmlns:c16="http://schemas.microsoft.com/office/drawing/2014/chart" uri="{C3380CC4-5D6E-409C-BE32-E72D297353CC}">
                    <c16:uniqueId val="{00000002-A47C-4DDB-9690-9B8EA4409B1E}"/>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Cashflow!$B$101</c15:sqref>
                        </c15:formulaRef>
                      </c:ext>
                    </c:extLst>
                    <c:strCache>
                      <c:ptCount val="1"/>
                      <c:pt idx="0">
                        <c:v>Capital allowance realized</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extLst xmlns:c15="http://schemas.microsoft.com/office/drawing/2012/chart">
                      <c:ext xmlns:c15="http://schemas.microsoft.com/office/drawing/2012/chart" uri="{02D57815-91ED-43cb-92C2-25804820EDAC}">
                        <c15:formulaRef>
                          <c15:sqref>Cashflow!$C$98:$AG$98</c15:sqref>
                        </c15:formulaRef>
                      </c:ext>
                    </c:extLst>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xVal>
                <c:yVal>
                  <c:numRef>
                    <c:extLst xmlns:c15="http://schemas.microsoft.com/office/drawing/2012/chart">
                      <c:ext xmlns:c15="http://schemas.microsoft.com/office/drawing/2012/chart" uri="{02D57815-91ED-43cb-92C2-25804820EDAC}">
                        <c15:formulaRef>
                          <c15:sqref>Cashflow!$C$101:$AG$101</c15:sqref>
                        </c15:formulaRef>
                      </c:ext>
                    </c:extLst>
                    <c:numCache>
                      <c:formatCode>0.00_);[Red]\(0.00\)</c:formatCode>
                      <c:ptCount val="31"/>
                      <c:pt idx="0">
                        <c:v>0</c:v>
                      </c:pt>
                      <c:pt idx="1">
                        <c:v>0</c:v>
                      </c:pt>
                      <c:pt idx="2">
                        <c:v>0</c:v>
                      </c:pt>
                      <c:pt idx="3">
                        <c:v>0</c:v>
                      </c:pt>
                      <c:pt idx="4">
                        <c:v>0</c:v>
                      </c:pt>
                      <c:pt idx="5">
                        <c:v>0</c:v>
                      </c:pt>
                      <c:pt idx="6">
                        <c:v>0</c:v>
                      </c:pt>
                      <c:pt idx="7">
                        <c:v>0</c:v>
                      </c:pt>
                      <c:pt idx="8">
                        <c:v>53.613648078632409</c:v>
                      </c:pt>
                      <c:pt idx="9">
                        <c:v>79.476426466696722</c:v>
                      </c:pt>
                      <c:pt idx="10">
                        <c:v>83.062961306151706</c:v>
                      </c:pt>
                      <c:pt idx="11">
                        <c:v>105.48286482190163</c:v>
                      </c:pt>
                      <c:pt idx="12">
                        <c:v>63.772679064217655</c:v>
                      </c:pt>
                      <c:pt idx="13">
                        <c:v>22.547257753600014</c:v>
                      </c:pt>
                      <c:pt idx="14">
                        <c:v>15.224602624000012</c:v>
                      </c:pt>
                      <c:pt idx="15">
                        <c:v>10.461695180800008</c:v>
                      </c:pt>
                      <c:pt idx="16">
                        <c:v>7.177502720000005</c:v>
                      </c:pt>
                      <c:pt idx="17">
                        <c:v>4.829321625600004</c:v>
                      </c:pt>
                      <c:pt idx="18">
                        <c:v>3.0366760960000025</c:v>
                      </c:pt>
                      <c:pt idx="19">
                        <c:v>1.6777216000000015</c:v>
                      </c:pt>
                      <c:pt idx="20">
                        <c:v>0.85899345920000081</c:v>
                      </c:pt>
                      <c:pt idx="21">
                        <c:v>3</c:v>
                      </c:pt>
                      <c:pt idx="22">
                        <c:v>2.4000000000000004</c:v>
                      </c:pt>
                      <c:pt idx="23">
                        <c:v>1.9200000000000004</c:v>
                      </c:pt>
                      <c:pt idx="24">
                        <c:v>1.5360000000000005</c:v>
                      </c:pt>
                      <c:pt idx="25">
                        <c:v>1.2288000000000006</c:v>
                      </c:pt>
                      <c:pt idx="26">
                        <c:v>0.98304000000000069</c:v>
                      </c:pt>
                      <c:pt idx="27">
                        <c:v>0.78643200000000046</c:v>
                      </c:pt>
                      <c:pt idx="28">
                        <c:v>0.62914560000000053</c:v>
                      </c:pt>
                      <c:pt idx="29">
                        <c:v>0.5033164800000004</c:v>
                      </c:pt>
                      <c:pt idx="30">
                        <c:v>-0.40265318400000033</c:v>
                      </c:pt>
                    </c:numCache>
                  </c:numRef>
                </c:yVal>
                <c:smooth val="0"/>
                <c:extLst xmlns:c15="http://schemas.microsoft.com/office/drawing/2012/chart">
                  <c:ext xmlns:c16="http://schemas.microsoft.com/office/drawing/2014/chart" uri="{C3380CC4-5D6E-409C-BE32-E72D297353CC}">
                    <c16:uniqueId val="{00000004-A47C-4DDB-9690-9B8EA4409B1E}"/>
                  </c:ext>
                </c:extLst>
              </c15:ser>
            </c15:filteredScatterSeries>
          </c:ext>
        </c:extLst>
      </c:scatterChart>
      <c:valAx>
        <c:axId val="655473424"/>
        <c:scaling>
          <c:orientation val="minMax"/>
        </c:scaling>
        <c:delete val="0"/>
        <c:axPos val="b"/>
        <c:title>
          <c:tx>
            <c:rich>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Year</a:t>
                </a:r>
              </a:p>
            </c:rich>
          </c:tx>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cross"/>
        <c:minorTickMark val="in"/>
        <c:tickLblPos val="high"/>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752"/>
        <c:crosses val="autoZero"/>
        <c:crossBetween val="midCat"/>
      </c:valAx>
      <c:valAx>
        <c:axId val="655473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b="0"/>
                  <a:t>Million Dollars ($ MM)</a:t>
                </a:r>
              </a:p>
            </c:rich>
          </c:tx>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in"/>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55473424"/>
        <c:crosses val="autoZero"/>
        <c:crossBetween val="midCat"/>
      </c:valAx>
      <c:spPr>
        <a:noFill/>
        <a:ln>
          <a:noFill/>
        </a:ln>
        <a:effectLst/>
      </c:spPr>
    </c:plotArea>
    <c:legend>
      <c:legendPos val="r"/>
      <c:layout>
        <c:manualLayout>
          <c:xMode val="edge"/>
          <c:yMode val="edge"/>
          <c:x val="2.1166666666666667E-2"/>
          <c:y val="0.54326759259259261"/>
          <c:w val="0.1765801111111111"/>
          <c:h val="0.15875111111111112"/>
        </c:manualLayout>
      </c:layout>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20.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jpeg"/><Relationship Id="rId16" Type="http://schemas.openxmlformats.org/officeDocument/2006/relationships/image" Target="../media/image20.png"/><Relationship Id="rId1" Type="http://schemas.openxmlformats.org/officeDocument/2006/relationships/chart" Target="../charts/chart15.xml"/><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chart" Target="../charts/chart17.xml"/><Relationship Id="rId5" Type="http://schemas.openxmlformats.org/officeDocument/2006/relationships/image" Target="../media/image2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9.png"/><Relationship Id="rId5" Type="http://schemas.openxmlformats.org/officeDocument/2006/relationships/image" Target="../media/image37.png"/><Relationship Id="rId4" Type="http://schemas.openxmlformats.org/officeDocument/2006/relationships/image" Target="../media/image36.png"/></Relationships>
</file>

<file path=xl/drawings/_rels/drawing25.xml.rels><?xml version="1.0" encoding="UTF-8" standalone="yes"?>
<Relationships xmlns="http://schemas.openxmlformats.org/package/2006/relationships"><Relationship Id="rId8" Type="http://schemas.openxmlformats.org/officeDocument/2006/relationships/image" Target="../media/image45.png"/><Relationship Id="rId3" Type="http://schemas.openxmlformats.org/officeDocument/2006/relationships/image" Target="../media/image40.png"/><Relationship Id="rId7" Type="http://schemas.openxmlformats.org/officeDocument/2006/relationships/image" Target="../media/image44.pn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3.png"/><Relationship Id="rId5" Type="http://schemas.openxmlformats.org/officeDocument/2006/relationships/image" Target="../media/image42.png"/><Relationship Id="rId10" Type="http://schemas.openxmlformats.org/officeDocument/2006/relationships/image" Target="../media/image47.png"/><Relationship Id="rId4" Type="http://schemas.openxmlformats.org/officeDocument/2006/relationships/image" Target="../media/image41.png"/><Relationship Id="rId9" Type="http://schemas.openxmlformats.org/officeDocument/2006/relationships/image" Target="../media/image46.png"/></Relationships>
</file>

<file path=xl/drawings/_rels/drawing26.xml.rels><?xml version="1.0" encoding="UTF-8" standalone="yes"?>
<Relationships xmlns="http://schemas.openxmlformats.org/package/2006/relationships"><Relationship Id="rId8" Type="http://schemas.openxmlformats.org/officeDocument/2006/relationships/chart" Target="../charts/chart23.xml"/><Relationship Id="rId3" Type="http://schemas.openxmlformats.org/officeDocument/2006/relationships/chart" Target="../charts/chart22.xml"/><Relationship Id="rId7" Type="http://schemas.openxmlformats.org/officeDocument/2006/relationships/image" Target="../media/image53.png"/><Relationship Id="rId2" Type="http://schemas.openxmlformats.org/officeDocument/2006/relationships/image" Target="../media/image49.png"/><Relationship Id="rId1" Type="http://schemas.openxmlformats.org/officeDocument/2006/relationships/image" Target="../media/image48.png"/><Relationship Id="rId6" Type="http://schemas.openxmlformats.org/officeDocument/2006/relationships/image" Target="../media/image52.png"/><Relationship Id="rId5" Type="http://schemas.openxmlformats.org/officeDocument/2006/relationships/image" Target="../media/image51.png"/><Relationship Id="rId4" Type="http://schemas.openxmlformats.org/officeDocument/2006/relationships/image" Target="../media/image50.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3" Type="http://schemas.openxmlformats.org/officeDocument/2006/relationships/image" Target="../media/image56.png"/><Relationship Id="rId2" Type="http://schemas.openxmlformats.org/officeDocument/2006/relationships/image" Target="../media/image55.png"/><Relationship Id="rId1" Type="http://schemas.openxmlformats.org/officeDocument/2006/relationships/image" Target="../media/image54.png"/><Relationship Id="rId5" Type="http://schemas.openxmlformats.org/officeDocument/2006/relationships/image" Target="../media/image58.png"/><Relationship Id="rId4" Type="http://schemas.openxmlformats.org/officeDocument/2006/relationships/image" Target="../media/image57.png"/></Relationships>
</file>

<file path=xl/drawings/_rels/drawing29.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59.png"/><Relationship Id="rId4" Type="http://schemas.openxmlformats.org/officeDocument/2006/relationships/image" Target="../media/image62.png"/></Relationships>
</file>

<file path=xl/drawings/_rels/drawing31.xml.rels><?xml version="1.0" encoding="UTF-8" standalone="yes"?>
<Relationships xmlns="http://schemas.openxmlformats.org/package/2006/relationships"><Relationship Id="rId8" Type="http://schemas.openxmlformats.org/officeDocument/2006/relationships/image" Target="../media/image69.emf"/><Relationship Id="rId3" Type="http://schemas.openxmlformats.org/officeDocument/2006/relationships/image" Target="../media/image65.png"/><Relationship Id="rId7" Type="http://schemas.openxmlformats.org/officeDocument/2006/relationships/image" Target="../media/image68.png"/><Relationship Id="rId2" Type="http://schemas.openxmlformats.org/officeDocument/2006/relationships/image" Target="../media/image64.png"/><Relationship Id="rId1" Type="http://schemas.openxmlformats.org/officeDocument/2006/relationships/image" Target="../media/image63.png"/><Relationship Id="rId6" Type="http://schemas.openxmlformats.org/officeDocument/2006/relationships/image" Target="../media/image2.jpeg"/><Relationship Id="rId5" Type="http://schemas.openxmlformats.org/officeDocument/2006/relationships/image" Target="../media/image67.png"/><Relationship Id="rId4" Type="http://schemas.openxmlformats.org/officeDocument/2006/relationships/image" Target="../media/image6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5966460</xdr:colOff>
      <xdr:row>0</xdr:row>
      <xdr:rowOff>38100</xdr:rowOff>
    </xdr:from>
    <xdr:to>
      <xdr:col>2</xdr:col>
      <xdr:colOff>1270</xdr:colOff>
      <xdr:row>5</xdr:row>
      <xdr:rowOff>19050</xdr:rowOff>
    </xdr:to>
    <xdr:pic>
      <xdr:nvPicPr>
        <xdr:cNvPr id="4" name="Picture 3">
          <a:extLst>
            <a:ext uri="{FF2B5EF4-FFF2-40B4-BE49-F238E27FC236}">
              <a16:creationId xmlns:a16="http://schemas.microsoft.com/office/drawing/2014/main" id="{44DDCDE4-57FF-40E1-8504-7E0A2BE6AE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9840" y="38100"/>
          <a:ext cx="2997835" cy="750570"/>
        </a:xfrm>
        <a:prstGeom prst="rect">
          <a:avLst/>
        </a:prstGeom>
      </xdr:spPr>
    </xdr:pic>
    <xdr:clientData/>
  </xdr:twoCellAnchor>
  <xdr:twoCellAnchor>
    <xdr:from>
      <xdr:col>2</xdr:col>
      <xdr:colOff>0</xdr:colOff>
      <xdr:row>25</xdr:row>
      <xdr:rowOff>0</xdr:rowOff>
    </xdr:from>
    <xdr:to>
      <xdr:col>7</xdr:col>
      <xdr:colOff>66357</xdr:colOff>
      <xdr:row>25</xdr:row>
      <xdr:rowOff>1866900</xdr:rowOff>
    </xdr:to>
    <xdr:pic>
      <xdr:nvPicPr>
        <xdr:cNvPr id="5" name="Picture 4" descr="http://www.informit.com/content/images/chap1_9780137031580/elementLinks/fig_1_7_alt.jpg">
          <a:extLst>
            <a:ext uri="{FF2B5EF4-FFF2-40B4-BE49-F238E27FC236}">
              <a16:creationId xmlns:a16="http://schemas.microsoft.com/office/drawing/2014/main" id="{CC76DB19-F5EC-4801-8E51-F5FF13D326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15500" y="9880600"/>
          <a:ext cx="3489007"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436800</xdr:colOff>
      <xdr:row>28</xdr:row>
      <xdr:rowOff>66000</xdr:rowOff>
    </xdr:to>
    <xdr:graphicFrame macro="">
      <xdr:nvGraphicFramePr>
        <xdr:cNvPr id="3" name="Chart 2">
          <a:extLst>
            <a:ext uri="{FF2B5EF4-FFF2-40B4-BE49-F238E27FC236}">
              <a16:creationId xmlns:a16="http://schemas.microsoft.com/office/drawing/2014/main" id="{4A5518C3-A948-4954-B1E0-A10BD4832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0.25312</cdr:x>
      <cdr:y>0.07938</cdr:y>
    </cdr:from>
    <cdr:to>
      <cdr:x>0.75406</cdr:x>
      <cdr:y>0.14112</cdr:y>
    </cdr:to>
    <cdr:sp macro="" textlink="'Fig. Prod'!$A$35">
      <cdr:nvSpPr>
        <cdr:cNvPr id="2" name="TextBox 1">
          <a:extLst xmlns:a="http://schemas.openxmlformats.org/drawingml/2006/main">
            <a:ext uri="{FF2B5EF4-FFF2-40B4-BE49-F238E27FC236}">
              <a16:creationId xmlns:a16="http://schemas.microsoft.com/office/drawing/2014/main" id="{60409BD4-C044-480F-BAA4-5A1C64E4B1AB}"/>
            </a:ext>
          </a:extLst>
        </cdr:cNvPr>
        <cdr:cNvSpPr txBox="1"/>
      </cdr:nvSpPr>
      <cdr:spPr>
        <a:xfrm xmlns:a="http://schemas.openxmlformats.org/drawingml/2006/main">
          <a:off x="2733693" y="428628"/>
          <a:ext cx="5410182" cy="33339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F22E60F1-A0D6-4377-AA8B-2A53A233E755}" type="TxLink">
            <a:rPr lang="en-US" sz="1000" b="0" i="0" u="none" strike="noStrike" baseline="0">
              <a:solidFill>
                <a:srgbClr val="FF0000"/>
              </a:solidFill>
              <a:latin typeface="+mn-lt"/>
              <a:cs typeface="Arial"/>
            </a:rPr>
            <a:pPr algn="ctr"/>
            <a:t>The field is still producing at the end of the analysis</a:t>
          </a:fld>
          <a:endParaRPr lang="en-US" sz="1100" b="0" baseline="0">
            <a:solidFill>
              <a:srgbClr val="FF0000"/>
            </a:solidFill>
            <a:latin typeface="+mn-lt"/>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513000</xdr:colOff>
      <xdr:row>28</xdr:row>
      <xdr:rowOff>66000</xdr:rowOff>
    </xdr:to>
    <xdr:graphicFrame macro="">
      <xdr:nvGraphicFramePr>
        <xdr:cNvPr id="2" name="Chart 1">
          <a:extLst>
            <a:ext uri="{FF2B5EF4-FFF2-40B4-BE49-F238E27FC236}">
              <a16:creationId xmlns:a16="http://schemas.microsoft.com/office/drawing/2014/main" id="{FF888673-968A-4CAA-AB3C-D3610BCD78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209081</xdr:colOff>
      <xdr:row>2</xdr:row>
      <xdr:rowOff>66675</xdr:rowOff>
    </xdr:from>
    <xdr:ext cx="9192094" cy="248851"/>
    <xdr:sp macro="" textlink="$A$35">
      <xdr:nvSpPr>
        <xdr:cNvPr id="3" name="TextBox 2">
          <a:extLst>
            <a:ext uri="{FF2B5EF4-FFF2-40B4-BE49-F238E27FC236}">
              <a16:creationId xmlns:a16="http://schemas.microsoft.com/office/drawing/2014/main" id="{C7543A1C-7A27-46E4-A7C8-CD3CF7F02418}"/>
            </a:ext>
          </a:extLst>
        </xdr:cNvPr>
        <xdr:cNvSpPr txBox="1"/>
      </xdr:nvSpPr>
      <xdr:spPr>
        <a:xfrm>
          <a:off x="818681" y="447675"/>
          <a:ext cx="9192094"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ADA6F14C-3CEA-4AEE-8B95-D13EB1E1DFC5}" type="TxLink">
            <a:rPr lang="en-US" sz="1000" b="0" i="0" u="none" strike="noStrike">
              <a:solidFill>
                <a:srgbClr val="FF0000"/>
              </a:solidFill>
              <a:latin typeface="+mn-lt"/>
              <a:cs typeface="Arial"/>
            </a:rPr>
            <a:pPr algn="ctr"/>
            <a:t>All expl. and appr. well successes reused as injectors / All expl., appr., and devt. well failures P&amp;A</a:t>
          </a:fld>
          <a:endParaRPr lang="en-US" sz="1100" b="0">
            <a:solidFill>
              <a:srgbClr val="FF0000"/>
            </a:solidFill>
            <a:latin typeface="+mn-lt"/>
          </a:endParaRP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436800</xdr:colOff>
      <xdr:row>28</xdr:row>
      <xdr:rowOff>66000</xdr:rowOff>
    </xdr:to>
    <xdr:graphicFrame macro="">
      <xdr:nvGraphicFramePr>
        <xdr:cNvPr id="2" name="Chart 1">
          <a:extLst>
            <a:ext uri="{FF2B5EF4-FFF2-40B4-BE49-F238E27FC236}">
              <a16:creationId xmlns:a16="http://schemas.microsoft.com/office/drawing/2014/main" id="{0C26E3EA-29C6-47A3-A9CB-789D7CDD9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438172</xdr:colOff>
      <xdr:row>2</xdr:row>
      <xdr:rowOff>38100</xdr:rowOff>
    </xdr:from>
    <xdr:to>
      <xdr:col>13</xdr:col>
      <xdr:colOff>76200</xdr:colOff>
      <xdr:row>3</xdr:row>
      <xdr:rowOff>133350</xdr:rowOff>
    </xdr:to>
    <xdr:sp macro="" textlink="$A$35">
      <xdr:nvSpPr>
        <xdr:cNvPr id="3" name="TextBox 1">
          <a:extLst>
            <a:ext uri="{FF2B5EF4-FFF2-40B4-BE49-F238E27FC236}">
              <a16:creationId xmlns:a16="http://schemas.microsoft.com/office/drawing/2014/main" id="{74585571-AB4B-46FF-9A24-DF513B13FF1A}"/>
            </a:ext>
          </a:extLst>
        </xdr:cNvPr>
        <xdr:cNvSpPr txBox="1"/>
      </xdr:nvSpPr>
      <xdr:spPr>
        <a:xfrm>
          <a:off x="2876572" y="419100"/>
          <a:ext cx="5124428" cy="2857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fld id="{1C81946A-CB05-4BE7-8004-5A0505CF37C8}" type="TxLink">
            <a:rPr lang="en-US" sz="1000" b="0" i="0" u="none" strike="noStrike" baseline="0">
              <a:solidFill>
                <a:srgbClr val="FF0000"/>
              </a:solidFill>
              <a:latin typeface="+mn-lt"/>
              <a:cs typeface="Arial"/>
            </a:rPr>
            <a:pPr algn="ctr"/>
            <a:t>The field is still producing at the end of the analysis</a:t>
          </a:fld>
          <a:endParaRPr lang="en-US" sz="1100" b="0" baseline="0">
            <a:solidFill>
              <a:srgbClr val="FF0000"/>
            </a:solidFill>
            <a:latin typeface="+mn-l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436800</xdr:colOff>
      <xdr:row>28</xdr:row>
      <xdr:rowOff>66000</xdr:rowOff>
    </xdr:to>
    <xdr:graphicFrame macro="">
      <xdr:nvGraphicFramePr>
        <xdr:cNvPr id="2" name="Chart 1">
          <a:extLst>
            <a:ext uri="{FF2B5EF4-FFF2-40B4-BE49-F238E27FC236}">
              <a16:creationId xmlns:a16="http://schemas.microsoft.com/office/drawing/2014/main" id="{DAA283EC-0CFE-4154-AAFC-CE3A5A2949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542925</xdr:colOff>
      <xdr:row>0</xdr:row>
      <xdr:rowOff>0</xdr:rowOff>
    </xdr:from>
    <xdr:to>
      <xdr:col>26</xdr:col>
      <xdr:colOff>398925</xdr:colOff>
      <xdr:row>28</xdr:row>
      <xdr:rowOff>66000</xdr:rowOff>
    </xdr:to>
    <xdr:graphicFrame macro="">
      <xdr:nvGraphicFramePr>
        <xdr:cNvPr id="3" name="Chart 2">
          <a:extLst>
            <a:ext uri="{FF2B5EF4-FFF2-40B4-BE49-F238E27FC236}">
              <a16:creationId xmlns:a16="http://schemas.microsoft.com/office/drawing/2014/main" id="{B45159B0-0E36-403D-995D-84415F76D0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465600</xdr:colOff>
      <xdr:row>28</xdr:row>
      <xdr:rowOff>66000</xdr:rowOff>
    </xdr:to>
    <xdr:graphicFrame macro="">
      <xdr:nvGraphicFramePr>
        <xdr:cNvPr id="2" name="Chart 1">
          <a:extLst>
            <a:ext uri="{FF2B5EF4-FFF2-40B4-BE49-F238E27FC236}">
              <a16:creationId xmlns:a16="http://schemas.microsoft.com/office/drawing/2014/main" id="{0F5B5BDB-8D74-4449-A06D-C73213384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436800</xdr:colOff>
      <xdr:row>28</xdr:row>
      <xdr:rowOff>66000</xdr:rowOff>
    </xdr:to>
    <xdr:graphicFrame macro="">
      <xdr:nvGraphicFramePr>
        <xdr:cNvPr id="2" name="Chart 1">
          <a:extLst>
            <a:ext uri="{FF2B5EF4-FFF2-40B4-BE49-F238E27FC236}">
              <a16:creationId xmlns:a16="http://schemas.microsoft.com/office/drawing/2014/main" id="{F6B4E65D-4161-4DE3-A4EB-52E889D1E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436800</xdr:colOff>
      <xdr:row>28</xdr:row>
      <xdr:rowOff>66000</xdr:rowOff>
    </xdr:to>
    <xdr:graphicFrame macro="">
      <xdr:nvGraphicFramePr>
        <xdr:cNvPr id="2" name="Chart 1">
          <a:extLst>
            <a:ext uri="{FF2B5EF4-FFF2-40B4-BE49-F238E27FC236}">
              <a16:creationId xmlns:a16="http://schemas.microsoft.com/office/drawing/2014/main" id="{A4465B8E-92F4-49F8-961A-50EE8B6F2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436800</xdr:colOff>
      <xdr:row>28</xdr:row>
      <xdr:rowOff>66000</xdr:rowOff>
    </xdr:to>
    <xdr:graphicFrame macro="">
      <xdr:nvGraphicFramePr>
        <xdr:cNvPr id="2" name="Chart 1">
          <a:extLst>
            <a:ext uri="{FF2B5EF4-FFF2-40B4-BE49-F238E27FC236}">
              <a16:creationId xmlns:a16="http://schemas.microsoft.com/office/drawing/2014/main" id="{A45C6989-2FCB-411F-A3BC-8C0DB7DF63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436800</xdr:colOff>
      <xdr:row>28</xdr:row>
      <xdr:rowOff>66000</xdr:rowOff>
    </xdr:to>
    <xdr:graphicFrame macro="">
      <xdr:nvGraphicFramePr>
        <xdr:cNvPr id="2" name="Chart 1">
          <a:extLst>
            <a:ext uri="{FF2B5EF4-FFF2-40B4-BE49-F238E27FC236}">
              <a16:creationId xmlns:a16="http://schemas.microsoft.com/office/drawing/2014/main" id="{008C59A8-EF68-489E-A561-AB6F0C5F57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136071</xdr:colOff>
      <xdr:row>1</xdr:row>
      <xdr:rowOff>81643</xdr:rowOff>
    </xdr:from>
    <xdr:to>
      <xdr:col>2</xdr:col>
      <xdr:colOff>472167</xdr:colOff>
      <xdr:row>6</xdr:row>
      <xdr:rowOff>29937</xdr:rowOff>
    </xdr:to>
    <xdr:pic>
      <xdr:nvPicPr>
        <xdr:cNvPr id="5" name="Picture 4">
          <a:extLst>
            <a:ext uri="{FF2B5EF4-FFF2-40B4-BE49-F238E27FC236}">
              <a16:creationId xmlns:a16="http://schemas.microsoft.com/office/drawing/2014/main" id="{205B8476-AA90-4027-9987-84CF1477DDF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1" y="371929"/>
          <a:ext cx="3447596" cy="87357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37</xdr:col>
      <xdr:colOff>76200</xdr:colOff>
      <xdr:row>167</xdr:row>
      <xdr:rowOff>9525</xdr:rowOff>
    </xdr:from>
    <xdr:to>
      <xdr:col>47</xdr:col>
      <xdr:colOff>496358</xdr:colOff>
      <xdr:row>191</xdr:row>
      <xdr:rowOff>9525</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43</xdr:col>
      <xdr:colOff>42861</xdr:colOff>
      <xdr:row>0</xdr:row>
      <xdr:rowOff>205233</xdr:rowOff>
    </xdr:from>
    <xdr:to>
      <xdr:col>52</xdr:col>
      <xdr:colOff>269081</xdr:colOff>
      <xdr:row>21</xdr:row>
      <xdr:rowOff>58242</xdr:rowOff>
    </xdr:to>
    <xdr:pic>
      <xdr:nvPicPr>
        <xdr:cNvPr id="7" name="Picture 6" descr="3">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a:lum bright="24000" contrast="12000"/>
          <a:extLst>
            <a:ext uri="{28A0092B-C50C-407E-A947-70E740481C1C}">
              <a14:useLocalDpi xmlns:a14="http://schemas.microsoft.com/office/drawing/2010/main" val="0"/>
            </a:ext>
          </a:extLst>
        </a:blip>
        <a:srcRect/>
        <a:stretch>
          <a:fillRect/>
        </a:stretch>
      </xdr:blipFill>
      <xdr:spPr bwMode="auto">
        <a:xfrm>
          <a:off x="34542411" y="205233"/>
          <a:ext cx="5712620" cy="348203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104774</xdr:colOff>
      <xdr:row>48</xdr:row>
      <xdr:rowOff>38100</xdr:rowOff>
    </xdr:from>
    <xdr:to>
      <xdr:col>44</xdr:col>
      <xdr:colOff>565369</xdr:colOff>
      <xdr:row>66</xdr:row>
      <xdr:rowOff>123825</xdr:rowOff>
    </xdr:to>
    <xdr:grpSp>
      <xdr:nvGrpSpPr>
        <xdr:cNvPr id="9" name="Group 8">
          <a:extLst>
            <a:ext uri="{FF2B5EF4-FFF2-40B4-BE49-F238E27FC236}">
              <a16:creationId xmlns:a16="http://schemas.microsoft.com/office/drawing/2014/main" id="{00000000-0008-0000-0300-000009000000}"/>
            </a:ext>
          </a:extLst>
        </xdr:cNvPr>
        <xdr:cNvGrpSpPr/>
      </xdr:nvGrpSpPr>
      <xdr:grpSpPr>
        <a:xfrm>
          <a:off x="33356549" y="8382000"/>
          <a:ext cx="4289645" cy="3171825"/>
          <a:chOff x="35444207" y="5546911"/>
          <a:chExt cx="4239217" cy="2362530"/>
        </a:xfrm>
      </xdr:grpSpPr>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444207" y="5546911"/>
            <a:ext cx="4239217" cy="2362530"/>
          </a:xfrm>
          <a:prstGeom prst="rect">
            <a:avLst/>
          </a:prstGeom>
          <a:ln>
            <a:solidFill>
              <a:sysClr val="windowText" lastClr="000000"/>
            </a:solidFill>
          </a:ln>
        </xdr:spPr>
      </xdr:pic>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38346530" y="5748617"/>
            <a:ext cx="617285" cy="280205"/>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nl-NL" sz="1200" b="1">
                <a:solidFill>
                  <a:srgbClr val="FF0000"/>
                </a:solidFill>
              </a:rPr>
              <a:t>Kujbus</a:t>
            </a:r>
          </a:p>
        </xdr:txBody>
      </xdr:sp>
    </xdr:grpSp>
    <xdr:clientData/>
  </xdr:twoCellAnchor>
  <xdr:twoCellAnchor>
    <xdr:from>
      <xdr:col>37</xdr:col>
      <xdr:colOff>466725</xdr:colOff>
      <xdr:row>67</xdr:row>
      <xdr:rowOff>0</xdr:rowOff>
    </xdr:from>
    <xdr:to>
      <xdr:col>44</xdr:col>
      <xdr:colOff>571485</xdr:colOff>
      <xdr:row>72</xdr:row>
      <xdr:rowOff>152400</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33080325" y="11601450"/>
          <a:ext cx="4571985" cy="1009650"/>
          <a:chOff x="35253705" y="8942294"/>
          <a:chExt cx="4258270" cy="990738"/>
        </a:xfrm>
      </xdr:grpSpPr>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253705" y="8942294"/>
            <a:ext cx="4258270" cy="990738"/>
          </a:xfrm>
          <a:prstGeom prst="rect">
            <a:avLst/>
          </a:prstGeom>
          <a:ln>
            <a:solidFill>
              <a:sysClr val="windowText" lastClr="000000"/>
            </a:solidFill>
          </a:ln>
        </xdr:spPr>
      </xdr:pic>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38514617" y="9054353"/>
            <a:ext cx="617285" cy="280205"/>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nl-NL" sz="1200" b="1">
                <a:solidFill>
                  <a:srgbClr val="FF0000"/>
                </a:solidFill>
              </a:rPr>
              <a:t>MIT</a:t>
            </a:r>
          </a:p>
        </xdr:txBody>
      </xdr:sp>
    </xdr:grpSp>
    <xdr:clientData/>
  </xdr:twoCellAnchor>
  <xdr:twoCellAnchor>
    <xdr:from>
      <xdr:col>45</xdr:col>
      <xdr:colOff>24092</xdr:colOff>
      <xdr:row>23</xdr:row>
      <xdr:rowOff>57151</xdr:rowOff>
    </xdr:from>
    <xdr:to>
      <xdr:col>56</xdr:col>
      <xdr:colOff>111499</xdr:colOff>
      <xdr:row>78</xdr:row>
      <xdr:rowOff>95250</xdr:rowOff>
    </xdr:to>
    <xdr:grpSp>
      <xdr:nvGrpSpPr>
        <xdr:cNvPr id="17" name="Group 16">
          <a:extLst>
            <a:ext uri="{FF2B5EF4-FFF2-40B4-BE49-F238E27FC236}">
              <a16:creationId xmlns:a16="http://schemas.microsoft.com/office/drawing/2014/main" id="{00000000-0008-0000-0300-000011000000}"/>
            </a:ext>
          </a:extLst>
        </xdr:cNvPr>
        <xdr:cNvGrpSpPr/>
      </xdr:nvGrpSpPr>
      <xdr:grpSpPr>
        <a:xfrm>
          <a:off x="37743092" y="4114801"/>
          <a:ext cx="7107332" cy="9467849"/>
          <a:chOff x="40206705" y="4986618"/>
          <a:chExt cx="6743701" cy="7077075"/>
        </a:xfrm>
      </xdr:grpSpPr>
      <xdr:grpSp>
        <xdr:nvGrpSpPr>
          <xdr:cNvPr id="13" name="Group 12">
            <a:extLst>
              <a:ext uri="{FF2B5EF4-FFF2-40B4-BE49-F238E27FC236}">
                <a16:creationId xmlns:a16="http://schemas.microsoft.com/office/drawing/2014/main" id="{00000000-0008-0000-0300-00000D000000}"/>
              </a:ext>
            </a:extLst>
          </xdr:cNvPr>
          <xdr:cNvGrpSpPr/>
        </xdr:nvGrpSpPr>
        <xdr:grpSpPr>
          <a:xfrm>
            <a:off x="40206705" y="4986618"/>
            <a:ext cx="6743701" cy="7077075"/>
            <a:chOff x="145982" y="260648"/>
            <a:chExt cx="4209994" cy="5111864"/>
          </a:xfrm>
          <a:effectLst>
            <a:glow rad="63500">
              <a:schemeClr val="accent1">
                <a:satMod val="175000"/>
                <a:alpha val="40000"/>
              </a:schemeClr>
            </a:glow>
          </a:effectLst>
        </xdr:grpSpPr>
        <xdr:pic>
          <xdr:nvPicPr>
            <xdr:cNvPr id="14" name="Picture 13">
              <a:extLst>
                <a:ext uri="{FF2B5EF4-FFF2-40B4-BE49-F238E27FC236}">
                  <a16:creationId xmlns:a16="http://schemas.microsoft.com/office/drawing/2014/main" id="{00000000-0008-0000-0300-00000E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66917" t="41142" r="5333" b="9926"/>
            <a:stretch/>
          </xdr:blipFill>
          <xdr:spPr bwMode="auto">
            <a:xfrm>
              <a:off x="145982" y="1196752"/>
              <a:ext cx="4209994" cy="4175760"/>
            </a:xfrm>
            <a:prstGeom prst="rect">
              <a:avLst/>
            </a:prstGeom>
            <a:noFill/>
            <a:ln w="9525">
              <a:solidFill>
                <a:schemeClr val="tx1"/>
              </a:solidFill>
              <a:miter lim="800000"/>
              <a:headEnd/>
              <a:tailEnd/>
            </a:ln>
            <a:extLst>
              <a:ext uri="{909E8E84-426E-40DD-AFC4-6F175D3DCCD1}">
                <a14:hiddenFill xmlns:a14="http://schemas.microsoft.com/office/drawing/2010/main">
                  <a:solidFill>
                    <a:schemeClr val="accent1"/>
                  </a:solidFill>
                </a14:hiddenFill>
              </a:ext>
            </a:extLst>
          </xdr:spPr>
        </xdr:pic>
        <xdr:pic>
          <xdr:nvPicPr>
            <xdr:cNvPr id="15" name="Picture 14">
              <a:extLst>
                <a:ext uri="{FF2B5EF4-FFF2-40B4-BE49-F238E27FC236}">
                  <a16:creationId xmlns:a16="http://schemas.microsoft.com/office/drawing/2014/main" id="{00000000-0008-0000-0300-00000F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66917" t="12444" r="5333" b="76145"/>
            <a:stretch/>
          </xdr:blipFill>
          <xdr:spPr bwMode="auto">
            <a:xfrm>
              <a:off x="145982" y="260648"/>
              <a:ext cx="4209994" cy="973792"/>
            </a:xfrm>
            <a:prstGeom prst="rect">
              <a:avLst/>
            </a:prstGeom>
            <a:noFill/>
            <a:ln w="9525">
              <a:solidFill>
                <a:schemeClr val="tx1"/>
              </a:solidFill>
              <a:miter lim="800000"/>
              <a:headEnd/>
              <a:tailEnd/>
            </a:ln>
            <a:extLst>
              <a:ext uri="{909E8E84-426E-40DD-AFC4-6F175D3DCCD1}">
                <a14:hiddenFill xmlns:a14="http://schemas.microsoft.com/office/drawing/2010/main">
                  <a:solidFill>
                    <a:schemeClr val="accent1"/>
                  </a:solidFill>
                </a14:hiddenFill>
              </a:ext>
            </a:extLst>
          </xdr:spPr>
        </xdr:pic>
      </xdr:grpSp>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45507088" y="8225118"/>
            <a:ext cx="964667" cy="280205"/>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nl-NL" sz="1200" b="1">
                <a:solidFill>
                  <a:srgbClr val="FF0000"/>
                </a:solidFill>
              </a:rPr>
              <a:t>Sarmiento</a:t>
            </a:r>
          </a:p>
        </xdr:txBody>
      </xdr:sp>
    </xdr:grpSp>
    <xdr:clientData/>
  </xdr:twoCellAnchor>
  <xdr:twoCellAnchor>
    <xdr:from>
      <xdr:col>45</xdr:col>
      <xdr:colOff>24092</xdr:colOff>
      <xdr:row>23</xdr:row>
      <xdr:rowOff>57151</xdr:rowOff>
    </xdr:from>
    <xdr:to>
      <xdr:col>46</xdr:col>
      <xdr:colOff>257175</xdr:colOff>
      <xdr:row>25</xdr:row>
      <xdr:rowOff>9525</xdr:rowOff>
    </xdr:to>
    <xdr:sp macro="" textlink="">
      <xdr:nvSpPr>
        <xdr:cNvPr id="18" name="TextBox 17">
          <a:extLst>
            <a:ext uri="{FF2B5EF4-FFF2-40B4-BE49-F238E27FC236}">
              <a16:creationId xmlns:a16="http://schemas.microsoft.com/office/drawing/2014/main" id="{FE112D11-D392-4978-98CC-82962DB18965}"/>
            </a:ext>
          </a:extLst>
        </xdr:cNvPr>
        <xdr:cNvSpPr txBox="1"/>
      </xdr:nvSpPr>
      <xdr:spPr>
        <a:xfrm>
          <a:off x="36057167" y="4029076"/>
          <a:ext cx="842683" cy="285749"/>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nl-NL" sz="1200" b="1">
              <a:solidFill>
                <a:srgbClr val="FF0000"/>
              </a:solidFill>
            </a:rPr>
            <a:t>Sarmiento</a:t>
          </a:r>
        </a:p>
      </xdr:txBody>
    </xdr:sp>
    <xdr:clientData/>
  </xdr:twoCellAnchor>
  <xdr:twoCellAnchor>
    <xdr:from>
      <xdr:col>40</xdr:col>
      <xdr:colOff>314325</xdr:colOff>
      <xdr:row>81</xdr:row>
      <xdr:rowOff>23135</xdr:rowOff>
    </xdr:from>
    <xdr:to>
      <xdr:col>50</xdr:col>
      <xdr:colOff>151658</xdr:colOff>
      <xdr:row>112</xdr:row>
      <xdr:rowOff>21211</xdr:rowOff>
    </xdr:to>
    <xdr:grpSp>
      <xdr:nvGrpSpPr>
        <xdr:cNvPr id="6" name="Group 5">
          <a:extLst>
            <a:ext uri="{FF2B5EF4-FFF2-40B4-BE49-F238E27FC236}">
              <a16:creationId xmlns:a16="http://schemas.microsoft.com/office/drawing/2014/main" id="{34B20906-9AF5-48FA-B2CE-077961D6CF8D}"/>
            </a:ext>
          </a:extLst>
        </xdr:cNvPr>
        <xdr:cNvGrpSpPr/>
      </xdr:nvGrpSpPr>
      <xdr:grpSpPr>
        <a:xfrm>
          <a:off x="34842450" y="14034410"/>
          <a:ext cx="6219083" cy="5351126"/>
          <a:chOff x="33604200" y="13106400"/>
          <a:chExt cx="5933333" cy="4514286"/>
        </a:xfrm>
      </xdr:grpSpPr>
      <xdr:pic>
        <xdr:nvPicPr>
          <xdr:cNvPr id="2" name="Picture 1">
            <a:extLst>
              <a:ext uri="{FF2B5EF4-FFF2-40B4-BE49-F238E27FC236}">
                <a16:creationId xmlns:a16="http://schemas.microsoft.com/office/drawing/2014/main" id="{E8944044-448D-454E-9EF8-6625F46B65BE}"/>
              </a:ext>
            </a:extLst>
          </xdr:cNvPr>
          <xdr:cNvPicPr>
            <a:picLocks noChangeAspect="1"/>
          </xdr:cNvPicPr>
        </xdr:nvPicPr>
        <xdr:blipFill>
          <a:blip xmlns:r="http://schemas.openxmlformats.org/officeDocument/2006/relationships" r:embed="rId6"/>
          <a:stretch>
            <a:fillRect/>
          </a:stretch>
        </xdr:blipFill>
        <xdr:spPr>
          <a:xfrm>
            <a:off x="33604200" y="13106400"/>
            <a:ext cx="5933333" cy="4514286"/>
          </a:xfrm>
          <a:prstGeom prst="rect">
            <a:avLst/>
          </a:prstGeom>
          <a:ln>
            <a:solidFill>
              <a:sysClr val="windowText" lastClr="000000"/>
            </a:solidFill>
          </a:ln>
        </xdr:spPr>
      </xdr:pic>
      <xdr:sp macro="" textlink="">
        <xdr:nvSpPr>
          <xdr:cNvPr id="19" name="TextBox 18">
            <a:extLst>
              <a:ext uri="{FF2B5EF4-FFF2-40B4-BE49-F238E27FC236}">
                <a16:creationId xmlns:a16="http://schemas.microsoft.com/office/drawing/2014/main" id="{7B27FE02-4BD3-422E-A416-676C1DE3F034}"/>
              </a:ext>
            </a:extLst>
          </xdr:cNvPr>
          <xdr:cNvSpPr txBox="1"/>
        </xdr:nvSpPr>
        <xdr:spPr>
          <a:xfrm>
            <a:off x="36585525" y="13963650"/>
            <a:ext cx="2790995" cy="325793"/>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nl-NL" sz="1200" b="1">
                <a:solidFill>
                  <a:srgbClr val="FF0000"/>
                </a:solidFill>
              </a:rPr>
              <a:t>Wikipedia - Darcy-Weisbach equation</a:t>
            </a:r>
          </a:p>
        </xdr:txBody>
      </xdr:sp>
    </xdr:grpSp>
    <xdr:clientData/>
  </xdr:twoCellAnchor>
  <xdr:twoCellAnchor>
    <xdr:from>
      <xdr:col>50</xdr:col>
      <xdr:colOff>390525</xdr:colOff>
      <xdr:row>84</xdr:row>
      <xdr:rowOff>9528</xdr:rowOff>
    </xdr:from>
    <xdr:to>
      <xdr:col>60</xdr:col>
      <xdr:colOff>475477</xdr:colOff>
      <xdr:row>109</xdr:row>
      <xdr:rowOff>105648</xdr:rowOff>
    </xdr:to>
    <xdr:grpSp>
      <xdr:nvGrpSpPr>
        <xdr:cNvPr id="21" name="Group 20">
          <a:extLst>
            <a:ext uri="{FF2B5EF4-FFF2-40B4-BE49-F238E27FC236}">
              <a16:creationId xmlns:a16="http://schemas.microsoft.com/office/drawing/2014/main" id="{3EB5C4AD-5863-462C-BB3A-D30ABE448522}"/>
            </a:ext>
          </a:extLst>
        </xdr:cNvPr>
        <xdr:cNvGrpSpPr/>
      </xdr:nvGrpSpPr>
      <xdr:grpSpPr>
        <a:xfrm>
          <a:off x="41300400" y="14535153"/>
          <a:ext cx="6466702" cy="4420470"/>
          <a:chOff x="39757350" y="13344525"/>
          <a:chExt cx="6180952" cy="3923809"/>
        </a:xfrm>
      </xdr:grpSpPr>
      <xdr:pic>
        <xdr:nvPicPr>
          <xdr:cNvPr id="5" name="Picture 4">
            <a:extLst>
              <a:ext uri="{FF2B5EF4-FFF2-40B4-BE49-F238E27FC236}">
                <a16:creationId xmlns:a16="http://schemas.microsoft.com/office/drawing/2014/main" id="{8D65C2B2-117F-4127-AF51-866FA7A3180A}"/>
              </a:ext>
            </a:extLst>
          </xdr:cNvPr>
          <xdr:cNvPicPr>
            <a:picLocks noChangeAspect="1"/>
          </xdr:cNvPicPr>
        </xdr:nvPicPr>
        <xdr:blipFill>
          <a:blip xmlns:r="http://schemas.openxmlformats.org/officeDocument/2006/relationships" r:embed="rId7"/>
          <a:stretch>
            <a:fillRect/>
          </a:stretch>
        </xdr:blipFill>
        <xdr:spPr>
          <a:xfrm>
            <a:off x="39757350" y="13344525"/>
            <a:ext cx="6180952" cy="3923809"/>
          </a:xfrm>
          <a:prstGeom prst="rect">
            <a:avLst/>
          </a:prstGeom>
          <a:ln>
            <a:solidFill>
              <a:sysClr val="windowText" lastClr="000000"/>
            </a:solidFill>
          </a:ln>
        </xdr:spPr>
      </xdr:pic>
      <xdr:sp macro="" textlink="">
        <xdr:nvSpPr>
          <xdr:cNvPr id="20" name="TextBox 19">
            <a:extLst>
              <a:ext uri="{FF2B5EF4-FFF2-40B4-BE49-F238E27FC236}">
                <a16:creationId xmlns:a16="http://schemas.microsoft.com/office/drawing/2014/main" id="{CEA198F3-D02D-4F95-A935-3A309B79BAB0}"/>
              </a:ext>
            </a:extLst>
          </xdr:cNvPr>
          <xdr:cNvSpPr txBox="1"/>
        </xdr:nvSpPr>
        <xdr:spPr>
          <a:xfrm>
            <a:off x="41576625" y="13839825"/>
            <a:ext cx="2790995" cy="325793"/>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nl-NL" sz="1200" b="1">
                <a:solidFill>
                  <a:srgbClr val="FF0000"/>
                </a:solidFill>
              </a:rPr>
              <a:t>Wikipedia - Hagen-Poiseuille equation</a:t>
            </a:r>
          </a:p>
        </xdr:txBody>
      </xdr:sp>
    </xdr:grpSp>
    <xdr:clientData/>
  </xdr:twoCellAnchor>
  <xdr:twoCellAnchor>
    <xdr:from>
      <xdr:col>53</xdr:col>
      <xdr:colOff>28575</xdr:colOff>
      <xdr:row>7</xdr:row>
      <xdr:rowOff>19050</xdr:rowOff>
    </xdr:from>
    <xdr:to>
      <xdr:col>60</xdr:col>
      <xdr:colOff>57150</xdr:colOff>
      <xdr:row>11</xdr:row>
      <xdr:rowOff>99876</xdr:rowOff>
    </xdr:to>
    <xdr:grpSp>
      <xdr:nvGrpSpPr>
        <xdr:cNvPr id="24" name="Group 23">
          <a:extLst>
            <a:ext uri="{FF2B5EF4-FFF2-40B4-BE49-F238E27FC236}">
              <a16:creationId xmlns:a16="http://schemas.microsoft.com/office/drawing/2014/main" id="{64E36476-FB58-4E23-81B3-E6B169997411}"/>
            </a:ext>
          </a:extLst>
        </xdr:cNvPr>
        <xdr:cNvGrpSpPr/>
      </xdr:nvGrpSpPr>
      <xdr:grpSpPr>
        <a:xfrm>
          <a:off x="42852975" y="1333500"/>
          <a:ext cx="4495800" cy="766626"/>
          <a:chOff x="37623750" y="1438275"/>
          <a:chExt cx="4295775" cy="747576"/>
        </a:xfrm>
      </xdr:grpSpPr>
      <xdr:pic>
        <xdr:nvPicPr>
          <xdr:cNvPr id="22" name="Picture 21">
            <a:extLst>
              <a:ext uri="{FF2B5EF4-FFF2-40B4-BE49-F238E27FC236}">
                <a16:creationId xmlns:a16="http://schemas.microsoft.com/office/drawing/2014/main" id="{0B2BCEFA-235F-48A4-A9DE-9A7BC14ADC8B}"/>
              </a:ext>
            </a:extLst>
          </xdr:cNvPr>
          <xdr:cNvPicPr>
            <a:picLocks noChangeAspect="1"/>
          </xdr:cNvPicPr>
        </xdr:nvPicPr>
        <xdr:blipFill>
          <a:blip xmlns:r="http://schemas.openxmlformats.org/officeDocument/2006/relationships" r:embed="rId8"/>
          <a:stretch>
            <a:fillRect/>
          </a:stretch>
        </xdr:blipFill>
        <xdr:spPr>
          <a:xfrm>
            <a:off x="37623750" y="1438275"/>
            <a:ext cx="4295775" cy="747576"/>
          </a:xfrm>
          <a:prstGeom prst="rect">
            <a:avLst/>
          </a:prstGeom>
          <a:ln>
            <a:solidFill>
              <a:sysClr val="windowText" lastClr="000000"/>
            </a:solidFill>
          </a:ln>
        </xdr:spPr>
      </xdr:pic>
      <xdr:sp macro="" textlink="">
        <xdr:nvSpPr>
          <xdr:cNvPr id="23" name="TextBox 22">
            <a:extLst>
              <a:ext uri="{FF2B5EF4-FFF2-40B4-BE49-F238E27FC236}">
                <a16:creationId xmlns:a16="http://schemas.microsoft.com/office/drawing/2014/main" id="{BC73C99B-34C9-4AF9-8D19-78FB19D10C4B}"/>
              </a:ext>
            </a:extLst>
          </xdr:cNvPr>
          <xdr:cNvSpPr txBox="1"/>
        </xdr:nvSpPr>
        <xdr:spPr>
          <a:xfrm>
            <a:off x="39052500" y="1708896"/>
            <a:ext cx="2381249" cy="306814"/>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nl-NL" sz="1200" b="1">
                <a:solidFill>
                  <a:srgbClr val="FF0000"/>
                </a:solidFill>
              </a:rPr>
              <a:t>DiPippo,</a:t>
            </a:r>
            <a:r>
              <a:rPr lang="nl-NL" sz="1200" b="1" baseline="0">
                <a:solidFill>
                  <a:srgbClr val="FF0000"/>
                </a:solidFill>
              </a:rPr>
              <a:t> Geothermal Power Plants</a:t>
            </a:r>
            <a:endParaRPr lang="nl-NL" sz="1200" b="1">
              <a:solidFill>
                <a:srgbClr val="FF0000"/>
              </a:solidFill>
            </a:endParaRPr>
          </a:p>
        </xdr:txBody>
      </xdr:sp>
    </xdr:grpSp>
    <xdr:clientData/>
  </xdr:twoCellAnchor>
  <xdr:twoCellAnchor>
    <xdr:from>
      <xdr:col>53</xdr:col>
      <xdr:colOff>9525</xdr:colOff>
      <xdr:row>12</xdr:row>
      <xdr:rowOff>95250</xdr:rowOff>
    </xdr:from>
    <xdr:to>
      <xdr:col>62</xdr:col>
      <xdr:colOff>137345</xdr:colOff>
      <xdr:row>17</xdr:row>
      <xdr:rowOff>85650</xdr:rowOff>
    </xdr:to>
    <xdr:grpSp>
      <xdr:nvGrpSpPr>
        <xdr:cNvPr id="27" name="Group 26">
          <a:extLst>
            <a:ext uri="{FF2B5EF4-FFF2-40B4-BE49-F238E27FC236}">
              <a16:creationId xmlns:a16="http://schemas.microsoft.com/office/drawing/2014/main" id="{E0C47A8E-A4F9-4546-977A-838263A4E84B}"/>
            </a:ext>
          </a:extLst>
        </xdr:cNvPr>
        <xdr:cNvGrpSpPr/>
      </xdr:nvGrpSpPr>
      <xdr:grpSpPr>
        <a:xfrm>
          <a:off x="42833925" y="2266950"/>
          <a:ext cx="5871395" cy="847650"/>
          <a:chOff x="37604700" y="2343150"/>
          <a:chExt cx="5614220" cy="809550"/>
        </a:xfrm>
      </xdr:grpSpPr>
      <xdr:pic>
        <xdr:nvPicPr>
          <xdr:cNvPr id="25" name="Picture 24">
            <a:extLst>
              <a:ext uri="{FF2B5EF4-FFF2-40B4-BE49-F238E27FC236}">
                <a16:creationId xmlns:a16="http://schemas.microsoft.com/office/drawing/2014/main" id="{536F2492-61FB-4A8C-BD2C-B8AA9D2EB000}"/>
              </a:ext>
            </a:extLst>
          </xdr:cNvPr>
          <xdr:cNvPicPr>
            <a:picLocks noChangeAspect="1"/>
          </xdr:cNvPicPr>
        </xdr:nvPicPr>
        <xdr:blipFill>
          <a:blip xmlns:r="http://schemas.openxmlformats.org/officeDocument/2006/relationships" r:embed="rId9"/>
          <a:stretch>
            <a:fillRect/>
          </a:stretch>
        </xdr:blipFill>
        <xdr:spPr>
          <a:xfrm>
            <a:off x="37614225" y="2657475"/>
            <a:ext cx="5604695" cy="495225"/>
          </a:xfrm>
          <a:prstGeom prst="rect">
            <a:avLst/>
          </a:prstGeom>
          <a:ln>
            <a:solidFill>
              <a:sysClr val="windowText" lastClr="000000"/>
            </a:solidFill>
          </a:ln>
        </xdr:spPr>
      </xdr:pic>
      <xdr:sp macro="" textlink="">
        <xdr:nvSpPr>
          <xdr:cNvPr id="26" name="TextBox 25">
            <a:extLst>
              <a:ext uri="{FF2B5EF4-FFF2-40B4-BE49-F238E27FC236}">
                <a16:creationId xmlns:a16="http://schemas.microsoft.com/office/drawing/2014/main" id="{FD5DADE5-63AB-4A05-A7AE-54CF466BFDA3}"/>
              </a:ext>
            </a:extLst>
          </xdr:cNvPr>
          <xdr:cNvSpPr txBox="1"/>
        </xdr:nvSpPr>
        <xdr:spPr>
          <a:xfrm>
            <a:off x="37604700" y="2343150"/>
            <a:ext cx="2381249" cy="30681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nl-NL" sz="1200" b="1">
                <a:solidFill>
                  <a:srgbClr val="FF0000"/>
                </a:solidFill>
              </a:rPr>
              <a:t>DiPippo,</a:t>
            </a:r>
            <a:r>
              <a:rPr lang="nl-NL" sz="1200" b="1" baseline="0">
                <a:solidFill>
                  <a:srgbClr val="FF0000"/>
                </a:solidFill>
              </a:rPr>
              <a:t> Geothermal Power Plants</a:t>
            </a:r>
            <a:endParaRPr lang="nl-NL" sz="1200" b="1">
              <a:solidFill>
                <a:srgbClr val="FF0000"/>
              </a:solidFill>
            </a:endParaRPr>
          </a:p>
        </xdr:txBody>
      </xdr:sp>
    </xdr:grpSp>
    <xdr:clientData/>
  </xdr:twoCellAnchor>
  <xdr:twoCellAnchor editAs="oneCell">
    <xdr:from>
      <xdr:col>41</xdr:col>
      <xdr:colOff>276225</xdr:colOff>
      <xdr:row>115</xdr:row>
      <xdr:rowOff>61235</xdr:rowOff>
    </xdr:from>
    <xdr:to>
      <xdr:col>48</xdr:col>
      <xdr:colOff>361406</xdr:colOff>
      <xdr:row>117</xdr:row>
      <xdr:rowOff>110175</xdr:rowOff>
    </xdr:to>
    <xdr:pic>
      <xdr:nvPicPr>
        <xdr:cNvPr id="28" name="Picture 27">
          <a:extLst>
            <a:ext uri="{FF2B5EF4-FFF2-40B4-BE49-F238E27FC236}">
              <a16:creationId xmlns:a16="http://schemas.microsoft.com/office/drawing/2014/main" id="{34918302-A1B8-4599-A770-B9C226D5119F}"/>
            </a:ext>
          </a:extLst>
        </xdr:cNvPr>
        <xdr:cNvPicPr>
          <a:picLocks noChangeAspect="1"/>
        </xdr:cNvPicPr>
      </xdr:nvPicPr>
      <xdr:blipFill>
        <a:blip xmlns:r="http://schemas.openxmlformats.org/officeDocument/2006/relationships" r:embed="rId10"/>
        <a:stretch>
          <a:fillRect/>
        </a:stretch>
      </xdr:blipFill>
      <xdr:spPr>
        <a:xfrm>
          <a:off x="34008332" y="18022664"/>
          <a:ext cx="4371431" cy="375511"/>
        </a:xfrm>
        <a:prstGeom prst="rect">
          <a:avLst/>
        </a:prstGeom>
        <a:ln>
          <a:solidFill>
            <a:sysClr val="windowText" lastClr="000000"/>
          </a:solidFill>
        </a:ln>
      </xdr:spPr>
    </xdr:pic>
    <xdr:clientData/>
  </xdr:twoCellAnchor>
  <xdr:twoCellAnchor>
    <xdr:from>
      <xdr:col>41</xdr:col>
      <xdr:colOff>266700</xdr:colOff>
      <xdr:row>113</xdr:row>
      <xdr:rowOff>78925</xdr:rowOff>
    </xdr:from>
    <xdr:to>
      <xdr:col>47</xdr:col>
      <xdr:colOff>447675</xdr:colOff>
      <xdr:row>115</xdr:row>
      <xdr:rowOff>53653</xdr:rowOff>
    </xdr:to>
    <xdr:sp macro="" textlink="">
      <xdr:nvSpPr>
        <xdr:cNvPr id="29" name="TextBox 28">
          <a:extLst>
            <a:ext uri="{FF2B5EF4-FFF2-40B4-BE49-F238E27FC236}">
              <a16:creationId xmlns:a16="http://schemas.microsoft.com/office/drawing/2014/main" id="{3357051F-91A3-4280-89B3-654E8DE0AA69}"/>
            </a:ext>
          </a:extLst>
        </xdr:cNvPr>
        <xdr:cNvSpPr txBox="1"/>
      </xdr:nvSpPr>
      <xdr:spPr>
        <a:xfrm>
          <a:off x="33998807" y="17686568"/>
          <a:ext cx="3854904" cy="328514"/>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nl-NL" sz="1200" b="1">
              <a:solidFill>
                <a:srgbClr val="FF0000"/>
              </a:solidFill>
            </a:rPr>
            <a:t>Watson, A. - book, page 268 - Wellhead pressure injection</a:t>
          </a:r>
        </a:p>
      </xdr:txBody>
    </xdr:sp>
    <xdr:clientData/>
  </xdr:twoCellAnchor>
  <xdr:twoCellAnchor editAs="oneCell">
    <xdr:from>
      <xdr:col>49</xdr:col>
      <xdr:colOff>400050</xdr:colOff>
      <xdr:row>114</xdr:row>
      <xdr:rowOff>104778</xdr:rowOff>
    </xdr:from>
    <xdr:to>
      <xdr:col>59</xdr:col>
      <xdr:colOff>237383</xdr:colOff>
      <xdr:row>118</xdr:row>
      <xdr:rowOff>157757</xdr:rowOff>
    </xdr:to>
    <xdr:pic>
      <xdr:nvPicPr>
        <xdr:cNvPr id="30" name="Picture 29">
          <a:extLst>
            <a:ext uri="{FF2B5EF4-FFF2-40B4-BE49-F238E27FC236}">
              <a16:creationId xmlns:a16="http://schemas.microsoft.com/office/drawing/2014/main" id="{F43714C7-9209-4B1C-8CD2-E1906DE8253C}"/>
            </a:ext>
          </a:extLst>
        </xdr:cNvPr>
        <xdr:cNvPicPr>
          <a:picLocks noChangeAspect="1"/>
        </xdr:cNvPicPr>
      </xdr:nvPicPr>
      <xdr:blipFill>
        <a:blip xmlns:r="http://schemas.openxmlformats.org/officeDocument/2006/relationships" r:embed="rId11"/>
        <a:stretch>
          <a:fillRect/>
        </a:stretch>
      </xdr:blipFill>
      <xdr:spPr>
        <a:xfrm>
          <a:off x="39030729" y="17889314"/>
          <a:ext cx="5960547" cy="719729"/>
        </a:xfrm>
        <a:prstGeom prst="rect">
          <a:avLst/>
        </a:prstGeom>
        <a:ln>
          <a:solidFill>
            <a:sysClr val="windowText" lastClr="000000"/>
          </a:solidFill>
        </a:ln>
      </xdr:spPr>
    </xdr:pic>
    <xdr:clientData/>
  </xdr:twoCellAnchor>
  <xdr:twoCellAnchor>
    <xdr:from>
      <xdr:col>49</xdr:col>
      <xdr:colOff>390525</xdr:colOff>
      <xdr:row>112</xdr:row>
      <xdr:rowOff>108861</xdr:rowOff>
    </xdr:from>
    <xdr:to>
      <xdr:col>54</xdr:col>
      <xdr:colOff>590550</xdr:colOff>
      <xdr:row>114</xdr:row>
      <xdr:rowOff>97196</xdr:rowOff>
    </xdr:to>
    <xdr:sp macro="" textlink="">
      <xdr:nvSpPr>
        <xdr:cNvPr id="32" name="TextBox 31">
          <a:extLst>
            <a:ext uri="{FF2B5EF4-FFF2-40B4-BE49-F238E27FC236}">
              <a16:creationId xmlns:a16="http://schemas.microsoft.com/office/drawing/2014/main" id="{6988BB1B-3765-4C3F-89D7-36C95535AA5A}"/>
            </a:ext>
          </a:extLst>
        </xdr:cNvPr>
        <xdr:cNvSpPr txBox="1"/>
      </xdr:nvSpPr>
      <xdr:spPr>
        <a:xfrm>
          <a:off x="39021204" y="17553218"/>
          <a:ext cx="3261632" cy="328514"/>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nl-NL" sz="1200" b="1">
              <a:solidFill>
                <a:srgbClr val="FF0000"/>
              </a:solidFill>
            </a:rPr>
            <a:t>Watson, A. - book, page 65 - friction</a:t>
          </a:r>
          <a:r>
            <a:rPr lang="nl-NL" sz="1200" b="1" baseline="0">
              <a:solidFill>
                <a:srgbClr val="FF0000"/>
              </a:solidFill>
            </a:rPr>
            <a:t> factor</a:t>
          </a:r>
          <a:endParaRPr lang="nl-NL" sz="1200" b="1">
            <a:solidFill>
              <a:srgbClr val="FF0000"/>
            </a:solidFill>
          </a:endParaRPr>
        </a:p>
      </xdr:txBody>
    </xdr:sp>
    <xdr:clientData/>
  </xdr:twoCellAnchor>
  <xdr:twoCellAnchor editAs="oneCell">
    <xdr:from>
      <xdr:col>56</xdr:col>
      <xdr:colOff>466725</xdr:colOff>
      <xdr:row>113</xdr:row>
      <xdr:rowOff>21775</xdr:rowOff>
    </xdr:from>
    <xdr:to>
      <xdr:col>58</xdr:col>
      <xdr:colOff>228477</xdr:colOff>
      <xdr:row>114</xdr:row>
      <xdr:rowOff>65290</xdr:rowOff>
    </xdr:to>
    <xdr:pic>
      <xdr:nvPicPr>
        <xdr:cNvPr id="33" name="Picture 32">
          <a:extLst>
            <a:ext uri="{FF2B5EF4-FFF2-40B4-BE49-F238E27FC236}">
              <a16:creationId xmlns:a16="http://schemas.microsoft.com/office/drawing/2014/main" id="{90B17CE7-E7C2-4E8B-A211-E22D3E0924E6}"/>
            </a:ext>
          </a:extLst>
        </xdr:cNvPr>
        <xdr:cNvPicPr>
          <a:picLocks noChangeAspect="1"/>
        </xdr:cNvPicPr>
      </xdr:nvPicPr>
      <xdr:blipFill>
        <a:blip xmlns:r="http://schemas.openxmlformats.org/officeDocument/2006/relationships" r:embed="rId12"/>
        <a:stretch>
          <a:fillRect/>
        </a:stretch>
      </xdr:blipFill>
      <xdr:spPr>
        <a:xfrm>
          <a:off x="43383654" y="17629418"/>
          <a:ext cx="986394" cy="220408"/>
        </a:xfrm>
        <a:prstGeom prst="rect">
          <a:avLst/>
        </a:prstGeom>
        <a:ln>
          <a:solidFill>
            <a:sysClr val="windowText" lastClr="000000"/>
          </a:solidFill>
        </a:ln>
      </xdr:spPr>
    </xdr:pic>
    <xdr:clientData/>
  </xdr:twoCellAnchor>
  <xdr:twoCellAnchor>
    <xdr:from>
      <xdr:col>55</xdr:col>
      <xdr:colOff>552451</xdr:colOff>
      <xdr:row>111</xdr:row>
      <xdr:rowOff>12250</xdr:rowOff>
    </xdr:from>
    <xdr:to>
      <xdr:col>58</xdr:col>
      <xdr:colOff>571500</xdr:colOff>
      <xdr:row>113</xdr:row>
      <xdr:rowOff>14193</xdr:rowOff>
    </xdr:to>
    <xdr:sp macro="" textlink="">
      <xdr:nvSpPr>
        <xdr:cNvPr id="34" name="TextBox 33">
          <a:extLst>
            <a:ext uri="{FF2B5EF4-FFF2-40B4-BE49-F238E27FC236}">
              <a16:creationId xmlns:a16="http://schemas.microsoft.com/office/drawing/2014/main" id="{9D366627-9398-41ED-97D5-4B9504981295}"/>
            </a:ext>
          </a:extLst>
        </xdr:cNvPr>
        <xdr:cNvSpPr txBox="1"/>
      </xdr:nvSpPr>
      <xdr:spPr>
        <a:xfrm>
          <a:off x="42857058" y="17293321"/>
          <a:ext cx="1856013" cy="32851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nl-NL" sz="1200" b="1">
              <a:solidFill>
                <a:srgbClr val="FF0000"/>
              </a:solidFill>
            </a:rPr>
            <a:t>Watson, A. - book, page 61</a:t>
          </a:r>
        </a:p>
      </xdr:txBody>
    </xdr:sp>
    <xdr:clientData/>
  </xdr:twoCellAnchor>
  <xdr:twoCellAnchor>
    <xdr:from>
      <xdr:col>48</xdr:col>
      <xdr:colOff>561976</xdr:colOff>
      <xdr:row>120</xdr:row>
      <xdr:rowOff>4</xdr:rowOff>
    </xdr:from>
    <xdr:to>
      <xdr:col>55</xdr:col>
      <xdr:colOff>561443</xdr:colOff>
      <xdr:row>125</xdr:row>
      <xdr:rowOff>0</xdr:rowOff>
    </xdr:to>
    <xdr:grpSp>
      <xdr:nvGrpSpPr>
        <xdr:cNvPr id="37" name="Group 36">
          <a:extLst>
            <a:ext uri="{FF2B5EF4-FFF2-40B4-BE49-F238E27FC236}">
              <a16:creationId xmlns:a16="http://schemas.microsoft.com/office/drawing/2014/main" id="{7769542C-D050-4796-A344-95FD7D6BA3A1}"/>
            </a:ext>
          </a:extLst>
        </xdr:cNvPr>
        <xdr:cNvGrpSpPr/>
      </xdr:nvGrpSpPr>
      <xdr:grpSpPr>
        <a:xfrm>
          <a:off x="40195501" y="20735929"/>
          <a:ext cx="4466692" cy="857246"/>
          <a:chOff x="33261301" y="19221450"/>
          <a:chExt cx="4266667" cy="1619089"/>
        </a:xfrm>
      </xdr:grpSpPr>
      <xdr:pic>
        <xdr:nvPicPr>
          <xdr:cNvPr id="31" name="Picture 30">
            <a:extLst>
              <a:ext uri="{FF2B5EF4-FFF2-40B4-BE49-F238E27FC236}">
                <a16:creationId xmlns:a16="http://schemas.microsoft.com/office/drawing/2014/main" id="{B1618E0A-D2E3-4586-9FA8-D4F2EDB1AF41}"/>
              </a:ext>
            </a:extLst>
          </xdr:cNvPr>
          <xdr:cNvPicPr>
            <a:picLocks noChangeAspect="1"/>
          </xdr:cNvPicPr>
        </xdr:nvPicPr>
        <xdr:blipFill>
          <a:blip xmlns:r="http://schemas.openxmlformats.org/officeDocument/2006/relationships" r:embed="rId13"/>
          <a:stretch>
            <a:fillRect/>
          </a:stretch>
        </xdr:blipFill>
        <xdr:spPr>
          <a:xfrm>
            <a:off x="33270825" y="19554825"/>
            <a:ext cx="4257143" cy="1285714"/>
          </a:xfrm>
          <a:prstGeom prst="rect">
            <a:avLst/>
          </a:prstGeom>
          <a:ln>
            <a:solidFill>
              <a:sysClr val="windowText" lastClr="000000"/>
            </a:solidFill>
          </a:ln>
        </xdr:spPr>
      </xdr:pic>
      <xdr:sp macro="" textlink="">
        <xdr:nvSpPr>
          <xdr:cNvPr id="35" name="TextBox 34">
            <a:extLst>
              <a:ext uri="{FF2B5EF4-FFF2-40B4-BE49-F238E27FC236}">
                <a16:creationId xmlns:a16="http://schemas.microsoft.com/office/drawing/2014/main" id="{AEC97062-9896-466B-AD21-29733DB6DABE}"/>
              </a:ext>
            </a:extLst>
          </xdr:cNvPr>
          <xdr:cNvSpPr txBox="1"/>
        </xdr:nvSpPr>
        <xdr:spPr>
          <a:xfrm>
            <a:off x="33261301" y="19221450"/>
            <a:ext cx="2571749" cy="3257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nl-NL" sz="1200" b="1">
                <a:solidFill>
                  <a:srgbClr val="FF0000"/>
                </a:solidFill>
              </a:rPr>
              <a:t>Megel, T. et al. - paper, page 3</a:t>
            </a:r>
          </a:p>
        </xdr:txBody>
      </xdr:sp>
    </xdr:grpSp>
    <xdr:clientData/>
  </xdr:twoCellAnchor>
  <xdr:twoCellAnchor editAs="oneCell">
    <xdr:from>
      <xdr:col>41</xdr:col>
      <xdr:colOff>476250</xdr:colOff>
      <xdr:row>120</xdr:row>
      <xdr:rowOff>57154</xdr:rowOff>
    </xdr:from>
    <xdr:to>
      <xdr:col>48</xdr:col>
      <xdr:colOff>332859</xdr:colOff>
      <xdr:row>121</xdr:row>
      <xdr:rowOff>148289</xdr:rowOff>
    </xdr:to>
    <xdr:pic>
      <xdr:nvPicPr>
        <xdr:cNvPr id="36" name="Picture 35">
          <a:extLst>
            <a:ext uri="{FF2B5EF4-FFF2-40B4-BE49-F238E27FC236}">
              <a16:creationId xmlns:a16="http://schemas.microsoft.com/office/drawing/2014/main" id="{C4E635BC-A8BC-4477-80FF-62C22014FEFE}"/>
            </a:ext>
          </a:extLst>
        </xdr:cNvPr>
        <xdr:cNvPicPr>
          <a:picLocks noChangeAspect="1"/>
        </xdr:cNvPicPr>
      </xdr:nvPicPr>
      <xdr:blipFill>
        <a:blip xmlns:r="http://schemas.openxmlformats.org/officeDocument/2006/relationships" r:embed="rId14"/>
        <a:stretch>
          <a:fillRect/>
        </a:stretch>
      </xdr:blipFill>
      <xdr:spPr>
        <a:xfrm>
          <a:off x="34208357" y="18848618"/>
          <a:ext cx="4142859" cy="268028"/>
        </a:xfrm>
        <a:prstGeom prst="rect">
          <a:avLst/>
        </a:prstGeom>
        <a:ln>
          <a:solidFill>
            <a:sysClr val="windowText" lastClr="000000"/>
          </a:solidFill>
        </a:ln>
      </xdr:spPr>
    </xdr:pic>
    <xdr:clientData/>
  </xdr:twoCellAnchor>
  <xdr:twoCellAnchor>
    <xdr:from>
      <xdr:col>41</xdr:col>
      <xdr:colOff>466725</xdr:colOff>
      <xdr:row>118</xdr:row>
      <xdr:rowOff>61235</xdr:rowOff>
    </xdr:from>
    <xdr:to>
      <xdr:col>47</xdr:col>
      <xdr:colOff>257175</xdr:colOff>
      <xdr:row>120</xdr:row>
      <xdr:rowOff>49572</xdr:rowOff>
    </xdr:to>
    <xdr:sp macro="" textlink="">
      <xdr:nvSpPr>
        <xdr:cNvPr id="38" name="TextBox 37">
          <a:extLst>
            <a:ext uri="{FF2B5EF4-FFF2-40B4-BE49-F238E27FC236}">
              <a16:creationId xmlns:a16="http://schemas.microsoft.com/office/drawing/2014/main" id="{E73BC02E-3821-453B-B687-0F97B2A07EA6}"/>
            </a:ext>
          </a:extLst>
        </xdr:cNvPr>
        <xdr:cNvSpPr txBox="1"/>
      </xdr:nvSpPr>
      <xdr:spPr>
        <a:xfrm>
          <a:off x="34198832" y="18512521"/>
          <a:ext cx="3464379" cy="32851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nl-NL" sz="1200" b="1">
              <a:solidFill>
                <a:srgbClr val="FF0000"/>
              </a:solidFill>
            </a:rPr>
            <a:t>Pasikki,</a:t>
          </a:r>
          <a:r>
            <a:rPr lang="nl-NL" sz="1200" b="1" baseline="0">
              <a:solidFill>
                <a:srgbClr val="FF0000"/>
              </a:solidFill>
            </a:rPr>
            <a:t> R</a:t>
          </a:r>
          <a:r>
            <a:rPr lang="nl-NL" sz="1200" b="1">
              <a:solidFill>
                <a:srgbClr val="FF0000"/>
              </a:solidFill>
            </a:rPr>
            <a:t>. - appendix</a:t>
          </a:r>
          <a:r>
            <a:rPr lang="nl-NL" sz="1200" b="1" baseline="0">
              <a:solidFill>
                <a:srgbClr val="FF0000"/>
              </a:solidFill>
            </a:rPr>
            <a:t> </a:t>
          </a:r>
          <a:r>
            <a:rPr lang="nl-NL" sz="1200" b="1">
              <a:solidFill>
                <a:srgbClr val="FF0000"/>
              </a:solidFill>
            </a:rPr>
            <a:t>- Wellhead pressure injection</a:t>
          </a:r>
        </a:p>
      </xdr:txBody>
    </xdr:sp>
    <xdr:clientData/>
  </xdr:twoCellAnchor>
  <xdr:twoCellAnchor editAs="oneCell">
    <xdr:from>
      <xdr:col>41</xdr:col>
      <xdr:colOff>476250</xdr:colOff>
      <xdr:row>122</xdr:row>
      <xdr:rowOff>157846</xdr:rowOff>
    </xdr:from>
    <xdr:to>
      <xdr:col>48</xdr:col>
      <xdr:colOff>323336</xdr:colOff>
      <xdr:row>127</xdr:row>
      <xdr:rowOff>33932</xdr:rowOff>
    </xdr:to>
    <xdr:pic>
      <xdr:nvPicPr>
        <xdr:cNvPr id="39" name="Picture 38">
          <a:extLst>
            <a:ext uri="{FF2B5EF4-FFF2-40B4-BE49-F238E27FC236}">
              <a16:creationId xmlns:a16="http://schemas.microsoft.com/office/drawing/2014/main" id="{02043B7B-B370-4F61-B367-7D4B7D922DEF}"/>
            </a:ext>
          </a:extLst>
        </xdr:cNvPr>
        <xdr:cNvPicPr>
          <a:picLocks noChangeAspect="1"/>
        </xdr:cNvPicPr>
      </xdr:nvPicPr>
      <xdr:blipFill>
        <a:blip xmlns:r="http://schemas.openxmlformats.org/officeDocument/2006/relationships" r:embed="rId15"/>
        <a:stretch>
          <a:fillRect/>
        </a:stretch>
      </xdr:blipFill>
      <xdr:spPr>
        <a:xfrm>
          <a:off x="34208357" y="19126203"/>
          <a:ext cx="4133336" cy="719729"/>
        </a:xfrm>
        <a:prstGeom prst="rect">
          <a:avLst/>
        </a:prstGeom>
        <a:ln>
          <a:solidFill>
            <a:sysClr val="windowText" lastClr="000000"/>
          </a:solidFill>
        </a:ln>
      </xdr:spPr>
    </xdr:pic>
    <xdr:clientData/>
  </xdr:twoCellAnchor>
  <xdr:twoCellAnchor>
    <xdr:from>
      <xdr:col>45</xdr:col>
      <xdr:colOff>0</xdr:colOff>
      <xdr:row>120</xdr:row>
      <xdr:rowOff>91170</xdr:rowOff>
    </xdr:from>
    <xdr:to>
      <xdr:col>47</xdr:col>
      <xdr:colOff>409575</xdr:colOff>
      <xdr:row>125</xdr:row>
      <xdr:rowOff>0</xdr:rowOff>
    </xdr:to>
    <xdr:sp macro="" textlink="">
      <xdr:nvSpPr>
        <xdr:cNvPr id="40" name="TextBox 39">
          <a:extLst>
            <a:ext uri="{FF2B5EF4-FFF2-40B4-BE49-F238E27FC236}">
              <a16:creationId xmlns:a16="http://schemas.microsoft.com/office/drawing/2014/main" id="{98AAE0CC-6C52-45DF-9F53-481F274C7741}"/>
            </a:ext>
          </a:extLst>
        </xdr:cNvPr>
        <xdr:cNvSpPr txBox="1"/>
      </xdr:nvSpPr>
      <xdr:spPr>
        <a:xfrm>
          <a:off x="36181393" y="18882634"/>
          <a:ext cx="1634218" cy="896712"/>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nl-NL" sz="1200" b="1">
              <a:solidFill>
                <a:sysClr val="windowText" lastClr="000000"/>
              </a:solidFill>
            </a:rPr>
            <a:t>wf</a:t>
          </a:r>
          <a:r>
            <a:rPr lang="nl-NL" sz="1200" b="1" baseline="0">
              <a:solidFill>
                <a:sysClr val="windowText" lastClr="000000"/>
              </a:solidFill>
            </a:rPr>
            <a:t> = wellbore flowing</a:t>
          </a:r>
        </a:p>
        <a:p>
          <a:pPr algn="l"/>
          <a:r>
            <a:rPr lang="nl-NL" sz="1200" b="1" baseline="0">
              <a:solidFill>
                <a:sysClr val="windowText" lastClr="000000"/>
              </a:solidFill>
            </a:rPr>
            <a:t>th = tubing head</a:t>
          </a:r>
        </a:p>
        <a:p>
          <a:pPr algn="l"/>
          <a:r>
            <a:rPr lang="nl-NL" sz="1200" b="1" baseline="0">
              <a:solidFill>
                <a:sysClr val="windowText" lastClr="000000"/>
              </a:solidFill>
            </a:rPr>
            <a:t>h = head</a:t>
          </a:r>
        </a:p>
        <a:p>
          <a:pPr algn="l"/>
          <a:r>
            <a:rPr lang="nl-NL" sz="1200" b="1" baseline="0">
              <a:solidFill>
                <a:sysClr val="windowText" lastClr="000000"/>
              </a:solidFill>
            </a:rPr>
            <a:t>f = friction</a:t>
          </a:r>
        </a:p>
      </xdr:txBody>
    </xdr:sp>
    <xdr:clientData/>
  </xdr:twoCellAnchor>
  <xdr:twoCellAnchor editAs="oneCell">
    <xdr:from>
      <xdr:col>41</xdr:col>
      <xdr:colOff>371475</xdr:colOff>
      <xdr:row>133</xdr:row>
      <xdr:rowOff>0</xdr:rowOff>
    </xdr:from>
    <xdr:to>
      <xdr:col>50</xdr:col>
      <xdr:colOff>46980</xdr:colOff>
      <xdr:row>149</xdr:row>
      <xdr:rowOff>39132</xdr:rowOff>
    </xdr:to>
    <xdr:pic>
      <xdr:nvPicPr>
        <xdr:cNvPr id="41" name="Picture 40">
          <a:extLst>
            <a:ext uri="{FF2B5EF4-FFF2-40B4-BE49-F238E27FC236}">
              <a16:creationId xmlns:a16="http://schemas.microsoft.com/office/drawing/2014/main" id="{EBA3DADC-2E5C-476F-AB3D-3020749850F6}"/>
            </a:ext>
          </a:extLst>
        </xdr:cNvPr>
        <xdr:cNvPicPr>
          <a:picLocks noChangeAspect="1"/>
        </xdr:cNvPicPr>
      </xdr:nvPicPr>
      <xdr:blipFill>
        <a:blip xmlns:r="http://schemas.openxmlformats.org/officeDocument/2006/relationships" r:embed="rId16"/>
        <a:stretch>
          <a:fillRect/>
        </a:stretch>
      </xdr:blipFill>
      <xdr:spPr>
        <a:xfrm>
          <a:off x="34103582" y="20740010"/>
          <a:ext cx="5186398" cy="2678917"/>
        </a:xfrm>
        <a:prstGeom prst="rect">
          <a:avLst/>
        </a:prstGeom>
        <a:ln>
          <a:solidFill>
            <a:sysClr val="windowText" lastClr="000000"/>
          </a:solidFill>
        </a:ln>
      </xdr:spPr>
    </xdr:pic>
    <xdr:clientData/>
  </xdr:twoCellAnchor>
  <xdr:twoCellAnchor editAs="oneCell">
    <xdr:from>
      <xdr:col>50</xdr:col>
      <xdr:colOff>57150</xdr:colOff>
      <xdr:row>133</xdr:row>
      <xdr:rowOff>0</xdr:rowOff>
    </xdr:from>
    <xdr:to>
      <xdr:col>58</xdr:col>
      <xdr:colOff>351779</xdr:colOff>
      <xdr:row>160</xdr:row>
      <xdr:rowOff>113734</xdr:rowOff>
    </xdr:to>
    <xdr:pic>
      <xdr:nvPicPr>
        <xdr:cNvPr id="43" name="Picture 42">
          <a:extLst>
            <a:ext uri="{FF2B5EF4-FFF2-40B4-BE49-F238E27FC236}">
              <a16:creationId xmlns:a16="http://schemas.microsoft.com/office/drawing/2014/main" id="{5C9FBF1A-DA9F-487F-BC27-D7535A267E4F}"/>
            </a:ext>
          </a:extLst>
        </xdr:cNvPr>
        <xdr:cNvPicPr>
          <a:picLocks noChangeAspect="1"/>
        </xdr:cNvPicPr>
      </xdr:nvPicPr>
      <xdr:blipFill>
        <a:blip xmlns:r="http://schemas.openxmlformats.org/officeDocument/2006/relationships" r:embed="rId17"/>
        <a:stretch>
          <a:fillRect/>
        </a:stretch>
      </xdr:blipFill>
      <xdr:spPr>
        <a:xfrm>
          <a:off x="39300150" y="20740010"/>
          <a:ext cx="5193200" cy="4589123"/>
        </a:xfrm>
        <a:prstGeom prst="rect">
          <a:avLst/>
        </a:prstGeom>
        <a:ln>
          <a:solidFill>
            <a:sysClr val="windowText" lastClr="000000"/>
          </a:solidFill>
        </a:ln>
      </xdr:spPr>
    </xdr:pic>
    <xdr:clientData/>
  </xdr:twoCellAnchor>
  <xdr:twoCellAnchor editAs="oneCell">
    <xdr:from>
      <xdr:col>49</xdr:col>
      <xdr:colOff>342900</xdr:colOff>
      <xdr:row>138</xdr:row>
      <xdr:rowOff>61235</xdr:rowOff>
    </xdr:from>
    <xdr:to>
      <xdr:col>60</xdr:col>
      <xdr:colOff>75395</xdr:colOff>
      <xdr:row>141</xdr:row>
      <xdr:rowOff>138726</xdr:rowOff>
    </xdr:to>
    <xdr:pic>
      <xdr:nvPicPr>
        <xdr:cNvPr id="44" name="Picture 43">
          <a:extLst>
            <a:ext uri="{FF2B5EF4-FFF2-40B4-BE49-F238E27FC236}">
              <a16:creationId xmlns:a16="http://schemas.microsoft.com/office/drawing/2014/main" id="{3FE3309D-C4FA-4AD9-BDB4-99F114D70EE5}"/>
            </a:ext>
          </a:extLst>
        </xdr:cNvPr>
        <xdr:cNvPicPr>
          <a:picLocks noChangeAspect="1"/>
        </xdr:cNvPicPr>
      </xdr:nvPicPr>
      <xdr:blipFill>
        <a:blip xmlns:r="http://schemas.openxmlformats.org/officeDocument/2006/relationships" r:embed="rId18"/>
        <a:stretch>
          <a:fillRect/>
        </a:stretch>
      </xdr:blipFill>
      <xdr:spPr>
        <a:xfrm>
          <a:off x="38973579" y="25873985"/>
          <a:ext cx="6468030" cy="567348"/>
        </a:xfrm>
        <a:prstGeom prst="rect">
          <a:avLst/>
        </a:prstGeom>
        <a:ln>
          <a:solidFill>
            <a:sysClr val="windowText" lastClr="000000"/>
          </a:solidFill>
        </a:ln>
      </xdr:spPr>
    </xdr:pic>
    <xdr:clientData/>
  </xdr:twoCellAnchor>
  <xdr:twoCellAnchor>
    <xdr:from>
      <xdr:col>49</xdr:col>
      <xdr:colOff>333375</xdr:colOff>
      <xdr:row>136</xdr:row>
      <xdr:rowOff>51710</xdr:rowOff>
    </xdr:from>
    <xdr:to>
      <xdr:col>52</xdr:col>
      <xdr:colOff>523875</xdr:colOff>
      <xdr:row>138</xdr:row>
      <xdr:rowOff>53653</xdr:rowOff>
    </xdr:to>
    <xdr:sp macro="" textlink="">
      <xdr:nvSpPr>
        <xdr:cNvPr id="46" name="TextBox 45">
          <a:extLst>
            <a:ext uri="{FF2B5EF4-FFF2-40B4-BE49-F238E27FC236}">
              <a16:creationId xmlns:a16="http://schemas.microsoft.com/office/drawing/2014/main" id="{83FE94CB-BE70-47CE-B4ED-24F82F59C0A3}"/>
            </a:ext>
          </a:extLst>
        </xdr:cNvPr>
        <xdr:cNvSpPr txBox="1"/>
      </xdr:nvSpPr>
      <xdr:spPr>
        <a:xfrm>
          <a:off x="38964054" y="25537889"/>
          <a:ext cx="2027464" cy="328514"/>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nl-NL" sz="1200" b="1">
              <a:solidFill>
                <a:srgbClr val="FF0000"/>
              </a:solidFill>
            </a:rPr>
            <a:t>Nazif, H. - paper, pg 710</a:t>
          </a:r>
        </a:p>
      </xdr:txBody>
    </xdr:sp>
    <xdr:clientData/>
  </xdr:twoCellAnchor>
  <xdr:twoCellAnchor editAs="oneCell">
    <xdr:from>
      <xdr:col>38</xdr:col>
      <xdr:colOff>228601</xdr:colOff>
      <xdr:row>75</xdr:row>
      <xdr:rowOff>104775</xdr:rowOff>
    </xdr:from>
    <xdr:to>
      <xdr:col>42</xdr:col>
      <xdr:colOff>384023</xdr:colOff>
      <xdr:row>77</xdr:row>
      <xdr:rowOff>47625</xdr:rowOff>
    </xdr:to>
    <xdr:pic>
      <xdr:nvPicPr>
        <xdr:cNvPr id="45" name="Picture 44">
          <a:extLst>
            <a:ext uri="{FF2B5EF4-FFF2-40B4-BE49-F238E27FC236}">
              <a16:creationId xmlns:a16="http://schemas.microsoft.com/office/drawing/2014/main" id="{1047AA26-1107-4EBF-A88A-876BA496439E}"/>
            </a:ext>
          </a:extLst>
        </xdr:cNvPr>
        <xdr:cNvPicPr>
          <a:picLocks noChangeAspect="1"/>
        </xdr:cNvPicPr>
      </xdr:nvPicPr>
      <xdr:blipFill>
        <a:blip xmlns:r="http://schemas.openxmlformats.org/officeDocument/2006/relationships" r:embed="rId19"/>
        <a:stretch>
          <a:fillRect/>
        </a:stretch>
      </xdr:blipFill>
      <xdr:spPr>
        <a:xfrm>
          <a:off x="31994476" y="11134725"/>
          <a:ext cx="2593822" cy="276225"/>
        </a:xfrm>
        <a:prstGeom prst="rect">
          <a:avLst/>
        </a:prstGeom>
        <a:ln>
          <a:solidFill>
            <a:sysClr val="windowText" lastClr="000000"/>
          </a:solidFill>
        </a:ln>
      </xdr:spPr>
    </xdr:pic>
    <xdr:clientData/>
  </xdr:twoCellAnchor>
  <xdr:twoCellAnchor>
    <xdr:from>
      <xdr:col>38</xdr:col>
      <xdr:colOff>314324</xdr:colOff>
      <xdr:row>73</xdr:row>
      <xdr:rowOff>161924</xdr:rowOff>
    </xdr:from>
    <xdr:to>
      <xdr:col>41</xdr:col>
      <xdr:colOff>514349</xdr:colOff>
      <xdr:row>75</xdr:row>
      <xdr:rowOff>85724</xdr:rowOff>
    </xdr:to>
    <xdr:sp macro="" textlink="">
      <xdr:nvSpPr>
        <xdr:cNvPr id="50" name="TextBox 49">
          <a:extLst>
            <a:ext uri="{FF2B5EF4-FFF2-40B4-BE49-F238E27FC236}">
              <a16:creationId xmlns:a16="http://schemas.microsoft.com/office/drawing/2014/main" id="{2B59D436-17A2-471B-8710-804C27AC92C7}"/>
            </a:ext>
          </a:extLst>
        </xdr:cNvPr>
        <xdr:cNvSpPr txBox="1"/>
      </xdr:nvSpPr>
      <xdr:spPr>
        <a:xfrm>
          <a:off x="32080199" y="10858499"/>
          <a:ext cx="2028825" cy="25717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nl-NL" sz="1200" b="1">
              <a:solidFill>
                <a:srgbClr val="FF0000"/>
              </a:solidFill>
            </a:rPr>
            <a:t>Australia - thermal efficiency</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43</xdr:col>
      <xdr:colOff>171450</xdr:colOff>
      <xdr:row>3</xdr:row>
      <xdr:rowOff>0</xdr:rowOff>
    </xdr:from>
    <xdr:to>
      <xdr:col>52</xdr:col>
      <xdr:colOff>581025</xdr:colOff>
      <xdr:row>29</xdr:row>
      <xdr:rowOff>57150</xdr:rowOff>
    </xdr:to>
    <xdr:graphicFrame macro="">
      <xdr:nvGraphicFramePr>
        <xdr:cNvPr id="3" name="Chart 2">
          <a:extLst>
            <a:ext uri="{FF2B5EF4-FFF2-40B4-BE49-F238E27FC236}">
              <a16:creationId xmlns:a16="http://schemas.microsoft.com/office/drawing/2014/main" id="{D1EF44A9-E3AA-4B99-998D-E258B14928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46</xdr:col>
      <xdr:colOff>447674</xdr:colOff>
      <xdr:row>1</xdr:row>
      <xdr:rowOff>0</xdr:rowOff>
    </xdr:from>
    <xdr:to>
      <xdr:col>54</xdr:col>
      <xdr:colOff>427151</xdr:colOff>
      <xdr:row>8</xdr:row>
      <xdr:rowOff>152149</xdr:rowOff>
    </xdr:to>
    <xdr:pic>
      <xdr:nvPicPr>
        <xdr:cNvPr id="2" name="Picture 1">
          <a:extLst>
            <a:ext uri="{FF2B5EF4-FFF2-40B4-BE49-F238E27FC236}">
              <a16:creationId xmlns:a16="http://schemas.microsoft.com/office/drawing/2014/main" id="{C4C97721-778E-4F9B-B229-926520F1BD74}"/>
            </a:ext>
          </a:extLst>
        </xdr:cNvPr>
        <xdr:cNvPicPr>
          <a:picLocks noChangeAspect="1"/>
        </xdr:cNvPicPr>
      </xdr:nvPicPr>
      <xdr:blipFill>
        <a:blip xmlns:r="http://schemas.openxmlformats.org/officeDocument/2006/relationships" r:embed="rId1"/>
        <a:stretch>
          <a:fillRect/>
        </a:stretch>
      </xdr:blipFill>
      <xdr:spPr>
        <a:xfrm>
          <a:off x="35690174" y="333375"/>
          <a:ext cx="4856277" cy="1314199"/>
        </a:xfrm>
        <a:prstGeom prst="rect">
          <a:avLst/>
        </a:prstGeom>
        <a:ln>
          <a:solidFill>
            <a:sysClr val="windowText" lastClr="000000"/>
          </a:solidFill>
        </a:ln>
      </xdr:spPr>
    </xdr:pic>
    <xdr:clientData/>
  </xdr:twoCellAnchor>
  <xdr:twoCellAnchor editAs="oneCell">
    <xdr:from>
      <xdr:col>46</xdr:col>
      <xdr:colOff>581025</xdr:colOff>
      <xdr:row>9</xdr:row>
      <xdr:rowOff>152471</xdr:rowOff>
    </xdr:from>
    <xdr:to>
      <xdr:col>50</xdr:col>
      <xdr:colOff>332731</xdr:colOff>
      <xdr:row>12</xdr:row>
      <xdr:rowOff>161774</xdr:rowOff>
    </xdr:to>
    <xdr:pic>
      <xdr:nvPicPr>
        <xdr:cNvPr id="3" name="Picture 2">
          <a:extLst>
            <a:ext uri="{FF2B5EF4-FFF2-40B4-BE49-F238E27FC236}">
              <a16:creationId xmlns:a16="http://schemas.microsoft.com/office/drawing/2014/main" id="{D7FB2954-ADF1-4BBF-BD67-D92197975E64}"/>
            </a:ext>
          </a:extLst>
        </xdr:cNvPr>
        <xdr:cNvPicPr>
          <a:picLocks noChangeAspect="1"/>
        </xdr:cNvPicPr>
      </xdr:nvPicPr>
      <xdr:blipFill>
        <a:blip xmlns:r="http://schemas.openxmlformats.org/officeDocument/2006/relationships" r:embed="rId2"/>
        <a:stretch>
          <a:fillRect/>
        </a:stretch>
      </xdr:blipFill>
      <xdr:spPr>
        <a:xfrm>
          <a:off x="35633025" y="1847921"/>
          <a:ext cx="2190106" cy="514128"/>
        </a:xfrm>
        <a:prstGeom prst="rect">
          <a:avLst/>
        </a:prstGeom>
        <a:ln>
          <a:solidFill>
            <a:sysClr val="windowText" lastClr="000000"/>
          </a:solidFill>
        </a:ln>
      </xdr:spPr>
    </xdr:pic>
    <xdr:clientData/>
  </xdr:twoCellAnchor>
  <xdr:twoCellAnchor editAs="oneCell">
    <xdr:from>
      <xdr:col>50</xdr:col>
      <xdr:colOff>504826</xdr:colOff>
      <xdr:row>9</xdr:row>
      <xdr:rowOff>104775</xdr:rowOff>
    </xdr:from>
    <xdr:to>
      <xdr:col>53</xdr:col>
      <xdr:colOff>140018</xdr:colOff>
      <xdr:row>13</xdr:row>
      <xdr:rowOff>56985</xdr:rowOff>
    </xdr:to>
    <xdr:pic>
      <xdr:nvPicPr>
        <xdr:cNvPr id="4" name="Picture 3">
          <a:extLst>
            <a:ext uri="{FF2B5EF4-FFF2-40B4-BE49-F238E27FC236}">
              <a16:creationId xmlns:a16="http://schemas.microsoft.com/office/drawing/2014/main" id="{D3855951-09FC-4790-8B28-44E20DA7ADDC}"/>
            </a:ext>
          </a:extLst>
        </xdr:cNvPr>
        <xdr:cNvPicPr>
          <a:picLocks noChangeAspect="1"/>
        </xdr:cNvPicPr>
      </xdr:nvPicPr>
      <xdr:blipFill>
        <a:blip xmlns:r="http://schemas.openxmlformats.org/officeDocument/2006/relationships" r:embed="rId3"/>
        <a:stretch>
          <a:fillRect/>
        </a:stretch>
      </xdr:blipFill>
      <xdr:spPr>
        <a:xfrm>
          <a:off x="37995226" y="1800225"/>
          <a:ext cx="1463992" cy="647535"/>
        </a:xfrm>
        <a:prstGeom prst="rect">
          <a:avLst/>
        </a:prstGeom>
        <a:ln>
          <a:solidFill>
            <a:sysClr val="windowText" lastClr="000000"/>
          </a:solidFill>
        </a:ln>
      </xdr:spPr>
    </xdr:pic>
    <xdr:clientData/>
  </xdr:twoCellAnchor>
  <xdr:twoCellAnchor editAs="oneCell">
    <xdr:from>
      <xdr:col>40</xdr:col>
      <xdr:colOff>228600</xdr:colOff>
      <xdr:row>0</xdr:row>
      <xdr:rowOff>209550</xdr:rowOff>
    </xdr:from>
    <xdr:to>
      <xdr:col>46</xdr:col>
      <xdr:colOff>199293</xdr:colOff>
      <xdr:row>13</xdr:row>
      <xdr:rowOff>75544</xdr:rowOff>
    </xdr:to>
    <xdr:pic>
      <xdr:nvPicPr>
        <xdr:cNvPr id="5" name="Picture 4">
          <a:extLst>
            <a:ext uri="{FF2B5EF4-FFF2-40B4-BE49-F238E27FC236}">
              <a16:creationId xmlns:a16="http://schemas.microsoft.com/office/drawing/2014/main" id="{8B971E07-3194-46A1-A1ED-6DD2C63DE9AE}"/>
            </a:ext>
          </a:extLst>
        </xdr:cNvPr>
        <xdr:cNvPicPr>
          <a:picLocks noChangeAspect="1"/>
        </xdr:cNvPicPr>
      </xdr:nvPicPr>
      <xdr:blipFill>
        <a:blip xmlns:r="http://schemas.openxmlformats.org/officeDocument/2006/relationships" r:embed="rId4"/>
        <a:stretch>
          <a:fillRect/>
        </a:stretch>
      </xdr:blipFill>
      <xdr:spPr>
        <a:xfrm>
          <a:off x="31623000" y="209550"/>
          <a:ext cx="3704493" cy="2218669"/>
        </a:xfrm>
        <a:prstGeom prst="rect">
          <a:avLst/>
        </a:prstGeom>
        <a:ln>
          <a:solidFill>
            <a:sysClr val="windowText" lastClr="000000"/>
          </a:solidFill>
        </a:ln>
      </xdr:spPr>
    </xdr:pic>
    <xdr:clientData/>
  </xdr:twoCellAnchor>
  <xdr:twoCellAnchor editAs="oneCell">
    <xdr:from>
      <xdr:col>49</xdr:col>
      <xdr:colOff>123825</xdr:colOff>
      <xdr:row>14</xdr:row>
      <xdr:rowOff>144492</xdr:rowOff>
    </xdr:from>
    <xdr:to>
      <xdr:col>53</xdr:col>
      <xdr:colOff>19051</xdr:colOff>
      <xdr:row>18</xdr:row>
      <xdr:rowOff>9375</xdr:rowOff>
    </xdr:to>
    <xdr:pic>
      <xdr:nvPicPr>
        <xdr:cNvPr id="6" name="Picture 5">
          <a:extLst>
            <a:ext uri="{FF2B5EF4-FFF2-40B4-BE49-F238E27FC236}">
              <a16:creationId xmlns:a16="http://schemas.microsoft.com/office/drawing/2014/main" id="{6BC5DCBB-64AC-40AB-A7A1-938E78837FFE}"/>
            </a:ext>
          </a:extLst>
        </xdr:cNvPr>
        <xdr:cNvPicPr>
          <a:picLocks noChangeAspect="1"/>
        </xdr:cNvPicPr>
      </xdr:nvPicPr>
      <xdr:blipFill>
        <a:blip xmlns:r="http://schemas.openxmlformats.org/officeDocument/2006/relationships" r:embed="rId5"/>
        <a:stretch>
          <a:fillRect/>
        </a:stretch>
      </xdr:blipFill>
      <xdr:spPr>
        <a:xfrm>
          <a:off x="37004625" y="2735292"/>
          <a:ext cx="2333626" cy="569733"/>
        </a:xfrm>
        <a:prstGeom prst="rect">
          <a:avLst/>
        </a:prstGeom>
        <a:ln>
          <a:solidFill>
            <a:sysClr val="windowText" lastClr="000000"/>
          </a:solidFill>
        </a:ln>
      </xdr:spPr>
    </xdr:pic>
    <xdr:clientData/>
  </xdr:twoCellAnchor>
  <xdr:twoCellAnchor editAs="oneCell">
    <xdr:from>
      <xdr:col>53</xdr:col>
      <xdr:colOff>219075</xdr:colOff>
      <xdr:row>15</xdr:row>
      <xdr:rowOff>86484</xdr:rowOff>
    </xdr:from>
    <xdr:to>
      <xdr:col>55</xdr:col>
      <xdr:colOff>504467</xdr:colOff>
      <xdr:row>17</xdr:row>
      <xdr:rowOff>18982</xdr:rowOff>
    </xdr:to>
    <xdr:pic>
      <xdr:nvPicPr>
        <xdr:cNvPr id="7" name="Picture 6">
          <a:extLst>
            <a:ext uri="{FF2B5EF4-FFF2-40B4-BE49-F238E27FC236}">
              <a16:creationId xmlns:a16="http://schemas.microsoft.com/office/drawing/2014/main" id="{591122EF-C518-47DA-9CC7-EB50B6B7EC71}"/>
            </a:ext>
          </a:extLst>
        </xdr:cNvPr>
        <xdr:cNvPicPr>
          <a:picLocks noChangeAspect="1"/>
        </xdr:cNvPicPr>
      </xdr:nvPicPr>
      <xdr:blipFill>
        <a:blip xmlns:r="http://schemas.openxmlformats.org/officeDocument/2006/relationships" r:embed="rId6"/>
        <a:stretch>
          <a:fillRect/>
        </a:stretch>
      </xdr:blipFill>
      <xdr:spPr>
        <a:xfrm>
          <a:off x="39538275" y="2877309"/>
          <a:ext cx="1504592" cy="284923"/>
        </a:xfrm>
        <a:prstGeom prst="rect">
          <a:avLst/>
        </a:prstGeom>
        <a:ln>
          <a:solidFill>
            <a:sysClr val="windowText" lastClr="000000"/>
          </a:solidFill>
        </a:ln>
      </xdr:spPr>
    </xdr:pic>
    <xdr:clientData/>
  </xdr:twoCellAnchor>
  <xdr:twoCellAnchor editAs="oneCell">
    <xdr:from>
      <xdr:col>55</xdr:col>
      <xdr:colOff>76200</xdr:colOff>
      <xdr:row>4</xdr:row>
      <xdr:rowOff>58562</xdr:rowOff>
    </xdr:from>
    <xdr:to>
      <xdr:col>58</xdr:col>
      <xdr:colOff>256710</xdr:colOff>
      <xdr:row>8</xdr:row>
      <xdr:rowOff>85564</xdr:rowOff>
    </xdr:to>
    <xdr:pic>
      <xdr:nvPicPr>
        <xdr:cNvPr id="8" name="Picture 7">
          <a:extLst>
            <a:ext uri="{FF2B5EF4-FFF2-40B4-BE49-F238E27FC236}">
              <a16:creationId xmlns:a16="http://schemas.microsoft.com/office/drawing/2014/main" id="{D58C36BB-ADA4-4FFC-803F-D34132F1726F}"/>
            </a:ext>
          </a:extLst>
        </xdr:cNvPr>
        <xdr:cNvPicPr>
          <a:picLocks noChangeAspect="1"/>
        </xdr:cNvPicPr>
      </xdr:nvPicPr>
      <xdr:blipFill>
        <a:blip xmlns:r="http://schemas.openxmlformats.org/officeDocument/2006/relationships" r:embed="rId7"/>
        <a:stretch>
          <a:fillRect/>
        </a:stretch>
      </xdr:blipFill>
      <xdr:spPr>
        <a:xfrm>
          <a:off x="40805100" y="925337"/>
          <a:ext cx="2009310" cy="693752"/>
        </a:xfrm>
        <a:prstGeom prst="rect">
          <a:avLst/>
        </a:prstGeom>
        <a:ln>
          <a:solidFill>
            <a:sysClr val="windowText" lastClr="000000"/>
          </a:solidFill>
        </a:ln>
      </xdr:spPr>
    </xdr:pic>
    <xdr:clientData/>
  </xdr:twoCellAnchor>
  <xdr:twoCellAnchor editAs="oneCell">
    <xdr:from>
      <xdr:col>54</xdr:col>
      <xdr:colOff>466724</xdr:colOff>
      <xdr:row>9</xdr:row>
      <xdr:rowOff>142449</xdr:rowOff>
    </xdr:from>
    <xdr:to>
      <xdr:col>58</xdr:col>
      <xdr:colOff>37673</xdr:colOff>
      <xdr:row>12</xdr:row>
      <xdr:rowOff>142768</xdr:rowOff>
    </xdr:to>
    <xdr:pic>
      <xdr:nvPicPr>
        <xdr:cNvPr id="9" name="Picture 8">
          <a:extLst>
            <a:ext uri="{FF2B5EF4-FFF2-40B4-BE49-F238E27FC236}">
              <a16:creationId xmlns:a16="http://schemas.microsoft.com/office/drawing/2014/main" id="{C44E75AA-050D-4A96-AB57-08DEC7043F30}"/>
            </a:ext>
          </a:extLst>
        </xdr:cNvPr>
        <xdr:cNvPicPr>
          <a:picLocks noChangeAspect="1"/>
        </xdr:cNvPicPr>
      </xdr:nvPicPr>
      <xdr:blipFill>
        <a:blip xmlns:r="http://schemas.openxmlformats.org/officeDocument/2006/relationships" r:embed="rId8"/>
        <a:stretch>
          <a:fillRect/>
        </a:stretch>
      </xdr:blipFill>
      <xdr:spPr>
        <a:xfrm>
          <a:off x="40395524" y="1837899"/>
          <a:ext cx="2009349" cy="505144"/>
        </a:xfrm>
        <a:prstGeom prst="rect">
          <a:avLst/>
        </a:prstGeom>
        <a:ln>
          <a:solidFill>
            <a:sysClr val="windowText" lastClr="000000"/>
          </a:solidFill>
        </a:ln>
      </xdr:spPr>
    </xdr:pic>
    <xdr:clientData/>
  </xdr:twoCellAnchor>
  <xdr:twoCellAnchor editAs="oneCell">
    <xdr:from>
      <xdr:col>56</xdr:col>
      <xdr:colOff>142875</xdr:colOff>
      <xdr:row>14</xdr:row>
      <xdr:rowOff>168177</xdr:rowOff>
    </xdr:from>
    <xdr:to>
      <xdr:col>59</xdr:col>
      <xdr:colOff>190500</xdr:colOff>
      <xdr:row>18</xdr:row>
      <xdr:rowOff>114137</xdr:rowOff>
    </xdr:to>
    <xdr:pic>
      <xdr:nvPicPr>
        <xdr:cNvPr id="10" name="Picture 9">
          <a:extLst>
            <a:ext uri="{FF2B5EF4-FFF2-40B4-BE49-F238E27FC236}">
              <a16:creationId xmlns:a16="http://schemas.microsoft.com/office/drawing/2014/main" id="{B046ABE6-2182-413E-88A9-DE35DB140F97}"/>
            </a:ext>
          </a:extLst>
        </xdr:cNvPr>
        <xdr:cNvPicPr>
          <a:picLocks noChangeAspect="1"/>
        </xdr:cNvPicPr>
      </xdr:nvPicPr>
      <xdr:blipFill>
        <a:blip xmlns:r="http://schemas.openxmlformats.org/officeDocument/2006/relationships" r:embed="rId9"/>
        <a:stretch>
          <a:fillRect/>
        </a:stretch>
      </xdr:blipFill>
      <xdr:spPr>
        <a:xfrm>
          <a:off x="41290875" y="2758977"/>
          <a:ext cx="1876425" cy="650810"/>
        </a:xfrm>
        <a:prstGeom prst="rect">
          <a:avLst/>
        </a:prstGeom>
        <a:ln>
          <a:solidFill>
            <a:sysClr val="windowText" lastClr="000000"/>
          </a:solidFill>
        </a:ln>
      </xdr:spPr>
    </xdr:pic>
    <xdr:clientData/>
  </xdr:twoCellAnchor>
  <xdr:twoCellAnchor editAs="oneCell">
    <xdr:from>
      <xdr:col>50</xdr:col>
      <xdr:colOff>8604</xdr:colOff>
      <xdr:row>19</xdr:row>
      <xdr:rowOff>9525</xdr:rowOff>
    </xdr:from>
    <xdr:to>
      <xdr:col>54</xdr:col>
      <xdr:colOff>123280</xdr:colOff>
      <xdr:row>21</xdr:row>
      <xdr:rowOff>142776</xdr:rowOff>
    </xdr:to>
    <xdr:pic>
      <xdr:nvPicPr>
        <xdr:cNvPr id="11" name="Picture 10">
          <a:extLst>
            <a:ext uri="{FF2B5EF4-FFF2-40B4-BE49-F238E27FC236}">
              <a16:creationId xmlns:a16="http://schemas.microsoft.com/office/drawing/2014/main" id="{86C5246E-9F43-4F9B-A93B-8DCC44F7B089}"/>
            </a:ext>
          </a:extLst>
        </xdr:cNvPr>
        <xdr:cNvPicPr>
          <a:picLocks noChangeAspect="1"/>
        </xdr:cNvPicPr>
      </xdr:nvPicPr>
      <xdr:blipFill>
        <a:blip xmlns:r="http://schemas.openxmlformats.org/officeDocument/2006/relationships" r:embed="rId10"/>
        <a:stretch>
          <a:fillRect/>
        </a:stretch>
      </xdr:blipFill>
      <xdr:spPr>
        <a:xfrm>
          <a:off x="37689504" y="3495675"/>
          <a:ext cx="2553076" cy="457101"/>
        </a:xfrm>
        <a:prstGeom prst="rect">
          <a:avLst/>
        </a:prstGeom>
        <a:ln>
          <a:solidFill>
            <a:sysClr val="windowText" lastClr="000000"/>
          </a:solidFill>
        </a:ln>
      </xdr:spPr>
    </xdr:pic>
    <xdr:clientData/>
  </xdr:twoCellAnchor>
  <xdr:twoCellAnchor>
    <xdr:from>
      <xdr:col>1</xdr:col>
      <xdr:colOff>228601</xdr:colOff>
      <xdr:row>58</xdr:row>
      <xdr:rowOff>133350</xdr:rowOff>
    </xdr:from>
    <xdr:to>
      <xdr:col>8</xdr:col>
      <xdr:colOff>266701</xdr:colOff>
      <xdr:row>81</xdr:row>
      <xdr:rowOff>85725</xdr:rowOff>
    </xdr:to>
    <xdr:graphicFrame macro="">
      <xdr:nvGraphicFramePr>
        <xdr:cNvPr id="12" name="Chart 11">
          <a:extLst>
            <a:ext uri="{FF2B5EF4-FFF2-40B4-BE49-F238E27FC236}">
              <a16:creationId xmlns:a16="http://schemas.microsoft.com/office/drawing/2014/main" id="{FB373AF5-DA16-4F93-A93F-36A143B590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62</xdr:col>
      <xdr:colOff>215896</xdr:colOff>
      <xdr:row>34</xdr:row>
      <xdr:rowOff>17745</xdr:rowOff>
    </xdr:from>
    <xdr:to>
      <xdr:col>62</xdr:col>
      <xdr:colOff>444496</xdr:colOff>
      <xdr:row>37</xdr:row>
      <xdr:rowOff>102623</xdr:rowOff>
    </xdr:to>
    <xdr:sp macro="" textlink="">
      <xdr:nvSpPr>
        <xdr:cNvPr id="15" name="Right Brace 14" descr="76bb2172-4be6-4eca-aa13-f0ac6704b394">
          <a:extLst>
            <a:ext uri="{FF2B5EF4-FFF2-40B4-BE49-F238E27FC236}">
              <a16:creationId xmlns:a16="http://schemas.microsoft.com/office/drawing/2014/main" id="{9DB7E707-54CB-42E4-BC91-FE320906D3CE}"/>
            </a:ext>
          </a:extLst>
        </xdr:cNvPr>
        <xdr:cNvSpPr/>
      </xdr:nvSpPr>
      <xdr:spPr>
        <a:xfrm>
          <a:off x="11788771" y="30183420"/>
          <a:ext cx="228600" cy="656378"/>
        </a:xfrm>
        <a:prstGeom prst="rightBrace">
          <a:avLst>
            <a:gd name="adj1" fmla="val 37745"/>
            <a:gd name="adj2" fmla="val 48889"/>
          </a:avLst>
        </a:prstGeom>
        <a:ln w="57150"/>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lang="nl-NL" sz="1100"/>
        </a:p>
      </xdr:txBody>
    </xdr:sp>
    <xdr:clientData/>
  </xdr:twoCellAnchor>
  <xdr:twoCellAnchor>
    <xdr:from>
      <xdr:col>54</xdr:col>
      <xdr:colOff>457200</xdr:colOff>
      <xdr:row>38</xdr:row>
      <xdr:rowOff>123825</xdr:rowOff>
    </xdr:from>
    <xdr:to>
      <xdr:col>65</xdr:col>
      <xdr:colOff>152400</xdr:colOff>
      <xdr:row>57</xdr:row>
      <xdr:rowOff>0</xdr:rowOff>
    </xdr:to>
    <xdr:graphicFrame macro="">
      <xdr:nvGraphicFramePr>
        <xdr:cNvPr id="17" name="Chart 16">
          <a:extLst>
            <a:ext uri="{FF2B5EF4-FFF2-40B4-BE49-F238E27FC236}">
              <a16:creationId xmlns:a16="http://schemas.microsoft.com/office/drawing/2014/main" id="{7B63091B-F6BC-41BF-9419-3B59CAB20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219075</xdr:colOff>
      <xdr:row>66</xdr:row>
      <xdr:rowOff>38100</xdr:rowOff>
    </xdr:from>
    <xdr:to>
      <xdr:col>64</xdr:col>
      <xdr:colOff>523875</xdr:colOff>
      <xdr:row>84</xdr:row>
      <xdr:rowOff>104775</xdr:rowOff>
    </xdr:to>
    <xdr:graphicFrame macro="">
      <xdr:nvGraphicFramePr>
        <xdr:cNvPr id="19" name="Chart 18">
          <a:extLst>
            <a:ext uri="{FF2B5EF4-FFF2-40B4-BE49-F238E27FC236}">
              <a16:creationId xmlns:a16="http://schemas.microsoft.com/office/drawing/2014/main" id="{525135E3-98C6-4635-8F23-91E57CF61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62</xdr:col>
      <xdr:colOff>215896</xdr:colOff>
      <xdr:row>87</xdr:row>
      <xdr:rowOff>17745</xdr:rowOff>
    </xdr:from>
    <xdr:to>
      <xdr:col>62</xdr:col>
      <xdr:colOff>444496</xdr:colOff>
      <xdr:row>90</xdr:row>
      <xdr:rowOff>102623</xdr:rowOff>
    </xdr:to>
    <xdr:sp macro="" textlink="">
      <xdr:nvSpPr>
        <xdr:cNvPr id="20" name="Right Brace 19" descr="76bb2172-4be6-4eca-aa13-f0ac6704b394">
          <a:extLst>
            <a:ext uri="{FF2B5EF4-FFF2-40B4-BE49-F238E27FC236}">
              <a16:creationId xmlns:a16="http://schemas.microsoft.com/office/drawing/2014/main" id="{ADCD4AA3-4CBB-4B5A-AF68-2E6AA1E884D0}"/>
            </a:ext>
          </a:extLst>
        </xdr:cNvPr>
        <xdr:cNvSpPr/>
      </xdr:nvSpPr>
      <xdr:spPr>
        <a:xfrm>
          <a:off x="15046321" y="9352245"/>
          <a:ext cx="228600" cy="656378"/>
        </a:xfrm>
        <a:prstGeom prst="rightBrace">
          <a:avLst>
            <a:gd name="adj1" fmla="val 37745"/>
            <a:gd name="adj2" fmla="val 48889"/>
          </a:avLst>
        </a:prstGeom>
        <a:ln w="57150"/>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lang="nl-NL" sz="1100"/>
        </a:p>
      </xdr:txBody>
    </xdr:sp>
    <xdr:clientData/>
  </xdr:twoCellAnchor>
  <xdr:twoCellAnchor>
    <xdr:from>
      <xdr:col>53</xdr:col>
      <xdr:colOff>285750</xdr:colOff>
      <xdr:row>13</xdr:row>
      <xdr:rowOff>85725</xdr:rowOff>
    </xdr:from>
    <xdr:to>
      <xdr:col>66</xdr:col>
      <xdr:colOff>542925</xdr:colOff>
      <xdr:row>31</xdr:row>
      <xdr:rowOff>152400</xdr:rowOff>
    </xdr:to>
    <xdr:graphicFrame macro="">
      <xdr:nvGraphicFramePr>
        <xdr:cNvPr id="21" name="Chart 20">
          <a:extLst>
            <a:ext uri="{FF2B5EF4-FFF2-40B4-BE49-F238E27FC236}">
              <a16:creationId xmlns:a16="http://schemas.microsoft.com/office/drawing/2014/main" id="{04E22257-0E15-443B-A3AF-B0AEB918D2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62</xdr:col>
      <xdr:colOff>228600</xdr:colOff>
      <xdr:row>58</xdr:row>
      <xdr:rowOff>142875</xdr:rowOff>
    </xdr:from>
    <xdr:to>
      <xdr:col>62</xdr:col>
      <xdr:colOff>457200</xdr:colOff>
      <xdr:row>62</xdr:row>
      <xdr:rowOff>65828</xdr:rowOff>
    </xdr:to>
    <xdr:sp macro="" textlink="">
      <xdr:nvSpPr>
        <xdr:cNvPr id="8" name="Right Brace 7" descr="76bb2172-4be6-4eca-aa13-f0ac6704b394">
          <a:extLst>
            <a:ext uri="{FF2B5EF4-FFF2-40B4-BE49-F238E27FC236}">
              <a16:creationId xmlns:a16="http://schemas.microsoft.com/office/drawing/2014/main" id="{39419B4D-CAC1-4C54-819B-D8CBD645BB29}"/>
            </a:ext>
          </a:extLst>
        </xdr:cNvPr>
        <xdr:cNvSpPr/>
      </xdr:nvSpPr>
      <xdr:spPr>
        <a:xfrm>
          <a:off x="43767375" y="9772650"/>
          <a:ext cx="228600" cy="570653"/>
        </a:xfrm>
        <a:prstGeom prst="rightBrace">
          <a:avLst>
            <a:gd name="adj1" fmla="val 37745"/>
            <a:gd name="adj2" fmla="val 48889"/>
          </a:avLst>
        </a:prstGeom>
        <a:ln w="57150"/>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lang="nl-NL" sz="1100"/>
        </a:p>
      </xdr:txBody>
    </xdr:sp>
    <xdr:clientData/>
  </xdr:twoCellAnchor>
  <xdr:twoCellAnchor>
    <xdr:from>
      <xdr:col>32</xdr:col>
      <xdr:colOff>0</xdr:colOff>
      <xdr:row>67</xdr:row>
      <xdr:rowOff>9524</xdr:rowOff>
    </xdr:from>
    <xdr:to>
      <xdr:col>42</xdr:col>
      <xdr:colOff>85725</xdr:colOff>
      <xdr:row>93</xdr:row>
      <xdr:rowOff>19050</xdr:rowOff>
    </xdr:to>
    <xdr:graphicFrame macro="">
      <xdr:nvGraphicFramePr>
        <xdr:cNvPr id="2" name="Chart 1">
          <a:extLst>
            <a:ext uri="{FF2B5EF4-FFF2-40B4-BE49-F238E27FC236}">
              <a16:creationId xmlns:a16="http://schemas.microsoft.com/office/drawing/2014/main" id="{89B03B15-903E-4442-BB10-6F07C89122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19049</xdr:colOff>
      <xdr:row>8</xdr:row>
      <xdr:rowOff>17995</xdr:rowOff>
    </xdr:from>
    <xdr:to>
      <xdr:col>21</xdr:col>
      <xdr:colOff>57150</xdr:colOff>
      <xdr:row>45</xdr:row>
      <xdr:rowOff>75145</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8947149" y="1611845"/>
          <a:ext cx="7232651" cy="6927850"/>
          <a:chOff x="145982" y="260648"/>
          <a:chExt cx="4209994" cy="5111864"/>
        </a:xfrm>
        <a:effectLst>
          <a:glow rad="63500">
            <a:schemeClr val="accent1">
              <a:satMod val="175000"/>
              <a:alpha val="40000"/>
            </a:schemeClr>
          </a:glow>
        </a:effectLst>
      </xdr:grpSpPr>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17" t="41142" r="5333" b="9926"/>
          <a:stretch/>
        </xdr:blipFill>
        <xdr:spPr bwMode="auto">
          <a:xfrm>
            <a:off x="145982" y="1196752"/>
            <a:ext cx="4209994" cy="417576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pic>
        <xdr:nvPicPr>
          <xdr:cNvPr id="4" name="Picture 3">
            <a:extLst>
              <a:ext uri="{FF2B5EF4-FFF2-40B4-BE49-F238E27FC236}">
                <a16:creationId xmlns:a16="http://schemas.microsoft.com/office/drawing/2014/main" id="{00000000-0008-0000-0E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17" t="12444" r="5333" b="76145"/>
          <a:stretch/>
        </xdr:blipFill>
        <xdr:spPr bwMode="auto">
          <a:xfrm>
            <a:off x="145982" y="260648"/>
            <a:ext cx="4209994" cy="97379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grpSp>
    <xdr:clientData/>
  </xdr:twoCellAnchor>
  <xdr:twoCellAnchor editAs="oneCell">
    <xdr:from>
      <xdr:col>0</xdr:col>
      <xdr:colOff>19050</xdr:colOff>
      <xdr:row>25</xdr:row>
      <xdr:rowOff>180975</xdr:rowOff>
    </xdr:from>
    <xdr:to>
      <xdr:col>1</xdr:col>
      <xdr:colOff>877570</xdr:colOff>
      <xdr:row>43</xdr:row>
      <xdr:rowOff>156845</xdr:rowOff>
    </xdr:to>
    <xdr:pic>
      <xdr:nvPicPr>
        <xdr:cNvPr id="5" name="Picture 4">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5114925"/>
          <a:ext cx="3306445" cy="3404870"/>
        </a:xfrm>
        <a:prstGeom prst="rect">
          <a:avLst/>
        </a:prstGeom>
        <a:noFill/>
      </xdr:spPr>
    </xdr:pic>
    <xdr:clientData/>
  </xdr:twoCellAnchor>
  <xdr:twoCellAnchor>
    <xdr:from>
      <xdr:col>14</xdr:col>
      <xdr:colOff>114300</xdr:colOff>
      <xdr:row>18</xdr:row>
      <xdr:rowOff>47625</xdr:rowOff>
    </xdr:from>
    <xdr:to>
      <xdr:col>14</xdr:col>
      <xdr:colOff>466725</xdr:colOff>
      <xdr:row>19</xdr:row>
      <xdr:rowOff>19050</xdr:rowOff>
    </xdr:to>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10927976" y="3633507"/>
          <a:ext cx="352425" cy="161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13</xdr:col>
      <xdr:colOff>228600</xdr:colOff>
      <xdr:row>19</xdr:row>
      <xdr:rowOff>19050</xdr:rowOff>
    </xdr:from>
    <xdr:to>
      <xdr:col>13</xdr:col>
      <xdr:colOff>581025</xdr:colOff>
      <xdr:row>19</xdr:row>
      <xdr:rowOff>123825</xdr:rowOff>
    </xdr:to>
    <xdr:sp macro="" textlink="">
      <xdr:nvSpPr>
        <xdr:cNvPr id="9" name="TextBox 8">
          <a:extLst>
            <a:ext uri="{FF2B5EF4-FFF2-40B4-BE49-F238E27FC236}">
              <a16:creationId xmlns:a16="http://schemas.microsoft.com/office/drawing/2014/main" id="{00000000-0008-0000-0E00-000009000000}"/>
            </a:ext>
          </a:extLst>
        </xdr:cNvPr>
        <xdr:cNvSpPr txBox="1"/>
      </xdr:nvSpPr>
      <xdr:spPr>
        <a:xfrm>
          <a:off x="10782300" y="3209925"/>
          <a:ext cx="352425" cy="10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13</xdr:col>
      <xdr:colOff>333375</xdr:colOff>
      <xdr:row>19</xdr:row>
      <xdr:rowOff>152400</xdr:rowOff>
    </xdr:from>
    <xdr:to>
      <xdr:col>14</xdr:col>
      <xdr:colOff>76200</xdr:colOff>
      <xdr:row>20</xdr:row>
      <xdr:rowOff>85725</xdr:rowOff>
    </xdr:to>
    <xdr:sp macro="" textlink="">
      <xdr:nvSpPr>
        <xdr:cNvPr id="10" name="TextBox 9">
          <a:extLst>
            <a:ext uri="{FF2B5EF4-FFF2-40B4-BE49-F238E27FC236}">
              <a16:creationId xmlns:a16="http://schemas.microsoft.com/office/drawing/2014/main" id="{00000000-0008-0000-0E00-00000A000000}"/>
            </a:ext>
          </a:extLst>
        </xdr:cNvPr>
        <xdr:cNvSpPr txBox="1"/>
      </xdr:nvSpPr>
      <xdr:spPr>
        <a:xfrm>
          <a:off x="10887075" y="3343275"/>
          <a:ext cx="371475" cy="114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13</xdr:col>
      <xdr:colOff>361950</xdr:colOff>
      <xdr:row>20</xdr:row>
      <xdr:rowOff>133350</xdr:rowOff>
    </xdr:from>
    <xdr:to>
      <xdr:col>14</xdr:col>
      <xdr:colOff>104775</xdr:colOff>
      <xdr:row>21</xdr:row>
      <xdr:rowOff>57150</xdr:rowOff>
    </xdr:to>
    <xdr:sp macro="" textlink="">
      <xdr:nvSpPr>
        <xdr:cNvPr id="11" name="TextBox 10">
          <a:extLst>
            <a:ext uri="{FF2B5EF4-FFF2-40B4-BE49-F238E27FC236}">
              <a16:creationId xmlns:a16="http://schemas.microsoft.com/office/drawing/2014/main" id="{00000000-0008-0000-0E00-00000B000000}"/>
            </a:ext>
          </a:extLst>
        </xdr:cNvPr>
        <xdr:cNvSpPr txBox="1"/>
      </xdr:nvSpPr>
      <xdr:spPr>
        <a:xfrm>
          <a:off x="10915650" y="3505200"/>
          <a:ext cx="371475" cy="114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editAs="oneCell">
    <xdr:from>
      <xdr:col>21</xdr:col>
      <xdr:colOff>447675</xdr:colOff>
      <xdr:row>22</xdr:row>
      <xdr:rowOff>57150</xdr:rowOff>
    </xdr:from>
    <xdr:to>
      <xdr:col>24</xdr:col>
      <xdr:colOff>542925</xdr:colOff>
      <xdr:row>37</xdr:row>
      <xdr:rowOff>85725</xdr:rowOff>
    </xdr:to>
    <xdr:pic>
      <xdr:nvPicPr>
        <xdr:cNvPr id="13" name="Picture 12">
          <a:extLst>
            <a:ext uri="{FF2B5EF4-FFF2-40B4-BE49-F238E27FC236}">
              <a16:creationId xmlns:a16="http://schemas.microsoft.com/office/drawing/2014/main" id="{00000000-0008-0000-0E00-00000D000000}"/>
            </a:ext>
          </a:extLst>
        </xdr:cNvPr>
        <xdr:cNvPicPr>
          <a:picLocks noChangeAspect="1"/>
        </xdr:cNvPicPr>
      </xdr:nvPicPr>
      <xdr:blipFill rotWithShape="1">
        <a:blip xmlns:r="http://schemas.openxmlformats.org/officeDocument/2006/relationships" r:embed="rId3"/>
        <a:srcRect l="87406" t="30373" r="2071" b="41753"/>
        <a:stretch/>
      </xdr:blipFill>
      <xdr:spPr>
        <a:xfrm>
          <a:off x="15582900" y="4410075"/>
          <a:ext cx="1924050" cy="2895600"/>
        </a:xfrm>
        <a:prstGeom prst="rect">
          <a:avLst/>
        </a:prstGeom>
      </xdr:spPr>
    </xdr:pic>
    <xdr:clientData/>
  </xdr:twoCellAnchor>
  <xdr:twoCellAnchor>
    <xdr:from>
      <xdr:col>2</xdr:col>
      <xdr:colOff>571500</xdr:colOff>
      <xdr:row>26</xdr:row>
      <xdr:rowOff>43410</xdr:rowOff>
    </xdr:from>
    <xdr:to>
      <xdr:col>8</xdr:col>
      <xdr:colOff>323850</xdr:colOff>
      <xdr:row>44</xdr:row>
      <xdr:rowOff>159115</xdr:rowOff>
    </xdr:to>
    <xdr:grpSp>
      <xdr:nvGrpSpPr>
        <xdr:cNvPr id="15" name="Group 14">
          <a:extLst>
            <a:ext uri="{FF2B5EF4-FFF2-40B4-BE49-F238E27FC236}">
              <a16:creationId xmlns:a16="http://schemas.microsoft.com/office/drawing/2014/main" id="{6873AC41-6A54-4B53-8612-1A3252851A2A}"/>
            </a:ext>
          </a:extLst>
        </xdr:cNvPr>
        <xdr:cNvGrpSpPr/>
      </xdr:nvGrpSpPr>
      <xdr:grpSpPr>
        <a:xfrm>
          <a:off x="4083050" y="5009110"/>
          <a:ext cx="3860800" cy="3430405"/>
          <a:chOff x="3933825" y="5167860"/>
          <a:chExt cx="3600450" cy="3544705"/>
        </a:xfrm>
      </xdr:grpSpPr>
      <xdr:pic>
        <xdr:nvPicPr>
          <xdr:cNvPr id="8" name="Picture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4"/>
          <a:stretch>
            <a:fillRect/>
          </a:stretch>
        </xdr:blipFill>
        <xdr:spPr>
          <a:xfrm>
            <a:off x="3933825" y="5167860"/>
            <a:ext cx="3600450" cy="3544705"/>
          </a:xfrm>
          <a:prstGeom prst="rect">
            <a:avLst/>
          </a:prstGeom>
        </xdr:spPr>
      </xdr:pic>
      <xdr:sp macro="" textlink="">
        <xdr:nvSpPr>
          <xdr:cNvPr id="12" name="TextBox 11">
            <a:extLst>
              <a:ext uri="{FF2B5EF4-FFF2-40B4-BE49-F238E27FC236}">
                <a16:creationId xmlns:a16="http://schemas.microsoft.com/office/drawing/2014/main" id="{06EB8B72-3639-4724-A92D-0F8D456C2C60}"/>
              </a:ext>
            </a:extLst>
          </xdr:cNvPr>
          <xdr:cNvSpPr txBox="1"/>
        </xdr:nvSpPr>
        <xdr:spPr>
          <a:xfrm>
            <a:off x="4495800" y="5191125"/>
            <a:ext cx="221810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rgbClr val="FF0000"/>
                </a:solidFill>
              </a:rPr>
              <a:t>Sarmiento and Steingrimsson, 2007</a:t>
            </a:r>
          </a:p>
        </xdr:txBody>
      </xdr:sp>
    </xdr:grpSp>
    <xdr:clientData/>
  </xdr:twoCellAnchor>
  <xdr:twoCellAnchor>
    <xdr:from>
      <xdr:col>9</xdr:col>
      <xdr:colOff>455808</xdr:colOff>
      <xdr:row>48</xdr:row>
      <xdr:rowOff>19049</xdr:rowOff>
    </xdr:from>
    <xdr:to>
      <xdr:col>17</xdr:col>
      <xdr:colOff>398651</xdr:colOff>
      <xdr:row>63</xdr:row>
      <xdr:rowOff>142010</xdr:rowOff>
    </xdr:to>
    <xdr:grpSp>
      <xdr:nvGrpSpPr>
        <xdr:cNvPr id="16" name="Group 15">
          <a:extLst>
            <a:ext uri="{FF2B5EF4-FFF2-40B4-BE49-F238E27FC236}">
              <a16:creationId xmlns:a16="http://schemas.microsoft.com/office/drawing/2014/main" id="{90909566-147A-43B1-8B83-80E693062122}"/>
            </a:ext>
          </a:extLst>
        </xdr:cNvPr>
        <xdr:cNvGrpSpPr/>
      </xdr:nvGrpSpPr>
      <xdr:grpSpPr>
        <a:xfrm>
          <a:off x="8729858" y="9036049"/>
          <a:ext cx="5175243" cy="2885211"/>
          <a:chOff x="8275833" y="9334499"/>
          <a:chExt cx="4819643" cy="2980461"/>
        </a:xfrm>
      </xdr:grpSpPr>
      <xdr:pic>
        <xdr:nvPicPr>
          <xdr:cNvPr id="6" name="Picture 5">
            <a:extLst>
              <a:ext uri="{FF2B5EF4-FFF2-40B4-BE49-F238E27FC236}">
                <a16:creationId xmlns:a16="http://schemas.microsoft.com/office/drawing/2014/main" id="{F961BCA2-B139-4979-B249-CAAF2B10D521}"/>
              </a:ext>
            </a:extLst>
          </xdr:cNvPr>
          <xdr:cNvPicPr>
            <a:picLocks noChangeAspect="1"/>
          </xdr:cNvPicPr>
        </xdr:nvPicPr>
        <xdr:blipFill>
          <a:blip xmlns:r="http://schemas.openxmlformats.org/officeDocument/2006/relationships" r:embed="rId5"/>
          <a:stretch>
            <a:fillRect/>
          </a:stretch>
        </xdr:blipFill>
        <xdr:spPr>
          <a:xfrm>
            <a:off x="8275833" y="9334499"/>
            <a:ext cx="4819643" cy="2980461"/>
          </a:xfrm>
          <a:prstGeom prst="rect">
            <a:avLst/>
          </a:prstGeom>
        </xdr:spPr>
      </xdr:pic>
      <xdr:sp macro="" textlink="">
        <xdr:nvSpPr>
          <xdr:cNvPr id="14" name="TextBox 13">
            <a:extLst>
              <a:ext uri="{FF2B5EF4-FFF2-40B4-BE49-F238E27FC236}">
                <a16:creationId xmlns:a16="http://schemas.microsoft.com/office/drawing/2014/main" id="{72CE3341-65CE-4630-8BBA-FB3BAB7842AA}"/>
              </a:ext>
            </a:extLst>
          </xdr:cNvPr>
          <xdr:cNvSpPr txBox="1"/>
        </xdr:nvSpPr>
        <xdr:spPr>
          <a:xfrm>
            <a:off x="9010650" y="9820275"/>
            <a:ext cx="16053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rgbClr val="FF0000"/>
                </a:solidFill>
              </a:rPr>
              <a:t>Zarrouk and Moon, 2014</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485775</xdr:colOff>
      <xdr:row>1</xdr:row>
      <xdr:rowOff>57150</xdr:rowOff>
    </xdr:from>
    <xdr:to>
      <xdr:col>12</xdr:col>
      <xdr:colOff>599223</xdr:colOff>
      <xdr:row>43</xdr:row>
      <xdr:rowOff>183133</xdr:rowOff>
    </xdr:to>
    <xdr:pic>
      <xdr:nvPicPr>
        <xdr:cNvPr id="2" name="Picture 1">
          <a:extLst>
            <a:ext uri="{FF2B5EF4-FFF2-40B4-BE49-F238E27FC236}">
              <a16:creationId xmlns:a16="http://schemas.microsoft.com/office/drawing/2014/main" id="{BFE57B88-5035-430D-A65F-F02E57DB29FB}"/>
            </a:ext>
          </a:extLst>
        </xdr:cNvPr>
        <xdr:cNvPicPr>
          <a:picLocks noChangeAspect="1"/>
        </xdr:cNvPicPr>
      </xdr:nvPicPr>
      <xdr:blipFill>
        <a:blip xmlns:r="http://schemas.openxmlformats.org/officeDocument/2006/relationships" r:embed="rId1"/>
        <a:stretch>
          <a:fillRect/>
        </a:stretch>
      </xdr:blipFill>
      <xdr:spPr>
        <a:xfrm>
          <a:off x="18649950" y="247650"/>
          <a:ext cx="6819048" cy="8133333"/>
        </a:xfrm>
        <a:prstGeom prst="rect">
          <a:avLst/>
        </a:prstGeom>
      </xdr:spPr>
    </xdr:pic>
    <xdr:clientData/>
  </xdr:twoCellAnchor>
  <xdr:twoCellAnchor editAs="oneCell">
    <xdr:from>
      <xdr:col>1</xdr:col>
      <xdr:colOff>552450</xdr:colOff>
      <xdr:row>44</xdr:row>
      <xdr:rowOff>28575</xdr:rowOff>
    </xdr:from>
    <xdr:to>
      <xdr:col>13</xdr:col>
      <xdr:colOff>27726</xdr:colOff>
      <xdr:row>85</xdr:row>
      <xdr:rowOff>37099</xdr:rowOff>
    </xdr:to>
    <xdr:pic>
      <xdr:nvPicPr>
        <xdr:cNvPr id="3" name="Picture 2">
          <a:extLst>
            <a:ext uri="{FF2B5EF4-FFF2-40B4-BE49-F238E27FC236}">
              <a16:creationId xmlns:a16="http://schemas.microsoft.com/office/drawing/2014/main" id="{A3378474-D620-414F-AC28-3B2F5879DB1D}"/>
            </a:ext>
          </a:extLst>
        </xdr:cNvPr>
        <xdr:cNvPicPr>
          <a:picLocks noChangeAspect="1"/>
        </xdr:cNvPicPr>
      </xdr:nvPicPr>
      <xdr:blipFill>
        <a:blip xmlns:r="http://schemas.openxmlformats.org/officeDocument/2006/relationships" r:embed="rId2"/>
        <a:stretch>
          <a:fillRect/>
        </a:stretch>
      </xdr:blipFill>
      <xdr:spPr>
        <a:xfrm>
          <a:off x="18716625" y="8410575"/>
          <a:ext cx="6790476" cy="8009524"/>
        </a:xfrm>
        <a:prstGeom prst="rect">
          <a:avLst/>
        </a:prstGeom>
      </xdr:spPr>
    </xdr:pic>
    <xdr:clientData/>
  </xdr:twoCellAnchor>
  <xdr:twoCellAnchor editAs="oneCell">
    <xdr:from>
      <xdr:col>1</xdr:col>
      <xdr:colOff>552450</xdr:colOff>
      <xdr:row>86</xdr:row>
      <xdr:rowOff>38100</xdr:rowOff>
    </xdr:from>
    <xdr:to>
      <xdr:col>13</xdr:col>
      <xdr:colOff>18202</xdr:colOff>
      <xdr:row>128</xdr:row>
      <xdr:rowOff>62870</xdr:rowOff>
    </xdr:to>
    <xdr:pic>
      <xdr:nvPicPr>
        <xdr:cNvPr id="4" name="Picture 3">
          <a:extLst>
            <a:ext uri="{FF2B5EF4-FFF2-40B4-BE49-F238E27FC236}">
              <a16:creationId xmlns:a16="http://schemas.microsoft.com/office/drawing/2014/main" id="{05BA4C73-0B0C-47F7-B7C9-8181F0141330}"/>
            </a:ext>
          </a:extLst>
        </xdr:cNvPr>
        <xdr:cNvPicPr>
          <a:picLocks noChangeAspect="1"/>
        </xdr:cNvPicPr>
      </xdr:nvPicPr>
      <xdr:blipFill>
        <a:blip xmlns:r="http://schemas.openxmlformats.org/officeDocument/2006/relationships" r:embed="rId3"/>
        <a:stretch>
          <a:fillRect/>
        </a:stretch>
      </xdr:blipFill>
      <xdr:spPr>
        <a:xfrm>
          <a:off x="18716625" y="16611600"/>
          <a:ext cx="6780952" cy="8025770"/>
        </a:xfrm>
        <a:prstGeom prst="rect">
          <a:avLst/>
        </a:prstGeom>
      </xdr:spPr>
    </xdr:pic>
    <xdr:clientData/>
  </xdr:twoCellAnchor>
  <xdr:twoCellAnchor editAs="oneCell">
    <xdr:from>
      <xdr:col>1</xdr:col>
      <xdr:colOff>514350</xdr:colOff>
      <xdr:row>128</xdr:row>
      <xdr:rowOff>9525</xdr:rowOff>
    </xdr:from>
    <xdr:to>
      <xdr:col>13</xdr:col>
      <xdr:colOff>161055</xdr:colOff>
      <xdr:row>170</xdr:row>
      <xdr:rowOff>56144</xdr:rowOff>
    </xdr:to>
    <xdr:pic>
      <xdr:nvPicPr>
        <xdr:cNvPr id="5" name="Picture 4">
          <a:extLst>
            <a:ext uri="{FF2B5EF4-FFF2-40B4-BE49-F238E27FC236}">
              <a16:creationId xmlns:a16="http://schemas.microsoft.com/office/drawing/2014/main" id="{6CB94B0D-64AA-43F1-A120-F4E764610E18}"/>
            </a:ext>
          </a:extLst>
        </xdr:cNvPr>
        <xdr:cNvPicPr>
          <a:picLocks noChangeAspect="1"/>
        </xdr:cNvPicPr>
      </xdr:nvPicPr>
      <xdr:blipFill>
        <a:blip xmlns:r="http://schemas.openxmlformats.org/officeDocument/2006/relationships" r:embed="rId4"/>
        <a:stretch>
          <a:fillRect/>
        </a:stretch>
      </xdr:blipFill>
      <xdr:spPr>
        <a:xfrm>
          <a:off x="18678525" y="24603075"/>
          <a:ext cx="6961905" cy="8047619"/>
        </a:xfrm>
        <a:prstGeom prst="rect">
          <a:avLst/>
        </a:prstGeom>
      </xdr:spPr>
    </xdr:pic>
    <xdr:clientData/>
  </xdr:twoCellAnchor>
  <xdr:twoCellAnchor editAs="oneCell">
    <xdr:from>
      <xdr:col>1</xdr:col>
      <xdr:colOff>552450</xdr:colOff>
      <xdr:row>170</xdr:row>
      <xdr:rowOff>47625</xdr:rowOff>
    </xdr:from>
    <xdr:to>
      <xdr:col>13</xdr:col>
      <xdr:colOff>151536</xdr:colOff>
      <xdr:row>212</xdr:row>
      <xdr:rowOff>37101</xdr:rowOff>
    </xdr:to>
    <xdr:pic>
      <xdr:nvPicPr>
        <xdr:cNvPr id="6" name="Picture 5">
          <a:extLst>
            <a:ext uri="{FF2B5EF4-FFF2-40B4-BE49-F238E27FC236}">
              <a16:creationId xmlns:a16="http://schemas.microsoft.com/office/drawing/2014/main" id="{83618F5B-70E2-4E12-8797-C013D4253AFC}"/>
            </a:ext>
          </a:extLst>
        </xdr:cNvPr>
        <xdr:cNvPicPr>
          <a:picLocks noChangeAspect="1"/>
        </xdr:cNvPicPr>
      </xdr:nvPicPr>
      <xdr:blipFill>
        <a:blip xmlns:r="http://schemas.openxmlformats.org/officeDocument/2006/relationships" r:embed="rId5"/>
        <a:stretch>
          <a:fillRect/>
        </a:stretch>
      </xdr:blipFill>
      <xdr:spPr>
        <a:xfrm>
          <a:off x="18716625" y="32642175"/>
          <a:ext cx="6914286" cy="7990476"/>
        </a:xfrm>
        <a:prstGeom prst="rect">
          <a:avLst/>
        </a:prstGeom>
      </xdr:spPr>
    </xdr:pic>
    <xdr:clientData/>
  </xdr:twoCellAnchor>
  <xdr:twoCellAnchor editAs="oneCell">
    <xdr:from>
      <xdr:col>1</xdr:col>
      <xdr:colOff>533400</xdr:colOff>
      <xdr:row>212</xdr:row>
      <xdr:rowOff>28575</xdr:rowOff>
    </xdr:from>
    <xdr:to>
      <xdr:col>13</xdr:col>
      <xdr:colOff>199152</xdr:colOff>
      <xdr:row>254</xdr:row>
      <xdr:rowOff>75194</xdr:rowOff>
    </xdr:to>
    <xdr:pic>
      <xdr:nvPicPr>
        <xdr:cNvPr id="7" name="Picture 6">
          <a:extLst>
            <a:ext uri="{FF2B5EF4-FFF2-40B4-BE49-F238E27FC236}">
              <a16:creationId xmlns:a16="http://schemas.microsoft.com/office/drawing/2014/main" id="{DCBD4845-5197-4226-A660-74BF3987020D}"/>
            </a:ext>
          </a:extLst>
        </xdr:cNvPr>
        <xdr:cNvPicPr>
          <a:picLocks noChangeAspect="1"/>
        </xdr:cNvPicPr>
      </xdr:nvPicPr>
      <xdr:blipFill>
        <a:blip xmlns:r="http://schemas.openxmlformats.org/officeDocument/2006/relationships" r:embed="rId6"/>
        <a:stretch>
          <a:fillRect/>
        </a:stretch>
      </xdr:blipFill>
      <xdr:spPr>
        <a:xfrm>
          <a:off x="18697575" y="40624125"/>
          <a:ext cx="6980952" cy="8047619"/>
        </a:xfrm>
        <a:prstGeom prst="rect">
          <a:avLst/>
        </a:prstGeom>
      </xdr:spPr>
    </xdr:pic>
    <xdr:clientData/>
  </xdr:twoCellAnchor>
  <xdr:twoCellAnchor editAs="oneCell">
    <xdr:from>
      <xdr:col>1</xdr:col>
      <xdr:colOff>581025</xdr:colOff>
      <xdr:row>254</xdr:row>
      <xdr:rowOff>28575</xdr:rowOff>
    </xdr:from>
    <xdr:to>
      <xdr:col>13</xdr:col>
      <xdr:colOff>142015</xdr:colOff>
      <xdr:row>295</xdr:row>
      <xdr:rowOff>183153</xdr:rowOff>
    </xdr:to>
    <xdr:pic>
      <xdr:nvPicPr>
        <xdr:cNvPr id="8" name="Picture 7">
          <a:extLst>
            <a:ext uri="{FF2B5EF4-FFF2-40B4-BE49-F238E27FC236}">
              <a16:creationId xmlns:a16="http://schemas.microsoft.com/office/drawing/2014/main" id="{F7BB4066-786E-482E-95A6-2A9A29F5D44E}"/>
            </a:ext>
          </a:extLst>
        </xdr:cNvPr>
        <xdr:cNvPicPr>
          <a:picLocks noChangeAspect="1"/>
        </xdr:cNvPicPr>
      </xdr:nvPicPr>
      <xdr:blipFill>
        <a:blip xmlns:r="http://schemas.openxmlformats.org/officeDocument/2006/relationships" r:embed="rId7"/>
        <a:stretch>
          <a:fillRect/>
        </a:stretch>
      </xdr:blipFill>
      <xdr:spPr>
        <a:xfrm>
          <a:off x="18745200" y="48625125"/>
          <a:ext cx="6876190" cy="7971428"/>
        </a:xfrm>
        <a:prstGeom prst="rect">
          <a:avLst/>
        </a:prstGeom>
      </xdr:spPr>
    </xdr:pic>
    <xdr:clientData/>
  </xdr:twoCellAnchor>
  <xdr:twoCellAnchor editAs="oneCell">
    <xdr:from>
      <xdr:col>1</xdr:col>
      <xdr:colOff>571500</xdr:colOff>
      <xdr:row>295</xdr:row>
      <xdr:rowOff>142875</xdr:rowOff>
    </xdr:from>
    <xdr:to>
      <xdr:col>13</xdr:col>
      <xdr:colOff>170586</xdr:colOff>
      <xdr:row>312</xdr:row>
      <xdr:rowOff>104375</xdr:rowOff>
    </xdr:to>
    <xdr:pic>
      <xdr:nvPicPr>
        <xdr:cNvPr id="9" name="Picture 8">
          <a:extLst>
            <a:ext uri="{FF2B5EF4-FFF2-40B4-BE49-F238E27FC236}">
              <a16:creationId xmlns:a16="http://schemas.microsoft.com/office/drawing/2014/main" id="{4F44D686-E391-40CF-BEE2-55C1587C420B}"/>
            </a:ext>
          </a:extLst>
        </xdr:cNvPr>
        <xdr:cNvPicPr>
          <a:picLocks noChangeAspect="1"/>
        </xdr:cNvPicPr>
      </xdr:nvPicPr>
      <xdr:blipFill>
        <a:blip xmlns:r="http://schemas.openxmlformats.org/officeDocument/2006/relationships" r:embed="rId8"/>
        <a:stretch>
          <a:fillRect/>
        </a:stretch>
      </xdr:blipFill>
      <xdr:spPr>
        <a:xfrm>
          <a:off x="18735675" y="56549925"/>
          <a:ext cx="6914286" cy="3200000"/>
        </a:xfrm>
        <a:prstGeom prst="rect">
          <a:avLst/>
        </a:prstGeom>
      </xdr:spPr>
    </xdr:pic>
    <xdr:clientData/>
  </xdr:twoCellAnchor>
  <xdr:twoCellAnchor editAs="oneCell">
    <xdr:from>
      <xdr:col>14</xdr:col>
      <xdr:colOff>457200</xdr:colOff>
      <xdr:row>1</xdr:row>
      <xdr:rowOff>47625</xdr:rowOff>
    </xdr:from>
    <xdr:to>
      <xdr:col>25</xdr:col>
      <xdr:colOff>484912</xdr:colOff>
      <xdr:row>44</xdr:row>
      <xdr:rowOff>8506</xdr:rowOff>
    </xdr:to>
    <xdr:pic>
      <xdr:nvPicPr>
        <xdr:cNvPr id="10" name="Picture 9">
          <a:extLst>
            <a:ext uri="{FF2B5EF4-FFF2-40B4-BE49-F238E27FC236}">
              <a16:creationId xmlns:a16="http://schemas.microsoft.com/office/drawing/2014/main" id="{C61C48F5-439D-4E69-A804-0E0DE243DBBA}"/>
            </a:ext>
          </a:extLst>
        </xdr:cNvPr>
        <xdr:cNvPicPr>
          <a:picLocks noChangeAspect="1"/>
        </xdr:cNvPicPr>
      </xdr:nvPicPr>
      <xdr:blipFill>
        <a:blip xmlns:r="http://schemas.openxmlformats.org/officeDocument/2006/relationships" r:embed="rId9"/>
        <a:stretch>
          <a:fillRect/>
        </a:stretch>
      </xdr:blipFill>
      <xdr:spPr>
        <a:xfrm>
          <a:off x="26546175" y="238125"/>
          <a:ext cx="6895237" cy="8152381"/>
        </a:xfrm>
        <a:prstGeom prst="rect">
          <a:avLst/>
        </a:prstGeom>
      </xdr:spPr>
    </xdr:pic>
    <xdr:clientData/>
  </xdr:twoCellAnchor>
  <xdr:twoCellAnchor editAs="oneCell">
    <xdr:from>
      <xdr:col>14</xdr:col>
      <xdr:colOff>409575</xdr:colOff>
      <xdr:row>44</xdr:row>
      <xdr:rowOff>57150</xdr:rowOff>
    </xdr:from>
    <xdr:to>
      <xdr:col>25</xdr:col>
      <xdr:colOff>456335</xdr:colOff>
      <xdr:row>65</xdr:row>
      <xdr:rowOff>56626</xdr:rowOff>
    </xdr:to>
    <xdr:pic>
      <xdr:nvPicPr>
        <xdr:cNvPr id="11" name="Picture 10">
          <a:extLst>
            <a:ext uri="{FF2B5EF4-FFF2-40B4-BE49-F238E27FC236}">
              <a16:creationId xmlns:a16="http://schemas.microsoft.com/office/drawing/2014/main" id="{46BD3407-1BFC-476A-ADF6-7E876DAA94D7}"/>
            </a:ext>
          </a:extLst>
        </xdr:cNvPr>
        <xdr:cNvPicPr>
          <a:picLocks noChangeAspect="1"/>
        </xdr:cNvPicPr>
      </xdr:nvPicPr>
      <xdr:blipFill>
        <a:blip xmlns:r="http://schemas.openxmlformats.org/officeDocument/2006/relationships" r:embed="rId10"/>
        <a:stretch>
          <a:fillRect/>
        </a:stretch>
      </xdr:blipFill>
      <xdr:spPr>
        <a:xfrm>
          <a:off x="26498550" y="8439150"/>
          <a:ext cx="6914285" cy="419047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9</xdr:col>
      <xdr:colOff>647700</xdr:colOff>
      <xdr:row>48</xdr:row>
      <xdr:rowOff>35983</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a:srcRect l="13399" t="8204" r="20854" b="26163"/>
        <a:stretch/>
      </xdr:blipFill>
      <xdr:spPr>
        <a:xfrm>
          <a:off x="0" y="3305175"/>
          <a:ext cx="8553450" cy="4798483"/>
        </a:xfrm>
        <a:prstGeom prst="rect">
          <a:avLst/>
        </a:prstGeom>
      </xdr:spPr>
    </xdr:pic>
    <xdr:clientData/>
  </xdr:twoCellAnchor>
  <xdr:twoCellAnchor editAs="oneCell">
    <xdr:from>
      <xdr:col>0</xdr:col>
      <xdr:colOff>838200</xdr:colOff>
      <xdr:row>48</xdr:row>
      <xdr:rowOff>38101</xdr:rowOff>
    </xdr:from>
    <xdr:to>
      <xdr:col>9</xdr:col>
      <xdr:colOff>609600</xdr:colOff>
      <xdr:row>76</xdr:row>
      <xdr:rowOff>152402</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2"/>
        <a:srcRect l="19841" t="7553" r="21147" b="17959"/>
        <a:stretch/>
      </xdr:blipFill>
      <xdr:spPr>
        <a:xfrm>
          <a:off x="838200" y="8093530"/>
          <a:ext cx="7712529" cy="5448301"/>
        </a:xfrm>
        <a:prstGeom prst="rect">
          <a:avLst/>
        </a:prstGeom>
      </xdr:spPr>
    </xdr:pic>
    <xdr:clientData/>
  </xdr:twoCellAnchor>
  <xdr:twoCellAnchor>
    <xdr:from>
      <xdr:col>13</xdr:col>
      <xdr:colOff>600075</xdr:colOff>
      <xdr:row>7</xdr:row>
      <xdr:rowOff>1</xdr:rowOff>
    </xdr:from>
    <xdr:to>
      <xdr:col>25</xdr:col>
      <xdr:colOff>342900</xdr:colOff>
      <xdr:row>29</xdr:row>
      <xdr:rowOff>180975</xdr:rowOff>
    </xdr:to>
    <xdr:graphicFrame macro="">
      <xdr:nvGraphicFramePr>
        <xdr:cNvPr id="4" name="Chart 3">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215902</xdr:colOff>
      <xdr:row>34</xdr:row>
      <xdr:rowOff>177800</xdr:rowOff>
    </xdr:from>
    <xdr:to>
      <xdr:col>27</xdr:col>
      <xdr:colOff>444502</xdr:colOff>
      <xdr:row>38</xdr:row>
      <xdr:rowOff>77258</xdr:rowOff>
    </xdr:to>
    <xdr:sp macro="" textlink="">
      <xdr:nvSpPr>
        <xdr:cNvPr id="5" name="Right Brace 4" descr="076f65a4-57ba-453c-b465-72c499e29b3f">
          <a:extLst>
            <a:ext uri="{FF2B5EF4-FFF2-40B4-BE49-F238E27FC236}">
              <a16:creationId xmlns:a16="http://schemas.microsoft.com/office/drawing/2014/main" id="{00000000-0008-0000-0F00-000005000000}"/>
            </a:ext>
          </a:extLst>
        </xdr:cNvPr>
        <xdr:cNvSpPr/>
      </xdr:nvSpPr>
      <xdr:spPr>
        <a:xfrm>
          <a:off x="12636502" y="5545667"/>
          <a:ext cx="228600" cy="661458"/>
        </a:xfrm>
        <a:prstGeom prst="rightBrace">
          <a:avLst>
            <a:gd name="adj1" fmla="val 37745"/>
            <a:gd name="adj2" fmla="val 48889"/>
          </a:avLst>
        </a:prstGeom>
        <a:ln w="57150"/>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lang="nl-NL" sz="1100"/>
        </a:p>
      </xdr:txBody>
    </xdr:sp>
    <xdr:clientData/>
  </xdr:twoCellAnchor>
  <xdr:twoCellAnchor editAs="oneCell">
    <xdr:from>
      <xdr:col>14</xdr:col>
      <xdr:colOff>19050</xdr:colOff>
      <xdr:row>45</xdr:row>
      <xdr:rowOff>161925</xdr:rowOff>
    </xdr:from>
    <xdr:to>
      <xdr:col>24</xdr:col>
      <xdr:colOff>19050</xdr:colOff>
      <xdr:row>87</xdr:row>
      <xdr:rowOff>0</xdr:rowOff>
    </xdr:to>
    <xdr:pic>
      <xdr:nvPicPr>
        <xdr:cNvPr id="6" name="Picture 5">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4"/>
        <a:srcRect l="24378" t="18798" r="42285" b="4988"/>
        <a:stretch/>
      </xdr:blipFill>
      <xdr:spPr>
        <a:xfrm>
          <a:off x="9394371" y="7645854"/>
          <a:ext cx="6123215" cy="7839075"/>
        </a:xfrm>
        <a:prstGeom prst="rect">
          <a:avLst/>
        </a:prstGeom>
        <a:effectLst>
          <a:outerShdw blurRad="50800" dist="38100" dir="13500000" algn="br" rotWithShape="0">
            <a:prstClr val="black">
              <a:alpha val="40000"/>
            </a:prstClr>
          </a:outerShdw>
        </a:effectLst>
      </xdr:spPr>
    </xdr:pic>
    <xdr:clientData/>
  </xdr:twoCellAnchor>
  <xdr:twoCellAnchor>
    <xdr:from>
      <xdr:col>23</xdr:col>
      <xdr:colOff>438150</xdr:colOff>
      <xdr:row>84</xdr:row>
      <xdr:rowOff>76200</xdr:rowOff>
    </xdr:from>
    <xdr:to>
      <xdr:col>25</xdr:col>
      <xdr:colOff>314325</xdr:colOff>
      <xdr:row>86</xdr:row>
      <xdr:rowOff>133350</xdr:rowOff>
    </xdr:to>
    <xdr:sp macro="" textlink="">
      <xdr:nvSpPr>
        <xdr:cNvPr id="9" name="Rectangular Callout 8" descr="a2e3057b-348d-4682-b1c0-87dfb720ee94">
          <a:extLst>
            <a:ext uri="{FF2B5EF4-FFF2-40B4-BE49-F238E27FC236}">
              <a16:creationId xmlns:a16="http://schemas.microsoft.com/office/drawing/2014/main" id="{00000000-0008-0000-0F00-000009000000}"/>
            </a:ext>
          </a:extLst>
        </xdr:cNvPr>
        <xdr:cNvSpPr/>
      </xdr:nvSpPr>
      <xdr:spPr>
        <a:xfrm>
          <a:off x="15259050" y="14982825"/>
          <a:ext cx="1095375" cy="438150"/>
        </a:xfrm>
        <a:prstGeom prst="wedgeRectCallout">
          <a:avLst>
            <a:gd name="adj1" fmla="val -54746"/>
            <a:gd name="adj2" fmla="val -85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2000" b="1">
              <a:solidFill>
                <a:schemeClr val="bg1"/>
              </a:solidFill>
            </a:rPr>
            <a:t>205°C</a:t>
          </a:r>
        </a:p>
      </xdr:txBody>
    </xdr:sp>
    <xdr:clientData/>
  </xdr:twoCellAnchor>
  <xdr:twoCellAnchor>
    <xdr:from>
      <xdr:col>27</xdr:col>
      <xdr:colOff>215896</xdr:colOff>
      <xdr:row>31</xdr:row>
      <xdr:rowOff>17745</xdr:rowOff>
    </xdr:from>
    <xdr:to>
      <xdr:col>27</xdr:col>
      <xdr:colOff>444496</xdr:colOff>
      <xdr:row>34</xdr:row>
      <xdr:rowOff>102623</xdr:rowOff>
    </xdr:to>
    <xdr:sp macro="" textlink="">
      <xdr:nvSpPr>
        <xdr:cNvPr id="8" name="Right Brace 7" descr="76bb2172-4be6-4eca-aa13-f0ac6704b394">
          <a:extLst>
            <a:ext uri="{FF2B5EF4-FFF2-40B4-BE49-F238E27FC236}">
              <a16:creationId xmlns:a16="http://schemas.microsoft.com/office/drawing/2014/main" id="{00000000-0008-0000-0F00-000008000000}"/>
            </a:ext>
          </a:extLst>
        </xdr:cNvPr>
        <xdr:cNvSpPr/>
      </xdr:nvSpPr>
      <xdr:spPr>
        <a:xfrm>
          <a:off x="12636496" y="4801412"/>
          <a:ext cx="228600" cy="669078"/>
        </a:xfrm>
        <a:prstGeom prst="rightBrace">
          <a:avLst>
            <a:gd name="adj1" fmla="val 37745"/>
            <a:gd name="adj2" fmla="val 48889"/>
          </a:avLst>
        </a:prstGeom>
        <a:ln w="57150"/>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lang="nl-NL" sz="1100"/>
        </a:p>
      </xdr:txBody>
    </xdr:sp>
    <xdr:clientData/>
  </xdr:twoCellAnchor>
  <xdr:twoCellAnchor editAs="oneCell">
    <xdr:from>
      <xdr:col>0</xdr:col>
      <xdr:colOff>933450</xdr:colOff>
      <xdr:row>76</xdr:row>
      <xdr:rowOff>161925</xdr:rowOff>
    </xdr:from>
    <xdr:to>
      <xdr:col>9</xdr:col>
      <xdr:colOff>551509</xdr:colOff>
      <xdr:row>88</xdr:row>
      <xdr:rowOff>171163</xdr:rowOff>
    </xdr:to>
    <xdr:pic>
      <xdr:nvPicPr>
        <xdr:cNvPr id="10" name="Picture 9">
          <a:extLst>
            <a:ext uri="{FF2B5EF4-FFF2-40B4-BE49-F238E27FC236}">
              <a16:creationId xmlns:a16="http://schemas.microsoft.com/office/drawing/2014/main" id="{1FDAF097-6B26-4131-A910-9BA2E6AEE3BD}"/>
            </a:ext>
          </a:extLst>
        </xdr:cNvPr>
        <xdr:cNvPicPr>
          <a:picLocks noChangeAspect="1"/>
        </xdr:cNvPicPr>
      </xdr:nvPicPr>
      <xdr:blipFill>
        <a:blip xmlns:r="http://schemas.openxmlformats.org/officeDocument/2006/relationships" r:embed="rId5"/>
        <a:stretch>
          <a:fillRect/>
        </a:stretch>
      </xdr:blipFill>
      <xdr:spPr>
        <a:xfrm>
          <a:off x="933450" y="13563600"/>
          <a:ext cx="7523809" cy="2295238"/>
        </a:xfrm>
        <a:prstGeom prst="rect">
          <a:avLst/>
        </a:prstGeom>
      </xdr:spPr>
    </xdr:pic>
    <xdr:clientData/>
  </xdr:twoCellAnchor>
  <xdr:twoCellAnchor>
    <xdr:from>
      <xdr:col>0</xdr:col>
      <xdr:colOff>933450</xdr:colOff>
      <xdr:row>76</xdr:row>
      <xdr:rowOff>152400</xdr:rowOff>
    </xdr:from>
    <xdr:to>
      <xdr:col>9</xdr:col>
      <xdr:colOff>542925</xdr:colOff>
      <xdr:row>135</xdr:row>
      <xdr:rowOff>94963</xdr:rowOff>
    </xdr:to>
    <xdr:grpSp>
      <xdr:nvGrpSpPr>
        <xdr:cNvPr id="12" name="Group 11">
          <a:extLst>
            <a:ext uri="{FF2B5EF4-FFF2-40B4-BE49-F238E27FC236}">
              <a16:creationId xmlns:a16="http://schemas.microsoft.com/office/drawing/2014/main" id="{9CB8A725-B4D6-4DAF-940A-C86EB6CA43EE}"/>
            </a:ext>
          </a:extLst>
        </xdr:cNvPr>
        <xdr:cNvGrpSpPr/>
      </xdr:nvGrpSpPr>
      <xdr:grpSpPr>
        <a:xfrm>
          <a:off x="933450" y="14754225"/>
          <a:ext cx="7515225" cy="11182063"/>
          <a:chOff x="933450" y="13563600"/>
          <a:chExt cx="7533334" cy="11172538"/>
        </a:xfrm>
      </xdr:grpSpPr>
      <xdr:pic>
        <xdr:nvPicPr>
          <xdr:cNvPr id="7" name="Picture 6">
            <a:extLst>
              <a:ext uri="{FF2B5EF4-FFF2-40B4-BE49-F238E27FC236}">
                <a16:creationId xmlns:a16="http://schemas.microsoft.com/office/drawing/2014/main" id="{E4B1CAED-C531-474E-841F-5D0CEBF0603C}"/>
              </a:ext>
            </a:extLst>
          </xdr:cNvPr>
          <xdr:cNvPicPr>
            <a:picLocks noChangeAspect="1"/>
          </xdr:cNvPicPr>
        </xdr:nvPicPr>
        <xdr:blipFill>
          <a:blip xmlns:r="http://schemas.openxmlformats.org/officeDocument/2006/relationships" r:embed="rId6"/>
          <a:stretch>
            <a:fillRect/>
          </a:stretch>
        </xdr:blipFill>
        <xdr:spPr>
          <a:xfrm>
            <a:off x="933450" y="13563600"/>
            <a:ext cx="7533333" cy="8933333"/>
          </a:xfrm>
          <a:prstGeom prst="rect">
            <a:avLst/>
          </a:prstGeom>
        </xdr:spPr>
      </xdr:pic>
      <xdr:pic>
        <xdr:nvPicPr>
          <xdr:cNvPr id="11" name="Picture 10">
            <a:extLst>
              <a:ext uri="{FF2B5EF4-FFF2-40B4-BE49-F238E27FC236}">
                <a16:creationId xmlns:a16="http://schemas.microsoft.com/office/drawing/2014/main" id="{F481C258-42C1-4D2B-9A62-0CABE818EA8E}"/>
              </a:ext>
            </a:extLst>
          </xdr:cNvPr>
          <xdr:cNvPicPr>
            <a:picLocks noChangeAspect="1"/>
          </xdr:cNvPicPr>
        </xdr:nvPicPr>
        <xdr:blipFill>
          <a:blip xmlns:r="http://schemas.openxmlformats.org/officeDocument/2006/relationships" r:embed="rId5"/>
          <a:stretch>
            <a:fillRect/>
          </a:stretch>
        </xdr:blipFill>
        <xdr:spPr>
          <a:xfrm>
            <a:off x="942975" y="22440900"/>
            <a:ext cx="7523809" cy="2295238"/>
          </a:xfrm>
          <a:prstGeom prst="rect">
            <a:avLst/>
          </a:prstGeom>
        </xdr:spPr>
      </xdr:pic>
    </xdr:grpSp>
    <xdr:clientData/>
  </xdr:twoCellAnchor>
  <xdr:twoCellAnchor editAs="oneCell">
    <xdr:from>
      <xdr:col>0</xdr:col>
      <xdr:colOff>219075</xdr:colOff>
      <xdr:row>138</xdr:row>
      <xdr:rowOff>38100</xdr:rowOff>
    </xdr:from>
    <xdr:to>
      <xdr:col>3</xdr:col>
      <xdr:colOff>485295</xdr:colOff>
      <xdr:row>168</xdr:row>
      <xdr:rowOff>123052</xdr:rowOff>
    </xdr:to>
    <xdr:pic>
      <xdr:nvPicPr>
        <xdr:cNvPr id="14" name="Picture 13">
          <a:extLst>
            <a:ext uri="{FF2B5EF4-FFF2-40B4-BE49-F238E27FC236}">
              <a16:creationId xmlns:a16="http://schemas.microsoft.com/office/drawing/2014/main" id="{CAC5B651-CC47-4EA0-BCB2-868C8DF52CE2}"/>
            </a:ext>
          </a:extLst>
        </xdr:cNvPr>
        <xdr:cNvPicPr>
          <a:picLocks noChangeAspect="1"/>
        </xdr:cNvPicPr>
      </xdr:nvPicPr>
      <xdr:blipFill>
        <a:blip xmlns:r="http://schemas.openxmlformats.org/officeDocument/2006/relationships" r:embed="rId7"/>
        <a:stretch>
          <a:fillRect/>
        </a:stretch>
      </xdr:blipFill>
      <xdr:spPr>
        <a:xfrm>
          <a:off x="219075" y="25250775"/>
          <a:ext cx="3838095" cy="6180952"/>
        </a:xfrm>
        <a:prstGeom prst="rect">
          <a:avLst/>
        </a:prstGeom>
      </xdr:spPr>
    </xdr:pic>
    <xdr:clientData/>
  </xdr:twoCellAnchor>
  <xdr:twoCellAnchor>
    <xdr:from>
      <xdr:col>8</xdr:col>
      <xdr:colOff>676275</xdr:colOff>
      <xdr:row>172</xdr:row>
      <xdr:rowOff>133349</xdr:rowOff>
    </xdr:from>
    <xdr:to>
      <xdr:col>20</xdr:col>
      <xdr:colOff>9525</xdr:colOff>
      <xdr:row>195</xdr:row>
      <xdr:rowOff>104774</xdr:rowOff>
    </xdr:to>
    <xdr:graphicFrame macro="">
      <xdr:nvGraphicFramePr>
        <xdr:cNvPr id="15" name="Chart 14">
          <a:extLst>
            <a:ext uri="{FF2B5EF4-FFF2-40B4-BE49-F238E27FC236}">
              <a16:creationId xmlns:a16="http://schemas.microsoft.com/office/drawing/2014/main" id="{C58C12EA-7959-486C-9043-D42977F6B2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215896</xdr:colOff>
      <xdr:row>178</xdr:row>
      <xdr:rowOff>17745</xdr:rowOff>
    </xdr:from>
    <xdr:to>
      <xdr:col>6</xdr:col>
      <xdr:colOff>444496</xdr:colOff>
      <xdr:row>181</xdr:row>
      <xdr:rowOff>102623</xdr:rowOff>
    </xdr:to>
    <xdr:sp macro="" textlink="">
      <xdr:nvSpPr>
        <xdr:cNvPr id="16" name="Right Brace 15" descr="76bb2172-4be6-4eca-aa13-f0ac6704b394">
          <a:extLst>
            <a:ext uri="{FF2B5EF4-FFF2-40B4-BE49-F238E27FC236}">
              <a16:creationId xmlns:a16="http://schemas.microsoft.com/office/drawing/2014/main" id="{EA0F1897-54E1-42A1-9D11-76D04E0106A2}"/>
            </a:ext>
          </a:extLst>
        </xdr:cNvPr>
        <xdr:cNvSpPr/>
      </xdr:nvSpPr>
      <xdr:spPr>
        <a:xfrm>
          <a:off x="13007971" y="4846920"/>
          <a:ext cx="228600" cy="656378"/>
        </a:xfrm>
        <a:prstGeom prst="rightBrace">
          <a:avLst>
            <a:gd name="adj1" fmla="val 37745"/>
            <a:gd name="adj2" fmla="val 48889"/>
          </a:avLst>
        </a:prstGeom>
        <a:ln w="57150"/>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lang="nl-NL" sz="1100"/>
        </a:p>
      </xdr:txBody>
    </xdr:sp>
    <xdr:clientData/>
  </xdr:twoCellAnchor>
  <xdr:oneCellAnchor>
    <xdr:from>
      <xdr:col>13</xdr:col>
      <xdr:colOff>419100</xdr:colOff>
      <xdr:row>186</xdr:row>
      <xdr:rowOff>152400</xdr:rowOff>
    </xdr:from>
    <xdr:ext cx="1917448" cy="264560"/>
    <xdr:sp macro="" textlink="">
      <xdr:nvSpPr>
        <xdr:cNvPr id="17" name="TextBox 16">
          <a:extLst>
            <a:ext uri="{FF2B5EF4-FFF2-40B4-BE49-F238E27FC236}">
              <a16:creationId xmlns:a16="http://schemas.microsoft.com/office/drawing/2014/main" id="{2DA281FE-2A4B-4393-BE64-38A70B8C54E6}"/>
            </a:ext>
          </a:extLst>
        </xdr:cNvPr>
        <xdr:cNvSpPr txBox="1"/>
      </xdr:nvSpPr>
      <xdr:spPr>
        <a:xfrm>
          <a:off x="9553575" y="34890075"/>
          <a:ext cx="19174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Only using trend</a:t>
          </a:r>
          <a:r>
            <a:rPr lang="en-US" sz="1100" b="1" baseline="0"/>
            <a:t> after 200 </a:t>
          </a:r>
          <a:r>
            <a:rPr lang="en-US" sz="1100" b="1" baseline="30000"/>
            <a:t>o</a:t>
          </a:r>
          <a:r>
            <a:rPr lang="en-US" sz="1100" b="1" baseline="0"/>
            <a:t>C!</a:t>
          </a:r>
          <a:endParaRPr lang="en-US" sz="1100" b="1"/>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5</xdr:col>
      <xdr:colOff>171450</xdr:colOff>
      <xdr:row>3</xdr:row>
      <xdr:rowOff>200024</xdr:rowOff>
    </xdr:from>
    <xdr:to>
      <xdr:col>17</xdr:col>
      <xdr:colOff>476250</xdr:colOff>
      <xdr:row>26</xdr:row>
      <xdr:rowOff>133350</xdr:rowOff>
    </xdr:to>
    <xdr:graphicFrame macro="">
      <xdr:nvGraphicFramePr>
        <xdr:cNvPr id="14" name="Chart 13">
          <a:extLst>
            <a:ext uri="{FF2B5EF4-FFF2-40B4-BE49-F238E27FC236}">
              <a16:creationId xmlns:a16="http://schemas.microsoft.com/office/drawing/2014/main" id="{40380072-4983-4ACE-8668-5688DB55E4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2</xdr:col>
      <xdr:colOff>195979</xdr:colOff>
      <xdr:row>21</xdr:row>
      <xdr:rowOff>7620</xdr:rowOff>
    </xdr:to>
    <xdr:pic>
      <xdr:nvPicPr>
        <xdr:cNvPr id="2" name="Picture 1">
          <a:extLst>
            <a:ext uri="{FF2B5EF4-FFF2-40B4-BE49-F238E27FC236}">
              <a16:creationId xmlns:a16="http://schemas.microsoft.com/office/drawing/2014/main" id="{F326FD45-ED40-43FB-866A-A22BA4738FDC}"/>
            </a:ext>
          </a:extLst>
        </xdr:cNvPr>
        <xdr:cNvPicPr>
          <a:picLocks noChangeAspect="1"/>
        </xdr:cNvPicPr>
      </xdr:nvPicPr>
      <xdr:blipFill>
        <a:blip xmlns:r="http://schemas.openxmlformats.org/officeDocument/2006/relationships" r:embed="rId1"/>
        <a:stretch>
          <a:fillRect/>
        </a:stretch>
      </xdr:blipFill>
      <xdr:spPr>
        <a:xfrm>
          <a:off x="0" y="1854200"/>
          <a:ext cx="2507379" cy="1480820"/>
        </a:xfrm>
        <a:prstGeom prst="rect">
          <a:avLst/>
        </a:prstGeom>
        <a:solidFill>
          <a:schemeClr val="bg1"/>
        </a:solidFill>
      </xdr:spPr>
    </xdr:pic>
    <xdr:clientData/>
  </xdr:twoCellAnchor>
  <xdr:twoCellAnchor editAs="oneCell">
    <xdr:from>
      <xdr:col>2</xdr:col>
      <xdr:colOff>205739</xdr:colOff>
      <xdr:row>13</xdr:row>
      <xdr:rowOff>1</xdr:rowOff>
    </xdr:from>
    <xdr:to>
      <xdr:col>5</xdr:col>
      <xdr:colOff>604363</xdr:colOff>
      <xdr:row>21</xdr:row>
      <xdr:rowOff>7621</xdr:rowOff>
    </xdr:to>
    <xdr:pic>
      <xdr:nvPicPr>
        <xdr:cNvPr id="3" name="Picture 2">
          <a:extLst>
            <a:ext uri="{FF2B5EF4-FFF2-40B4-BE49-F238E27FC236}">
              <a16:creationId xmlns:a16="http://schemas.microsoft.com/office/drawing/2014/main" id="{3EA91F6C-51B1-475C-A863-F305755FD1AB}"/>
            </a:ext>
          </a:extLst>
        </xdr:cNvPr>
        <xdr:cNvPicPr>
          <a:picLocks noChangeAspect="1"/>
        </xdr:cNvPicPr>
      </xdr:nvPicPr>
      <xdr:blipFill>
        <a:blip xmlns:r="http://schemas.openxmlformats.org/officeDocument/2006/relationships" r:embed="rId2"/>
        <a:stretch>
          <a:fillRect/>
        </a:stretch>
      </xdr:blipFill>
      <xdr:spPr>
        <a:xfrm>
          <a:off x="2517139" y="1854201"/>
          <a:ext cx="2227424" cy="1480820"/>
        </a:xfrm>
        <a:prstGeom prst="rect">
          <a:avLst/>
        </a:prstGeom>
        <a:solidFill>
          <a:schemeClr val="bg1"/>
        </a:solidFill>
      </xdr:spPr>
    </xdr:pic>
    <xdr:clientData/>
  </xdr:twoCellAnchor>
  <xdr:twoCellAnchor editAs="oneCell">
    <xdr:from>
      <xdr:col>5</xdr:col>
      <xdr:colOff>609599</xdr:colOff>
      <xdr:row>13</xdr:row>
      <xdr:rowOff>7621</xdr:rowOff>
    </xdr:from>
    <xdr:to>
      <xdr:col>9</xdr:col>
      <xdr:colOff>291128</xdr:colOff>
      <xdr:row>21</xdr:row>
      <xdr:rowOff>1</xdr:rowOff>
    </xdr:to>
    <xdr:pic>
      <xdr:nvPicPr>
        <xdr:cNvPr id="4" name="Picture 3">
          <a:extLst>
            <a:ext uri="{FF2B5EF4-FFF2-40B4-BE49-F238E27FC236}">
              <a16:creationId xmlns:a16="http://schemas.microsoft.com/office/drawing/2014/main" id="{42FFDC11-8185-4333-9FAC-5B10623A0D65}"/>
            </a:ext>
          </a:extLst>
        </xdr:cNvPr>
        <xdr:cNvPicPr>
          <a:picLocks noChangeAspect="1"/>
        </xdr:cNvPicPr>
      </xdr:nvPicPr>
      <xdr:blipFill>
        <a:blip xmlns:r="http://schemas.openxmlformats.org/officeDocument/2006/relationships" r:embed="rId3"/>
        <a:stretch>
          <a:fillRect/>
        </a:stretch>
      </xdr:blipFill>
      <xdr:spPr>
        <a:xfrm>
          <a:off x="4749799" y="1861821"/>
          <a:ext cx="2119929" cy="1465580"/>
        </a:xfrm>
        <a:prstGeom prst="rect">
          <a:avLst/>
        </a:prstGeom>
        <a:solidFill>
          <a:schemeClr val="bg1"/>
        </a:solidFill>
      </xdr:spPr>
    </xdr:pic>
    <xdr:clientData/>
  </xdr:twoCellAnchor>
  <xdr:twoCellAnchor editAs="oneCell">
    <xdr:from>
      <xdr:col>13</xdr:col>
      <xdr:colOff>30479</xdr:colOff>
      <xdr:row>13</xdr:row>
      <xdr:rowOff>0</xdr:rowOff>
    </xdr:from>
    <xdr:to>
      <xdr:col>17</xdr:col>
      <xdr:colOff>37886</xdr:colOff>
      <xdr:row>21</xdr:row>
      <xdr:rowOff>0</xdr:rowOff>
    </xdr:to>
    <xdr:pic>
      <xdr:nvPicPr>
        <xdr:cNvPr id="5" name="Picture 4">
          <a:extLst>
            <a:ext uri="{FF2B5EF4-FFF2-40B4-BE49-F238E27FC236}">
              <a16:creationId xmlns:a16="http://schemas.microsoft.com/office/drawing/2014/main" id="{AFCE85D6-7CD6-4844-BC77-1D727D995252}"/>
            </a:ext>
          </a:extLst>
        </xdr:cNvPr>
        <xdr:cNvPicPr>
          <a:picLocks noChangeAspect="1"/>
        </xdr:cNvPicPr>
      </xdr:nvPicPr>
      <xdr:blipFill>
        <a:blip xmlns:r="http://schemas.openxmlformats.org/officeDocument/2006/relationships" r:embed="rId4"/>
        <a:stretch>
          <a:fillRect/>
        </a:stretch>
      </xdr:blipFill>
      <xdr:spPr>
        <a:xfrm>
          <a:off x="9047479" y="1854200"/>
          <a:ext cx="2445807" cy="1473200"/>
        </a:xfrm>
        <a:prstGeom prst="rect">
          <a:avLst/>
        </a:prstGeom>
        <a:solidFill>
          <a:schemeClr val="bg1"/>
        </a:solidFill>
      </xdr:spPr>
    </xdr:pic>
    <xdr:clientData/>
  </xdr:twoCellAnchor>
  <xdr:twoCellAnchor editAs="oneCell">
    <xdr:from>
      <xdr:col>9</xdr:col>
      <xdr:colOff>300108</xdr:colOff>
      <xdr:row>13</xdr:row>
      <xdr:rowOff>7620</xdr:rowOff>
    </xdr:from>
    <xdr:to>
      <xdr:col>13</xdr:col>
      <xdr:colOff>15934</xdr:colOff>
      <xdr:row>21</xdr:row>
      <xdr:rowOff>0</xdr:rowOff>
    </xdr:to>
    <xdr:pic>
      <xdr:nvPicPr>
        <xdr:cNvPr id="6" name="Picture 5">
          <a:extLst>
            <a:ext uri="{FF2B5EF4-FFF2-40B4-BE49-F238E27FC236}">
              <a16:creationId xmlns:a16="http://schemas.microsoft.com/office/drawing/2014/main" id="{E7CDB5EE-B083-4F6F-AE29-D8669E508A8A}"/>
            </a:ext>
          </a:extLst>
        </xdr:cNvPr>
        <xdr:cNvPicPr>
          <a:picLocks noChangeAspect="1"/>
        </xdr:cNvPicPr>
      </xdr:nvPicPr>
      <xdr:blipFill>
        <a:blip xmlns:r="http://schemas.openxmlformats.org/officeDocument/2006/relationships" r:embed="rId5"/>
        <a:stretch>
          <a:fillRect/>
        </a:stretch>
      </xdr:blipFill>
      <xdr:spPr>
        <a:xfrm>
          <a:off x="6878708" y="1861820"/>
          <a:ext cx="2154226" cy="1465580"/>
        </a:xfrm>
        <a:prstGeom prst="rect">
          <a:avLst/>
        </a:prstGeom>
        <a:solidFill>
          <a:schemeClr val="bg1"/>
        </a:solidFill>
      </xdr:spPr>
    </xdr:pic>
    <xdr:clientData/>
  </xdr:twoCellAnchor>
  <xdr:twoCellAnchor>
    <xdr:from>
      <xdr:col>0</xdr:col>
      <xdr:colOff>0</xdr:colOff>
      <xdr:row>1</xdr:row>
      <xdr:rowOff>57150</xdr:rowOff>
    </xdr:from>
    <xdr:to>
      <xdr:col>17</xdr:col>
      <xdr:colOff>0</xdr:colOff>
      <xdr:row>3</xdr:row>
      <xdr:rowOff>152400</xdr:rowOff>
    </xdr:to>
    <xdr:sp macro="" textlink="">
      <xdr:nvSpPr>
        <xdr:cNvPr id="7" name="TextBox 6">
          <a:extLst>
            <a:ext uri="{FF2B5EF4-FFF2-40B4-BE49-F238E27FC236}">
              <a16:creationId xmlns:a16="http://schemas.microsoft.com/office/drawing/2014/main" id="{59570230-6CC7-48D2-BA48-762EE145E6EF}"/>
            </a:ext>
          </a:extLst>
        </xdr:cNvPr>
        <xdr:cNvSpPr txBox="1"/>
      </xdr:nvSpPr>
      <xdr:spPr>
        <a:xfrm>
          <a:off x="0" y="254000"/>
          <a:ext cx="11455400" cy="4762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rgbClr val="FF0000"/>
              </a:solidFill>
            </a:rPr>
            <a:t>All cost items specified in a case study must be expressed in the same reference-year values. To convert the various capex and opex items from a source's reference year to the case study's reference year, one may use the indices given below. Note however that these values may not apply to Indonesia. </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295276</xdr:colOff>
      <xdr:row>41</xdr:row>
      <xdr:rowOff>95250</xdr:rowOff>
    </xdr:from>
    <xdr:to>
      <xdr:col>7</xdr:col>
      <xdr:colOff>456377</xdr:colOff>
      <xdr:row>53</xdr:row>
      <xdr:rowOff>123256</xdr:rowOff>
    </xdr:to>
    <xdr:pic>
      <xdr:nvPicPr>
        <xdr:cNvPr id="2" name="Picture 1">
          <a:extLst>
            <a:ext uri="{FF2B5EF4-FFF2-40B4-BE49-F238E27FC236}">
              <a16:creationId xmlns:a16="http://schemas.microsoft.com/office/drawing/2014/main" id="{74692338-1DC0-4A8C-9601-18F593B731C5}"/>
            </a:ext>
          </a:extLst>
        </xdr:cNvPr>
        <xdr:cNvPicPr>
          <a:picLocks noChangeAspect="1"/>
        </xdr:cNvPicPr>
      </xdr:nvPicPr>
      <xdr:blipFill>
        <a:blip xmlns:r="http://schemas.openxmlformats.org/officeDocument/2006/relationships" r:embed="rId1"/>
        <a:stretch>
          <a:fillRect/>
        </a:stretch>
      </xdr:blipFill>
      <xdr:spPr>
        <a:xfrm>
          <a:off x="295276" y="7905750"/>
          <a:ext cx="4647376" cy="2314006"/>
        </a:xfrm>
        <a:prstGeom prst="rect">
          <a:avLst/>
        </a:prstGeom>
        <a:ln>
          <a:solidFill>
            <a:sysClr val="windowText" lastClr="000000"/>
          </a:solidFill>
        </a:ln>
      </xdr:spPr>
    </xdr:pic>
    <xdr:clientData/>
  </xdr:twoCellAnchor>
  <xdr:twoCellAnchor editAs="oneCell">
    <xdr:from>
      <xdr:col>8</xdr:col>
      <xdr:colOff>152400</xdr:colOff>
      <xdr:row>42</xdr:row>
      <xdr:rowOff>38100</xdr:rowOff>
    </xdr:from>
    <xdr:to>
      <xdr:col>13</xdr:col>
      <xdr:colOff>288282</xdr:colOff>
      <xdr:row>48</xdr:row>
      <xdr:rowOff>38100</xdr:rowOff>
    </xdr:to>
    <xdr:pic>
      <xdr:nvPicPr>
        <xdr:cNvPr id="3" name="Picture 2">
          <a:extLst>
            <a:ext uri="{FF2B5EF4-FFF2-40B4-BE49-F238E27FC236}">
              <a16:creationId xmlns:a16="http://schemas.microsoft.com/office/drawing/2014/main" id="{949AD296-92C3-44FA-9482-491CA3630244}"/>
            </a:ext>
          </a:extLst>
        </xdr:cNvPr>
        <xdr:cNvPicPr>
          <a:picLocks noChangeAspect="1"/>
        </xdr:cNvPicPr>
      </xdr:nvPicPr>
      <xdr:blipFill>
        <a:blip xmlns:r="http://schemas.openxmlformats.org/officeDocument/2006/relationships" r:embed="rId2"/>
        <a:stretch>
          <a:fillRect/>
        </a:stretch>
      </xdr:blipFill>
      <xdr:spPr>
        <a:xfrm>
          <a:off x="5248275" y="8039100"/>
          <a:ext cx="3631557" cy="1143000"/>
        </a:xfrm>
        <a:prstGeom prst="rect">
          <a:avLst/>
        </a:prstGeom>
        <a:ln>
          <a:solidFill>
            <a:sysClr val="windowText" lastClr="000000"/>
          </a:solidFill>
        </a:ln>
      </xdr:spPr>
    </xdr:pic>
    <xdr:clientData/>
  </xdr:twoCellAnchor>
  <xdr:twoCellAnchor editAs="oneCell">
    <xdr:from>
      <xdr:col>8</xdr:col>
      <xdr:colOff>409575</xdr:colOff>
      <xdr:row>52</xdr:row>
      <xdr:rowOff>133350</xdr:rowOff>
    </xdr:from>
    <xdr:to>
      <xdr:col>11</xdr:col>
      <xdr:colOff>903896</xdr:colOff>
      <xdr:row>63</xdr:row>
      <xdr:rowOff>94652</xdr:rowOff>
    </xdr:to>
    <xdr:pic>
      <xdr:nvPicPr>
        <xdr:cNvPr id="4" name="Picture 3">
          <a:extLst>
            <a:ext uri="{FF2B5EF4-FFF2-40B4-BE49-F238E27FC236}">
              <a16:creationId xmlns:a16="http://schemas.microsoft.com/office/drawing/2014/main" id="{18B11220-2E7E-42D5-9962-6B4C20D854BD}"/>
            </a:ext>
          </a:extLst>
        </xdr:cNvPr>
        <xdr:cNvPicPr>
          <a:picLocks noChangeAspect="1"/>
        </xdr:cNvPicPr>
      </xdr:nvPicPr>
      <xdr:blipFill>
        <a:blip xmlns:r="http://schemas.openxmlformats.org/officeDocument/2006/relationships" r:embed="rId3"/>
        <a:stretch>
          <a:fillRect/>
        </a:stretch>
      </xdr:blipFill>
      <xdr:spPr>
        <a:xfrm>
          <a:off x="5505450" y="10039350"/>
          <a:ext cx="2323121" cy="2056802"/>
        </a:xfrm>
        <a:prstGeom prst="rect">
          <a:avLst/>
        </a:prstGeom>
        <a:ln>
          <a:solidFill>
            <a:sysClr val="windowText" lastClr="000000"/>
          </a:solidFill>
        </a:ln>
      </xdr:spPr>
    </xdr:pic>
    <xdr:clientData/>
  </xdr:twoCellAnchor>
  <xdr:twoCellAnchor editAs="oneCell">
    <xdr:from>
      <xdr:col>8</xdr:col>
      <xdr:colOff>228601</xdr:colOff>
      <xdr:row>49</xdr:row>
      <xdr:rowOff>9524</xdr:rowOff>
    </xdr:from>
    <xdr:to>
      <xdr:col>12</xdr:col>
      <xdr:colOff>132356</xdr:colOff>
      <xdr:row>51</xdr:row>
      <xdr:rowOff>180789</xdr:rowOff>
    </xdr:to>
    <xdr:pic>
      <xdr:nvPicPr>
        <xdr:cNvPr id="5" name="Picture 4">
          <a:extLst>
            <a:ext uri="{FF2B5EF4-FFF2-40B4-BE49-F238E27FC236}">
              <a16:creationId xmlns:a16="http://schemas.microsoft.com/office/drawing/2014/main" id="{E1938354-AD56-4FCC-B6D2-07532C21326D}"/>
            </a:ext>
          </a:extLst>
        </xdr:cNvPr>
        <xdr:cNvPicPr>
          <a:picLocks noChangeAspect="1"/>
        </xdr:cNvPicPr>
      </xdr:nvPicPr>
      <xdr:blipFill>
        <a:blip xmlns:r="http://schemas.openxmlformats.org/officeDocument/2006/relationships" r:embed="rId4"/>
        <a:stretch>
          <a:fillRect/>
        </a:stretch>
      </xdr:blipFill>
      <xdr:spPr>
        <a:xfrm>
          <a:off x="5324476" y="9344024"/>
          <a:ext cx="2789830" cy="552265"/>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3</xdr:colOff>
      <xdr:row>10</xdr:row>
      <xdr:rowOff>95253</xdr:rowOff>
    </xdr:from>
    <xdr:to>
      <xdr:col>14</xdr:col>
      <xdr:colOff>511969</xdr:colOff>
      <xdr:row>11</xdr:row>
      <xdr:rowOff>95250</xdr:rowOff>
    </xdr:to>
    <xdr:cxnSp macro="">
      <xdr:nvCxnSpPr>
        <xdr:cNvPr id="2" name="Straight Arrow Connector 1">
          <a:extLst>
            <a:ext uri="{FF2B5EF4-FFF2-40B4-BE49-F238E27FC236}">
              <a16:creationId xmlns:a16="http://schemas.microsoft.com/office/drawing/2014/main" id="{F2E1ACE5-D7DC-4FF5-8BE3-B2BD79F9D4BC}"/>
            </a:ext>
          </a:extLst>
        </xdr:cNvPr>
        <xdr:cNvCxnSpPr/>
      </xdr:nvCxnSpPr>
      <xdr:spPr>
        <a:xfrm flipH="1" flipV="1">
          <a:off x="3476628" y="2000253"/>
          <a:ext cx="2333622" cy="19049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130969</xdr:colOff>
      <xdr:row>10</xdr:row>
      <xdr:rowOff>104775</xdr:rowOff>
    </xdr:from>
    <xdr:to>
      <xdr:col>24</xdr:col>
      <xdr:colOff>0</xdr:colOff>
      <xdr:row>11</xdr:row>
      <xdr:rowOff>107156</xdr:rowOff>
    </xdr:to>
    <xdr:cxnSp macro="">
      <xdr:nvCxnSpPr>
        <xdr:cNvPr id="3" name="Straight Arrow Connector 2">
          <a:extLst>
            <a:ext uri="{FF2B5EF4-FFF2-40B4-BE49-F238E27FC236}">
              <a16:creationId xmlns:a16="http://schemas.microsoft.com/office/drawing/2014/main" id="{1421F2C8-FF05-47E2-96AC-0969B7E47A7D}"/>
            </a:ext>
          </a:extLst>
        </xdr:cNvPr>
        <xdr:cNvCxnSpPr/>
      </xdr:nvCxnSpPr>
      <xdr:spPr>
        <a:xfrm flipV="1">
          <a:off x="7858125" y="2009775"/>
          <a:ext cx="2286000" cy="19288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180975</xdr:colOff>
      <xdr:row>2</xdr:row>
      <xdr:rowOff>9067</xdr:rowOff>
    </xdr:from>
    <xdr:to>
      <xdr:col>17</xdr:col>
      <xdr:colOff>542924</xdr:colOff>
      <xdr:row>7</xdr:row>
      <xdr:rowOff>100236</xdr:rowOff>
    </xdr:to>
    <xdr:sp macro="" textlink="">
      <xdr:nvSpPr>
        <xdr:cNvPr id="7" name="Arrow: Pentagon 6">
          <a:extLst>
            <a:ext uri="{FF2B5EF4-FFF2-40B4-BE49-F238E27FC236}">
              <a16:creationId xmlns:a16="http://schemas.microsoft.com/office/drawing/2014/main" id="{8C27AFDC-4F8C-42F6-BFE0-ED06EBB9B731}"/>
            </a:ext>
          </a:extLst>
        </xdr:cNvPr>
        <xdr:cNvSpPr/>
      </xdr:nvSpPr>
      <xdr:spPr>
        <a:xfrm>
          <a:off x="6249761" y="607781"/>
          <a:ext cx="1577520" cy="76245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bg1"/>
              </a:solidFill>
            </a:rPr>
            <a:t>Surface facilities</a:t>
          </a:r>
        </a:p>
      </xdr:txBody>
    </xdr:sp>
    <xdr:clientData/>
  </xdr:twoCellAnchor>
  <xdr:twoCellAnchor>
    <xdr:from>
      <xdr:col>9</xdr:col>
      <xdr:colOff>190495</xdr:colOff>
      <xdr:row>5</xdr:row>
      <xdr:rowOff>1</xdr:rowOff>
    </xdr:from>
    <xdr:to>
      <xdr:col>12</xdr:col>
      <xdr:colOff>9072</xdr:colOff>
      <xdr:row>37</xdr:row>
      <xdr:rowOff>18144</xdr:rowOff>
    </xdr:to>
    <xdr:sp macro="" textlink="">
      <xdr:nvSpPr>
        <xdr:cNvPr id="6" name="Right Brace 5">
          <a:extLst>
            <a:ext uri="{FF2B5EF4-FFF2-40B4-BE49-F238E27FC236}">
              <a16:creationId xmlns:a16="http://schemas.microsoft.com/office/drawing/2014/main" id="{3E3991AC-BAE3-485B-BB22-168D555B7CE6}"/>
            </a:ext>
          </a:extLst>
        </xdr:cNvPr>
        <xdr:cNvSpPr/>
      </xdr:nvSpPr>
      <xdr:spPr>
        <a:xfrm>
          <a:off x="4209138" y="1025072"/>
          <a:ext cx="444505" cy="4998358"/>
        </a:xfrm>
        <a:prstGeom prst="rightBrace">
          <a:avLst>
            <a:gd name="adj1" fmla="val 30151"/>
            <a:gd name="adj2" fmla="val 47863"/>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nl-NL" sz="1100"/>
        </a:p>
      </xdr:txBody>
    </xdr:sp>
    <xdr:clientData/>
  </xdr:twoCellAnchor>
  <xdr:twoCellAnchor>
    <xdr:from>
      <xdr:col>28</xdr:col>
      <xdr:colOff>25396</xdr:colOff>
      <xdr:row>4</xdr:row>
      <xdr:rowOff>18143</xdr:rowOff>
    </xdr:from>
    <xdr:to>
      <xdr:col>29</xdr:col>
      <xdr:colOff>235858</xdr:colOff>
      <xdr:row>37</xdr:row>
      <xdr:rowOff>34471</xdr:rowOff>
    </xdr:to>
    <xdr:sp macro="" textlink="">
      <xdr:nvSpPr>
        <xdr:cNvPr id="8" name="Right Brace 7">
          <a:extLst>
            <a:ext uri="{FF2B5EF4-FFF2-40B4-BE49-F238E27FC236}">
              <a16:creationId xmlns:a16="http://schemas.microsoft.com/office/drawing/2014/main" id="{8A486DD0-7191-4E30-BF8E-D558D2F80200}"/>
            </a:ext>
          </a:extLst>
        </xdr:cNvPr>
        <xdr:cNvSpPr/>
      </xdr:nvSpPr>
      <xdr:spPr>
        <a:xfrm>
          <a:off x="11301182" y="979714"/>
          <a:ext cx="455390" cy="5060043"/>
        </a:xfrm>
        <a:prstGeom prst="rightBrace">
          <a:avLst>
            <a:gd name="adj1" fmla="val 30151"/>
            <a:gd name="adj2" fmla="val 47620"/>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nl-NL" sz="1100"/>
        </a:p>
      </xdr:txBody>
    </xdr:sp>
    <xdr:clientData/>
  </xdr:twoCellAnchor>
  <xdr:twoCellAnchor>
    <xdr:from>
      <xdr:col>3</xdr:col>
      <xdr:colOff>117937</xdr:colOff>
      <xdr:row>14</xdr:row>
      <xdr:rowOff>38089</xdr:rowOff>
    </xdr:from>
    <xdr:to>
      <xdr:col>4</xdr:col>
      <xdr:colOff>68725</xdr:colOff>
      <xdr:row>14</xdr:row>
      <xdr:rowOff>171439</xdr:rowOff>
    </xdr:to>
    <xdr:grpSp>
      <xdr:nvGrpSpPr>
        <xdr:cNvPr id="9" name="Group 8">
          <a:extLst>
            <a:ext uri="{FF2B5EF4-FFF2-40B4-BE49-F238E27FC236}">
              <a16:creationId xmlns:a16="http://schemas.microsoft.com/office/drawing/2014/main" id="{113ECF49-4FF3-43CD-905D-134F18295199}"/>
            </a:ext>
          </a:extLst>
        </xdr:cNvPr>
        <xdr:cNvGrpSpPr/>
      </xdr:nvGrpSpPr>
      <xdr:grpSpPr>
        <a:xfrm>
          <a:off x="2882908" y="2639775"/>
          <a:ext cx="135846" cy="133350"/>
          <a:chOff x="2145321" y="281354"/>
          <a:chExt cx="4202724" cy="6356836"/>
        </a:xfrm>
        <a:solidFill>
          <a:schemeClr val="bg1"/>
        </a:solidFill>
      </xdr:grpSpPr>
      <xdr:sp macro="" textlink="">
        <xdr:nvSpPr>
          <xdr:cNvPr id="10" name="Rectangle 9">
            <a:extLst>
              <a:ext uri="{FF2B5EF4-FFF2-40B4-BE49-F238E27FC236}">
                <a16:creationId xmlns:a16="http://schemas.microsoft.com/office/drawing/2014/main" id="{C97DE9A4-2289-4FE6-BCD3-5C82EFF7C77B}"/>
              </a:ext>
            </a:extLst>
          </xdr:cNvPr>
          <xdr:cNvSpPr/>
        </xdr:nvSpPr>
        <xdr:spPr>
          <a:xfrm>
            <a:off x="2145322" y="2180491"/>
            <a:ext cx="4202723" cy="2919046"/>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cxnSp macro="">
        <xdr:nvCxnSpPr>
          <xdr:cNvPr id="11" name="Straight Connector 10">
            <a:extLst>
              <a:ext uri="{FF2B5EF4-FFF2-40B4-BE49-F238E27FC236}">
                <a16:creationId xmlns:a16="http://schemas.microsoft.com/office/drawing/2014/main" id="{9A651A3D-0B64-4604-9346-D589F6C5B4AD}"/>
              </a:ext>
            </a:extLst>
          </xdr:cNvPr>
          <xdr:cNvCxnSpPr>
            <a:stCxn id="10" idx="1"/>
          </xdr:cNvCxnSpPr>
        </xdr:nvCxnSpPr>
        <xdr:spPr>
          <a:xfrm flipV="1">
            <a:off x="2145321" y="694602"/>
            <a:ext cx="4202724" cy="2945432"/>
          </a:xfrm>
          <a:prstGeom prst="line">
            <a:avLst/>
          </a:prstGeom>
          <a:grpFill/>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F92F9FD4-F013-4AB5-9606-405124316ABE}"/>
              </a:ext>
            </a:extLst>
          </xdr:cNvPr>
          <xdr:cNvCxnSpPr>
            <a:endCxn id="10" idx="3"/>
          </xdr:cNvCxnSpPr>
        </xdr:nvCxnSpPr>
        <xdr:spPr>
          <a:xfrm flipV="1">
            <a:off x="2145321" y="3640035"/>
            <a:ext cx="4202724" cy="2945405"/>
          </a:xfrm>
          <a:prstGeom prst="line">
            <a:avLst/>
          </a:prstGeom>
          <a:grpFill/>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44073FE8-C96F-4F3E-8CAD-86AF9429B566}"/>
              </a:ext>
            </a:extLst>
          </xdr:cNvPr>
          <xdr:cNvCxnSpPr/>
        </xdr:nvCxnSpPr>
        <xdr:spPr>
          <a:xfrm flipV="1">
            <a:off x="6348045" y="281354"/>
            <a:ext cx="0" cy="2602510"/>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A1DA5E02-4AF4-4239-89FC-59A94FF5C310}"/>
              </a:ext>
            </a:extLst>
          </xdr:cNvPr>
          <xdr:cNvCxnSpPr/>
        </xdr:nvCxnSpPr>
        <xdr:spPr>
          <a:xfrm flipV="1">
            <a:off x="2145321" y="4035680"/>
            <a:ext cx="0" cy="2602510"/>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145379</xdr:colOff>
      <xdr:row>14</xdr:row>
      <xdr:rowOff>28564</xdr:rowOff>
    </xdr:from>
    <xdr:to>
      <xdr:col>9</xdr:col>
      <xdr:colOff>66911</xdr:colOff>
      <xdr:row>14</xdr:row>
      <xdr:rowOff>161914</xdr:rowOff>
    </xdr:to>
    <xdr:grpSp>
      <xdr:nvGrpSpPr>
        <xdr:cNvPr id="15" name="Group 14">
          <a:extLst>
            <a:ext uri="{FF2B5EF4-FFF2-40B4-BE49-F238E27FC236}">
              <a16:creationId xmlns:a16="http://schemas.microsoft.com/office/drawing/2014/main" id="{D091DD38-3AE9-4416-AB6A-77E5DD3FD0C9}"/>
            </a:ext>
          </a:extLst>
        </xdr:cNvPr>
        <xdr:cNvGrpSpPr/>
      </xdr:nvGrpSpPr>
      <xdr:grpSpPr>
        <a:xfrm>
          <a:off x="3922722" y="2630250"/>
          <a:ext cx="128360" cy="133350"/>
          <a:chOff x="2145321" y="281354"/>
          <a:chExt cx="4202724" cy="6356836"/>
        </a:xfrm>
        <a:solidFill>
          <a:schemeClr val="bg1"/>
        </a:solidFill>
      </xdr:grpSpPr>
      <xdr:sp macro="" textlink="">
        <xdr:nvSpPr>
          <xdr:cNvPr id="16" name="Rectangle 15">
            <a:extLst>
              <a:ext uri="{FF2B5EF4-FFF2-40B4-BE49-F238E27FC236}">
                <a16:creationId xmlns:a16="http://schemas.microsoft.com/office/drawing/2014/main" id="{E11B51B9-1365-46E2-9C90-C3459F2E2F2E}"/>
              </a:ext>
            </a:extLst>
          </xdr:cNvPr>
          <xdr:cNvSpPr/>
        </xdr:nvSpPr>
        <xdr:spPr>
          <a:xfrm>
            <a:off x="2145322" y="2180491"/>
            <a:ext cx="4202723" cy="2919046"/>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cxnSp macro="">
        <xdr:nvCxnSpPr>
          <xdr:cNvPr id="17" name="Straight Connector 16">
            <a:extLst>
              <a:ext uri="{FF2B5EF4-FFF2-40B4-BE49-F238E27FC236}">
                <a16:creationId xmlns:a16="http://schemas.microsoft.com/office/drawing/2014/main" id="{2C36ACA1-1EC0-4EA2-BB90-B186ED453918}"/>
              </a:ext>
            </a:extLst>
          </xdr:cNvPr>
          <xdr:cNvCxnSpPr>
            <a:stCxn id="16" idx="1"/>
          </xdr:cNvCxnSpPr>
        </xdr:nvCxnSpPr>
        <xdr:spPr>
          <a:xfrm flipV="1">
            <a:off x="2145321" y="694602"/>
            <a:ext cx="4202724" cy="2945432"/>
          </a:xfrm>
          <a:prstGeom prst="line">
            <a:avLst/>
          </a:prstGeom>
          <a:grpFill/>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2CEE3824-5585-42CF-8BC3-C3702C9CC302}"/>
              </a:ext>
            </a:extLst>
          </xdr:cNvPr>
          <xdr:cNvCxnSpPr>
            <a:endCxn id="16" idx="3"/>
          </xdr:cNvCxnSpPr>
        </xdr:nvCxnSpPr>
        <xdr:spPr>
          <a:xfrm flipV="1">
            <a:off x="2145321" y="3640035"/>
            <a:ext cx="4202724" cy="2945405"/>
          </a:xfrm>
          <a:prstGeom prst="line">
            <a:avLst/>
          </a:prstGeom>
          <a:grpFill/>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B4BB4BCE-3E05-4FE7-A6F6-EE30D72B6467}"/>
              </a:ext>
            </a:extLst>
          </xdr:cNvPr>
          <xdr:cNvCxnSpPr/>
        </xdr:nvCxnSpPr>
        <xdr:spPr>
          <a:xfrm flipV="1">
            <a:off x="6348045" y="281354"/>
            <a:ext cx="0" cy="2602510"/>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48D3B001-E340-4AFD-A418-8E88E7C8DB73}"/>
              </a:ext>
            </a:extLst>
          </xdr:cNvPr>
          <xdr:cNvCxnSpPr/>
        </xdr:nvCxnSpPr>
        <xdr:spPr>
          <a:xfrm flipV="1">
            <a:off x="2145321" y="4035680"/>
            <a:ext cx="0" cy="2602510"/>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21</xdr:col>
      <xdr:colOff>129050</xdr:colOff>
      <xdr:row>14</xdr:row>
      <xdr:rowOff>19039</xdr:rowOff>
    </xdr:from>
    <xdr:to>
      <xdr:col>22</xdr:col>
      <xdr:colOff>86187</xdr:colOff>
      <xdr:row>14</xdr:row>
      <xdr:rowOff>152389</xdr:rowOff>
    </xdr:to>
    <xdr:grpSp>
      <xdr:nvGrpSpPr>
        <xdr:cNvPr id="21" name="Group 20">
          <a:extLst>
            <a:ext uri="{FF2B5EF4-FFF2-40B4-BE49-F238E27FC236}">
              <a16:creationId xmlns:a16="http://schemas.microsoft.com/office/drawing/2014/main" id="{D8CB2B1B-8378-4126-9C8C-CD6553E31087}"/>
            </a:ext>
          </a:extLst>
        </xdr:cNvPr>
        <xdr:cNvGrpSpPr/>
      </xdr:nvGrpSpPr>
      <xdr:grpSpPr>
        <a:xfrm>
          <a:off x="9795564" y="2620725"/>
          <a:ext cx="142194" cy="133350"/>
          <a:chOff x="2145321" y="281354"/>
          <a:chExt cx="4202724" cy="6356836"/>
        </a:xfrm>
        <a:solidFill>
          <a:schemeClr val="bg1"/>
        </a:solidFill>
      </xdr:grpSpPr>
      <xdr:sp macro="" textlink="">
        <xdr:nvSpPr>
          <xdr:cNvPr id="22" name="Rectangle 21">
            <a:extLst>
              <a:ext uri="{FF2B5EF4-FFF2-40B4-BE49-F238E27FC236}">
                <a16:creationId xmlns:a16="http://schemas.microsoft.com/office/drawing/2014/main" id="{C887D2D5-91F1-43F3-AFC1-62F76596018C}"/>
              </a:ext>
            </a:extLst>
          </xdr:cNvPr>
          <xdr:cNvSpPr/>
        </xdr:nvSpPr>
        <xdr:spPr>
          <a:xfrm>
            <a:off x="2145322" y="2180491"/>
            <a:ext cx="4202723" cy="2919046"/>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cxnSp macro="">
        <xdr:nvCxnSpPr>
          <xdr:cNvPr id="23" name="Straight Connector 22">
            <a:extLst>
              <a:ext uri="{FF2B5EF4-FFF2-40B4-BE49-F238E27FC236}">
                <a16:creationId xmlns:a16="http://schemas.microsoft.com/office/drawing/2014/main" id="{A2491F96-9CDE-4668-B297-BAC7691923E0}"/>
              </a:ext>
            </a:extLst>
          </xdr:cNvPr>
          <xdr:cNvCxnSpPr>
            <a:stCxn id="22" idx="1"/>
          </xdr:cNvCxnSpPr>
        </xdr:nvCxnSpPr>
        <xdr:spPr>
          <a:xfrm flipV="1">
            <a:off x="2145321" y="694602"/>
            <a:ext cx="4202724" cy="2945432"/>
          </a:xfrm>
          <a:prstGeom prst="line">
            <a:avLst/>
          </a:prstGeom>
          <a:grpFill/>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90ADE5EF-52B0-4F3E-BF59-04000E2F42F2}"/>
              </a:ext>
            </a:extLst>
          </xdr:cNvPr>
          <xdr:cNvCxnSpPr>
            <a:endCxn id="22" idx="3"/>
          </xdr:cNvCxnSpPr>
        </xdr:nvCxnSpPr>
        <xdr:spPr>
          <a:xfrm flipV="1">
            <a:off x="2145321" y="3640035"/>
            <a:ext cx="4202724" cy="2945405"/>
          </a:xfrm>
          <a:prstGeom prst="line">
            <a:avLst/>
          </a:prstGeom>
          <a:grpFill/>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44FA4ACB-69E4-4F41-BCE9-AA76845C42A9}"/>
              </a:ext>
            </a:extLst>
          </xdr:cNvPr>
          <xdr:cNvCxnSpPr/>
        </xdr:nvCxnSpPr>
        <xdr:spPr>
          <a:xfrm flipV="1">
            <a:off x="6348045" y="281354"/>
            <a:ext cx="0" cy="2602510"/>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E59946CF-0CEB-400E-9069-29BBB0B4EBB0}"/>
              </a:ext>
            </a:extLst>
          </xdr:cNvPr>
          <xdr:cNvCxnSpPr/>
        </xdr:nvCxnSpPr>
        <xdr:spPr>
          <a:xfrm flipV="1">
            <a:off x="2145321" y="4035680"/>
            <a:ext cx="0" cy="2602510"/>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137441</xdr:colOff>
      <xdr:row>13</xdr:row>
      <xdr:rowOff>181418</xdr:rowOff>
    </xdr:from>
    <xdr:to>
      <xdr:col>27</xdr:col>
      <xdr:colOff>55118</xdr:colOff>
      <xdr:row>14</xdr:row>
      <xdr:rowOff>133339</xdr:rowOff>
    </xdr:to>
    <xdr:grpSp>
      <xdr:nvGrpSpPr>
        <xdr:cNvPr id="27" name="Group 26">
          <a:extLst>
            <a:ext uri="{FF2B5EF4-FFF2-40B4-BE49-F238E27FC236}">
              <a16:creationId xmlns:a16="http://schemas.microsoft.com/office/drawing/2014/main" id="{9417200F-8785-4114-9B0A-33BB96BD9A3A}"/>
            </a:ext>
          </a:extLst>
        </xdr:cNvPr>
        <xdr:cNvGrpSpPr/>
      </xdr:nvGrpSpPr>
      <xdr:grpSpPr>
        <a:xfrm>
          <a:off x="10936070" y="2598047"/>
          <a:ext cx="146277" cy="136978"/>
          <a:chOff x="2145321" y="281354"/>
          <a:chExt cx="4202724" cy="6356836"/>
        </a:xfrm>
        <a:solidFill>
          <a:schemeClr val="bg1"/>
        </a:solidFill>
      </xdr:grpSpPr>
      <xdr:sp macro="" textlink="">
        <xdr:nvSpPr>
          <xdr:cNvPr id="28" name="Rectangle 27">
            <a:extLst>
              <a:ext uri="{FF2B5EF4-FFF2-40B4-BE49-F238E27FC236}">
                <a16:creationId xmlns:a16="http://schemas.microsoft.com/office/drawing/2014/main" id="{BCF2B80D-67B2-47CC-9AED-D3606B836AB8}"/>
              </a:ext>
            </a:extLst>
          </xdr:cNvPr>
          <xdr:cNvSpPr/>
        </xdr:nvSpPr>
        <xdr:spPr>
          <a:xfrm>
            <a:off x="2145322" y="2180491"/>
            <a:ext cx="4202723" cy="2919046"/>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cxnSp macro="">
        <xdr:nvCxnSpPr>
          <xdr:cNvPr id="29" name="Straight Connector 28">
            <a:extLst>
              <a:ext uri="{FF2B5EF4-FFF2-40B4-BE49-F238E27FC236}">
                <a16:creationId xmlns:a16="http://schemas.microsoft.com/office/drawing/2014/main" id="{1D697EFD-86DA-4607-884D-EE0166E12A5B}"/>
              </a:ext>
            </a:extLst>
          </xdr:cNvPr>
          <xdr:cNvCxnSpPr>
            <a:stCxn id="28" idx="1"/>
          </xdr:cNvCxnSpPr>
        </xdr:nvCxnSpPr>
        <xdr:spPr>
          <a:xfrm flipV="1">
            <a:off x="2145321" y="694602"/>
            <a:ext cx="4202724" cy="2945432"/>
          </a:xfrm>
          <a:prstGeom prst="line">
            <a:avLst/>
          </a:prstGeom>
          <a:grpFill/>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a:extLst>
              <a:ext uri="{FF2B5EF4-FFF2-40B4-BE49-F238E27FC236}">
                <a16:creationId xmlns:a16="http://schemas.microsoft.com/office/drawing/2014/main" id="{D9F03A69-1328-495D-A0FA-A711AA031CB3}"/>
              </a:ext>
            </a:extLst>
          </xdr:cNvPr>
          <xdr:cNvCxnSpPr>
            <a:endCxn id="28" idx="3"/>
          </xdr:cNvCxnSpPr>
        </xdr:nvCxnSpPr>
        <xdr:spPr>
          <a:xfrm flipV="1">
            <a:off x="2145321" y="3640035"/>
            <a:ext cx="4202724" cy="2945405"/>
          </a:xfrm>
          <a:prstGeom prst="line">
            <a:avLst/>
          </a:prstGeom>
          <a:grpFill/>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a:extLst>
              <a:ext uri="{FF2B5EF4-FFF2-40B4-BE49-F238E27FC236}">
                <a16:creationId xmlns:a16="http://schemas.microsoft.com/office/drawing/2014/main" id="{0EA65DB8-F051-4C32-9849-08280DF2CF73}"/>
              </a:ext>
            </a:extLst>
          </xdr:cNvPr>
          <xdr:cNvCxnSpPr/>
        </xdr:nvCxnSpPr>
        <xdr:spPr>
          <a:xfrm flipV="1">
            <a:off x="6348045" y="281354"/>
            <a:ext cx="0" cy="2602510"/>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cxnSp macro="">
        <xdr:nvCxnSpPr>
          <xdr:cNvPr id="32" name="Straight Connector 31">
            <a:extLst>
              <a:ext uri="{FF2B5EF4-FFF2-40B4-BE49-F238E27FC236}">
                <a16:creationId xmlns:a16="http://schemas.microsoft.com/office/drawing/2014/main" id="{7230A025-D0FF-471C-86AD-D381F054369B}"/>
              </a:ext>
            </a:extLst>
          </xdr:cNvPr>
          <xdr:cNvCxnSpPr/>
        </xdr:nvCxnSpPr>
        <xdr:spPr>
          <a:xfrm flipV="1">
            <a:off x="2145321" y="4035680"/>
            <a:ext cx="0" cy="2602510"/>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142658</xdr:colOff>
      <xdr:row>14</xdr:row>
      <xdr:rowOff>38089</xdr:rowOff>
    </xdr:from>
    <xdr:to>
      <xdr:col>6</xdr:col>
      <xdr:colOff>64190</xdr:colOff>
      <xdr:row>14</xdr:row>
      <xdr:rowOff>171439</xdr:rowOff>
    </xdr:to>
    <xdr:grpSp>
      <xdr:nvGrpSpPr>
        <xdr:cNvPr id="33" name="Group 32">
          <a:extLst>
            <a:ext uri="{FF2B5EF4-FFF2-40B4-BE49-F238E27FC236}">
              <a16:creationId xmlns:a16="http://schemas.microsoft.com/office/drawing/2014/main" id="{9B83AC66-3398-4ED7-B905-102D39604D44}"/>
            </a:ext>
          </a:extLst>
        </xdr:cNvPr>
        <xdr:cNvGrpSpPr/>
      </xdr:nvGrpSpPr>
      <xdr:grpSpPr>
        <a:xfrm>
          <a:off x="3299515" y="2639775"/>
          <a:ext cx="128361" cy="133350"/>
          <a:chOff x="2145321" y="281354"/>
          <a:chExt cx="4202724" cy="6356836"/>
        </a:xfrm>
        <a:solidFill>
          <a:schemeClr val="bg1"/>
        </a:solidFill>
      </xdr:grpSpPr>
      <xdr:sp macro="" textlink="">
        <xdr:nvSpPr>
          <xdr:cNvPr id="34" name="Rectangle 33">
            <a:extLst>
              <a:ext uri="{FF2B5EF4-FFF2-40B4-BE49-F238E27FC236}">
                <a16:creationId xmlns:a16="http://schemas.microsoft.com/office/drawing/2014/main" id="{FECDD6C7-47AC-4D46-9A71-47D926AE0891}"/>
              </a:ext>
            </a:extLst>
          </xdr:cNvPr>
          <xdr:cNvSpPr/>
        </xdr:nvSpPr>
        <xdr:spPr>
          <a:xfrm>
            <a:off x="2145322" y="2180491"/>
            <a:ext cx="4202723" cy="2919046"/>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cxnSp macro="">
        <xdr:nvCxnSpPr>
          <xdr:cNvPr id="35" name="Straight Connector 34">
            <a:extLst>
              <a:ext uri="{FF2B5EF4-FFF2-40B4-BE49-F238E27FC236}">
                <a16:creationId xmlns:a16="http://schemas.microsoft.com/office/drawing/2014/main" id="{7C9F1105-CE17-4F5A-B91D-65FD5DDAE175}"/>
              </a:ext>
            </a:extLst>
          </xdr:cNvPr>
          <xdr:cNvCxnSpPr>
            <a:stCxn id="34" idx="1"/>
          </xdr:cNvCxnSpPr>
        </xdr:nvCxnSpPr>
        <xdr:spPr>
          <a:xfrm flipV="1">
            <a:off x="2145321" y="694602"/>
            <a:ext cx="4202724" cy="2945432"/>
          </a:xfrm>
          <a:prstGeom prst="line">
            <a:avLst/>
          </a:prstGeom>
          <a:grpFill/>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32BF5C63-5050-4C04-B57F-7FFC2790A6E0}"/>
              </a:ext>
            </a:extLst>
          </xdr:cNvPr>
          <xdr:cNvCxnSpPr>
            <a:endCxn id="34" idx="3"/>
          </xdr:cNvCxnSpPr>
        </xdr:nvCxnSpPr>
        <xdr:spPr>
          <a:xfrm flipV="1">
            <a:off x="2145321" y="3640035"/>
            <a:ext cx="4202724" cy="2945405"/>
          </a:xfrm>
          <a:prstGeom prst="line">
            <a:avLst/>
          </a:prstGeom>
          <a:grpFill/>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75392E51-3698-46FD-8197-E8BFD1CEF763}"/>
              </a:ext>
            </a:extLst>
          </xdr:cNvPr>
          <xdr:cNvCxnSpPr/>
        </xdr:nvCxnSpPr>
        <xdr:spPr>
          <a:xfrm flipV="1">
            <a:off x="6348045" y="281354"/>
            <a:ext cx="0" cy="2602510"/>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7">
            <a:extLst>
              <a:ext uri="{FF2B5EF4-FFF2-40B4-BE49-F238E27FC236}">
                <a16:creationId xmlns:a16="http://schemas.microsoft.com/office/drawing/2014/main" id="{2FAC8209-0458-4008-99FC-F0FE8F5E75B7}"/>
              </a:ext>
            </a:extLst>
          </xdr:cNvPr>
          <xdr:cNvCxnSpPr/>
        </xdr:nvCxnSpPr>
        <xdr:spPr>
          <a:xfrm flipV="1">
            <a:off x="2145321" y="4035680"/>
            <a:ext cx="0" cy="2602510"/>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140390</xdr:colOff>
      <xdr:row>14</xdr:row>
      <xdr:rowOff>28564</xdr:rowOff>
    </xdr:from>
    <xdr:to>
      <xdr:col>7</xdr:col>
      <xdr:colOff>61922</xdr:colOff>
      <xdr:row>14</xdr:row>
      <xdr:rowOff>161914</xdr:rowOff>
    </xdr:to>
    <xdr:grpSp>
      <xdr:nvGrpSpPr>
        <xdr:cNvPr id="39" name="Group 38">
          <a:extLst>
            <a:ext uri="{FF2B5EF4-FFF2-40B4-BE49-F238E27FC236}">
              <a16:creationId xmlns:a16="http://schemas.microsoft.com/office/drawing/2014/main" id="{60066005-ECD3-412B-885E-B15FE2BD7F0C}"/>
            </a:ext>
          </a:extLst>
        </xdr:cNvPr>
        <xdr:cNvGrpSpPr/>
      </xdr:nvGrpSpPr>
      <xdr:grpSpPr>
        <a:xfrm>
          <a:off x="3504076" y="2630250"/>
          <a:ext cx="128360" cy="133350"/>
          <a:chOff x="2145321" y="281354"/>
          <a:chExt cx="4202724" cy="6356836"/>
        </a:xfrm>
        <a:solidFill>
          <a:schemeClr val="bg1"/>
        </a:solidFill>
      </xdr:grpSpPr>
      <xdr:sp macro="" textlink="">
        <xdr:nvSpPr>
          <xdr:cNvPr id="40" name="Rectangle 39">
            <a:extLst>
              <a:ext uri="{FF2B5EF4-FFF2-40B4-BE49-F238E27FC236}">
                <a16:creationId xmlns:a16="http://schemas.microsoft.com/office/drawing/2014/main" id="{E463AA5F-8789-419F-8932-E567E64F06B9}"/>
              </a:ext>
            </a:extLst>
          </xdr:cNvPr>
          <xdr:cNvSpPr/>
        </xdr:nvSpPr>
        <xdr:spPr>
          <a:xfrm>
            <a:off x="2145322" y="2180491"/>
            <a:ext cx="4202723" cy="2919046"/>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cxnSp macro="">
        <xdr:nvCxnSpPr>
          <xdr:cNvPr id="41" name="Straight Connector 40">
            <a:extLst>
              <a:ext uri="{FF2B5EF4-FFF2-40B4-BE49-F238E27FC236}">
                <a16:creationId xmlns:a16="http://schemas.microsoft.com/office/drawing/2014/main" id="{C28D3F6F-6772-44A6-AD56-5A0FCB8A1A3D}"/>
              </a:ext>
            </a:extLst>
          </xdr:cNvPr>
          <xdr:cNvCxnSpPr>
            <a:stCxn id="40" idx="1"/>
          </xdr:cNvCxnSpPr>
        </xdr:nvCxnSpPr>
        <xdr:spPr>
          <a:xfrm flipV="1">
            <a:off x="2145321" y="694602"/>
            <a:ext cx="4202724" cy="2945432"/>
          </a:xfrm>
          <a:prstGeom prst="line">
            <a:avLst/>
          </a:prstGeom>
          <a:grpFill/>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188D58BF-F670-4F89-938C-80CE0636D81A}"/>
              </a:ext>
            </a:extLst>
          </xdr:cNvPr>
          <xdr:cNvCxnSpPr>
            <a:endCxn id="40" idx="3"/>
          </xdr:cNvCxnSpPr>
        </xdr:nvCxnSpPr>
        <xdr:spPr>
          <a:xfrm flipV="1">
            <a:off x="2145321" y="3640035"/>
            <a:ext cx="4202724" cy="2945405"/>
          </a:xfrm>
          <a:prstGeom prst="line">
            <a:avLst/>
          </a:prstGeom>
          <a:grpFill/>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6E2C9A2A-9FE2-4DD4-8AD4-5FFF01A71DD7}"/>
              </a:ext>
            </a:extLst>
          </xdr:cNvPr>
          <xdr:cNvCxnSpPr/>
        </xdr:nvCxnSpPr>
        <xdr:spPr>
          <a:xfrm flipV="1">
            <a:off x="6348045" y="281354"/>
            <a:ext cx="0" cy="2602510"/>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19BA2B9-9873-404D-A4E7-483C615A5781}"/>
              </a:ext>
            </a:extLst>
          </xdr:cNvPr>
          <xdr:cNvCxnSpPr/>
        </xdr:nvCxnSpPr>
        <xdr:spPr>
          <a:xfrm flipV="1">
            <a:off x="2145321" y="4035680"/>
            <a:ext cx="0" cy="2602510"/>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23</xdr:col>
      <xdr:colOff>188015</xdr:colOff>
      <xdr:row>14</xdr:row>
      <xdr:rowOff>28564</xdr:rowOff>
    </xdr:from>
    <xdr:to>
      <xdr:col>24</xdr:col>
      <xdr:colOff>74848</xdr:colOff>
      <xdr:row>14</xdr:row>
      <xdr:rowOff>161914</xdr:rowOff>
    </xdr:to>
    <xdr:grpSp>
      <xdr:nvGrpSpPr>
        <xdr:cNvPr id="45" name="Group 44">
          <a:extLst>
            <a:ext uri="{FF2B5EF4-FFF2-40B4-BE49-F238E27FC236}">
              <a16:creationId xmlns:a16="http://schemas.microsoft.com/office/drawing/2014/main" id="{14D4F47F-FA45-431E-9B20-8AC60ADB06AC}"/>
            </a:ext>
          </a:extLst>
        </xdr:cNvPr>
        <xdr:cNvGrpSpPr/>
      </xdr:nvGrpSpPr>
      <xdr:grpSpPr>
        <a:xfrm>
          <a:off x="10268186" y="2630250"/>
          <a:ext cx="126319" cy="133350"/>
          <a:chOff x="2145321" y="281354"/>
          <a:chExt cx="4202724" cy="6356836"/>
        </a:xfrm>
        <a:solidFill>
          <a:schemeClr val="bg1"/>
        </a:solidFill>
      </xdr:grpSpPr>
      <xdr:sp macro="" textlink="">
        <xdr:nvSpPr>
          <xdr:cNvPr id="46" name="Rectangle 45">
            <a:extLst>
              <a:ext uri="{FF2B5EF4-FFF2-40B4-BE49-F238E27FC236}">
                <a16:creationId xmlns:a16="http://schemas.microsoft.com/office/drawing/2014/main" id="{1B668959-00B4-4BFE-9777-A13E705A52A2}"/>
              </a:ext>
            </a:extLst>
          </xdr:cNvPr>
          <xdr:cNvSpPr/>
        </xdr:nvSpPr>
        <xdr:spPr>
          <a:xfrm>
            <a:off x="2145322" y="2180491"/>
            <a:ext cx="4202723" cy="2919046"/>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cxnSp macro="">
        <xdr:nvCxnSpPr>
          <xdr:cNvPr id="47" name="Straight Connector 46">
            <a:extLst>
              <a:ext uri="{FF2B5EF4-FFF2-40B4-BE49-F238E27FC236}">
                <a16:creationId xmlns:a16="http://schemas.microsoft.com/office/drawing/2014/main" id="{7F256F28-1964-4E65-B2A0-13449FFAA297}"/>
              </a:ext>
            </a:extLst>
          </xdr:cNvPr>
          <xdr:cNvCxnSpPr>
            <a:stCxn id="46" idx="1"/>
          </xdr:cNvCxnSpPr>
        </xdr:nvCxnSpPr>
        <xdr:spPr>
          <a:xfrm flipV="1">
            <a:off x="2145321" y="694602"/>
            <a:ext cx="4202724" cy="2945432"/>
          </a:xfrm>
          <a:prstGeom prst="line">
            <a:avLst/>
          </a:prstGeom>
          <a:grpFill/>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17E66E1-AFAD-4D29-876C-038F743046EF}"/>
              </a:ext>
            </a:extLst>
          </xdr:cNvPr>
          <xdr:cNvCxnSpPr>
            <a:endCxn id="46" idx="3"/>
          </xdr:cNvCxnSpPr>
        </xdr:nvCxnSpPr>
        <xdr:spPr>
          <a:xfrm flipV="1">
            <a:off x="2145321" y="3640035"/>
            <a:ext cx="4202724" cy="2945405"/>
          </a:xfrm>
          <a:prstGeom prst="line">
            <a:avLst/>
          </a:prstGeom>
          <a:grpFill/>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FF900F30-DA74-45DA-9A0D-FB8334DE77DF}"/>
              </a:ext>
            </a:extLst>
          </xdr:cNvPr>
          <xdr:cNvCxnSpPr/>
        </xdr:nvCxnSpPr>
        <xdr:spPr>
          <a:xfrm flipV="1">
            <a:off x="6348045" y="281354"/>
            <a:ext cx="0" cy="2602510"/>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a:extLst>
              <a:ext uri="{FF2B5EF4-FFF2-40B4-BE49-F238E27FC236}">
                <a16:creationId xmlns:a16="http://schemas.microsoft.com/office/drawing/2014/main" id="{FFA9C2D7-5F1A-4696-AFD5-59D1B3A84314}"/>
              </a:ext>
            </a:extLst>
          </xdr:cNvPr>
          <xdr:cNvCxnSpPr/>
        </xdr:nvCxnSpPr>
        <xdr:spPr>
          <a:xfrm flipV="1">
            <a:off x="2145321" y="4035680"/>
            <a:ext cx="0" cy="2602510"/>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24</xdr:col>
      <xdr:colOff>179623</xdr:colOff>
      <xdr:row>14</xdr:row>
      <xdr:rowOff>19039</xdr:rowOff>
    </xdr:from>
    <xdr:to>
      <xdr:col>25</xdr:col>
      <xdr:colOff>66458</xdr:colOff>
      <xdr:row>14</xdr:row>
      <xdr:rowOff>152389</xdr:rowOff>
    </xdr:to>
    <xdr:grpSp>
      <xdr:nvGrpSpPr>
        <xdr:cNvPr id="51" name="Group 50">
          <a:extLst>
            <a:ext uri="{FF2B5EF4-FFF2-40B4-BE49-F238E27FC236}">
              <a16:creationId xmlns:a16="http://schemas.microsoft.com/office/drawing/2014/main" id="{7B4B95E1-A3EF-45B5-AB13-E5E5D7390AF1}"/>
            </a:ext>
          </a:extLst>
        </xdr:cNvPr>
        <xdr:cNvGrpSpPr/>
      </xdr:nvGrpSpPr>
      <xdr:grpSpPr>
        <a:xfrm>
          <a:off x="10499280" y="2620725"/>
          <a:ext cx="126321" cy="133350"/>
          <a:chOff x="2145321" y="281354"/>
          <a:chExt cx="4202724" cy="6356836"/>
        </a:xfrm>
        <a:solidFill>
          <a:schemeClr val="bg1"/>
        </a:solidFill>
      </xdr:grpSpPr>
      <xdr:sp macro="" textlink="">
        <xdr:nvSpPr>
          <xdr:cNvPr id="52" name="Rectangle 51">
            <a:extLst>
              <a:ext uri="{FF2B5EF4-FFF2-40B4-BE49-F238E27FC236}">
                <a16:creationId xmlns:a16="http://schemas.microsoft.com/office/drawing/2014/main" id="{5918EC4C-BFCE-4170-8DB4-455BF5EBF7E5}"/>
              </a:ext>
            </a:extLst>
          </xdr:cNvPr>
          <xdr:cNvSpPr/>
        </xdr:nvSpPr>
        <xdr:spPr>
          <a:xfrm>
            <a:off x="2145322" y="2180491"/>
            <a:ext cx="4202723" cy="2919046"/>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cxnSp macro="">
        <xdr:nvCxnSpPr>
          <xdr:cNvPr id="53" name="Straight Connector 52">
            <a:extLst>
              <a:ext uri="{FF2B5EF4-FFF2-40B4-BE49-F238E27FC236}">
                <a16:creationId xmlns:a16="http://schemas.microsoft.com/office/drawing/2014/main" id="{3E61289D-04CE-407D-94D5-F226CD383D59}"/>
              </a:ext>
            </a:extLst>
          </xdr:cNvPr>
          <xdr:cNvCxnSpPr>
            <a:stCxn id="52" idx="1"/>
          </xdr:cNvCxnSpPr>
        </xdr:nvCxnSpPr>
        <xdr:spPr>
          <a:xfrm flipV="1">
            <a:off x="2145321" y="694602"/>
            <a:ext cx="4202724" cy="2945432"/>
          </a:xfrm>
          <a:prstGeom prst="line">
            <a:avLst/>
          </a:prstGeom>
          <a:grpFill/>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9ADDFB7B-7CC0-4A5D-AF9B-030A53274326}"/>
              </a:ext>
            </a:extLst>
          </xdr:cNvPr>
          <xdr:cNvCxnSpPr>
            <a:endCxn id="52" idx="3"/>
          </xdr:cNvCxnSpPr>
        </xdr:nvCxnSpPr>
        <xdr:spPr>
          <a:xfrm flipV="1">
            <a:off x="2145321" y="3640035"/>
            <a:ext cx="4202724" cy="2945405"/>
          </a:xfrm>
          <a:prstGeom prst="line">
            <a:avLst/>
          </a:prstGeom>
          <a:grpFill/>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DDF5D3C4-D894-4D76-B5AD-3E99C5DD42D9}"/>
              </a:ext>
            </a:extLst>
          </xdr:cNvPr>
          <xdr:cNvCxnSpPr/>
        </xdr:nvCxnSpPr>
        <xdr:spPr>
          <a:xfrm flipV="1">
            <a:off x="6348045" y="281354"/>
            <a:ext cx="0" cy="2602510"/>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195F7AA9-57C1-4304-A1AE-6CB81BD08DC1}"/>
              </a:ext>
            </a:extLst>
          </xdr:cNvPr>
          <xdr:cNvCxnSpPr/>
        </xdr:nvCxnSpPr>
        <xdr:spPr>
          <a:xfrm flipV="1">
            <a:off x="2145321" y="4035680"/>
            <a:ext cx="0" cy="2602510"/>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0</xdr:colOff>
      <xdr:row>1</xdr:row>
      <xdr:rowOff>1</xdr:rowOff>
    </xdr:from>
    <xdr:to>
      <xdr:col>13</xdr:col>
      <xdr:colOff>177911</xdr:colOff>
      <xdr:row>2</xdr:row>
      <xdr:rowOff>1219200</xdr:rowOff>
    </xdr:to>
    <xdr:sp macro="" textlink="">
      <xdr:nvSpPr>
        <xdr:cNvPr id="2" name="TextBox 1">
          <a:extLst>
            <a:ext uri="{FF2B5EF4-FFF2-40B4-BE49-F238E27FC236}">
              <a16:creationId xmlns:a16="http://schemas.microsoft.com/office/drawing/2014/main" id="{7B5210A8-4D40-442E-9F33-DA030B92BD45}"/>
            </a:ext>
          </a:extLst>
        </xdr:cNvPr>
        <xdr:cNvSpPr txBox="1"/>
      </xdr:nvSpPr>
      <xdr:spPr>
        <a:xfrm>
          <a:off x="13049250" y="238126"/>
          <a:ext cx="3664061" cy="2933699"/>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latin typeface="+mn-lt"/>
              <a:ea typeface="Tahoma" panose="020B0604030504040204" pitchFamily="34" charset="0"/>
              <a:cs typeface="Helvetica" panose="020B0604020202020204" pitchFamily="34" charset="0"/>
            </a:rPr>
            <a:t>Cashflow Notes</a:t>
          </a:r>
          <a:r>
            <a:rPr lang="nl-NL" sz="1100">
              <a:latin typeface="+mn-lt"/>
              <a:ea typeface="Tahoma" panose="020B0604030504040204" pitchFamily="34" charset="0"/>
              <a:cs typeface="Helvetica" panose="020B0604020202020204" pitchFamily="34" charset="0"/>
            </a:rPr>
            <a:t>:</a:t>
          </a:r>
        </a:p>
        <a:p>
          <a:r>
            <a:rPr lang="nl-NL" sz="1100" baseline="0">
              <a:latin typeface="+mn-lt"/>
              <a:ea typeface="Tahoma" panose="020B0604030504040204" pitchFamily="34" charset="0"/>
              <a:cs typeface="Helvetica" panose="020B0604020202020204" pitchFamily="34" charset="0"/>
            </a:rPr>
            <a:t>- One paper (Szentes geothermal field, Hungary, Balint and Szanyi, 2015), produced 6.5 million m3/year, which is 17808 m3/day and about 206.1 L/s.</a:t>
          </a:r>
        </a:p>
        <a:p>
          <a:r>
            <a:rPr lang="nl-NL" sz="1100" baseline="0">
              <a:latin typeface="+mn-lt"/>
              <a:ea typeface="Tahoma" panose="020B0604030504040204" pitchFamily="34" charset="0"/>
              <a:cs typeface="Helvetica" panose="020B0604020202020204" pitchFamily="34" charset="0"/>
            </a:rPr>
            <a:t>- Working on the post-plateau decline rate</a:t>
          </a:r>
        </a:p>
        <a:p>
          <a:r>
            <a:rPr lang="nl-NL" sz="1100" baseline="0">
              <a:latin typeface="+mn-lt"/>
              <a:ea typeface="Tahoma" panose="020B0604030504040204" pitchFamily="34" charset="0"/>
              <a:cs typeface="Helvetica" panose="020B0604020202020204" pitchFamily="34" charset="0"/>
            </a:rPr>
            <a:t>- Now, workovers are initiated and completed in the same year, not sure if we want that</a:t>
          </a:r>
        </a:p>
        <a:p>
          <a:r>
            <a:rPr lang="nl-NL" sz="1100">
              <a:latin typeface="+mn-lt"/>
              <a:ea typeface="Tahoma" panose="020B0604030504040204" pitchFamily="34" charset="0"/>
              <a:cs typeface="Helvetica" panose="020B0604020202020204" pitchFamily="34" charset="0"/>
            </a:rPr>
            <a:t>- Need to add distance from grid from</a:t>
          </a:r>
          <a:r>
            <a:rPr lang="nl-NL" sz="1100" baseline="0">
              <a:latin typeface="+mn-lt"/>
              <a:ea typeface="Tahoma" panose="020B0604030504040204" pitchFamily="34" charset="0"/>
              <a:cs typeface="Helvetica" panose="020B0604020202020204" pitchFamily="34" charset="0"/>
            </a:rPr>
            <a:t> Jan-Diederik's workbook</a:t>
          </a:r>
        </a:p>
        <a:p>
          <a:r>
            <a:rPr lang="nl-NL" sz="1100" baseline="0">
              <a:latin typeface="+mn-lt"/>
              <a:ea typeface="Tahoma" panose="020B0604030504040204" pitchFamily="34" charset="0"/>
              <a:cs typeface="Helvetica" panose="020B0604020202020204" pitchFamily="34" charset="0"/>
            </a:rPr>
            <a:t>- Slowly decrease the number of days in operation? For reasons of mechanical downtime?</a:t>
          </a:r>
        </a:p>
        <a:p>
          <a:r>
            <a:rPr lang="nl-NL" sz="1100" baseline="0">
              <a:latin typeface="+mn-lt"/>
              <a:ea typeface="Tahoma" panose="020B0604030504040204" pitchFamily="34" charset="0"/>
              <a:cs typeface="Helvetica" panose="020B0604020202020204" pitchFamily="34" charset="0"/>
            </a:rPr>
            <a:t>- *Potentially add capability for turbines per well at the early staging and phasing during capex development. Make new wells to keep production up. Don't make automatic but an option.</a:t>
          </a:r>
          <a:endParaRPr lang="nl-NL" sz="1100">
            <a:latin typeface="+mn-lt"/>
            <a:ea typeface="Tahoma" panose="020B0604030504040204" pitchFamily="34" charset="0"/>
            <a:cs typeface="Helvetica" panose="020B0604020202020204" pitchFamily="34" charset="0"/>
          </a:endParaRPr>
        </a:p>
      </xdr:txBody>
    </xdr:sp>
    <xdr:clientData/>
  </xdr:twoCellAnchor>
  <xdr:twoCellAnchor>
    <xdr:from>
      <xdr:col>6</xdr:col>
      <xdr:colOff>752475</xdr:colOff>
      <xdr:row>3</xdr:row>
      <xdr:rowOff>19051</xdr:rowOff>
    </xdr:from>
    <xdr:to>
      <xdr:col>13</xdr:col>
      <xdr:colOff>285750</xdr:colOff>
      <xdr:row>5</xdr:row>
      <xdr:rowOff>304801</xdr:rowOff>
    </xdr:to>
    <xdr:sp macro="" textlink="">
      <xdr:nvSpPr>
        <xdr:cNvPr id="3" name="TextBox 2">
          <a:extLst>
            <a:ext uri="{FF2B5EF4-FFF2-40B4-BE49-F238E27FC236}">
              <a16:creationId xmlns:a16="http://schemas.microsoft.com/office/drawing/2014/main" id="{9CD5BCC8-FBAD-4417-B535-6E7B64010E8B}"/>
            </a:ext>
          </a:extLst>
        </xdr:cNvPr>
        <xdr:cNvSpPr txBox="1"/>
      </xdr:nvSpPr>
      <xdr:spPr>
        <a:xfrm>
          <a:off x="12906375" y="3495676"/>
          <a:ext cx="3914775" cy="27622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latin typeface="+mn-lt"/>
              <a:ea typeface="Tahoma" panose="020B0604030504040204" pitchFamily="34" charset="0"/>
              <a:cs typeface="Helvetica" panose="020B0604020202020204" pitchFamily="34" charset="0"/>
            </a:rPr>
            <a:t>From Ali Ashat's</a:t>
          </a:r>
          <a:r>
            <a:rPr lang="nl-NL" sz="1100" b="1" baseline="0">
              <a:latin typeface="+mn-lt"/>
              <a:ea typeface="Tahoma" panose="020B0604030504040204" pitchFamily="34" charset="0"/>
              <a:cs typeface="Helvetica" panose="020B0604020202020204" pitchFamily="34" charset="0"/>
            </a:rPr>
            <a:t> workbook</a:t>
          </a:r>
          <a:r>
            <a:rPr lang="nl-NL" sz="1100">
              <a:latin typeface="+mn-lt"/>
              <a:ea typeface="Tahoma" panose="020B0604030504040204" pitchFamily="34" charset="0"/>
              <a:cs typeface="Helvetica" panose="020B0604020202020204" pitchFamily="34" charset="0"/>
            </a:rPr>
            <a:t>:</a:t>
          </a:r>
        </a:p>
        <a:p>
          <a:r>
            <a:rPr lang="nl-NL" sz="1100" u="sng">
              <a:latin typeface="+mn-lt"/>
              <a:ea typeface="Tahoma" panose="020B0604030504040204" pitchFamily="34" charset="0"/>
              <a:cs typeface="Helvetica" panose="020B0604020202020204" pitchFamily="34" charset="0"/>
            </a:rPr>
            <a:t>Inflation rate</a:t>
          </a:r>
          <a:r>
            <a:rPr lang="nl-NL" sz="1100">
              <a:latin typeface="+mn-lt"/>
              <a:ea typeface="Tahoma" panose="020B0604030504040204" pitchFamily="34" charset="0"/>
              <a:cs typeface="Helvetica" panose="020B0604020202020204" pitchFamily="34" charset="0"/>
            </a:rPr>
            <a:t>: indonesia's</a:t>
          </a:r>
          <a:r>
            <a:rPr lang="nl-NL" sz="1100" baseline="0">
              <a:latin typeface="+mn-lt"/>
              <a:ea typeface="Tahoma" panose="020B0604030504040204" pitchFamily="34" charset="0"/>
              <a:cs typeface="Helvetica" panose="020B0604020202020204" pitchFamily="34" charset="0"/>
            </a:rPr>
            <a:t> (1+rate)^(year-starting year)</a:t>
          </a:r>
        </a:p>
        <a:p>
          <a:r>
            <a:rPr lang="nl-NL" sz="1100" u="sng" baseline="0">
              <a:latin typeface="+mn-lt"/>
              <a:ea typeface="Tahoma" panose="020B0604030504040204" pitchFamily="34" charset="0"/>
              <a:cs typeface="Helvetica" panose="020B0604020202020204" pitchFamily="34" charset="0"/>
            </a:rPr>
            <a:t>Valuation of expenses</a:t>
          </a:r>
          <a:r>
            <a:rPr lang="nl-NL" sz="1100" baseline="0">
              <a:latin typeface="+mn-lt"/>
              <a:ea typeface="Tahoma" panose="020B0604030504040204" pitchFamily="34" charset="0"/>
              <a:cs typeface="Helvetica" panose="020B0604020202020204" pitchFamily="34" charset="0"/>
            </a:rPr>
            <a:t>:  expense * current inflation/1st yr inflation</a:t>
          </a:r>
        </a:p>
        <a:p>
          <a:r>
            <a:rPr lang="nl-NL" sz="1100" u="sng" baseline="0">
              <a:latin typeface="+mn-lt"/>
              <a:ea typeface="Tahoma" panose="020B0604030504040204" pitchFamily="34" charset="0"/>
              <a:cs typeface="Helvetica" panose="020B0604020202020204" pitchFamily="34" charset="0"/>
            </a:rPr>
            <a:t>Pertamina production allowance</a:t>
          </a:r>
          <a:r>
            <a:rPr lang="nl-NL" sz="1100" u="none" baseline="0">
              <a:latin typeface="+mn-lt"/>
              <a:ea typeface="Tahoma" panose="020B0604030504040204" pitchFamily="34" charset="0"/>
              <a:cs typeface="Helvetica" panose="020B0604020202020204" pitchFamily="34" charset="0"/>
            </a:rPr>
            <a:t>: pertamina fee</a:t>
          </a:r>
        </a:p>
        <a:p>
          <a:r>
            <a:rPr lang="nl-NL" sz="1100" u="sng" baseline="0">
              <a:latin typeface="+mn-lt"/>
              <a:ea typeface="Tahoma" panose="020B0604030504040204" pitchFamily="34" charset="0"/>
              <a:cs typeface="Helvetica" panose="020B0604020202020204" pitchFamily="34" charset="0"/>
            </a:rPr>
            <a:t>Power plant capital</a:t>
          </a:r>
          <a:r>
            <a:rPr lang="nl-NL" sz="1100" u="none" baseline="0">
              <a:latin typeface="+mn-lt"/>
              <a:ea typeface="Tahoma" panose="020B0604030504040204" pitchFamily="34" charset="0"/>
              <a:cs typeface="Helvetica" panose="020B0604020202020204" pitchFamily="34" charset="0"/>
            </a:rPr>
            <a:t>: plus depreciation over the years</a:t>
          </a:r>
        </a:p>
        <a:p>
          <a:r>
            <a:rPr lang="nl-NL" sz="1100" u="sng" baseline="0">
              <a:latin typeface="+mn-lt"/>
              <a:ea typeface="Tahoma" panose="020B0604030504040204" pitchFamily="34" charset="0"/>
              <a:cs typeface="Helvetica" panose="020B0604020202020204" pitchFamily="34" charset="0"/>
            </a:rPr>
            <a:t>Steam field capital</a:t>
          </a:r>
          <a:r>
            <a:rPr lang="nl-NL" sz="1100" u="none" baseline="0">
              <a:latin typeface="+mn-lt"/>
              <a:ea typeface="Tahoma" panose="020B0604030504040204" pitchFamily="34" charset="0"/>
              <a:cs typeface="Helvetica" panose="020B0604020202020204" pitchFamily="34" charset="0"/>
            </a:rPr>
            <a:t>: plus depreciation</a:t>
          </a:r>
        </a:p>
        <a:p>
          <a:endParaRPr lang="nl-NL" sz="1100" u="none" baseline="0">
            <a:latin typeface="+mn-lt"/>
            <a:ea typeface="Tahoma" panose="020B0604030504040204" pitchFamily="34" charset="0"/>
            <a:cs typeface="Helvetica" panose="020B0604020202020204" pitchFamily="34" charset="0"/>
          </a:endParaRPr>
        </a:p>
        <a:p>
          <a:endParaRPr lang="nl-NL" sz="1100" u="none" baseline="0">
            <a:latin typeface="+mn-lt"/>
            <a:ea typeface="Tahoma" panose="020B0604030504040204" pitchFamily="34" charset="0"/>
            <a:cs typeface="Helvetica" panose="020B0604020202020204" pitchFamily="34" charset="0"/>
          </a:endParaRPr>
        </a:p>
        <a:p>
          <a:r>
            <a:rPr lang="nl-NL" sz="1100" u="none" baseline="0">
              <a:latin typeface="+mn-lt"/>
              <a:ea typeface="Tahoma" panose="020B0604030504040204" pitchFamily="34" charset="0"/>
              <a:cs typeface="Helvetica" panose="020B0604020202020204" pitchFamily="34" charset="0"/>
            </a:rPr>
            <a:t>- Different units of power generation: unit 1 is power generation, while units 2 and 3 are steam supply</a:t>
          </a:r>
        </a:p>
        <a:p>
          <a:r>
            <a:rPr lang="nl-NL" sz="1100" u="none" baseline="0">
              <a:latin typeface="+mn-lt"/>
              <a:ea typeface="Tahoma" panose="020B0604030504040204" pitchFamily="34" charset="0"/>
              <a:cs typeface="Helvetica" panose="020B0604020202020204" pitchFamily="34" charset="0"/>
            </a:rPr>
            <a:t>- depreciation per plant (power or steam)</a:t>
          </a:r>
          <a:endParaRPr lang="nl-NL" sz="1100" u="sng" baseline="0">
            <a:latin typeface="+mn-lt"/>
            <a:ea typeface="Tahoma" panose="020B0604030504040204" pitchFamily="34" charset="0"/>
            <a:cs typeface="Helvetica" panose="020B0604020202020204" pitchFamily="34" charset="0"/>
          </a:endParaRPr>
        </a:p>
        <a:p>
          <a:endParaRPr lang="nl-NL" sz="1100">
            <a:latin typeface="+mn-lt"/>
            <a:ea typeface="Tahoma" panose="020B0604030504040204" pitchFamily="34" charset="0"/>
            <a:cs typeface="Helvetica" panose="020B0604020202020204" pitchFamily="34" charset="0"/>
          </a:endParaRPr>
        </a:p>
      </xdr:txBody>
    </xdr:sp>
    <xdr:clientData/>
  </xdr:twoCellAnchor>
  <xdr:twoCellAnchor>
    <xdr:from>
      <xdr:col>6</xdr:col>
      <xdr:colOff>695325</xdr:colOff>
      <xdr:row>5</xdr:row>
      <xdr:rowOff>561976</xdr:rowOff>
    </xdr:from>
    <xdr:to>
      <xdr:col>13</xdr:col>
      <xdr:colOff>276225</xdr:colOff>
      <xdr:row>6</xdr:row>
      <xdr:rowOff>676276</xdr:rowOff>
    </xdr:to>
    <xdr:sp macro="" textlink="">
      <xdr:nvSpPr>
        <xdr:cNvPr id="4" name="TextBox 3">
          <a:extLst>
            <a:ext uri="{FF2B5EF4-FFF2-40B4-BE49-F238E27FC236}">
              <a16:creationId xmlns:a16="http://schemas.microsoft.com/office/drawing/2014/main" id="{7087B506-929B-4B42-AB09-0A0D66DBDADE}"/>
            </a:ext>
          </a:extLst>
        </xdr:cNvPr>
        <xdr:cNvSpPr txBox="1"/>
      </xdr:nvSpPr>
      <xdr:spPr>
        <a:xfrm>
          <a:off x="12849225" y="6324601"/>
          <a:ext cx="3962400" cy="20193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rgbClr val="FF0000"/>
              </a:solidFill>
            </a:rPr>
            <a:t>Project def</a:t>
          </a:r>
          <a:r>
            <a:rPr lang="nl-NL" sz="1100" baseline="0">
              <a:solidFill>
                <a:srgbClr val="FF0000"/>
              </a:solidFill>
            </a:rPr>
            <a:t> - </a:t>
          </a:r>
          <a:r>
            <a:rPr lang="nl-NL" sz="1100">
              <a:solidFill>
                <a:srgbClr val="FF0000"/>
              </a:solidFill>
            </a:rPr>
            <a:t>NOTE / QUESTIONS</a:t>
          </a:r>
        </a:p>
        <a:p>
          <a:r>
            <a:rPr lang="nl-NL" sz="1100" baseline="0">
              <a:solidFill>
                <a:srgbClr val="FF0000"/>
              </a:solidFill>
            </a:rPr>
            <a:t>* TNO &amp; DoE well cost calc: includes stimulation?</a:t>
          </a:r>
        </a:p>
        <a:p>
          <a:r>
            <a:rPr lang="nl-NL" sz="1100" baseline="0">
              <a:solidFill>
                <a:srgbClr val="FF0000"/>
              </a:solidFill>
            </a:rPr>
            <a:t>* include well opex using total well count of expl/appr/devt + autom devt wells wells</a:t>
          </a:r>
        </a:p>
        <a:p>
          <a:endParaRPr lang="nl-NL" sz="1100" baseline="0">
            <a:solidFill>
              <a:srgbClr val="FF0000"/>
            </a:solidFill>
          </a:endParaRPr>
        </a:p>
        <a:p>
          <a:r>
            <a:rPr lang="nl-NL" sz="1100" baseline="0">
              <a:solidFill>
                <a:srgbClr val="FF0000"/>
              </a:solidFill>
            </a:rPr>
            <a:t>* Do we want a max number of wells? Now there is only a constraint on # wells/year</a:t>
          </a:r>
        </a:p>
        <a:p>
          <a:r>
            <a:rPr lang="nl-NL" sz="1100" baseline="0">
              <a:solidFill>
                <a:srgbClr val="FF0000"/>
              </a:solidFill>
            </a:rPr>
            <a:t>* Are devt. wells cost different than regular geothermal wells?</a:t>
          </a:r>
        </a:p>
        <a:p>
          <a:r>
            <a:rPr lang="nl-NL" sz="1100" baseline="0">
              <a:solidFill>
                <a:srgbClr val="FF0000"/>
              </a:solidFill>
            </a:rPr>
            <a:t>* Cashflow!B86 says production wells but has it defined as all wells - any difference?</a:t>
          </a:r>
        </a:p>
      </xdr:txBody>
    </xdr:sp>
    <xdr:clientData/>
  </xdr:twoCellAnchor>
  <xdr:twoCellAnchor>
    <xdr:from>
      <xdr:col>4</xdr:col>
      <xdr:colOff>334435</xdr:colOff>
      <xdr:row>4</xdr:row>
      <xdr:rowOff>254000</xdr:rowOff>
    </xdr:from>
    <xdr:to>
      <xdr:col>4</xdr:col>
      <xdr:colOff>2487085</xdr:colOff>
      <xdr:row>4</xdr:row>
      <xdr:rowOff>1513416</xdr:rowOff>
    </xdr:to>
    <xdr:sp macro="" textlink="">
      <xdr:nvSpPr>
        <xdr:cNvPr id="5" name="Speech Bubble: Rectangle 4" descr="34820628-55e1-44d8-9605-1a21871c43b7">
          <a:extLst>
            <a:ext uri="{FF2B5EF4-FFF2-40B4-BE49-F238E27FC236}">
              <a16:creationId xmlns:a16="http://schemas.microsoft.com/office/drawing/2014/main" id="{679673C7-9A4B-484F-ABAC-6C7D555C863A}"/>
            </a:ext>
          </a:extLst>
        </xdr:cNvPr>
        <xdr:cNvSpPr/>
      </xdr:nvSpPr>
      <xdr:spPr>
        <a:xfrm>
          <a:off x="11648018" y="3735917"/>
          <a:ext cx="2152650" cy="1259416"/>
        </a:xfrm>
        <a:prstGeom prst="wedgeRectCallout">
          <a:avLst>
            <a:gd name="adj1" fmla="val 76552"/>
            <a:gd name="adj2" fmla="val -544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Specify rate-constraints (e.g. liter/sec): reservoir, pump, surface facilities, steam turbine, injection wells... And choke back production to lowest value.</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3518535</xdr:colOff>
      <xdr:row>23</xdr:row>
      <xdr:rowOff>131444</xdr:rowOff>
    </xdr:from>
    <xdr:to>
      <xdr:col>2</xdr:col>
      <xdr:colOff>2081496</xdr:colOff>
      <xdr:row>25</xdr:row>
      <xdr:rowOff>68428</xdr:rowOff>
    </xdr:to>
    <xdr:pic>
      <xdr:nvPicPr>
        <xdr:cNvPr id="4" name="Picture 3">
          <a:extLst>
            <a:ext uri="{FF2B5EF4-FFF2-40B4-BE49-F238E27FC236}">
              <a16:creationId xmlns:a16="http://schemas.microsoft.com/office/drawing/2014/main" id="{0CC39AA3-EA9B-4778-A457-717EAC80D741}"/>
            </a:ext>
          </a:extLst>
        </xdr:cNvPr>
        <xdr:cNvPicPr>
          <a:picLocks noChangeAspect="1"/>
        </xdr:cNvPicPr>
      </xdr:nvPicPr>
      <xdr:blipFill rotWithShape="1">
        <a:blip xmlns:r="http://schemas.openxmlformats.org/officeDocument/2006/relationships" r:embed="rId1"/>
        <a:srcRect l="375" t="77713" r="34034" b="16849"/>
        <a:stretch/>
      </xdr:blipFill>
      <xdr:spPr>
        <a:xfrm>
          <a:off x="4137660" y="11180444"/>
          <a:ext cx="6674745" cy="326488"/>
        </a:xfrm>
        <a:prstGeom prst="rect">
          <a:avLst/>
        </a:prstGeom>
      </xdr:spPr>
    </xdr:pic>
    <xdr:clientData/>
  </xdr:twoCellAnchor>
  <xdr:twoCellAnchor editAs="oneCell">
    <xdr:from>
      <xdr:col>1</xdr:col>
      <xdr:colOff>3921919</xdr:colOff>
      <xdr:row>30</xdr:row>
      <xdr:rowOff>152400</xdr:rowOff>
    </xdr:from>
    <xdr:to>
      <xdr:col>2</xdr:col>
      <xdr:colOff>1776327</xdr:colOff>
      <xdr:row>32</xdr:row>
      <xdr:rowOff>26228</xdr:rowOff>
    </xdr:to>
    <xdr:pic>
      <xdr:nvPicPr>
        <xdr:cNvPr id="5" name="Picture 4">
          <a:extLst>
            <a:ext uri="{FF2B5EF4-FFF2-40B4-BE49-F238E27FC236}">
              <a16:creationId xmlns:a16="http://schemas.microsoft.com/office/drawing/2014/main" id="{F19C85B2-E1F2-4175-97A0-268562194A7F}"/>
            </a:ext>
          </a:extLst>
        </xdr:cNvPr>
        <xdr:cNvPicPr>
          <a:picLocks noChangeAspect="1"/>
        </xdr:cNvPicPr>
      </xdr:nvPicPr>
      <xdr:blipFill rotWithShape="1">
        <a:blip xmlns:r="http://schemas.openxmlformats.org/officeDocument/2006/relationships" r:embed="rId2"/>
        <a:srcRect l="1" t="64200" r="32708" b="31060"/>
        <a:stretch/>
      </xdr:blipFill>
      <xdr:spPr>
        <a:xfrm>
          <a:off x="4541044" y="11010900"/>
          <a:ext cx="5968121" cy="254828"/>
        </a:xfrm>
        <a:prstGeom prst="rect">
          <a:avLst/>
        </a:prstGeom>
      </xdr:spPr>
    </xdr:pic>
    <xdr:clientData/>
  </xdr:twoCellAnchor>
  <xdr:twoCellAnchor editAs="oneCell">
    <xdr:from>
      <xdr:col>2</xdr:col>
      <xdr:colOff>38100</xdr:colOff>
      <xdr:row>32</xdr:row>
      <xdr:rowOff>190500</xdr:rowOff>
    </xdr:from>
    <xdr:to>
      <xdr:col>5</xdr:col>
      <xdr:colOff>443337</xdr:colOff>
      <xdr:row>32</xdr:row>
      <xdr:rowOff>472440</xdr:rowOff>
    </xdr:to>
    <xdr:pic>
      <xdr:nvPicPr>
        <xdr:cNvPr id="6" name="Picture 5">
          <a:extLst>
            <a:ext uri="{FF2B5EF4-FFF2-40B4-BE49-F238E27FC236}">
              <a16:creationId xmlns:a16="http://schemas.microsoft.com/office/drawing/2014/main" id="{4355BD9A-25CA-48AA-A05A-CF06BA4BF4EA}"/>
            </a:ext>
          </a:extLst>
        </xdr:cNvPr>
        <xdr:cNvPicPr>
          <a:picLocks noChangeAspect="1"/>
        </xdr:cNvPicPr>
      </xdr:nvPicPr>
      <xdr:blipFill rotWithShape="1">
        <a:blip xmlns:r="http://schemas.openxmlformats.org/officeDocument/2006/relationships" r:embed="rId3"/>
        <a:srcRect l="148" t="39565" r="46285" b="55561"/>
        <a:stretch/>
      </xdr:blipFill>
      <xdr:spPr>
        <a:xfrm>
          <a:off x="8772525" y="13335000"/>
          <a:ext cx="5443527" cy="281940"/>
        </a:xfrm>
        <a:prstGeom prst="rect">
          <a:avLst/>
        </a:prstGeom>
      </xdr:spPr>
    </xdr:pic>
    <xdr:clientData/>
  </xdr:twoCellAnchor>
  <xdr:twoCellAnchor editAs="oneCell">
    <xdr:from>
      <xdr:col>1</xdr:col>
      <xdr:colOff>3518535</xdr:colOff>
      <xdr:row>23</xdr:row>
      <xdr:rowOff>131444</xdr:rowOff>
    </xdr:from>
    <xdr:to>
      <xdr:col>2</xdr:col>
      <xdr:colOff>2075146</xdr:colOff>
      <xdr:row>25</xdr:row>
      <xdr:rowOff>68428</xdr:rowOff>
    </xdr:to>
    <xdr:pic>
      <xdr:nvPicPr>
        <xdr:cNvPr id="7" name="Picture 6">
          <a:extLst>
            <a:ext uri="{FF2B5EF4-FFF2-40B4-BE49-F238E27FC236}">
              <a16:creationId xmlns:a16="http://schemas.microsoft.com/office/drawing/2014/main" id="{31C6344E-321D-42C2-AFAD-DD71AA878562}"/>
            </a:ext>
          </a:extLst>
        </xdr:cNvPr>
        <xdr:cNvPicPr>
          <a:picLocks noChangeAspect="1"/>
        </xdr:cNvPicPr>
      </xdr:nvPicPr>
      <xdr:blipFill rotWithShape="1">
        <a:blip xmlns:r="http://schemas.openxmlformats.org/officeDocument/2006/relationships" r:embed="rId1"/>
        <a:srcRect l="375" t="77713" r="34034" b="16849"/>
        <a:stretch/>
      </xdr:blipFill>
      <xdr:spPr>
        <a:xfrm>
          <a:off x="4172585" y="8602344"/>
          <a:ext cx="7052911" cy="305284"/>
        </a:xfrm>
        <a:prstGeom prst="rect">
          <a:avLst/>
        </a:prstGeom>
      </xdr:spPr>
    </xdr:pic>
    <xdr:clientData/>
  </xdr:twoCellAnchor>
  <xdr:twoCellAnchor editAs="oneCell">
    <xdr:from>
      <xdr:col>1</xdr:col>
      <xdr:colOff>3921919</xdr:colOff>
      <xdr:row>30</xdr:row>
      <xdr:rowOff>152400</xdr:rowOff>
    </xdr:from>
    <xdr:to>
      <xdr:col>2</xdr:col>
      <xdr:colOff>1769977</xdr:colOff>
      <xdr:row>32</xdr:row>
      <xdr:rowOff>26228</xdr:rowOff>
    </xdr:to>
    <xdr:pic>
      <xdr:nvPicPr>
        <xdr:cNvPr id="8" name="Picture 7">
          <a:extLst>
            <a:ext uri="{FF2B5EF4-FFF2-40B4-BE49-F238E27FC236}">
              <a16:creationId xmlns:a16="http://schemas.microsoft.com/office/drawing/2014/main" id="{9DA5FD42-301E-4C82-9C32-D42F09541184}"/>
            </a:ext>
          </a:extLst>
        </xdr:cNvPr>
        <xdr:cNvPicPr>
          <a:picLocks noChangeAspect="1"/>
        </xdr:cNvPicPr>
      </xdr:nvPicPr>
      <xdr:blipFill rotWithShape="1">
        <a:blip xmlns:r="http://schemas.openxmlformats.org/officeDocument/2006/relationships" r:embed="rId2"/>
        <a:srcRect l="1" t="64200" r="32708" b="31060"/>
        <a:stretch/>
      </xdr:blipFill>
      <xdr:spPr>
        <a:xfrm>
          <a:off x="4575969" y="10096500"/>
          <a:ext cx="6344358" cy="242128"/>
        </a:xfrm>
        <a:prstGeom prst="rect">
          <a:avLst/>
        </a:prstGeom>
      </xdr:spPr>
    </xdr:pic>
    <xdr:clientData/>
  </xdr:twoCellAnchor>
  <xdr:twoCellAnchor editAs="oneCell">
    <xdr:from>
      <xdr:col>2</xdr:col>
      <xdr:colOff>38100</xdr:colOff>
      <xdr:row>32</xdr:row>
      <xdr:rowOff>190500</xdr:rowOff>
    </xdr:from>
    <xdr:to>
      <xdr:col>5</xdr:col>
      <xdr:colOff>443337</xdr:colOff>
      <xdr:row>32</xdr:row>
      <xdr:rowOff>472440</xdr:rowOff>
    </xdr:to>
    <xdr:pic>
      <xdr:nvPicPr>
        <xdr:cNvPr id="9" name="Picture 8">
          <a:extLst>
            <a:ext uri="{FF2B5EF4-FFF2-40B4-BE49-F238E27FC236}">
              <a16:creationId xmlns:a16="http://schemas.microsoft.com/office/drawing/2014/main" id="{E06E8EC2-F73D-46D1-A129-90811878A617}"/>
            </a:ext>
          </a:extLst>
        </xdr:cNvPr>
        <xdr:cNvPicPr>
          <a:picLocks noChangeAspect="1"/>
        </xdr:cNvPicPr>
      </xdr:nvPicPr>
      <xdr:blipFill rotWithShape="1">
        <a:blip xmlns:r="http://schemas.openxmlformats.org/officeDocument/2006/relationships" r:embed="rId3"/>
        <a:srcRect l="148" t="39565" r="46285" b="55561"/>
        <a:stretch/>
      </xdr:blipFill>
      <xdr:spPr>
        <a:xfrm>
          <a:off x="9188450" y="10502900"/>
          <a:ext cx="5614353" cy="281940"/>
        </a:xfrm>
        <a:prstGeom prst="rect">
          <a:avLst/>
        </a:prstGeom>
      </xdr:spPr>
    </xdr:pic>
    <xdr:clientData/>
  </xdr:twoCellAnchor>
  <xdr:twoCellAnchor editAs="oneCell">
    <xdr:from>
      <xdr:col>2</xdr:col>
      <xdr:colOff>7620</xdr:colOff>
      <xdr:row>89</xdr:row>
      <xdr:rowOff>8684</xdr:rowOff>
    </xdr:from>
    <xdr:to>
      <xdr:col>6</xdr:col>
      <xdr:colOff>279400</xdr:colOff>
      <xdr:row>92</xdr:row>
      <xdr:rowOff>60960</xdr:rowOff>
    </xdr:to>
    <xdr:pic>
      <xdr:nvPicPr>
        <xdr:cNvPr id="10" name="Picture 9">
          <a:extLst>
            <a:ext uri="{FF2B5EF4-FFF2-40B4-BE49-F238E27FC236}">
              <a16:creationId xmlns:a16="http://schemas.microsoft.com/office/drawing/2014/main" id="{F6CFB488-B6F0-478A-8055-CB96ABC23F03}"/>
            </a:ext>
          </a:extLst>
        </xdr:cNvPr>
        <xdr:cNvPicPr>
          <a:picLocks noChangeAspect="1"/>
        </xdr:cNvPicPr>
      </xdr:nvPicPr>
      <xdr:blipFill rotWithShape="1">
        <a:blip xmlns:r="http://schemas.openxmlformats.org/officeDocument/2006/relationships" r:embed="rId4"/>
        <a:srcRect l="42" t="57785" r="33992" b="25546"/>
        <a:stretch/>
      </xdr:blipFill>
      <xdr:spPr>
        <a:xfrm>
          <a:off x="8991600" y="29315204"/>
          <a:ext cx="6022340" cy="966676"/>
        </a:xfrm>
        <a:prstGeom prst="rect">
          <a:avLst/>
        </a:prstGeom>
      </xdr:spPr>
    </xdr:pic>
    <xdr:clientData/>
  </xdr:twoCellAnchor>
  <xdr:twoCellAnchor editAs="oneCell">
    <xdr:from>
      <xdr:col>2</xdr:col>
      <xdr:colOff>15240</xdr:colOff>
      <xdr:row>91</xdr:row>
      <xdr:rowOff>7620</xdr:rowOff>
    </xdr:from>
    <xdr:to>
      <xdr:col>3</xdr:col>
      <xdr:colOff>972820</xdr:colOff>
      <xdr:row>97</xdr:row>
      <xdr:rowOff>356895</xdr:rowOff>
    </xdr:to>
    <xdr:pic>
      <xdr:nvPicPr>
        <xdr:cNvPr id="11" name="Picture 10">
          <a:extLst>
            <a:ext uri="{FF2B5EF4-FFF2-40B4-BE49-F238E27FC236}">
              <a16:creationId xmlns:a16="http://schemas.microsoft.com/office/drawing/2014/main" id="{4D442188-3125-4CB5-BD52-74535A312C7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6686" t="13350" r="5683" b="34776"/>
        <a:stretch/>
      </xdr:blipFill>
      <xdr:spPr bwMode="auto">
        <a:xfrm>
          <a:off x="9165590" y="29471620"/>
          <a:ext cx="3192780" cy="145544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68580</xdr:colOff>
      <xdr:row>135</xdr:row>
      <xdr:rowOff>105832</xdr:rowOff>
    </xdr:from>
    <xdr:to>
      <xdr:col>3</xdr:col>
      <xdr:colOff>2021416</xdr:colOff>
      <xdr:row>140</xdr:row>
      <xdr:rowOff>322579</xdr:rowOff>
    </xdr:to>
    <xdr:pic>
      <xdr:nvPicPr>
        <xdr:cNvPr id="12" name="Picture 11" descr="http://www.informit.com/content/images/chap1_9780137031580/elementLinks/fig_1_7_alt.jpg">
          <a:extLst>
            <a:ext uri="{FF2B5EF4-FFF2-40B4-BE49-F238E27FC236}">
              <a16:creationId xmlns:a16="http://schemas.microsoft.com/office/drawing/2014/main" id="{71960909-B33D-44C8-8A3B-B827B99AB00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810413" y="49879249"/>
          <a:ext cx="4090670" cy="2312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142</xdr:row>
      <xdr:rowOff>0</xdr:rowOff>
    </xdr:from>
    <xdr:to>
      <xdr:col>3</xdr:col>
      <xdr:colOff>2227637</xdr:colOff>
      <xdr:row>157</xdr:row>
      <xdr:rowOff>139700</xdr:rowOff>
    </xdr:to>
    <xdr:pic>
      <xdr:nvPicPr>
        <xdr:cNvPr id="13" name="Picture 12">
          <a:extLst>
            <a:ext uri="{FF2B5EF4-FFF2-40B4-BE49-F238E27FC236}">
              <a16:creationId xmlns:a16="http://schemas.microsoft.com/office/drawing/2014/main" id="{74E55EEE-FF32-4D34-8D4E-5192CC822A55}"/>
            </a:ext>
          </a:extLst>
        </xdr:cNvPr>
        <xdr:cNvPicPr>
          <a:picLocks noChangeAspect="1"/>
        </xdr:cNvPicPr>
      </xdr:nvPicPr>
      <xdr:blipFill rotWithShape="1">
        <a:blip xmlns:r="http://schemas.openxmlformats.org/officeDocument/2006/relationships" r:embed="rId7"/>
        <a:srcRect l="1874" t="24889" r="39695" b="7301"/>
        <a:stretch/>
      </xdr:blipFill>
      <xdr:spPr>
        <a:xfrm>
          <a:off x="6915150" y="23088600"/>
          <a:ext cx="4361237" cy="2997200"/>
        </a:xfrm>
        <a:prstGeom prst="rect">
          <a:avLst/>
        </a:prstGeom>
      </xdr:spPr>
    </xdr:pic>
    <xdr:clientData/>
  </xdr:twoCellAnchor>
  <xdr:twoCellAnchor editAs="oneCell">
    <xdr:from>
      <xdr:col>2</xdr:col>
      <xdr:colOff>330200</xdr:colOff>
      <xdr:row>151</xdr:row>
      <xdr:rowOff>27940</xdr:rowOff>
    </xdr:from>
    <xdr:to>
      <xdr:col>3</xdr:col>
      <xdr:colOff>1776307</xdr:colOff>
      <xdr:row>152</xdr:row>
      <xdr:rowOff>31327</xdr:rowOff>
    </xdr:to>
    <xdr:pic>
      <xdr:nvPicPr>
        <xdr:cNvPr id="14" name="Picture 13">
          <a:extLst>
            <a:ext uri="{FF2B5EF4-FFF2-40B4-BE49-F238E27FC236}">
              <a16:creationId xmlns:a16="http://schemas.microsoft.com/office/drawing/2014/main" id="{EE0745FE-4F02-4B72-B271-4F073EC3B69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245350" y="25402540"/>
          <a:ext cx="3579707" cy="193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12700</xdr:colOff>
      <xdr:row>1</xdr:row>
      <xdr:rowOff>12700</xdr:rowOff>
    </xdr:from>
    <xdr:to>
      <xdr:col>18</xdr:col>
      <xdr:colOff>317500</xdr:colOff>
      <xdr:row>182</xdr:row>
      <xdr:rowOff>38100</xdr:rowOff>
    </xdr:to>
    <xdr:sp macro="" textlink="">
      <xdr:nvSpPr>
        <xdr:cNvPr id="2" name="TextBox 1">
          <a:extLst>
            <a:ext uri="{FF2B5EF4-FFF2-40B4-BE49-F238E27FC236}">
              <a16:creationId xmlns:a16="http://schemas.microsoft.com/office/drawing/2014/main" id="{9804C081-E85B-4C8B-B905-B2C98F5C50E6}"/>
            </a:ext>
          </a:extLst>
        </xdr:cNvPr>
        <xdr:cNvSpPr txBox="1"/>
      </xdr:nvSpPr>
      <xdr:spPr>
        <a:xfrm>
          <a:off x="12700" y="209550"/>
          <a:ext cx="11277600" cy="333565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From:</a:t>
          </a:r>
          <a:r>
            <a:rPr lang="en-US" sz="1100">
              <a:solidFill>
                <a:schemeClr val="dk1"/>
              </a:solidFill>
              <a:effectLst/>
              <a:latin typeface="+mn-lt"/>
              <a:ea typeface="+mn-ea"/>
              <a:cs typeface="+mn-cs"/>
            </a:rPr>
            <a:t> Bos, C.F.M. (Christian)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Sent:</a:t>
          </a:r>
          <a:r>
            <a:rPr lang="en-US" sz="1100">
              <a:solidFill>
                <a:schemeClr val="dk1"/>
              </a:solidFill>
              <a:effectLst/>
              <a:latin typeface="+mn-lt"/>
              <a:ea typeface="+mn-ea"/>
              <a:cs typeface="+mn-cs"/>
            </a:rPr>
            <a:t> 13 October 2017 14:46</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To:</a:t>
          </a:r>
          <a:r>
            <a:rPr lang="en-US" sz="1100">
              <a:solidFill>
                <a:schemeClr val="dk1"/>
              </a:solidFill>
              <a:effectLst/>
              <a:latin typeface="+mn-lt"/>
              <a:ea typeface="+mn-ea"/>
              <a:cs typeface="+mn-cs"/>
            </a:rPr>
            <a:t> 'Fitri Oktaviani' &lt;</a:t>
          </a:r>
          <a:r>
            <a:rPr lang="en-US" sz="1100" u="sng">
              <a:solidFill>
                <a:schemeClr val="dk1"/>
              </a:solidFill>
              <a:effectLst/>
              <a:latin typeface="+mn-lt"/>
              <a:ea typeface="+mn-ea"/>
              <a:cs typeface="+mn-cs"/>
              <a:hlinkClick xmlns:r="http://schemas.openxmlformats.org/officeDocument/2006/relationships" r:id=""/>
            </a:rPr>
            <a:t>feetre@gmail.com</a:t>
          </a:r>
          <a:r>
            <a:rPr lang="en-US" sz="1100">
              <a:solidFill>
                <a:schemeClr val="dk1"/>
              </a:solidFill>
              <a:effectLst/>
              <a:latin typeface="+mn-lt"/>
              <a:ea typeface="+mn-ea"/>
              <a:cs typeface="+mn-cs"/>
            </a:rPr>
            <a:t>&gt;; Ali Ashat &lt;</a:t>
          </a:r>
          <a:r>
            <a:rPr lang="en-US" sz="1100" u="sng">
              <a:solidFill>
                <a:schemeClr val="dk1"/>
              </a:solidFill>
              <a:effectLst/>
              <a:latin typeface="+mn-lt"/>
              <a:ea typeface="+mn-ea"/>
              <a:cs typeface="+mn-cs"/>
              <a:hlinkClick xmlns:r="http://schemas.openxmlformats.org/officeDocument/2006/relationships" r:id=""/>
            </a:rPr>
            <a:t>labgeothermal@yahoo.com</a:t>
          </a:r>
          <a:r>
            <a:rPr lang="en-US" sz="1100">
              <a:solidFill>
                <a:schemeClr val="dk1"/>
              </a:solidFill>
              <a:effectLst/>
              <a:latin typeface="+mn-lt"/>
              <a:ea typeface="+mn-ea"/>
              <a:cs typeface="+mn-cs"/>
            </a:rPr>
            <a:t>&gt;</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Subject:</a:t>
          </a:r>
          <a:r>
            <a:rPr lang="en-US" sz="1100">
              <a:solidFill>
                <a:schemeClr val="dk1"/>
              </a:solidFill>
              <a:effectLst/>
              <a:latin typeface="+mn-lt"/>
              <a:ea typeface="+mn-ea"/>
              <a:cs typeface="+mn-cs"/>
            </a:rPr>
            <a:t> RE: New version GEOCAP geothermal model (v. 1.45 dated 25Aug17)</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 </a:t>
          </a:r>
        </a:p>
        <a:p>
          <a:r>
            <a:rPr lang="en-US" sz="1100">
              <a:solidFill>
                <a:schemeClr val="dk1"/>
              </a:solidFill>
              <a:effectLst/>
              <a:latin typeface="+mn-lt"/>
              <a:ea typeface="+mn-ea"/>
              <a:cs typeface="+mn-cs"/>
            </a:rPr>
            <a:t>Hi Fitri, I’m happy with this discussion on the content. We should have had it much earlier (i.e. when designing the tool)! But at the time that was not possible.</a:t>
          </a:r>
          <a:endParaRPr lang="nl-NL" sz="1100">
            <a:solidFill>
              <a:schemeClr val="dk1"/>
            </a:solidFill>
            <a:effectLst/>
            <a:latin typeface="+mn-lt"/>
            <a:ea typeface="+mn-ea"/>
            <a:cs typeface="+mn-cs"/>
          </a:endParaRPr>
        </a:p>
        <a:p>
          <a:r>
            <a:rPr lang="en-US" sz="1100">
              <a:solidFill>
                <a:schemeClr val="dk1"/>
              </a:solidFill>
              <a:effectLst/>
              <a:latin typeface="+mn-lt"/>
              <a:ea typeface="+mn-ea"/>
              <a:cs typeface="+mn-cs"/>
            </a:rPr>
            <a:t>Let me try to reply again in red below. </a:t>
          </a:r>
          <a:endParaRPr lang="nl-NL"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nl-NL" sz="1100">
            <a:solidFill>
              <a:schemeClr val="dk1"/>
            </a:solidFill>
            <a:effectLst/>
            <a:latin typeface="+mn-lt"/>
            <a:ea typeface="+mn-ea"/>
            <a:cs typeface="+mn-cs"/>
          </a:endParaRPr>
        </a:p>
        <a:p>
          <a:r>
            <a:rPr lang="en-US" sz="1100">
              <a:solidFill>
                <a:schemeClr val="dk1"/>
              </a:solidFill>
              <a:effectLst/>
              <a:latin typeface="+mn-lt"/>
              <a:ea typeface="+mn-ea"/>
              <a:cs typeface="+mn-cs"/>
            </a:rPr>
            <a:t>Best regards, christian</a:t>
          </a:r>
          <a:endParaRPr lang="nl-NL"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nl-NL" sz="1100">
            <a:solidFill>
              <a:schemeClr val="dk1"/>
            </a:solidFill>
            <a:effectLst/>
            <a:latin typeface="+mn-lt"/>
            <a:ea typeface="+mn-ea"/>
            <a:cs typeface="+mn-cs"/>
          </a:endParaRPr>
        </a:p>
        <a:p>
          <a:r>
            <a:rPr lang="en-US" sz="1100" b="1">
              <a:solidFill>
                <a:schemeClr val="dk1"/>
              </a:solidFill>
              <a:effectLst/>
              <a:latin typeface="+mn-lt"/>
              <a:ea typeface="+mn-ea"/>
              <a:cs typeface="+mn-cs"/>
            </a:rPr>
            <a:t>From:</a:t>
          </a:r>
          <a:r>
            <a:rPr lang="en-US" sz="1100">
              <a:solidFill>
                <a:schemeClr val="dk1"/>
              </a:solidFill>
              <a:effectLst/>
              <a:latin typeface="+mn-lt"/>
              <a:ea typeface="+mn-ea"/>
              <a:cs typeface="+mn-cs"/>
            </a:rPr>
            <a:t> Fitri Oktaviani [</a:t>
          </a:r>
          <a:r>
            <a:rPr lang="en-US" sz="1100" u="sng">
              <a:solidFill>
                <a:schemeClr val="dk1"/>
              </a:solidFill>
              <a:effectLst/>
              <a:latin typeface="+mn-lt"/>
              <a:ea typeface="+mn-ea"/>
              <a:cs typeface="+mn-cs"/>
              <a:hlinkClick xmlns:r="http://schemas.openxmlformats.org/officeDocument/2006/relationships" r:id=""/>
            </a:rPr>
            <a:t>mailto:feetre@gmail.com</a:t>
          </a: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Sent:</a:t>
          </a:r>
          <a:r>
            <a:rPr lang="en-US" sz="1100">
              <a:solidFill>
                <a:schemeClr val="dk1"/>
              </a:solidFill>
              <a:effectLst/>
              <a:latin typeface="+mn-lt"/>
              <a:ea typeface="+mn-ea"/>
              <a:cs typeface="+mn-cs"/>
            </a:rPr>
            <a:t> 13 October 2017 10:04</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To:</a:t>
          </a:r>
          <a:r>
            <a:rPr lang="en-US" sz="1100">
              <a:solidFill>
                <a:schemeClr val="dk1"/>
              </a:solidFill>
              <a:effectLst/>
              <a:latin typeface="+mn-lt"/>
              <a:ea typeface="+mn-ea"/>
              <a:cs typeface="+mn-cs"/>
            </a:rPr>
            <a:t> Bos, C.F.M. (Christian) &lt;</a:t>
          </a:r>
          <a:r>
            <a:rPr lang="en-US" sz="1100" u="sng">
              <a:solidFill>
                <a:schemeClr val="dk1"/>
              </a:solidFill>
              <a:effectLst/>
              <a:latin typeface="+mn-lt"/>
              <a:ea typeface="+mn-ea"/>
              <a:cs typeface="+mn-cs"/>
              <a:hlinkClick xmlns:r="http://schemas.openxmlformats.org/officeDocument/2006/relationships" r:id=""/>
            </a:rPr>
            <a:t>Christian.Bos@tno.nl</a:t>
          </a:r>
          <a:r>
            <a:rPr lang="en-US" sz="1100">
              <a:solidFill>
                <a:schemeClr val="dk1"/>
              </a:solidFill>
              <a:effectLst/>
              <a:latin typeface="+mn-lt"/>
              <a:ea typeface="+mn-ea"/>
              <a:cs typeface="+mn-cs"/>
            </a:rPr>
            <a:t>&gt;; Ali Ashat &lt;</a:t>
          </a:r>
          <a:r>
            <a:rPr lang="en-US" sz="1100" u="sng">
              <a:solidFill>
                <a:schemeClr val="dk1"/>
              </a:solidFill>
              <a:effectLst/>
              <a:latin typeface="+mn-lt"/>
              <a:ea typeface="+mn-ea"/>
              <a:cs typeface="+mn-cs"/>
              <a:hlinkClick xmlns:r="http://schemas.openxmlformats.org/officeDocument/2006/relationships" r:id=""/>
            </a:rPr>
            <a:t>labgeothermal@yahoo.com</a:t>
          </a:r>
          <a:r>
            <a:rPr lang="en-US" sz="1100">
              <a:solidFill>
                <a:schemeClr val="dk1"/>
              </a:solidFill>
              <a:effectLst/>
              <a:latin typeface="+mn-lt"/>
              <a:ea typeface="+mn-ea"/>
              <a:cs typeface="+mn-cs"/>
            </a:rPr>
            <a:t>&gt;</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Subject:</a:t>
          </a:r>
          <a:r>
            <a:rPr lang="en-US" sz="1100">
              <a:solidFill>
                <a:schemeClr val="dk1"/>
              </a:solidFill>
              <a:effectLst/>
              <a:latin typeface="+mn-lt"/>
              <a:ea typeface="+mn-ea"/>
              <a:cs typeface="+mn-cs"/>
            </a:rPr>
            <a:t> Re: New version GEOCAP geothermal model (v. 1.45 dated 25Aug17)</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 </a:t>
          </a:r>
        </a:p>
        <a:p>
          <a:r>
            <a:rPr lang="nl-NL" sz="1100">
              <a:solidFill>
                <a:schemeClr val="dk1"/>
              </a:solidFill>
              <a:effectLst/>
              <a:latin typeface="+mn-lt"/>
              <a:ea typeface="+mn-ea"/>
              <a:cs typeface="+mn-cs"/>
            </a:rPr>
            <a:t>Hi Christian,</a:t>
          </a:r>
        </a:p>
        <a:p>
          <a:r>
            <a:rPr lang="nl-NL" sz="1100">
              <a:solidFill>
                <a:schemeClr val="dk1"/>
              </a:solidFill>
              <a:effectLst/>
              <a:latin typeface="+mn-lt"/>
              <a:ea typeface="+mn-ea"/>
              <a:cs typeface="+mn-cs"/>
            </a:rPr>
            <a:t> </a:t>
          </a:r>
        </a:p>
        <a:p>
          <a:r>
            <a:rPr lang="nl-NL" sz="1100">
              <a:solidFill>
                <a:schemeClr val="dk1"/>
              </a:solidFill>
              <a:effectLst/>
              <a:latin typeface="+mn-lt"/>
              <a:ea typeface="+mn-ea"/>
              <a:cs typeface="+mn-cs"/>
            </a:rPr>
            <a:t>Thank you for your information. However, I still have several questions regarding the model. </a:t>
          </a:r>
        </a:p>
        <a:p>
          <a:r>
            <a:rPr lang="nl-NL" sz="1100">
              <a:solidFill>
                <a:schemeClr val="dk1"/>
              </a:solidFill>
              <a:effectLst/>
              <a:latin typeface="+mn-lt"/>
              <a:ea typeface="+mn-ea"/>
              <a:cs typeface="+mn-cs"/>
            </a:rPr>
            <a:t> </a:t>
          </a:r>
        </a:p>
        <a:p>
          <a:r>
            <a:rPr lang="en-US" sz="1100">
              <a:solidFill>
                <a:schemeClr val="dk1"/>
              </a:solidFill>
              <a:effectLst/>
              <a:latin typeface="+mn-lt"/>
              <a:ea typeface="+mn-ea"/>
              <a:cs typeface="+mn-cs"/>
            </a:rPr>
            <a:t>1. Since this model is built as decision making tools to help geothermal development in Indonesia, do you think that it would be better to make it more accommodate the real condition in Indonesia? </a:t>
          </a:r>
          <a:endParaRPr lang="nl-NL" sz="1100">
            <a:solidFill>
              <a:schemeClr val="dk1"/>
            </a:solidFill>
            <a:effectLst/>
            <a:latin typeface="+mn-lt"/>
            <a:ea typeface="+mn-ea"/>
            <a:cs typeface="+mn-cs"/>
          </a:endParaRPr>
        </a:p>
        <a:p>
          <a:r>
            <a:rPr lang="en-US" sz="1100">
              <a:solidFill>
                <a:srgbClr val="FF0000"/>
              </a:solidFill>
              <a:effectLst/>
              <a:latin typeface="+mn-lt"/>
              <a:ea typeface="+mn-ea"/>
              <a:cs typeface="+mn-cs"/>
            </a:rPr>
            <a:t>Of course we wish to tailor the model as much as possible to the Indonesian context. However, TNO has no more GEOCAP budget left, so how to further develop the tool and by whom needs to be discussed. The point however in this discussion is to translate Indonesian conditions into mathematically precise software requirement specifications that can be translated into code, building on the code and underlying principles that are already there. I will try to explain that in the following comments / replies. </a:t>
          </a:r>
          <a:endParaRPr lang="nl-NL" sz="1400">
            <a:solidFill>
              <a:srgbClr val="FF0000"/>
            </a:solidFill>
            <a:effectLst/>
            <a:latin typeface="+mn-lt"/>
            <a:ea typeface="+mn-ea"/>
            <a:cs typeface="+mn-cs"/>
          </a:endParaRPr>
        </a:p>
        <a:p>
          <a:r>
            <a:rPr lang="en-US" sz="1100">
              <a:solidFill>
                <a:schemeClr val="dk1"/>
              </a:solidFill>
              <a:effectLst/>
              <a:latin typeface="+mn-lt"/>
              <a:ea typeface="+mn-ea"/>
              <a:cs typeface="+mn-cs"/>
            </a:rPr>
            <a:t> </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2. Regarding the saturation parameter. If the saturation is ignored, so it is assumed that the field produce 100% water from the production well. However in Indonesia there are three type of geothermal reservoir: steam/vapour dominated reservoir, water dominated reservoir and two phases system. Even liquid dominated reservoir usually have steam zone and the water saturation is not 1 (or 100% water). I do think that saturation should not be ignored in this model. </a:t>
          </a:r>
        </a:p>
        <a:p>
          <a:r>
            <a:rPr lang="en-US" sz="1100">
              <a:solidFill>
                <a:srgbClr val="FF0000"/>
              </a:solidFill>
              <a:effectLst/>
              <a:latin typeface="+mn-lt"/>
              <a:ea typeface="+mn-ea"/>
              <a:cs typeface="+mn-cs"/>
            </a:rPr>
            <a:t>I explained this in my last mail: there is a difference between which phases occur in the reservoir, and which phases flow into the completion of the production well. A reservoir with a steam-cap may have a liquid-phase water zone below the steam-cap. The production wells could be completed on the liquid zone only, i.e. below the steam/water interface. Then the reservoir should produce liquid mainly into the completion of the well. For this situation we have the well’s liquid inflow equation. We assume this inflow equation to be subject to steady-state (i.e. constant reservoir pressure). This is indeed a limitation of the model, but if no steam is produced directly from the reservoir into the well, the steam-cap will provide a major reservoir pressure support (steam being much more compressible than liquid water), and the reservoir may well approximate the constant reservoir pressure assumption. </a:t>
          </a:r>
          <a:endParaRPr lang="nl-NL" sz="1400">
            <a:solidFill>
              <a:srgbClr val="FF0000"/>
            </a:solidFill>
            <a:effectLst/>
            <a:latin typeface="+mn-lt"/>
            <a:ea typeface="+mn-ea"/>
            <a:cs typeface="+mn-cs"/>
          </a:endParaRPr>
        </a:p>
        <a:p>
          <a:r>
            <a:rPr lang="en-US" sz="1100">
              <a:solidFill>
                <a:srgbClr val="FF0000"/>
              </a:solidFill>
              <a:effectLst/>
              <a:latin typeface="+mn-lt"/>
              <a:ea typeface="+mn-ea"/>
              <a:cs typeface="+mn-cs"/>
            </a:rPr>
            <a:t> </a:t>
          </a:r>
          <a:endParaRPr lang="nl-NL" sz="1400">
            <a:solidFill>
              <a:srgbClr val="FF0000"/>
            </a:solidFill>
            <a:effectLst/>
            <a:latin typeface="+mn-lt"/>
            <a:ea typeface="+mn-ea"/>
            <a:cs typeface="+mn-cs"/>
          </a:endParaRPr>
        </a:p>
        <a:p>
          <a:r>
            <a:rPr lang="en-US" sz="1100">
              <a:solidFill>
                <a:srgbClr val="FF0000"/>
              </a:solidFill>
              <a:effectLst/>
              <a:latin typeface="+mn-lt"/>
              <a:ea typeface="+mn-ea"/>
              <a:cs typeface="+mn-cs"/>
            </a:rPr>
            <a:t>So one should distinguish the phases in the reservoir with the phases that flow into the completion of the well. Surely, you may have three types of reservoirs in Indonesia, but that does not necessarily say how the production wells are completed and which phase flows from the reservoir into the completion. The current version of the model does not use the material balance equation to compute reservoir pressure, as we assume steady-state. We assumed this to be a reasonable assumption in case of 1) injection rate = production rate; 2) major pressure support from the steam-cap and no direct flow of steam from the reservoir into the well completion: the well must therefore be completed on the liquid zone. Under those conditions / assumptions, the steam saturation is irrelevant: material balance is irrelevant, and relative permeabilities are irrelevant. In summary, we do make limiting assumptions in the tool, but the assumptions do allow for steam to occur in the reservoir provided that 1) the steam does not flow directly into the completions of the wells; 2) if injection &lt; production, the steam-cap gives part of the pressure support such that under-injection, if applicable, is compensated and that the steady-state assumption for the well inflow equation is not too wrong. </a:t>
          </a:r>
          <a:endParaRPr lang="nl-NL" sz="1400">
            <a:solidFill>
              <a:srgbClr val="FF0000"/>
            </a:solidFill>
            <a:effectLst/>
            <a:latin typeface="+mn-lt"/>
            <a:ea typeface="+mn-ea"/>
            <a:cs typeface="+mn-cs"/>
          </a:endParaRPr>
        </a:p>
        <a:p>
          <a:r>
            <a:rPr lang="en-US" sz="1100">
              <a:solidFill>
                <a:srgbClr val="FF0000"/>
              </a:solidFill>
              <a:effectLst/>
              <a:latin typeface="+mn-lt"/>
              <a:ea typeface="+mn-ea"/>
              <a:cs typeface="+mn-cs"/>
            </a:rPr>
            <a:t> </a:t>
          </a:r>
          <a:endParaRPr lang="nl-NL" sz="1400">
            <a:solidFill>
              <a:srgbClr val="FF0000"/>
            </a:solidFill>
            <a:effectLst/>
            <a:latin typeface="+mn-lt"/>
            <a:ea typeface="+mn-ea"/>
            <a:cs typeface="+mn-cs"/>
          </a:endParaRPr>
        </a:p>
        <a:p>
          <a:r>
            <a:rPr lang="en-US" sz="1100">
              <a:solidFill>
                <a:srgbClr val="FF0000"/>
              </a:solidFill>
              <a:effectLst/>
              <a:latin typeface="+mn-lt"/>
              <a:ea typeface="+mn-ea"/>
              <a:cs typeface="+mn-cs"/>
            </a:rPr>
            <a:t>And again, as discussed by Sarmiento et al., some 95% of the heat is contained in the rock. So for the Heat-Initially-In-Place calculation the error of not using a steam saturation is small. Moreover, we do not use this HIIP value for the well inflow equation, which determines the field’s actual power output. </a:t>
          </a:r>
          <a:endParaRPr lang="nl-NL" sz="1400">
            <a:solidFill>
              <a:srgbClr val="FF0000"/>
            </a:solidFill>
            <a:effectLst/>
            <a:latin typeface="+mn-lt"/>
            <a:ea typeface="+mn-ea"/>
            <a:cs typeface="+mn-cs"/>
          </a:endParaRPr>
        </a:p>
        <a:p>
          <a:r>
            <a:rPr lang="en-US" sz="1100">
              <a:solidFill>
                <a:srgbClr val="FF0000"/>
              </a:solidFill>
              <a:effectLst/>
              <a:latin typeface="+mn-lt"/>
              <a:ea typeface="+mn-ea"/>
              <a:cs typeface="+mn-cs"/>
            </a:rPr>
            <a:t> </a:t>
          </a:r>
          <a:endParaRPr lang="nl-NL" sz="1400">
            <a:solidFill>
              <a:srgbClr val="FF0000"/>
            </a:solidFill>
            <a:effectLst/>
            <a:latin typeface="+mn-lt"/>
            <a:ea typeface="+mn-ea"/>
            <a:cs typeface="+mn-cs"/>
          </a:endParaRPr>
        </a:p>
        <a:p>
          <a:r>
            <a:rPr lang="en-US" sz="1100">
              <a:solidFill>
                <a:srgbClr val="FF0000"/>
              </a:solidFill>
              <a:effectLst/>
              <a:latin typeface="+mn-lt"/>
              <a:ea typeface="+mn-ea"/>
              <a:cs typeface="+mn-cs"/>
            </a:rPr>
            <a:t>I could ask you why you think this saturation is important for the power calculation as coded in the tool: could you elaborate on this, starting with the steady-state assumption and the well single phase inflow equation? Note that in our model steam is generated inside the vertical part of the well, or in the surface facilities. If no steam is generated as the user-supplied FBHP, FBHT, and DT/Dh, DP/Dh result in a surface pressure and temp </a:t>
          </a:r>
          <a:r>
            <a:rPr lang="en-US" sz="1100" u="sng">
              <a:solidFill>
                <a:srgbClr val="FF0000"/>
              </a:solidFill>
              <a:effectLst/>
              <a:latin typeface="+mn-lt"/>
              <a:ea typeface="+mn-ea"/>
              <a:cs typeface="+mn-cs"/>
            </a:rPr>
            <a:t>above</a:t>
          </a:r>
          <a:r>
            <a:rPr lang="en-US" sz="1100">
              <a:solidFill>
                <a:srgbClr val="FF0000"/>
              </a:solidFill>
              <a:effectLst/>
              <a:latin typeface="+mn-lt"/>
              <a:ea typeface="+mn-ea"/>
              <a:cs typeface="+mn-cs"/>
            </a:rPr>
            <a:t> the flashing point, then a flash separator is automatically included above-ground: that will cause a drop in surface facility pressure as can be seen in various realizations from the tool (see the pressure plot). </a:t>
          </a:r>
          <a:endParaRPr lang="nl-NL" sz="1400">
            <a:solidFill>
              <a:srgbClr val="FF0000"/>
            </a:solidFill>
            <a:effectLst/>
            <a:latin typeface="+mn-lt"/>
            <a:ea typeface="+mn-ea"/>
            <a:cs typeface="+mn-cs"/>
          </a:endParaRPr>
        </a:p>
        <a:p>
          <a:r>
            <a:rPr lang="en-US" sz="1100">
              <a:solidFill>
                <a:schemeClr val="dk1"/>
              </a:solidFill>
              <a:effectLst/>
              <a:latin typeface="+mn-lt"/>
              <a:ea typeface="+mn-ea"/>
              <a:cs typeface="+mn-cs"/>
            </a:rPr>
            <a:t> </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3. In most geothermal power plant in Indonesia, the turbine is a steam turbine and not water turbine. The turbine input is pressurised steam. In steam dominated reservoir, most of well produced 100% steam so the turbine will use the steam directly to produce electricity. Even in water dominated reservoir, the steam fraction will entering the turbine while the water fraction will directly injected into injection wells. </a:t>
          </a:r>
        </a:p>
        <a:p>
          <a:r>
            <a:rPr lang="en-US" sz="1100">
              <a:solidFill>
                <a:srgbClr val="FF0000"/>
              </a:solidFill>
              <a:effectLst/>
              <a:latin typeface="+mn-lt"/>
              <a:ea typeface="+mn-ea"/>
              <a:cs typeface="+mn-cs"/>
            </a:rPr>
            <a:t>Of course. In the tool, the liquid is flashed to steam, and it will enter as steam into the steam turbine. The tool computes the P and T along the main points in the flow trajectory (FBHP/FBHT à FTHP/FTHT à turbine inlet P and T). </a:t>
          </a:r>
          <a:endParaRPr lang="nl-NL" sz="1400">
            <a:solidFill>
              <a:srgbClr val="FF0000"/>
            </a:solidFill>
            <a:effectLst/>
            <a:latin typeface="+mn-lt"/>
            <a:ea typeface="+mn-ea"/>
            <a:cs typeface="+mn-cs"/>
          </a:endParaRPr>
        </a:p>
        <a:p>
          <a:r>
            <a:rPr lang="en-US" sz="1100">
              <a:solidFill>
                <a:srgbClr val="FF0000"/>
              </a:solidFill>
              <a:effectLst/>
              <a:latin typeface="+mn-lt"/>
              <a:ea typeface="+mn-ea"/>
              <a:cs typeface="+mn-cs"/>
            </a:rPr>
            <a:t> </a:t>
          </a:r>
          <a:endParaRPr lang="nl-NL" sz="1100">
            <a:solidFill>
              <a:srgbClr val="FF0000"/>
            </a:solidFill>
            <a:effectLst/>
            <a:latin typeface="+mn-lt"/>
            <a:ea typeface="+mn-ea"/>
            <a:cs typeface="+mn-cs"/>
          </a:endParaRPr>
        </a:p>
        <a:p>
          <a:r>
            <a:rPr lang="en-US" sz="1100">
              <a:solidFill>
                <a:srgbClr val="FF0000"/>
              </a:solidFill>
              <a:effectLst/>
              <a:latin typeface="+mn-lt"/>
              <a:ea typeface="+mn-ea"/>
              <a:cs typeface="+mn-cs"/>
            </a:rPr>
            <a:t>In Indonesia we have two different types of injection well: condensate well to inject fluid from turbine outlet, and brine injection well to inject brine or water fraction from the production well. </a:t>
          </a:r>
          <a:endParaRPr lang="nl-NL" sz="1100">
            <a:solidFill>
              <a:srgbClr val="FF0000"/>
            </a:solidFill>
            <a:effectLst/>
            <a:latin typeface="+mn-lt"/>
            <a:ea typeface="+mn-ea"/>
            <a:cs typeface="+mn-cs"/>
          </a:endParaRPr>
        </a:p>
        <a:p>
          <a:r>
            <a:rPr lang="en-US" sz="1100">
              <a:solidFill>
                <a:srgbClr val="FF0000"/>
              </a:solidFill>
              <a:effectLst/>
              <a:latin typeface="+mn-lt"/>
              <a:ea typeface="+mn-ea"/>
              <a:cs typeface="+mn-cs"/>
            </a:rPr>
            <a:t>What would this imply for the model: that a fraction of the injection wells will not have a skin buildup? Or a different skin buildup? The model now assumes that all injection wells have the same skin buildup (which btw can also be zero). Please translate such remarks into software requirement specifications, building on what we already have implemented. </a:t>
          </a:r>
          <a:endParaRPr lang="nl-NL" sz="1400">
            <a:solidFill>
              <a:srgbClr val="FF0000"/>
            </a:solidFill>
            <a:effectLst/>
            <a:latin typeface="+mn-lt"/>
            <a:ea typeface="+mn-ea"/>
            <a:cs typeface="+mn-cs"/>
          </a:endParaRPr>
        </a:p>
        <a:p>
          <a:r>
            <a:rPr lang="en-US" sz="1100">
              <a:solidFill>
                <a:schemeClr val="dk1"/>
              </a:solidFill>
              <a:effectLst/>
              <a:latin typeface="+mn-lt"/>
              <a:ea typeface="+mn-ea"/>
              <a:cs typeface="+mn-cs"/>
            </a:rPr>
            <a:t> </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4. Fluid flow from production well will have pressure drop because of elevation, fluid dynamic and friction between fluid and casing surface. One of the effect of the pressure drop is flashing inside the production well, in certain elevation. It would be better to simulate fluid flow (using Hasan Kabir or Harison Freeston pressure drop calculation or other calculation) to determine flashing point. In the flashing point, the fluid will have certain steam/vapour saturation. The saturation parameter will determine the amount of steam that will enter the turbine. </a:t>
          </a:r>
        </a:p>
        <a:p>
          <a:r>
            <a:rPr lang="en-US" sz="1100">
              <a:solidFill>
                <a:srgbClr val="FF0000"/>
              </a:solidFill>
              <a:effectLst/>
              <a:latin typeface="+mn-lt"/>
              <a:ea typeface="+mn-ea"/>
              <a:cs typeface="+mn-cs"/>
            </a:rPr>
            <a:t>Let me discuss this with Logan Brunner who developed the steam flashing in the tool. Currently, we do not have a very satisfactory Vertical Flow Performance (VFP) implementation in the tool. The tool now computes all steam released at surface (downstream of the wellhead). And if no steam would reach the turbine, then the tool automatically includes flash separators. Could you send me the references of the Hasan Kabir or Harrison Freeston pressure drop calculation or other calculations? </a:t>
          </a:r>
          <a:endParaRPr lang="nl-NL" sz="1400">
            <a:solidFill>
              <a:srgbClr val="FF0000"/>
            </a:solidFill>
            <a:effectLst/>
            <a:latin typeface="+mn-lt"/>
            <a:ea typeface="+mn-ea"/>
            <a:cs typeface="+mn-cs"/>
          </a:endParaRPr>
        </a:p>
        <a:p>
          <a:r>
            <a:rPr lang="en-US" sz="1100">
              <a:solidFill>
                <a:schemeClr val="dk1"/>
              </a:solidFill>
              <a:effectLst/>
              <a:latin typeface="+mn-lt"/>
              <a:ea typeface="+mn-ea"/>
              <a:cs typeface="+mn-cs"/>
            </a:rPr>
            <a:t> </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5. It is correct that formula from Sarmiento can be used to calculate thermal potential (MW thermal) from rock, steam and liquid heat. However geothermal steam turbine produced electricity (MW electric) from the pressurised steam only. </a:t>
          </a:r>
          <a:r>
            <a:rPr lang="en-US" sz="1100">
              <a:solidFill>
                <a:schemeClr val="dk1"/>
              </a:solidFill>
              <a:effectLst/>
              <a:latin typeface="+mn-lt"/>
              <a:ea typeface="+mn-ea"/>
              <a:cs typeface="+mn-cs"/>
            </a:rPr>
            <a:t>So, although only 3,9 percent heat contained in the fluids (liquid + steam), but they are the most important to produce electricity. </a:t>
          </a:r>
          <a:endParaRPr lang="nl-NL" sz="1100">
            <a:solidFill>
              <a:schemeClr val="dk1"/>
            </a:solidFill>
            <a:effectLst/>
            <a:latin typeface="+mn-lt"/>
            <a:ea typeface="+mn-ea"/>
            <a:cs typeface="+mn-cs"/>
          </a:endParaRPr>
        </a:p>
        <a:p>
          <a:r>
            <a:rPr lang="en-US" sz="1100">
              <a:solidFill>
                <a:srgbClr val="FF0000"/>
              </a:solidFill>
              <a:effectLst/>
              <a:latin typeface="+mn-lt"/>
              <a:ea typeface="+mn-ea"/>
              <a:cs typeface="+mn-cs"/>
            </a:rPr>
            <a:t>Of course. That is why the liquid production is flashed into steam when moving up the well and going through the surface facilities. This is how we have modelled it. </a:t>
          </a:r>
          <a:endParaRPr lang="nl-NL" sz="1400">
            <a:solidFill>
              <a:srgbClr val="FF0000"/>
            </a:solidFill>
            <a:effectLst/>
            <a:latin typeface="+mn-lt"/>
            <a:ea typeface="+mn-ea"/>
            <a:cs typeface="+mn-cs"/>
          </a:endParaRPr>
        </a:p>
        <a:p>
          <a:r>
            <a:rPr lang="en-US" sz="1100">
              <a:solidFill>
                <a:schemeClr val="dk1"/>
              </a:solidFill>
              <a:effectLst/>
              <a:latin typeface="+mn-lt"/>
              <a:ea typeface="+mn-ea"/>
              <a:cs typeface="+mn-cs"/>
            </a:rPr>
            <a:t> </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6. Steady inflow condition cannot be applied in Indonesia because the real case the production rate is always higher that the injection rate. The imbalance condition between production and injection will affect to mass and pressure decline in the reservoir. The make-up wells drilling then required to maintain production target rate. The previous model might be more suitable for real condition in Indonesia. </a:t>
          </a:r>
        </a:p>
        <a:p>
          <a:r>
            <a:rPr lang="en-US" sz="1100">
              <a:solidFill>
                <a:srgbClr val="FF0000"/>
              </a:solidFill>
              <a:effectLst/>
              <a:latin typeface="+mn-lt"/>
              <a:ea typeface="+mn-ea"/>
              <a:cs typeface="+mn-cs"/>
            </a:rPr>
            <a:t>Apparently that is then a fact in Indonesia, but why is it then decided to drill more production wells and not more injection wells? What is the economic driver for this?</a:t>
          </a:r>
          <a:endParaRPr lang="nl-NL" sz="1400">
            <a:solidFill>
              <a:srgbClr val="FF0000"/>
            </a:solidFill>
            <a:effectLst/>
            <a:latin typeface="+mn-lt"/>
            <a:ea typeface="+mn-ea"/>
            <a:cs typeface="+mn-cs"/>
          </a:endParaRPr>
        </a:p>
        <a:p>
          <a:r>
            <a:rPr lang="en-US" sz="1100">
              <a:solidFill>
                <a:srgbClr val="FF0000"/>
              </a:solidFill>
              <a:effectLst/>
              <a:latin typeface="+mn-lt"/>
              <a:ea typeface="+mn-ea"/>
              <a:cs typeface="+mn-cs"/>
            </a:rPr>
            <a:t>Do I understand that you would like to have a model that simulates:</a:t>
          </a:r>
          <a:endParaRPr lang="nl-NL" sz="1400">
            <a:solidFill>
              <a:srgbClr val="FF0000"/>
            </a:solidFill>
            <a:effectLst/>
            <a:latin typeface="+mn-lt"/>
            <a:ea typeface="+mn-ea"/>
            <a:cs typeface="+mn-cs"/>
          </a:endParaRPr>
        </a:p>
        <a:p>
          <a:pPr lvl="1"/>
          <a:r>
            <a:rPr lang="en-US" sz="1100">
              <a:solidFill>
                <a:srgbClr val="FF0000"/>
              </a:solidFill>
              <a:effectLst/>
              <a:latin typeface="+mn-lt"/>
              <a:ea typeface="+mn-ea"/>
              <a:cs typeface="+mn-cs"/>
            </a:rPr>
            <a:t>Semi-steady state well inflow equation + yearly update material balance (i.e. pressure depletion), including gascap drive from the steam-cap. </a:t>
          </a:r>
          <a:endParaRPr lang="nl-NL" sz="1400">
            <a:solidFill>
              <a:srgbClr val="FF0000"/>
            </a:solidFill>
            <a:effectLst/>
            <a:latin typeface="+mn-lt"/>
            <a:ea typeface="+mn-ea"/>
            <a:cs typeface="+mn-cs"/>
          </a:endParaRPr>
        </a:p>
        <a:p>
          <a:pPr lvl="1"/>
          <a:r>
            <a:rPr lang="en-US" sz="1100">
              <a:solidFill>
                <a:srgbClr val="FF0000"/>
              </a:solidFill>
              <a:effectLst/>
              <a:latin typeface="+mn-lt"/>
              <a:ea typeface="+mn-ea"/>
              <a:cs typeface="+mn-cs"/>
            </a:rPr>
            <a:t>Two-phase (steam + liquid) flow from the reservoir into the well-completion (i.e. using rel perms)</a:t>
          </a:r>
          <a:endParaRPr lang="nl-NL" sz="1400">
            <a:solidFill>
              <a:srgbClr val="FF0000"/>
            </a:solidFill>
            <a:effectLst/>
            <a:latin typeface="+mn-lt"/>
            <a:ea typeface="+mn-ea"/>
            <a:cs typeface="+mn-cs"/>
          </a:endParaRPr>
        </a:p>
        <a:p>
          <a:pPr lvl="2"/>
          <a:r>
            <a:rPr lang="en-US" sz="1100">
              <a:solidFill>
                <a:srgbClr val="FF0000"/>
              </a:solidFill>
              <a:effectLst/>
              <a:latin typeface="+mn-lt"/>
              <a:ea typeface="+mn-ea"/>
              <a:cs typeface="+mn-cs"/>
            </a:rPr>
            <a:t>And, optionally, steam flow only from reservoir into well-completion: then we will need complex pseudo-pressure gas inflow equations, including non-Darcy skin-factors. </a:t>
          </a:r>
          <a:endParaRPr lang="nl-NL" sz="1400">
            <a:solidFill>
              <a:srgbClr val="FF0000"/>
            </a:solidFill>
            <a:effectLst/>
            <a:latin typeface="+mn-lt"/>
            <a:ea typeface="+mn-ea"/>
            <a:cs typeface="+mn-cs"/>
          </a:endParaRPr>
        </a:p>
        <a:p>
          <a:pPr lvl="2"/>
          <a:r>
            <a:rPr lang="en-US" sz="1100">
              <a:solidFill>
                <a:srgbClr val="FF0000"/>
              </a:solidFill>
              <a:effectLst/>
              <a:latin typeface="+mn-lt"/>
              <a:ea typeface="+mn-ea"/>
              <a:cs typeface="+mn-cs"/>
            </a:rPr>
            <a:t>Note that the need to input rel perms and non-Darcy skin factors usually do not help the user much, as these variables remain highly uncertain (hard to measure in the lab or otherwise). </a:t>
          </a:r>
          <a:endParaRPr lang="nl-NL" sz="1400">
            <a:solidFill>
              <a:srgbClr val="FF0000"/>
            </a:solidFill>
            <a:effectLst/>
            <a:latin typeface="+mn-lt"/>
            <a:ea typeface="+mn-ea"/>
            <a:cs typeface="+mn-cs"/>
          </a:endParaRPr>
        </a:p>
        <a:p>
          <a:pPr lvl="1"/>
          <a:r>
            <a:rPr lang="en-US" sz="1100">
              <a:solidFill>
                <a:srgbClr val="FF0000"/>
              </a:solidFill>
              <a:effectLst/>
              <a:latin typeface="+mn-lt"/>
              <a:ea typeface="+mn-ea"/>
              <a:cs typeface="+mn-cs"/>
            </a:rPr>
            <a:t>A full VFP, including all phase behaviour, flashing, DT/Dh, DP/Dh etc. computations in the vertical section of the well. </a:t>
          </a:r>
          <a:endParaRPr lang="nl-NL" sz="1400">
            <a:solidFill>
              <a:srgbClr val="FF0000"/>
            </a:solidFill>
            <a:effectLst/>
            <a:latin typeface="+mn-lt"/>
            <a:ea typeface="+mn-ea"/>
            <a:cs typeface="+mn-cs"/>
          </a:endParaRPr>
        </a:p>
        <a:p>
          <a:pPr lvl="1"/>
          <a:r>
            <a:rPr lang="en-US" sz="1100">
              <a:solidFill>
                <a:srgbClr val="FF0000"/>
              </a:solidFill>
              <a:effectLst/>
              <a:latin typeface="+mn-lt"/>
              <a:ea typeface="+mn-ea"/>
              <a:cs typeface="+mn-cs"/>
            </a:rPr>
            <a:t>Different skin build-up for condensate injectors vs. brine injectors</a:t>
          </a:r>
          <a:endParaRPr lang="nl-NL" sz="1400">
            <a:solidFill>
              <a:srgbClr val="FF0000"/>
            </a:solidFill>
            <a:effectLst/>
            <a:latin typeface="+mn-lt"/>
            <a:ea typeface="+mn-ea"/>
            <a:cs typeface="+mn-cs"/>
          </a:endParaRPr>
        </a:p>
        <a:p>
          <a:pPr lvl="1"/>
          <a:r>
            <a:rPr lang="en-US" sz="1100">
              <a:solidFill>
                <a:srgbClr val="FF0000"/>
              </a:solidFill>
              <a:effectLst/>
              <a:latin typeface="+mn-lt"/>
              <a:ea typeface="+mn-ea"/>
              <a:cs typeface="+mn-cs"/>
            </a:rPr>
            <a:t>What else? No temperature depletion? </a:t>
          </a:r>
          <a:endParaRPr lang="nl-NL" sz="1400">
            <a:solidFill>
              <a:srgbClr val="FF0000"/>
            </a:solidFill>
            <a:effectLst/>
            <a:latin typeface="+mn-lt"/>
            <a:ea typeface="+mn-ea"/>
            <a:cs typeface="+mn-cs"/>
          </a:endParaRPr>
        </a:p>
        <a:p>
          <a:r>
            <a:rPr lang="en-US" sz="1100">
              <a:solidFill>
                <a:srgbClr val="FF0000"/>
              </a:solidFill>
              <a:effectLst/>
              <a:latin typeface="+mn-lt"/>
              <a:ea typeface="+mn-ea"/>
              <a:cs typeface="+mn-cs"/>
            </a:rPr>
            <a:t> </a:t>
          </a:r>
          <a:endParaRPr lang="nl-NL" sz="1400">
            <a:solidFill>
              <a:srgbClr val="FF0000"/>
            </a:solidFill>
            <a:effectLst/>
            <a:latin typeface="+mn-lt"/>
            <a:ea typeface="+mn-ea"/>
            <a:cs typeface="+mn-cs"/>
          </a:endParaRPr>
        </a:p>
        <a:p>
          <a:r>
            <a:rPr lang="en-US" sz="1100">
              <a:solidFill>
                <a:srgbClr val="FF0000"/>
              </a:solidFill>
              <a:effectLst/>
              <a:latin typeface="+mn-lt"/>
              <a:ea typeface="+mn-ea"/>
              <a:cs typeface="+mn-cs"/>
            </a:rPr>
            <a:t>Please continue this discussion. Note, however, that XL is limited in what it can do. We chose for XL because: 1) everybody has it, 2) it’s easy to link to a MonteCarlo engine such as Crystal Ball. And, with all the uncertainties in the (reservoir) parameters and equations, it may be better to use simplified models with uncertainty quantification than using detailed models with limited uncertainty analysis. Economist Keynes said: “I’d rather be approximately right than precisely wrong.” Many modellers / model users fall into the trap of </a:t>
          </a:r>
          <a:r>
            <a:rPr lang="en-US" sz="1100" i="1">
              <a:solidFill>
                <a:srgbClr val="FF0000"/>
              </a:solidFill>
              <a:effectLst/>
              <a:latin typeface="+mn-lt"/>
              <a:ea typeface="+mn-ea"/>
              <a:cs typeface="+mn-cs"/>
            </a:rPr>
            <a:t>precision</a:t>
          </a:r>
          <a:r>
            <a:rPr lang="en-US" sz="1100">
              <a:solidFill>
                <a:srgbClr val="FF0000"/>
              </a:solidFill>
              <a:effectLst/>
              <a:latin typeface="+mn-lt"/>
              <a:ea typeface="+mn-ea"/>
              <a:cs typeface="+mn-cs"/>
            </a:rPr>
            <a:t>, giving them a false sense of security. But they disregard the uncertainties that are there, for example in economics, or in planning, or in other specialist-subdomains. So one has to agree on which model simplifications are reasonable in the face of all input variable uncertainties. </a:t>
          </a:r>
          <a:endParaRPr lang="nl-NL" sz="1400">
            <a:solidFill>
              <a:srgbClr val="FF0000"/>
            </a:solidFill>
            <a:effectLst/>
            <a:latin typeface="+mn-lt"/>
            <a:ea typeface="+mn-ea"/>
            <a:cs typeface="+mn-cs"/>
          </a:endParaRPr>
        </a:p>
        <a:p>
          <a:r>
            <a:rPr lang="en-US" sz="1100">
              <a:solidFill>
                <a:schemeClr val="dk1"/>
              </a:solidFill>
              <a:effectLst/>
              <a:latin typeface="+mn-lt"/>
              <a:ea typeface="+mn-ea"/>
              <a:cs typeface="+mn-cs"/>
            </a:rPr>
            <a:t> </a:t>
          </a:r>
          <a:endParaRPr lang="nl-NL" sz="1100">
            <a:solidFill>
              <a:schemeClr val="dk1"/>
            </a:solidFill>
            <a:effectLst/>
            <a:latin typeface="+mn-lt"/>
            <a:ea typeface="+mn-ea"/>
            <a:cs typeface="+mn-cs"/>
          </a:endParaRPr>
        </a:p>
        <a:p>
          <a:r>
            <a:rPr lang="en-US" sz="1100">
              <a:solidFill>
                <a:schemeClr val="dk1"/>
              </a:solidFill>
              <a:effectLst/>
              <a:latin typeface="+mn-lt"/>
              <a:ea typeface="+mn-ea"/>
              <a:cs typeface="+mn-cs"/>
            </a:rPr>
            <a:t>Almost 70% of the fluid mass from the turbine outlet will be lost to the air through the cooling tower. Other reason related </a:t>
          </a:r>
          <a:r>
            <a:rPr lang="nl-NL" sz="1100">
              <a:solidFill>
                <a:schemeClr val="dk1"/>
              </a:solidFill>
              <a:effectLst/>
              <a:latin typeface="+mn-lt"/>
              <a:ea typeface="+mn-ea"/>
              <a:cs typeface="+mn-cs"/>
            </a:rPr>
            <a:t>with the injection well location, they should be located quite far from the production wells to avoid thermal breakthrough. So, the temperature drop is not significantly influence production rate in the reservoir. </a:t>
          </a:r>
        </a:p>
        <a:p>
          <a:r>
            <a:rPr lang="en-US" sz="1100">
              <a:solidFill>
                <a:srgbClr val="FF0000"/>
              </a:solidFill>
              <a:effectLst/>
              <a:latin typeface="+mn-lt"/>
              <a:ea typeface="+mn-ea"/>
              <a:cs typeface="+mn-cs"/>
            </a:rPr>
            <a:t>We heard from IF technology (partner in GEOCAP and in WP2.01) the other way around: constant pressure assumption is OK in geothermal activities, but temperature depletion must be modelled. In any case, the current model allows this temperature depletion to be specified at zero. So no problem. </a:t>
          </a:r>
          <a:endParaRPr lang="nl-NL" sz="1400">
            <a:solidFill>
              <a:srgbClr val="FF0000"/>
            </a:solidFill>
            <a:effectLst/>
            <a:latin typeface="+mn-lt"/>
            <a:ea typeface="+mn-ea"/>
            <a:cs typeface="+mn-cs"/>
          </a:endParaRPr>
        </a:p>
        <a:p>
          <a:r>
            <a:rPr lang="en-US" sz="1100">
              <a:solidFill>
                <a:schemeClr val="dk1"/>
              </a:solidFill>
              <a:effectLst/>
              <a:latin typeface="+mn-lt"/>
              <a:ea typeface="+mn-ea"/>
              <a:cs typeface="+mn-cs"/>
            </a:rPr>
            <a:t> </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7. I do think that if the model is built to encourage more geothermal development in Indonesia, and since this model will be distributed to decision maker from many companies in Indonesia, this model should accommodate as real as Indonesia's geothermal power production model. Fyi, our workshop participants will composed of employees from PLN, PGE, Geodipa and other geothermal power production company. </a:t>
          </a:r>
        </a:p>
        <a:p>
          <a:r>
            <a:rPr lang="en-US" sz="1100">
              <a:solidFill>
                <a:srgbClr val="FF0000"/>
              </a:solidFill>
              <a:effectLst/>
              <a:latin typeface="+mn-lt"/>
              <a:ea typeface="+mn-ea"/>
              <a:cs typeface="+mn-cs"/>
            </a:rPr>
            <a:t>Of course, but please do understand:</a:t>
          </a:r>
          <a:endParaRPr lang="nl-NL" sz="1400">
            <a:solidFill>
              <a:srgbClr val="FF0000"/>
            </a:solidFill>
            <a:effectLst/>
            <a:latin typeface="+mn-lt"/>
            <a:ea typeface="+mn-ea"/>
            <a:cs typeface="+mn-cs"/>
          </a:endParaRPr>
        </a:p>
        <a:p>
          <a:pPr lvl="0"/>
          <a:r>
            <a:rPr lang="en-US" sz="1100">
              <a:solidFill>
                <a:srgbClr val="FF0000"/>
              </a:solidFill>
              <a:effectLst/>
              <a:latin typeface="+mn-lt"/>
              <a:ea typeface="+mn-ea"/>
              <a:cs typeface="+mn-cs"/>
            </a:rPr>
            <a:t>The current model is only a prototype aimed at triggering a discussion on what precise functionality would be required in a tool. </a:t>
          </a:r>
          <a:endParaRPr lang="nl-NL" sz="1400">
            <a:solidFill>
              <a:srgbClr val="FF0000"/>
            </a:solidFill>
            <a:effectLst/>
            <a:latin typeface="+mn-lt"/>
            <a:ea typeface="+mn-ea"/>
            <a:cs typeface="+mn-cs"/>
          </a:endParaRPr>
        </a:p>
        <a:p>
          <a:pPr lvl="0"/>
          <a:r>
            <a:rPr lang="en-US" sz="1100">
              <a:solidFill>
                <a:srgbClr val="FF0000"/>
              </a:solidFill>
              <a:effectLst/>
              <a:latin typeface="+mn-lt"/>
              <a:ea typeface="+mn-ea"/>
              <a:cs typeface="+mn-cs"/>
            </a:rPr>
            <a:t>Discussions should be held in a language that is sufficiently precise for software developers, building on the functionality / concepts of the tool that is already there. Wishes must be translated into workable solutions, these must then be translated into (improved) code. One must understand the inner workings and principles/assumptions of the current version. </a:t>
          </a:r>
          <a:endParaRPr lang="nl-NL" sz="1400">
            <a:solidFill>
              <a:srgbClr val="FF0000"/>
            </a:solidFill>
            <a:effectLst/>
            <a:latin typeface="+mn-lt"/>
            <a:ea typeface="+mn-ea"/>
            <a:cs typeface="+mn-cs"/>
          </a:endParaRPr>
        </a:p>
        <a:p>
          <a:pPr lvl="0"/>
          <a:r>
            <a:rPr lang="en-US" sz="1100">
              <a:solidFill>
                <a:srgbClr val="FF0000"/>
              </a:solidFill>
              <a:effectLst/>
              <a:latin typeface="+mn-lt"/>
              <a:ea typeface="+mn-ea"/>
              <a:cs typeface="+mn-cs"/>
            </a:rPr>
            <a:t>One should understand the trade-off between precision and accuracy. XL will not give a very precise model, however it may be accurate in the sense that the mean of the output distribution is close to reality, and that the range of the output distribution reflects the uncertainties one might expect. A precise simulation tool (e.g. finite difference / finite element, with many iterative computations) will not be able to do the uncertainty analysis properly, as too CPU intensive. Moreover, such tools are highly demanding in terms of required skills to run the tool. An XL tool is much more accessible and may give a valid first impression of a project subject to large uncertainties. </a:t>
          </a:r>
          <a:endParaRPr lang="nl-NL" sz="1400">
            <a:solidFill>
              <a:srgbClr val="FF0000"/>
            </a:solidFill>
            <a:effectLst/>
            <a:latin typeface="+mn-lt"/>
            <a:ea typeface="+mn-ea"/>
            <a:cs typeface="+mn-cs"/>
          </a:endParaRPr>
        </a:p>
        <a:p>
          <a:pPr lvl="0"/>
          <a:r>
            <a:rPr lang="en-US" sz="1100">
              <a:solidFill>
                <a:srgbClr val="FF0000"/>
              </a:solidFill>
              <a:effectLst/>
              <a:latin typeface="+mn-lt"/>
              <a:ea typeface="+mn-ea"/>
              <a:cs typeface="+mn-cs"/>
            </a:rPr>
            <a:t>There is no more GEOCAP budget for further extending the tool. Finances would have to come from elsewhere. </a:t>
          </a:r>
          <a:endParaRPr lang="nl-NL" sz="1400">
            <a:solidFill>
              <a:srgbClr val="FF0000"/>
            </a:solidFill>
            <a:effectLst/>
            <a:latin typeface="+mn-lt"/>
            <a:ea typeface="+mn-ea"/>
            <a:cs typeface="+mn-cs"/>
          </a:endParaRPr>
        </a:p>
        <a:p>
          <a:r>
            <a:rPr lang="en-US" sz="1100">
              <a:solidFill>
                <a:schemeClr val="dk1"/>
              </a:solidFill>
              <a:effectLst/>
              <a:latin typeface="+mn-lt"/>
              <a:ea typeface="+mn-ea"/>
              <a:cs typeface="+mn-cs"/>
            </a:rPr>
            <a:t> </a:t>
          </a:r>
          <a:endParaRPr lang="nl-NL" sz="14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nl-NL"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Really appreciate your input. </a:t>
          </a:r>
        </a:p>
        <a:p>
          <a:r>
            <a:rPr lang="nl-NL" sz="1100">
              <a:solidFill>
                <a:schemeClr val="dk1"/>
              </a:solidFill>
              <a:effectLst/>
              <a:latin typeface="+mn-lt"/>
              <a:ea typeface="+mn-ea"/>
              <a:cs typeface="+mn-cs"/>
            </a:rPr>
            <a:t> </a:t>
          </a:r>
        </a:p>
        <a:p>
          <a:r>
            <a:rPr lang="nl-NL" sz="1100">
              <a:solidFill>
                <a:schemeClr val="dk1"/>
              </a:solidFill>
              <a:effectLst/>
              <a:latin typeface="+mn-lt"/>
              <a:ea typeface="+mn-ea"/>
              <a:cs typeface="+mn-cs"/>
            </a:rPr>
            <a:t>Thank you,</a:t>
          </a:r>
        </a:p>
        <a:p>
          <a:r>
            <a:rPr lang="nl-NL" sz="1100">
              <a:solidFill>
                <a:schemeClr val="dk1"/>
              </a:solidFill>
              <a:effectLst/>
              <a:latin typeface="+mn-lt"/>
              <a:ea typeface="+mn-ea"/>
              <a:cs typeface="+mn-cs"/>
            </a:rPr>
            <a:t>Fitri</a:t>
          </a:r>
        </a:p>
        <a:p>
          <a:r>
            <a:rPr lang="nl-NL" sz="1100">
              <a:solidFill>
                <a:schemeClr val="dk1"/>
              </a:solidFill>
              <a:effectLst/>
              <a:latin typeface="+mn-lt"/>
              <a:ea typeface="+mn-ea"/>
              <a:cs typeface="+mn-cs"/>
            </a:rPr>
            <a:t> </a:t>
          </a:r>
        </a:p>
        <a:p>
          <a:r>
            <a:rPr lang="nl-NL" sz="1100">
              <a:solidFill>
                <a:schemeClr val="dk1"/>
              </a:solidFill>
              <a:effectLst/>
              <a:latin typeface="+mn-lt"/>
              <a:ea typeface="+mn-ea"/>
              <a:cs typeface="+mn-cs"/>
            </a:rPr>
            <a:t> </a:t>
          </a:r>
        </a:p>
        <a:p>
          <a:r>
            <a:rPr lang="nl-NL" sz="1100">
              <a:solidFill>
                <a:schemeClr val="dk1"/>
              </a:solidFill>
              <a:effectLst/>
              <a:latin typeface="+mn-lt"/>
              <a:ea typeface="+mn-ea"/>
              <a:cs typeface="+mn-cs"/>
            </a:rPr>
            <a:t> </a:t>
          </a:r>
        </a:p>
        <a:p>
          <a:r>
            <a:rPr lang="nl-NL" sz="1100">
              <a:solidFill>
                <a:schemeClr val="dk1"/>
              </a:solidFill>
              <a:effectLst/>
              <a:latin typeface="+mn-lt"/>
              <a:ea typeface="+mn-ea"/>
              <a:cs typeface="+mn-cs"/>
            </a:rPr>
            <a:t>On Thu, Oct 12, 2017 at 5:46 PM, Bos, C.F.M. (Christian) &lt;</a:t>
          </a:r>
          <a:r>
            <a:rPr lang="nl-NL" sz="1100" u="sng">
              <a:solidFill>
                <a:schemeClr val="dk1"/>
              </a:solidFill>
              <a:effectLst/>
              <a:latin typeface="+mn-lt"/>
              <a:ea typeface="+mn-ea"/>
              <a:cs typeface="+mn-cs"/>
              <a:hlinkClick xmlns:r="http://schemas.openxmlformats.org/officeDocument/2006/relationships" r:id=""/>
            </a:rPr>
            <a:t>Christian.Bos@tno.nl</a:t>
          </a:r>
          <a:r>
            <a:rPr lang="nl-NL" sz="1100">
              <a:solidFill>
                <a:schemeClr val="dk1"/>
              </a:solidFill>
              <a:effectLst/>
              <a:latin typeface="+mn-lt"/>
              <a:ea typeface="+mn-ea"/>
              <a:cs typeface="+mn-cs"/>
            </a:rPr>
            <a:t>&gt; wrote:</a:t>
          </a:r>
        </a:p>
        <a:p>
          <a:r>
            <a:rPr lang="en-US" sz="1100">
              <a:solidFill>
                <a:schemeClr val="dk1"/>
              </a:solidFill>
              <a:effectLst/>
              <a:latin typeface="+mn-lt"/>
              <a:ea typeface="+mn-ea"/>
              <a:cs typeface="+mn-cs"/>
            </a:rPr>
            <a:t>Hello Fitri, good questions and thanks for that. I will try to answer below in red. </a:t>
          </a:r>
          <a:endParaRPr lang="nl-NL" sz="1100">
            <a:solidFill>
              <a:schemeClr val="dk1"/>
            </a:solidFill>
            <a:effectLst/>
            <a:latin typeface="+mn-lt"/>
            <a:ea typeface="+mn-ea"/>
            <a:cs typeface="+mn-cs"/>
          </a:endParaRPr>
        </a:p>
        <a:p>
          <a:r>
            <a:rPr lang="en-US" sz="1100">
              <a:solidFill>
                <a:schemeClr val="dk1"/>
              </a:solidFill>
              <a:effectLst/>
              <a:latin typeface="+mn-lt"/>
              <a:ea typeface="+mn-ea"/>
              <a:cs typeface="+mn-cs"/>
            </a:rPr>
            <a:t>Best regards, christian</a:t>
          </a:r>
          <a:endParaRPr lang="nl-NL"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nl-NL" sz="1100">
            <a:solidFill>
              <a:schemeClr val="dk1"/>
            </a:solidFill>
            <a:effectLst/>
            <a:latin typeface="+mn-lt"/>
            <a:ea typeface="+mn-ea"/>
            <a:cs typeface="+mn-cs"/>
          </a:endParaRPr>
        </a:p>
        <a:p>
          <a:r>
            <a:rPr lang="en-US" sz="1100" b="1">
              <a:solidFill>
                <a:schemeClr val="dk1"/>
              </a:solidFill>
              <a:effectLst/>
              <a:latin typeface="+mn-lt"/>
              <a:ea typeface="+mn-ea"/>
              <a:cs typeface="+mn-cs"/>
            </a:rPr>
            <a:t>From:</a:t>
          </a:r>
          <a:r>
            <a:rPr lang="en-US" sz="1100">
              <a:solidFill>
                <a:schemeClr val="dk1"/>
              </a:solidFill>
              <a:effectLst/>
              <a:latin typeface="+mn-lt"/>
              <a:ea typeface="+mn-ea"/>
              <a:cs typeface="+mn-cs"/>
            </a:rPr>
            <a:t> Fitri Oktaviani [mailto:</a:t>
          </a:r>
          <a:r>
            <a:rPr lang="en-US" sz="1100" u="sng">
              <a:solidFill>
                <a:schemeClr val="dk1"/>
              </a:solidFill>
              <a:effectLst/>
              <a:latin typeface="+mn-lt"/>
              <a:ea typeface="+mn-ea"/>
              <a:cs typeface="+mn-cs"/>
              <a:hlinkClick xmlns:r="http://schemas.openxmlformats.org/officeDocument/2006/relationships" r:id=""/>
            </a:rPr>
            <a:t>feetre@gmail.com</a:t>
          </a: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Sent:</a:t>
          </a:r>
          <a:r>
            <a:rPr lang="en-US" sz="1100">
              <a:solidFill>
                <a:schemeClr val="dk1"/>
              </a:solidFill>
              <a:effectLst/>
              <a:latin typeface="+mn-lt"/>
              <a:ea typeface="+mn-ea"/>
              <a:cs typeface="+mn-cs"/>
            </a:rPr>
            <a:t> 12 October 2017 04:17</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To:</a:t>
          </a:r>
          <a:r>
            <a:rPr lang="en-US" sz="1100">
              <a:solidFill>
                <a:schemeClr val="dk1"/>
              </a:solidFill>
              <a:effectLst/>
              <a:latin typeface="+mn-lt"/>
              <a:ea typeface="+mn-ea"/>
              <a:cs typeface="+mn-cs"/>
            </a:rPr>
            <a:t> Bos, C.F.M. (Christian) &lt;</a:t>
          </a:r>
          <a:r>
            <a:rPr lang="en-US" sz="1100" u="sng">
              <a:solidFill>
                <a:schemeClr val="dk1"/>
              </a:solidFill>
              <a:effectLst/>
              <a:latin typeface="+mn-lt"/>
              <a:ea typeface="+mn-ea"/>
              <a:cs typeface="+mn-cs"/>
              <a:hlinkClick xmlns:r="http://schemas.openxmlformats.org/officeDocument/2006/relationships" r:id=""/>
            </a:rPr>
            <a:t>Christian.Bos@tno.nl</a:t>
          </a:r>
          <a:r>
            <a:rPr lang="en-US" sz="1100">
              <a:solidFill>
                <a:schemeClr val="dk1"/>
              </a:solidFill>
              <a:effectLst/>
              <a:latin typeface="+mn-lt"/>
              <a:ea typeface="+mn-ea"/>
              <a:cs typeface="+mn-cs"/>
            </a:rPr>
            <a:t>&gt;; Ali Ashat &lt;</a:t>
          </a:r>
          <a:r>
            <a:rPr lang="en-US" sz="1100" u="sng">
              <a:solidFill>
                <a:schemeClr val="dk1"/>
              </a:solidFill>
              <a:effectLst/>
              <a:latin typeface="+mn-lt"/>
              <a:ea typeface="+mn-ea"/>
              <a:cs typeface="+mn-cs"/>
              <a:hlinkClick xmlns:r="http://schemas.openxmlformats.org/officeDocument/2006/relationships" r:id=""/>
            </a:rPr>
            <a:t>labgeothermal@yahoo.com</a:t>
          </a:r>
          <a:r>
            <a:rPr lang="en-US" sz="1100">
              <a:solidFill>
                <a:schemeClr val="dk1"/>
              </a:solidFill>
              <a:effectLst/>
              <a:latin typeface="+mn-lt"/>
              <a:ea typeface="+mn-ea"/>
              <a:cs typeface="+mn-cs"/>
            </a:rPr>
            <a:t>&gt;</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Subject:</a:t>
          </a:r>
          <a:r>
            <a:rPr lang="en-US" sz="1100">
              <a:solidFill>
                <a:schemeClr val="dk1"/>
              </a:solidFill>
              <a:effectLst/>
              <a:latin typeface="+mn-lt"/>
              <a:ea typeface="+mn-ea"/>
              <a:cs typeface="+mn-cs"/>
            </a:rPr>
            <a:t> Re: New version GEOCAP geothermal model (v. 1.45 dated 25Aug17)</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 </a:t>
          </a:r>
        </a:p>
        <a:p>
          <a:r>
            <a:rPr lang="nl-NL" sz="1100">
              <a:solidFill>
                <a:schemeClr val="dk1"/>
              </a:solidFill>
              <a:effectLst/>
              <a:latin typeface="+mn-lt"/>
              <a:ea typeface="+mn-ea"/>
              <a:cs typeface="+mn-cs"/>
            </a:rPr>
            <a:t>Hi Christian, </a:t>
          </a:r>
          <a:endParaRPr lang="nl-NL" sz="1400">
            <a:solidFill>
              <a:schemeClr val="dk1"/>
            </a:solidFill>
            <a:effectLst/>
            <a:latin typeface="+mn-lt"/>
            <a:ea typeface="+mn-ea"/>
            <a:cs typeface="+mn-cs"/>
          </a:endParaRPr>
        </a:p>
        <a:p>
          <a:r>
            <a:rPr lang="nl-NL" sz="1100">
              <a:solidFill>
                <a:schemeClr val="dk1"/>
              </a:solidFill>
              <a:effectLst/>
              <a:latin typeface="+mn-lt"/>
              <a:ea typeface="+mn-ea"/>
              <a:cs typeface="+mn-cs"/>
            </a:rPr>
            <a:t> </a:t>
          </a:r>
          <a:endParaRPr lang="nl-NL" sz="1400">
            <a:solidFill>
              <a:schemeClr val="dk1"/>
            </a:solidFill>
            <a:effectLst/>
            <a:latin typeface="+mn-lt"/>
            <a:ea typeface="+mn-ea"/>
            <a:cs typeface="+mn-cs"/>
          </a:endParaRPr>
        </a:p>
        <a:p>
          <a:r>
            <a:rPr lang="nl-NL" sz="1100">
              <a:solidFill>
                <a:schemeClr val="dk1"/>
              </a:solidFill>
              <a:effectLst/>
              <a:latin typeface="+mn-lt"/>
              <a:ea typeface="+mn-ea"/>
              <a:cs typeface="+mn-cs"/>
            </a:rPr>
            <a:t>I've been testing your model and tried to compared that into Indonesian model. There are some questions related with the geothermal process as:</a:t>
          </a:r>
          <a:endParaRPr lang="nl-NL" sz="1400">
            <a:solidFill>
              <a:schemeClr val="dk1"/>
            </a:solidFill>
            <a:effectLst/>
            <a:latin typeface="+mn-lt"/>
            <a:ea typeface="+mn-ea"/>
            <a:cs typeface="+mn-cs"/>
          </a:endParaRPr>
        </a:p>
        <a:p>
          <a:r>
            <a:rPr lang="nl-NL" sz="1100">
              <a:solidFill>
                <a:schemeClr val="dk1"/>
              </a:solidFill>
              <a:effectLst/>
              <a:latin typeface="+mn-lt"/>
              <a:ea typeface="+mn-ea"/>
              <a:cs typeface="+mn-cs"/>
            </a:rPr>
            <a:t> </a:t>
          </a:r>
          <a:endParaRPr lang="nl-NL" sz="1400">
            <a:solidFill>
              <a:schemeClr val="dk1"/>
            </a:solidFill>
            <a:effectLst/>
            <a:latin typeface="+mn-lt"/>
            <a:ea typeface="+mn-ea"/>
            <a:cs typeface="+mn-cs"/>
          </a:endParaRPr>
        </a:p>
        <a:p>
          <a:r>
            <a:rPr lang="en-US" sz="1100">
              <a:solidFill>
                <a:schemeClr val="dk1"/>
              </a:solidFill>
              <a:effectLst/>
              <a:latin typeface="+mn-lt"/>
              <a:ea typeface="+mn-ea"/>
              <a:cs typeface="+mn-cs"/>
            </a:rPr>
            <a:t>1. Do the model differentiate between the water dominated and steam dominated geothermal model? </a:t>
          </a:r>
          <a:r>
            <a:rPr lang="nl-NL" sz="1100">
              <a:solidFill>
                <a:schemeClr val="dk1"/>
              </a:solidFill>
              <a:effectLst/>
              <a:latin typeface="+mn-lt"/>
              <a:ea typeface="+mn-ea"/>
              <a:cs typeface="+mn-cs"/>
            </a:rPr>
            <a:t>Is there any difference in calculating power potential, injection volume and other parameters that will significantly different from the water and steam geothermal field? </a:t>
          </a:r>
          <a:endParaRPr lang="nl-NL" sz="1400">
            <a:solidFill>
              <a:schemeClr val="dk1"/>
            </a:solidFill>
            <a:effectLst/>
            <a:latin typeface="+mn-lt"/>
            <a:ea typeface="+mn-ea"/>
            <a:cs typeface="+mn-cs"/>
          </a:endParaRPr>
        </a:p>
        <a:p>
          <a:r>
            <a:rPr lang="en-US" sz="1100">
              <a:solidFill>
                <a:srgbClr val="FF0000"/>
              </a:solidFill>
              <a:effectLst/>
              <a:latin typeface="+mn-lt"/>
              <a:ea typeface="+mn-ea"/>
              <a:cs typeface="+mn-cs"/>
            </a:rPr>
            <a:t>The model assumes a liquid-dominated reservoir, i.e. without a steam-cap, although the model may also approximate a steam-cap reservoir provided that the well is not directly completed on the steam-zone. What we do is 1) calculate the heat-in-place assuming liquid only (no saturation needed). According to Sarmiento, this gives only a small error in the HIP (see below). The HIP figure only gives an estimate for the (upside) potential of the field and does not determine the volumetric liquid inflow into the wells. 2) Then we have the well inflow equation, assuming single-phase (liquid) and steady-state inflow conditions (i.e. production must be equal to injection). This yields the production rate of the field. We assume the steam is flashed above-ground. However, flashing in the (vertical) well could also be described given valid user input for the vertical pressure drop. </a:t>
          </a:r>
          <a:endParaRPr lang="nl-NL" sz="1400">
            <a:solidFill>
              <a:srgbClr val="FF0000"/>
            </a:solidFill>
            <a:effectLst/>
            <a:latin typeface="+mn-lt"/>
            <a:ea typeface="+mn-ea"/>
            <a:cs typeface="+mn-cs"/>
          </a:endParaRPr>
        </a:p>
        <a:p>
          <a:r>
            <a:rPr lang="en-US" sz="1100">
              <a:solidFill>
                <a:srgbClr val="FF0000"/>
              </a:solidFill>
              <a:effectLst/>
              <a:latin typeface="+mn-lt"/>
              <a:ea typeface="+mn-ea"/>
              <a:cs typeface="+mn-cs"/>
            </a:rPr>
            <a:t> </a:t>
          </a:r>
          <a:endParaRPr lang="nl-NL" sz="1400">
            <a:solidFill>
              <a:srgbClr val="FF0000"/>
            </a:solidFill>
            <a:effectLst/>
            <a:latin typeface="+mn-lt"/>
            <a:ea typeface="+mn-ea"/>
            <a:cs typeface="+mn-cs"/>
          </a:endParaRPr>
        </a:p>
        <a:p>
          <a:r>
            <a:rPr lang="en-US" sz="1100">
              <a:solidFill>
                <a:srgbClr val="FF0000"/>
              </a:solidFill>
              <a:effectLst/>
              <a:latin typeface="+mn-lt"/>
              <a:ea typeface="+mn-ea"/>
              <a:cs typeface="+mn-cs"/>
            </a:rPr>
            <a:t>See also what is written in the comment of cell Volumetrics!A8:</a:t>
          </a:r>
          <a:endParaRPr lang="nl-NL" sz="1400">
            <a:solidFill>
              <a:srgbClr val="FF0000"/>
            </a:solidFill>
            <a:effectLst/>
            <a:latin typeface="+mn-lt"/>
            <a:ea typeface="+mn-ea"/>
            <a:cs typeface="+mn-cs"/>
          </a:endParaRPr>
        </a:p>
        <a:p>
          <a:r>
            <a:rPr lang="en-US" sz="1100">
              <a:solidFill>
                <a:srgbClr val="FF0000"/>
              </a:solidFill>
              <a:effectLst/>
              <a:latin typeface="+mn-lt"/>
              <a:ea typeface="+mn-ea"/>
              <a:cs typeface="+mn-cs"/>
            </a:rPr>
            <a:t>If the reservoir has a two-phase zone existing at the top of the liquid zone it would theoretically be prudent to calculate the heat component of both the liquid and the two-phase or steam dominated zone of the reservoir. </a:t>
          </a:r>
          <a:endParaRPr lang="nl-NL" sz="1400">
            <a:solidFill>
              <a:srgbClr val="FF0000"/>
            </a:solidFill>
            <a:effectLst/>
            <a:latin typeface="+mn-lt"/>
            <a:ea typeface="+mn-ea"/>
            <a:cs typeface="+mn-cs"/>
          </a:endParaRPr>
        </a:p>
        <a:p>
          <a:r>
            <a:rPr lang="en-US" sz="1100">
              <a:solidFill>
                <a:srgbClr val="FF0000"/>
              </a:solidFill>
              <a:effectLst/>
              <a:latin typeface="+mn-lt"/>
              <a:ea typeface="+mn-ea"/>
              <a:cs typeface="+mn-cs"/>
            </a:rPr>
            <a:t>However, a comparison made by Sanyal and Sarmiento (2007) indicates that if merely water were to be produced from the reservoir, only 3.9 percent of the heat is contained in the fluids (i.e. liquid + steam); whereas, if merely steam were to be produced from the reservoir, only 9.6 percent of the heat is contained in the fluids. If both water and steam were produced from the reservoir, the heat content in the fluids is somewhere between 3.9 and 9.6 percent of total heat in place. Conclusively, most of the heat (90 to 96%) is in the rock and the error when one does not distinguish the stored heat in water and steam independently is acceptable. </a:t>
          </a:r>
          <a:endParaRPr lang="nl-NL" sz="1400">
            <a:solidFill>
              <a:srgbClr val="FF0000"/>
            </a:solidFill>
            <a:effectLst/>
            <a:latin typeface="+mn-lt"/>
            <a:ea typeface="+mn-ea"/>
            <a:cs typeface="+mn-cs"/>
          </a:endParaRPr>
        </a:p>
        <a:p>
          <a:r>
            <a:rPr lang="en-US" sz="1100">
              <a:solidFill>
                <a:srgbClr val="FF0000"/>
              </a:solidFill>
              <a:effectLst/>
              <a:latin typeface="+mn-lt"/>
              <a:ea typeface="+mn-ea"/>
              <a:cs typeface="+mn-cs"/>
            </a:rPr>
            <a:t>The volumetric approach of distinguishing liquid and steam is illustrated by the following set of equations that separately accounts for the liquid and steam components in the reservoir: (see equations for Qs and Qw).</a:t>
          </a:r>
          <a:endParaRPr lang="nl-NL" sz="1400">
            <a:solidFill>
              <a:srgbClr val="FF0000"/>
            </a:solidFill>
            <a:effectLst/>
            <a:latin typeface="+mn-lt"/>
            <a:ea typeface="+mn-ea"/>
            <a:cs typeface="+mn-cs"/>
          </a:endParaRPr>
        </a:p>
        <a:p>
          <a:r>
            <a:rPr lang="en-US" sz="1100">
              <a:solidFill>
                <a:schemeClr val="dk1"/>
              </a:solidFill>
              <a:effectLst/>
              <a:latin typeface="+mn-lt"/>
              <a:ea typeface="+mn-ea"/>
              <a:cs typeface="+mn-cs"/>
            </a:rPr>
            <a:t> </a:t>
          </a:r>
          <a:endParaRPr lang="nl-NL" sz="1400">
            <a:solidFill>
              <a:schemeClr val="dk1"/>
            </a:solidFill>
            <a:effectLst/>
            <a:latin typeface="+mn-lt"/>
            <a:ea typeface="+mn-ea"/>
            <a:cs typeface="+mn-cs"/>
          </a:endParaRPr>
        </a:p>
        <a:p>
          <a:r>
            <a:rPr lang="nl-NL" sz="1100">
              <a:solidFill>
                <a:schemeClr val="dk1"/>
              </a:solidFill>
              <a:effectLst/>
              <a:latin typeface="+mn-lt"/>
              <a:ea typeface="+mn-ea"/>
              <a:cs typeface="+mn-cs"/>
            </a:rPr>
            <a:t>2. You use several calculation methods, including Volumetric from Sarmiento. But I didn't see any saturation variable in the model? I think that would be relate with the first question because the saturation model would be deeply related with the type of reservoir (water or steam dominated)</a:t>
          </a:r>
          <a:endParaRPr lang="nl-NL" sz="1400">
            <a:solidFill>
              <a:schemeClr val="dk1"/>
            </a:solidFill>
            <a:effectLst/>
            <a:latin typeface="+mn-lt"/>
            <a:ea typeface="+mn-ea"/>
            <a:cs typeface="+mn-cs"/>
          </a:endParaRPr>
        </a:p>
        <a:p>
          <a:r>
            <a:rPr lang="en-US" sz="1100">
              <a:solidFill>
                <a:srgbClr val="FF0000"/>
              </a:solidFill>
              <a:effectLst/>
              <a:latin typeface="+mn-lt"/>
              <a:ea typeface="+mn-ea"/>
              <a:cs typeface="+mn-cs"/>
            </a:rPr>
            <a:t>Already discussed in 1)</a:t>
          </a:r>
          <a:endParaRPr lang="nl-NL" sz="1400">
            <a:solidFill>
              <a:srgbClr val="FF0000"/>
            </a:solidFill>
            <a:effectLst/>
            <a:latin typeface="+mn-lt"/>
            <a:ea typeface="+mn-ea"/>
            <a:cs typeface="+mn-cs"/>
          </a:endParaRPr>
        </a:p>
        <a:p>
          <a:r>
            <a:rPr lang="en-US" sz="1100">
              <a:solidFill>
                <a:schemeClr val="dk1"/>
              </a:solidFill>
              <a:effectLst/>
              <a:latin typeface="+mn-lt"/>
              <a:ea typeface="+mn-ea"/>
              <a:cs typeface="+mn-cs"/>
            </a:rPr>
            <a:t> </a:t>
          </a:r>
          <a:endParaRPr lang="nl-NL" sz="1100">
            <a:solidFill>
              <a:schemeClr val="dk1"/>
            </a:solidFill>
            <a:effectLst/>
            <a:latin typeface="+mn-lt"/>
            <a:ea typeface="+mn-ea"/>
            <a:cs typeface="+mn-cs"/>
          </a:endParaRPr>
        </a:p>
        <a:p>
          <a:r>
            <a:rPr lang="en-US" sz="1100">
              <a:solidFill>
                <a:schemeClr val="dk1"/>
              </a:solidFill>
              <a:effectLst/>
              <a:latin typeface="+mn-lt"/>
              <a:ea typeface="+mn-ea"/>
              <a:cs typeface="+mn-cs"/>
            </a:rPr>
            <a:t>3. Does the model calculate pressure drop along production time? </a:t>
          </a:r>
          <a:r>
            <a:rPr lang="nl-NL" sz="1100">
              <a:solidFill>
                <a:schemeClr val="dk1"/>
              </a:solidFill>
              <a:effectLst/>
              <a:latin typeface="+mn-lt"/>
              <a:ea typeface="+mn-ea"/>
              <a:cs typeface="+mn-cs"/>
            </a:rPr>
            <a:t>From what I tried, I could see that there are temperature drop calculation, but no pressure drop. Is there any decline rate calculation that will calculate the declining production along the production period? </a:t>
          </a:r>
          <a:endParaRPr lang="nl-NL" sz="1400">
            <a:solidFill>
              <a:schemeClr val="dk1"/>
            </a:solidFill>
            <a:effectLst/>
            <a:latin typeface="+mn-lt"/>
            <a:ea typeface="+mn-ea"/>
            <a:cs typeface="+mn-cs"/>
          </a:endParaRPr>
        </a:p>
        <a:p>
          <a:r>
            <a:rPr lang="en-US" sz="1100">
              <a:solidFill>
                <a:srgbClr val="FF0000"/>
              </a:solidFill>
              <a:effectLst/>
              <a:latin typeface="+mn-lt"/>
              <a:ea typeface="+mn-ea"/>
              <a:cs typeface="+mn-cs"/>
            </a:rPr>
            <a:t>Also discussed in 1): the model assumes steady-state inflow conditions, i.e. no pressure drop. Average reservoir pressure is constant in time. That is the model’s assumption. So injection must be = production (net underground withdrawal = 0). We believe this will in many cases be a valid assumption (although we do not know the conditions in Indonesia), hence the pressure will not drop in time. What will however change in time is the temperature, as the model assumes that the cooler re-injected water can break through into the production well. This can be specified by the user, e.g. based on reservoir simulation studies. Because of density differences due to temperature changes, the mass-flow will also change in time after breakthrough.</a:t>
          </a:r>
          <a:endParaRPr lang="nl-NL" sz="1400">
            <a:solidFill>
              <a:srgbClr val="FF0000"/>
            </a:solidFill>
            <a:effectLst/>
            <a:latin typeface="+mn-lt"/>
            <a:ea typeface="+mn-ea"/>
            <a:cs typeface="+mn-cs"/>
          </a:endParaRPr>
        </a:p>
        <a:p>
          <a:r>
            <a:rPr lang="en-US" sz="1100">
              <a:solidFill>
                <a:srgbClr val="FF0000"/>
              </a:solidFill>
              <a:effectLst/>
              <a:latin typeface="+mn-lt"/>
              <a:ea typeface="+mn-ea"/>
              <a:cs typeface="+mn-cs"/>
            </a:rPr>
            <a:t>The model allows volumetric rate decline per well as a function of how the skinfactor builds up in time. This is user-supplied. </a:t>
          </a:r>
          <a:endParaRPr lang="nl-NL" sz="1400">
            <a:solidFill>
              <a:srgbClr val="FF0000"/>
            </a:solidFill>
            <a:effectLst/>
            <a:latin typeface="+mn-lt"/>
            <a:ea typeface="+mn-ea"/>
            <a:cs typeface="+mn-cs"/>
          </a:endParaRPr>
        </a:p>
        <a:p>
          <a:r>
            <a:rPr lang="en-US" sz="1100">
              <a:solidFill>
                <a:schemeClr val="dk1"/>
              </a:solidFill>
              <a:effectLst/>
              <a:latin typeface="+mn-lt"/>
              <a:ea typeface="+mn-ea"/>
              <a:cs typeface="+mn-cs"/>
            </a:rPr>
            <a:t> </a:t>
          </a:r>
          <a:endParaRPr lang="nl-NL" sz="1100">
            <a:solidFill>
              <a:schemeClr val="dk1"/>
            </a:solidFill>
            <a:effectLst/>
            <a:latin typeface="+mn-lt"/>
            <a:ea typeface="+mn-ea"/>
            <a:cs typeface="+mn-cs"/>
          </a:endParaRPr>
        </a:p>
        <a:p>
          <a:r>
            <a:rPr lang="en-US" sz="1100">
              <a:solidFill>
                <a:schemeClr val="dk1"/>
              </a:solidFill>
              <a:effectLst/>
              <a:latin typeface="+mn-lt"/>
              <a:ea typeface="+mn-ea"/>
              <a:cs typeface="+mn-cs"/>
            </a:rPr>
            <a:t>4. Related with the 3rd question below, I didn't see any make-up well calcul</a:t>
          </a:r>
          <a:r>
            <a:rPr lang="nl-NL" sz="1100">
              <a:solidFill>
                <a:schemeClr val="dk1"/>
              </a:solidFill>
              <a:effectLst/>
              <a:latin typeface="+mn-lt"/>
              <a:ea typeface="+mn-ea"/>
              <a:cs typeface="+mn-cs"/>
            </a:rPr>
            <a:t>ation. I found the well development drilling during production period to increasing the production. In Indonesia we usually drill make-up wells to anticipate declining period (due to pressure drop) and maintain production level based on turbine requirement. How this model translate the make-up calculation as usually done in Indonesian model? </a:t>
          </a:r>
          <a:endParaRPr lang="nl-NL" sz="1400">
            <a:solidFill>
              <a:schemeClr val="dk1"/>
            </a:solidFill>
            <a:effectLst/>
            <a:latin typeface="+mn-lt"/>
            <a:ea typeface="+mn-ea"/>
            <a:cs typeface="+mn-cs"/>
          </a:endParaRPr>
        </a:p>
        <a:p>
          <a:r>
            <a:rPr lang="en-US" sz="1100">
              <a:solidFill>
                <a:srgbClr val="FF0000"/>
              </a:solidFill>
              <a:effectLst/>
              <a:latin typeface="+mn-lt"/>
              <a:ea typeface="+mn-ea"/>
              <a:cs typeface="+mn-cs"/>
            </a:rPr>
            <a:t>Good point, in fact we had automatic makeup well calculations initially in our model, but then decided to delete it. The previous model worked with a target rate, and the model then calculated when to drill a new makeup well as a function of decline. We took that out because of the steady-state assumption (no pressure depletion). In principle, it could be brought in again for the temperature depletion, however there is a complication: now volumetric well productivity changes in time due to skin buildup. Make-up is now user-defined through the workover / stimulation job frequency for existing wells. The user can now experiment how the economics work out with different workover frequencies. Using a target rate and makeup wells for temperature depletion, while skin buildup and workovers cause short-term fluctuations, seems overly complex and may defeat the purpose of a model. We would be happy to discuss this. Note however that in the Project-definition sheet the user can always specify makeup wells directly in the time-series input of Row 72!</a:t>
          </a:r>
          <a:endParaRPr lang="nl-NL" sz="1400">
            <a:solidFill>
              <a:srgbClr val="FF0000"/>
            </a:solidFill>
            <a:effectLst/>
            <a:latin typeface="+mn-lt"/>
            <a:ea typeface="+mn-ea"/>
            <a:cs typeface="+mn-cs"/>
          </a:endParaRPr>
        </a:p>
        <a:p>
          <a:r>
            <a:rPr lang="en-US" sz="1100">
              <a:solidFill>
                <a:schemeClr val="dk1"/>
              </a:solidFill>
              <a:effectLst/>
              <a:latin typeface="+mn-lt"/>
              <a:ea typeface="+mn-ea"/>
              <a:cs typeface="+mn-cs"/>
            </a:rPr>
            <a:t> </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5. I found that you give temperature limitation for calculation (180 celcius degree). Is there any other calculation for field with lower temperature that use other plant technology (for example: binary plant)</a:t>
          </a:r>
          <a:endParaRPr lang="nl-NL" sz="1400">
            <a:solidFill>
              <a:schemeClr val="dk1"/>
            </a:solidFill>
            <a:effectLst/>
            <a:latin typeface="+mn-lt"/>
            <a:ea typeface="+mn-ea"/>
            <a:cs typeface="+mn-cs"/>
          </a:endParaRPr>
        </a:p>
        <a:p>
          <a:r>
            <a:rPr lang="en-US" sz="1100">
              <a:solidFill>
                <a:srgbClr val="FF0000"/>
              </a:solidFill>
              <a:effectLst/>
              <a:latin typeface="+mn-lt"/>
              <a:ea typeface="+mn-ea"/>
              <a:cs typeface="+mn-cs"/>
            </a:rPr>
            <a:t>In cell I26 of Project-definition, this value is to be supplied by the user. Therefore, temperatures lower than 180C can just be input. However, the user must ascertain that this is compatible / consistent with other input values, such as conversion efficiency and capex / opex. </a:t>
          </a:r>
          <a:endParaRPr lang="nl-NL" sz="1400">
            <a:solidFill>
              <a:srgbClr val="FF0000"/>
            </a:solidFill>
            <a:effectLst/>
            <a:latin typeface="+mn-lt"/>
            <a:ea typeface="+mn-ea"/>
            <a:cs typeface="+mn-cs"/>
          </a:endParaRPr>
        </a:p>
        <a:p>
          <a:r>
            <a:rPr lang="en-US" sz="1100">
              <a:solidFill>
                <a:schemeClr val="dk1"/>
              </a:solidFill>
              <a:effectLst/>
              <a:latin typeface="+mn-lt"/>
              <a:ea typeface="+mn-ea"/>
              <a:cs typeface="+mn-cs"/>
            </a:rPr>
            <a:t> </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6. In Project Definition - sheet, Economic Variable parameters table, I saw that the Targeted Economic Life (Years) is customisable. In Indonesia, based on Law No. 21 Year 2014 the production period is 30 years (from the COD) with possible extension. However, is the cashflow had accommodated the period? The Cashflow sheet is up to year 2047 with start of production 2025. Could the model accommodate different COD year and different production period? </a:t>
          </a:r>
          <a:endParaRPr lang="nl-NL" sz="1400">
            <a:solidFill>
              <a:schemeClr val="dk1"/>
            </a:solidFill>
            <a:effectLst/>
            <a:latin typeface="+mn-lt"/>
            <a:ea typeface="+mn-ea"/>
            <a:cs typeface="+mn-cs"/>
          </a:endParaRPr>
        </a:p>
        <a:p>
          <a:r>
            <a:rPr lang="en-US" sz="1100">
              <a:solidFill>
                <a:srgbClr val="FF0000"/>
              </a:solidFill>
              <a:effectLst/>
              <a:latin typeface="+mn-lt"/>
              <a:ea typeface="+mn-ea"/>
              <a:cs typeface="+mn-cs"/>
            </a:rPr>
            <a:t>We have listed extending the evaluation period to 50 years as high priority. Now the model is limited to 30 years. The input value for Targeted Economic Life (Years) in cell AA21 is only used to estimate the production capacity in MW of the plant, given the Sarmiento volumetric HIP calculation + conversion efficiency to electricity. That amount of electrical energy is then simply divided by the number of years specified in cell AA21, so as to give an upper limit for the field’s potential. It is also explained in the comment of cell Z21. This value does not influence the actual power produced by the wells based on the steady-state inflow equation. However, it will give an estimate for the “upside potential” for incremental development in cell KPI!B36.</a:t>
          </a:r>
          <a:endParaRPr lang="nl-NL" sz="1400">
            <a:solidFill>
              <a:srgbClr val="FF0000"/>
            </a:solidFill>
            <a:effectLst/>
            <a:latin typeface="+mn-lt"/>
            <a:ea typeface="+mn-ea"/>
            <a:cs typeface="+mn-cs"/>
          </a:endParaRPr>
        </a:p>
        <a:p>
          <a:r>
            <a:rPr lang="en-US" sz="1100">
              <a:solidFill>
                <a:srgbClr val="FF0000"/>
              </a:solidFill>
              <a:effectLst/>
              <a:latin typeface="+mn-lt"/>
              <a:ea typeface="+mn-ea"/>
              <a:cs typeface="+mn-cs"/>
            </a:rPr>
            <a:t>The current implementation of the model has only 30 evaluation years. COD can be made uncertain, which depending on input may result in only 20 or less production years. The model also has two stopping criteria: 1) FTHT has reached the minimum required temperature; 2) the NCF (Net Cash Flow) has been negative for more than </a:t>
          </a:r>
          <a:r>
            <a:rPr lang="en-US" sz="1100" i="1">
              <a:solidFill>
                <a:srgbClr val="FF0000"/>
              </a:solidFill>
              <a:effectLst/>
              <a:latin typeface="+mn-lt"/>
              <a:ea typeface="+mn-ea"/>
              <a:cs typeface="+mn-cs"/>
            </a:rPr>
            <a:t>N</a:t>
          </a:r>
          <a:r>
            <a:rPr lang="en-US" sz="1100">
              <a:solidFill>
                <a:srgbClr val="FF0000"/>
              </a:solidFill>
              <a:effectLst/>
              <a:latin typeface="+mn-lt"/>
              <a:ea typeface="+mn-ea"/>
              <a:cs typeface="+mn-cs"/>
            </a:rPr>
            <a:t> consecutive years (with </a:t>
          </a:r>
          <a:r>
            <a:rPr lang="en-US" sz="1100" i="1">
              <a:solidFill>
                <a:srgbClr val="FF0000"/>
              </a:solidFill>
              <a:effectLst/>
              <a:latin typeface="+mn-lt"/>
              <a:ea typeface="+mn-ea"/>
              <a:cs typeface="+mn-cs"/>
            </a:rPr>
            <a:t>N</a:t>
          </a:r>
          <a:r>
            <a:rPr lang="en-US" sz="1100">
              <a:solidFill>
                <a:srgbClr val="FF0000"/>
              </a:solidFill>
              <a:effectLst/>
              <a:latin typeface="+mn-lt"/>
              <a:ea typeface="+mn-ea"/>
              <a:cs typeface="+mn-cs"/>
            </a:rPr>
            <a:t> user-supplied). If one of these conditions is fulfilled, the field is automatically closed-in, the fixed opex stops, the monitoring period starts, and ultimately the abandonment capex is spent.</a:t>
          </a:r>
          <a:endParaRPr lang="nl-NL" sz="1400">
            <a:solidFill>
              <a:srgbClr val="FF0000"/>
            </a:solidFill>
            <a:effectLst/>
            <a:latin typeface="+mn-lt"/>
            <a:ea typeface="+mn-ea"/>
            <a:cs typeface="+mn-cs"/>
          </a:endParaRPr>
        </a:p>
        <a:p>
          <a:r>
            <a:rPr lang="en-US" sz="1100">
              <a:solidFill>
                <a:srgbClr val="FF0000"/>
              </a:solidFill>
              <a:effectLst/>
              <a:latin typeface="+mn-lt"/>
              <a:ea typeface="+mn-ea"/>
              <a:cs typeface="+mn-cs"/>
            </a:rPr>
            <a:t>This means that COD is user-defined, so the model can accommodate different COD years. The production period will depend on the case specified. If during the evaluation period no stopping criterion is triggered, then the field will produce until the end of the evaluation period. </a:t>
          </a:r>
          <a:endParaRPr lang="nl-NL" sz="1400">
            <a:solidFill>
              <a:srgbClr val="FF0000"/>
            </a:solidFill>
            <a:effectLst/>
            <a:latin typeface="+mn-lt"/>
            <a:ea typeface="+mn-ea"/>
            <a:cs typeface="+mn-cs"/>
          </a:endParaRPr>
        </a:p>
        <a:p>
          <a:r>
            <a:rPr lang="en-US" sz="1100">
              <a:solidFill>
                <a:schemeClr val="dk1"/>
              </a:solidFill>
              <a:effectLst/>
              <a:latin typeface="+mn-lt"/>
              <a:ea typeface="+mn-ea"/>
              <a:cs typeface="+mn-cs"/>
            </a:rPr>
            <a:t> </a:t>
          </a:r>
          <a:endParaRPr lang="nl-NL" sz="1100">
            <a:solidFill>
              <a:schemeClr val="dk1"/>
            </a:solidFill>
            <a:effectLst/>
            <a:latin typeface="+mn-lt"/>
            <a:ea typeface="+mn-ea"/>
            <a:cs typeface="+mn-cs"/>
          </a:endParaRPr>
        </a:p>
        <a:p>
          <a:r>
            <a:rPr lang="en-US" sz="1100">
              <a:solidFill>
                <a:schemeClr val="dk1"/>
              </a:solidFill>
              <a:effectLst/>
              <a:latin typeface="+mn-lt"/>
              <a:ea typeface="+mn-ea"/>
              <a:cs typeface="+mn-cs"/>
            </a:rPr>
            <a:t>Those are several question I found after testing the model. </a:t>
          </a:r>
          <a:r>
            <a:rPr lang="nl-NL" sz="1100">
              <a:solidFill>
                <a:schemeClr val="dk1"/>
              </a:solidFill>
              <a:effectLst/>
              <a:latin typeface="+mn-lt"/>
              <a:ea typeface="+mn-ea"/>
              <a:cs typeface="+mn-cs"/>
            </a:rPr>
            <a:t>I am still testing and compare the model with Indonesian usual model . Really appreciate your response regarding my questions above. </a:t>
          </a:r>
          <a:endParaRPr lang="nl-NL" sz="1400">
            <a:solidFill>
              <a:schemeClr val="dk1"/>
            </a:solidFill>
            <a:effectLst/>
            <a:latin typeface="+mn-lt"/>
            <a:ea typeface="+mn-ea"/>
            <a:cs typeface="+mn-cs"/>
          </a:endParaRPr>
        </a:p>
        <a:p>
          <a:r>
            <a:rPr lang="en-US" sz="1100">
              <a:solidFill>
                <a:srgbClr val="FF0000"/>
              </a:solidFill>
              <a:effectLst/>
              <a:latin typeface="+mn-lt"/>
              <a:ea typeface="+mn-ea"/>
              <a:cs typeface="+mn-cs"/>
            </a:rPr>
            <a:t>I hope the above clarifies your questions!</a:t>
          </a:r>
          <a:endParaRPr lang="nl-NL" sz="1400">
            <a:solidFill>
              <a:srgbClr val="FF0000"/>
            </a:solidFill>
            <a:effectLst/>
            <a:latin typeface="+mn-lt"/>
            <a:ea typeface="+mn-ea"/>
            <a:cs typeface="+mn-cs"/>
          </a:endParaRPr>
        </a:p>
        <a:p>
          <a:endParaRPr lang="nl-NL"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381002</xdr:colOff>
      <xdr:row>20</xdr:row>
      <xdr:rowOff>0</xdr:rowOff>
    </xdr:from>
    <xdr:to>
      <xdr:col>11</xdr:col>
      <xdr:colOff>352426</xdr:colOff>
      <xdr:row>36</xdr:row>
      <xdr:rowOff>15279</xdr:rowOff>
    </xdr:to>
    <xdr:pic>
      <xdr:nvPicPr>
        <xdr:cNvPr id="9" name="Picture 8">
          <a:extLst>
            <a:ext uri="{FF2B5EF4-FFF2-40B4-BE49-F238E27FC236}">
              <a16:creationId xmlns:a16="http://schemas.microsoft.com/office/drawing/2014/main" id="{C86BB231-A0C4-45DE-B9B7-052FE312C7D2}"/>
            </a:ext>
          </a:extLst>
        </xdr:cNvPr>
        <xdr:cNvPicPr>
          <a:picLocks noChangeAspect="1"/>
        </xdr:cNvPicPr>
      </xdr:nvPicPr>
      <xdr:blipFill>
        <a:blip xmlns:r="http://schemas.openxmlformats.org/officeDocument/2006/relationships" r:embed="rId1"/>
        <a:stretch>
          <a:fillRect/>
        </a:stretch>
      </xdr:blipFill>
      <xdr:spPr>
        <a:xfrm>
          <a:off x="5400677" y="2933700"/>
          <a:ext cx="5172074" cy="2910880"/>
        </a:xfrm>
        <a:prstGeom prst="rect">
          <a:avLst/>
        </a:prstGeom>
      </xdr:spPr>
    </xdr:pic>
    <xdr:clientData/>
  </xdr:twoCellAnchor>
  <xdr:twoCellAnchor editAs="oneCell">
    <xdr:from>
      <xdr:col>11</xdr:col>
      <xdr:colOff>609600</xdr:colOff>
      <xdr:row>20</xdr:row>
      <xdr:rowOff>9231</xdr:rowOff>
    </xdr:from>
    <xdr:to>
      <xdr:col>18</xdr:col>
      <xdr:colOff>565319</xdr:colOff>
      <xdr:row>36</xdr:row>
      <xdr:rowOff>14088</xdr:rowOff>
    </xdr:to>
    <xdr:pic>
      <xdr:nvPicPr>
        <xdr:cNvPr id="10" name="Picture 9">
          <a:extLst>
            <a:ext uri="{FF2B5EF4-FFF2-40B4-BE49-F238E27FC236}">
              <a16:creationId xmlns:a16="http://schemas.microsoft.com/office/drawing/2014/main" id="{8A0EC11E-19B3-439B-A5F7-8A95F1B174F4}"/>
            </a:ext>
          </a:extLst>
        </xdr:cNvPr>
        <xdr:cNvPicPr>
          <a:picLocks noChangeAspect="1"/>
        </xdr:cNvPicPr>
      </xdr:nvPicPr>
      <xdr:blipFill>
        <a:blip xmlns:r="http://schemas.openxmlformats.org/officeDocument/2006/relationships" r:embed="rId2"/>
        <a:stretch>
          <a:fillRect/>
        </a:stretch>
      </xdr:blipFill>
      <xdr:spPr>
        <a:xfrm>
          <a:off x="10829925" y="2942931"/>
          <a:ext cx="5156369" cy="2900458"/>
        </a:xfrm>
        <a:prstGeom prst="rect">
          <a:avLst/>
        </a:prstGeom>
      </xdr:spPr>
    </xdr:pic>
    <xdr:clientData/>
  </xdr:twoCellAnchor>
  <xdr:twoCellAnchor editAs="oneCell">
    <xdr:from>
      <xdr:col>0</xdr:col>
      <xdr:colOff>0</xdr:colOff>
      <xdr:row>20</xdr:row>
      <xdr:rowOff>4564</xdr:rowOff>
    </xdr:from>
    <xdr:to>
      <xdr:col>4</xdr:col>
      <xdr:colOff>144992</xdr:colOff>
      <xdr:row>36</xdr:row>
      <xdr:rowOff>14088</xdr:rowOff>
    </xdr:to>
    <xdr:pic>
      <xdr:nvPicPr>
        <xdr:cNvPr id="11" name="Picture 10">
          <a:extLst>
            <a:ext uri="{FF2B5EF4-FFF2-40B4-BE49-F238E27FC236}">
              <a16:creationId xmlns:a16="http://schemas.microsoft.com/office/drawing/2014/main" id="{87C0AB52-3759-4CD6-9F11-665650D49AEF}"/>
            </a:ext>
          </a:extLst>
        </xdr:cNvPr>
        <xdr:cNvPicPr>
          <a:picLocks noChangeAspect="1"/>
        </xdr:cNvPicPr>
      </xdr:nvPicPr>
      <xdr:blipFill>
        <a:blip xmlns:r="http://schemas.openxmlformats.org/officeDocument/2006/relationships" r:embed="rId3"/>
        <a:stretch>
          <a:fillRect/>
        </a:stretch>
      </xdr:blipFill>
      <xdr:spPr>
        <a:xfrm>
          <a:off x="0" y="949127"/>
          <a:ext cx="5231342" cy="2930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436800</xdr:colOff>
      <xdr:row>28</xdr:row>
      <xdr:rowOff>66000</xdr:rowOff>
    </xdr:to>
    <xdr:graphicFrame macro="">
      <xdr:nvGraphicFramePr>
        <xdr:cNvPr id="2" name="Chart 1">
          <a:extLst>
            <a:ext uri="{FF2B5EF4-FFF2-40B4-BE49-F238E27FC236}">
              <a16:creationId xmlns:a16="http://schemas.microsoft.com/office/drawing/2014/main" id="{7C87EAAA-F7A6-48D0-8BC5-1DC335BD59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14</xdr:col>
      <xdr:colOff>600075</xdr:colOff>
      <xdr:row>2</xdr:row>
      <xdr:rowOff>133350</xdr:rowOff>
    </xdr:from>
    <xdr:ext cx="1767279" cy="561885"/>
    <xdr:sp macro="" textlink="$H$35">
      <xdr:nvSpPr>
        <xdr:cNvPr id="3" name="TextBox 2">
          <a:extLst>
            <a:ext uri="{FF2B5EF4-FFF2-40B4-BE49-F238E27FC236}">
              <a16:creationId xmlns:a16="http://schemas.microsoft.com/office/drawing/2014/main" id="{5F82D6B0-41D9-454B-8401-3E0F5A5C05A3}"/>
            </a:ext>
          </a:extLst>
        </xdr:cNvPr>
        <xdr:cNvSpPr txBox="1"/>
      </xdr:nvSpPr>
      <xdr:spPr>
        <a:xfrm>
          <a:off x="9134475" y="514350"/>
          <a:ext cx="1767279" cy="561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EC794CB-92F0-40BC-8CEC-7EEE25FAB54B}" type="TxLink">
            <a:rPr lang="en-US" sz="1000" b="0" i="0" u="none" strike="noStrike">
              <a:solidFill>
                <a:srgbClr val="FF0000"/>
              </a:solidFill>
              <a:latin typeface="+mn-lt"/>
              <a:cs typeface="Arial"/>
            </a:rPr>
            <a:pPr/>
            <a:t>Total nr of wells drilled: 15
Total nr of successful wells: 11
Total nr of well failures: 4</a:t>
          </a:fld>
          <a:endParaRPr lang="en-US" sz="1100">
            <a:solidFill>
              <a:srgbClr val="FF0000"/>
            </a:solidFill>
            <a:latin typeface="+mn-lt"/>
          </a:endParaRPr>
        </a:p>
      </xdr:txBody>
    </xdr:sp>
    <xdr:clientData/>
  </xdr:oneCellAnchor>
  <xdr:twoCellAnchor>
    <xdr:from>
      <xdr:col>15</xdr:col>
      <xdr:colOff>30479</xdr:colOff>
      <xdr:row>6</xdr:row>
      <xdr:rowOff>114298</xdr:rowOff>
    </xdr:from>
    <xdr:to>
      <xdr:col>20</xdr:col>
      <xdr:colOff>331611</xdr:colOff>
      <xdr:row>13</xdr:row>
      <xdr:rowOff>79375</xdr:rowOff>
    </xdr:to>
    <xdr:sp macro="" textlink="">
      <xdr:nvSpPr>
        <xdr:cNvPr id="4" name="TextBox 3">
          <a:extLst>
            <a:ext uri="{FF2B5EF4-FFF2-40B4-BE49-F238E27FC236}">
              <a16:creationId xmlns:a16="http://schemas.microsoft.com/office/drawing/2014/main" id="{EFA1D950-B3C5-4ED7-918A-B68E04A70EFB}"/>
            </a:ext>
          </a:extLst>
        </xdr:cNvPr>
        <xdr:cNvSpPr txBox="1"/>
      </xdr:nvSpPr>
      <xdr:spPr>
        <a:xfrm>
          <a:off x="9198292" y="1209673"/>
          <a:ext cx="3357069" cy="12430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olidFill>
                <a:srgbClr val="FF0000"/>
              </a:solidFill>
            </a:rPr>
            <a:t>'Success' means: a development well targeted</a:t>
          </a:r>
          <a:r>
            <a:rPr lang="nl-NL" sz="900" baseline="0">
              <a:solidFill>
                <a:srgbClr val="FF0000"/>
              </a:solidFill>
            </a:rPr>
            <a:t> for </a:t>
          </a:r>
          <a:r>
            <a:rPr lang="nl-NL" sz="900">
              <a:solidFill>
                <a:srgbClr val="FF0000"/>
              </a:solidFill>
            </a:rPr>
            <a:t>production</a:t>
          </a:r>
          <a:r>
            <a:rPr lang="nl-NL" sz="900" baseline="0">
              <a:solidFill>
                <a:srgbClr val="FF0000"/>
              </a:solidFill>
            </a:rPr>
            <a:t> </a:t>
          </a:r>
          <a:r>
            <a:rPr lang="nl-NL" sz="900">
              <a:solidFill>
                <a:srgbClr val="FF0000"/>
              </a:solidFill>
            </a:rPr>
            <a:t>that is completed and hooked up. For</a:t>
          </a:r>
          <a:r>
            <a:rPr lang="nl-NL" sz="900" baseline="0">
              <a:solidFill>
                <a:srgbClr val="FF0000"/>
              </a:solidFill>
            </a:rPr>
            <a:t> a production well, o</a:t>
          </a:r>
          <a:r>
            <a:rPr lang="nl-NL" sz="900">
              <a:solidFill>
                <a:srgbClr val="FF0000"/>
              </a:solidFill>
            </a:rPr>
            <a:t>ften a threshold value of 3 MW(e) </a:t>
          </a:r>
          <a:r>
            <a:rPr lang="nl-NL" sz="900">
              <a:solidFill>
                <a:srgbClr val="FF0000"/>
              </a:solidFill>
              <a:effectLst/>
              <a:latin typeface="+mn-lt"/>
              <a:ea typeface="+mn-ea"/>
              <a:cs typeface="+mn-cs"/>
            </a:rPr>
            <a:t>is used for the well's production capacity.</a:t>
          </a:r>
        </a:p>
        <a:p>
          <a:r>
            <a:rPr lang="nl-NL" sz="900">
              <a:solidFill>
                <a:srgbClr val="FF0000"/>
              </a:solidFill>
              <a:effectLst/>
              <a:latin typeface="+mn-lt"/>
              <a:ea typeface="+mn-ea"/>
              <a:cs typeface="+mn-cs"/>
            </a:rPr>
            <a:t>In this version, 'success' for an exploration or appraisal well means that it can be re-used as an injector. </a:t>
          </a:r>
        </a:p>
        <a:p>
          <a:r>
            <a:rPr lang="nl-NL" sz="900">
              <a:solidFill>
                <a:srgbClr val="FF0000"/>
              </a:solidFill>
              <a:effectLst/>
              <a:latin typeface="+mn-lt"/>
              <a:ea typeface="+mn-ea"/>
              <a:cs typeface="+mn-cs"/>
            </a:rPr>
            <a:t>In this version, the assumption is made that all</a:t>
          </a:r>
          <a:r>
            <a:rPr lang="nl-NL" sz="900" baseline="0">
              <a:solidFill>
                <a:srgbClr val="FF0000"/>
              </a:solidFill>
              <a:effectLst/>
              <a:latin typeface="+mn-lt"/>
              <a:ea typeface="+mn-ea"/>
              <a:cs typeface="+mn-cs"/>
            </a:rPr>
            <a:t> dedicated injection development wells, as defined by the input producer/injector ratio, are successful</a:t>
          </a:r>
          <a:r>
            <a:rPr lang="nl-NL" sz="900">
              <a:solidFill>
                <a:srgbClr val="FF0000"/>
              </a:solidFill>
              <a:effectLst/>
              <a:latin typeface="+mn-lt"/>
              <a:ea typeface="+mn-ea"/>
              <a:cs typeface="+mn-cs"/>
            </a:rPr>
            <a:t>. </a:t>
          </a:r>
          <a:endParaRPr lang="nl-NL" sz="900">
            <a:solidFill>
              <a:srgbClr val="FF0000"/>
            </a:solidFill>
          </a:endParaRPr>
        </a:p>
      </xdr:txBody>
    </xdr:sp>
    <xdr:clientData/>
  </xdr:twoCellAnchor>
</xdr:wsDr>
</file>

<file path=xl/drawings/drawing6.xml><?xml version="1.0" encoding="utf-8"?>
<c:userShapes xmlns:c="http://schemas.openxmlformats.org/drawingml/2006/chart">
  <cdr:relSizeAnchor xmlns:cdr="http://schemas.openxmlformats.org/drawingml/2006/chartDrawing">
    <cdr:from>
      <cdr:x>0.85284</cdr:x>
      <cdr:y>0.25929</cdr:y>
    </cdr:from>
    <cdr:to>
      <cdr:x>0.93751</cdr:x>
      <cdr:y>0.42863</cdr:y>
    </cdr:to>
    <cdr:sp macro="" textlink="">
      <cdr:nvSpPr>
        <cdr:cNvPr id="3" name="TextBox 2">
          <a:extLst xmlns:a="http://schemas.openxmlformats.org/drawingml/2006/main">
            <a:ext uri="{FF2B5EF4-FFF2-40B4-BE49-F238E27FC236}">
              <a16:creationId xmlns:a16="http://schemas.microsoft.com/office/drawing/2014/main" id="{AD10D292-217D-40F4-B9C8-7F928057A5F3}"/>
            </a:ext>
          </a:extLst>
        </cdr:cNvPr>
        <cdr:cNvSpPr txBox="1"/>
      </cdr:nvSpPr>
      <cdr:spPr>
        <a:xfrm xmlns:a="http://schemas.openxmlformats.org/drawingml/2006/main">
          <a:off x="9210675" y="1400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436800</xdr:colOff>
      <xdr:row>28</xdr:row>
      <xdr:rowOff>66000</xdr:rowOff>
    </xdr:to>
    <xdr:graphicFrame macro="">
      <xdr:nvGraphicFramePr>
        <xdr:cNvPr id="4" name="Chart 3">
          <a:extLst>
            <a:ext uri="{FF2B5EF4-FFF2-40B4-BE49-F238E27FC236}">
              <a16:creationId xmlns:a16="http://schemas.microsoft.com/office/drawing/2014/main" id="{784CAA96-4D81-4B7A-84B4-B99C2DE9D8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209081</xdr:colOff>
      <xdr:row>2</xdr:row>
      <xdr:rowOff>66675</xdr:rowOff>
    </xdr:from>
    <xdr:ext cx="9192094" cy="248851"/>
    <xdr:sp macro="" textlink="$A$35">
      <xdr:nvSpPr>
        <xdr:cNvPr id="2" name="TextBox 1">
          <a:extLst>
            <a:ext uri="{FF2B5EF4-FFF2-40B4-BE49-F238E27FC236}">
              <a16:creationId xmlns:a16="http://schemas.microsoft.com/office/drawing/2014/main" id="{3244073D-E664-42B8-BE78-B3E50019C9AD}"/>
            </a:ext>
          </a:extLst>
        </xdr:cNvPr>
        <xdr:cNvSpPr txBox="1"/>
      </xdr:nvSpPr>
      <xdr:spPr>
        <a:xfrm>
          <a:off x="818681" y="447675"/>
          <a:ext cx="9192094"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ADA6F14C-3CEA-4AEE-8B95-D13EB1E1DFC5}" type="TxLink">
            <a:rPr lang="en-US" sz="1000" b="0" i="0" u="none" strike="noStrike">
              <a:solidFill>
                <a:srgbClr val="FF0000"/>
              </a:solidFill>
              <a:latin typeface="+mn-lt"/>
              <a:cs typeface="Arial"/>
            </a:rPr>
            <a:pPr algn="ctr"/>
            <a:t>All expl. and appr. well successes re-used as injectors / All expl., appr., and devt. well failures P&amp;A</a:t>
          </a:fld>
          <a:endParaRPr lang="en-US" sz="1100" b="0">
            <a:solidFill>
              <a:srgbClr val="FF0000"/>
            </a:solidFill>
            <a:latin typeface="+mn-lt"/>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436800</xdr:colOff>
      <xdr:row>28</xdr:row>
      <xdr:rowOff>66000</xdr:rowOff>
    </xdr:to>
    <xdr:graphicFrame macro="">
      <xdr:nvGraphicFramePr>
        <xdr:cNvPr id="2" name="Chart 1">
          <a:extLst>
            <a:ext uri="{FF2B5EF4-FFF2-40B4-BE49-F238E27FC236}">
              <a16:creationId xmlns:a16="http://schemas.microsoft.com/office/drawing/2014/main" id="{7D0C13ED-16F8-4889-B0F8-D1C9D6400B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436800</xdr:colOff>
      <xdr:row>28</xdr:row>
      <xdr:rowOff>66000</xdr:rowOff>
    </xdr:to>
    <xdr:graphicFrame macro="">
      <xdr:nvGraphicFramePr>
        <xdr:cNvPr id="2" name="Chart 1">
          <a:extLst>
            <a:ext uri="{FF2B5EF4-FFF2-40B4-BE49-F238E27FC236}">
              <a16:creationId xmlns:a16="http://schemas.microsoft.com/office/drawing/2014/main" id="{A8C06D16-CB88-4332-8409-4A7B01649B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0.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1.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researchgate.net/file.PostFileLoader.html?id=54c8f917cf57d749248b4689&amp;assetKey=AS%3A273740741447683%401442276287686" TargetMode="External"/><Relationship Id="rId1" Type="http://schemas.openxmlformats.org/officeDocument/2006/relationships/hyperlink" Target="http://webbook.nist.gov/chemistry/" TargetMode="External"/><Relationship Id="rId4" Type="http://schemas.openxmlformats.org/officeDocument/2006/relationships/drawing" Target="../drawings/drawing23.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4.xml"/><Relationship Id="rId1" Type="http://schemas.openxmlformats.org/officeDocument/2006/relationships/printerSettings" Target="../printerSettings/printerSettings22.bin"/><Relationship Id="rId4"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6.xml"/><Relationship Id="rId1" Type="http://schemas.openxmlformats.org/officeDocument/2006/relationships/printerSettings" Target="../printerSettings/printerSettings25.bin"/><Relationship Id="rId4"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28.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hyperlink" Target="https://www.geothermal-energy.org/pdf/IGAstandard/WGC/2010/2274.pdf" TargetMode="External"/><Relationship Id="rId1" Type="http://schemas.openxmlformats.org/officeDocument/2006/relationships/hyperlink" Target="http://www.os.is/gogn/unu-gtp-sc/UNU-GTP-SC-16-21.pdf"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30.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excelforum.com/excel-general/551821-create-a-pop-up-alert-when-a-condition-is-reached-in-excel.html" TargetMode="External"/><Relationship Id="rId1" Type="http://schemas.openxmlformats.org/officeDocument/2006/relationships/hyperlink" Target="https://www.ihs.com/Info/cera/ihsindexes/%20and%20add%20comment%20in%20each%20money%20cell%20saying%20to%20correct%20the%20number%20to%20beginning%20year" TargetMode="External"/><Relationship Id="rId4" Type="http://schemas.openxmlformats.org/officeDocument/2006/relationships/drawing" Target="../drawings/drawing3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34"/>
  <sheetViews>
    <sheetView workbookViewId="0"/>
  </sheetViews>
  <sheetFormatPr defaultRowHeight="14.4"/>
  <cols>
    <col min="1" max="5" width="36.6640625" customWidth="1"/>
  </cols>
  <sheetData>
    <row r="1" spans="1:5">
      <c r="A1" s="1" t="s">
        <v>11</v>
      </c>
    </row>
    <row r="3" spans="1:5">
      <c r="A3" t="s">
        <v>12</v>
      </c>
      <c r="B3" t="s">
        <v>13</v>
      </c>
      <c r="C3">
        <v>0</v>
      </c>
    </row>
    <row r="4" spans="1:5">
      <c r="A4" t="s">
        <v>14</v>
      </c>
    </row>
    <row r="5" spans="1:5">
      <c r="A5" t="s">
        <v>15</v>
      </c>
    </row>
    <row r="7" spans="1:5">
      <c r="A7" s="1" t="s">
        <v>16</v>
      </c>
      <c r="B7" t="s">
        <v>17</v>
      </c>
    </row>
    <row r="8" spans="1:5">
      <c r="B8">
        <v>5</v>
      </c>
    </row>
    <row r="10" spans="1:5">
      <c r="A10" t="s">
        <v>18</v>
      </c>
    </row>
    <row r="11" spans="1:5">
      <c r="A11" t="e">
        <f>CB_DATA_!#REF!</f>
        <v>#REF!</v>
      </c>
      <c r="B11" t="e">
        <f>Volumetrics!#REF!</f>
        <v>#REF!</v>
      </c>
      <c r="C11" t="e">
        <f>Cashflow!#REF!</f>
        <v>#REF!</v>
      </c>
      <c r="D11" t="e">
        <f>'Project-definition'!#REF!</f>
        <v>#REF!</v>
      </c>
      <c r="E11" t="e">
        <f>KPI!#REF!</f>
        <v>#REF!</v>
      </c>
    </row>
    <row r="13" spans="1:5">
      <c r="A13" t="s">
        <v>19</v>
      </c>
    </row>
    <row r="14" spans="1:5">
      <c r="A14" t="s">
        <v>23</v>
      </c>
      <c r="B14" t="s">
        <v>26</v>
      </c>
      <c r="C14" t="s">
        <v>538</v>
      </c>
      <c r="D14" t="s">
        <v>579</v>
      </c>
      <c r="E14" t="s">
        <v>581</v>
      </c>
    </row>
    <row r="16" spans="1:5">
      <c r="A16" t="s">
        <v>20</v>
      </c>
    </row>
    <row r="19" spans="1:5">
      <c r="A19" t="s">
        <v>21</v>
      </c>
    </row>
    <row r="20" spans="1:5">
      <c r="A20">
        <v>31</v>
      </c>
      <c r="B20">
        <v>31</v>
      </c>
      <c r="C20">
        <v>26</v>
      </c>
      <c r="D20">
        <v>34</v>
      </c>
      <c r="E20">
        <v>31</v>
      </c>
    </row>
    <row r="25" spans="1:5">
      <c r="A25" s="1" t="s">
        <v>22</v>
      </c>
    </row>
    <row r="26" spans="1:5">
      <c r="A26" s="4" t="s">
        <v>24</v>
      </c>
      <c r="B26" s="4" t="s">
        <v>27</v>
      </c>
      <c r="D26" s="4" t="s">
        <v>1543</v>
      </c>
      <c r="E26" s="4" t="s">
        <v>27</v>
      </c>
    </row>
    <row r="27" spans="1:5">
      <c r="A27" t="s">
        <v>1540</v>
      </c>
      <c r="B27" t="s">
        <v>1903</v>
      </c>
      <c r="D27" t="s">
        <v>1901</v>
      </c>
      <c r="E27" t="s">
        <v>1902</v>
      </c>
    </row>
    <row r="28" spans="1:5">
      <c r="A28" s="4" t="s">
        <v>25</v>
      </c>
      <c r="B28" s="4" t="s">
        <v>25</v>
      </c>
      <c r="D28" s="4" t="s">
        <v>25</v>
      </c>
      <c r="E28" s="4" t="s">
        <v>25</v>
      </c>
    </row>
    <row r="29" spans="1:5">
      <c r="A29" s="4" t="s">
        <v>27</v>
      </c>
      <c r="B29" s="4" t="s">
        <v>24</v>
      </c>
      <c r="D29" s="4" t="s">
        <v>24</v>
      </c>
      <c r="E29" s="4" t="s">
        <v>24</v>
      </c>
    </row>
    <row r="30" spans="1:5">
      <c r="A30" t="s">
        <v>1904</v>
      </c>
      <c r="B30" t="s">
        <v>1541</v>
      </c>
      <c r="D30" t="s">
        <v>1542</v>
      </c>
      <c r="E30" t="s">
        <v>1598</v>
      </c>
    </row>
    <row r="31" spans="1:5">
      <c r="A31" s="4" t="s">
        <v>25</v>
      </c>
      <c r="B31" s="4" t="s">
        <v>25</v>
      </c>
      <c r="D31" s="4" t="s">
        <v>25</v>
      </c>
      <c r="E31" s="4" t="s">
        <v>25</v>
      </c>
    </row>
    <row r="32" spans="1:5">
      <c r="D32" s="4" t="s">
        <v>27</v>
      </c>
    </row>
    <row r="33" spans="4:4">
      <c r="D33" t="s">
        <v>1905</v>
      </c>
    </row>
    <row r="34" spans="4:4">
      <c r="D34" s="4" t="s">
        <v>25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C99"/>
  </sheetPr>
  <dimension ref="A1:AZ100"/>
  <sheetViews>
    <sheetView zoomScale="90" zoomScaleNormal="90" workbookViewId="0"/>
  </sheetViews>
  <sheetFormatPr defaultRowHeight="14.4"/>
  <sheetData>
    <row r="1" spans="1:52">
      <c r="A1" s="553"/>
      <c r="B1" s="358"/>
      <c r="C1" s="553"/>
      <c r="D1" s="358"/>
      <c r="E1" s="553"/>
      <c r="F1" s="358"/>
      <c r="G1" s="553"/>
      <c r="H1" s="358"/>
      <c r="I1" s="553"/>
      <c r="J1" s="358"/>
      <c r="K1" s="553"/>
      <c r="L1" s="358"/>
      <c r="M1" s="553"/>
      <c r="N1" s="358"/>
      <c r="O1" s="553"/>
      <c r="P1" s="358"/>
      <c r="Q1" s="553"/>
      <c r="R1" s="358"/>
      <c r="S1" s="553"/>
      <c r="T1" s="358"/>
      <c r="U1" s="553"/>
      <c r="V1" s="358"/>
      <c r="W1" s="553"/>
      <c r="X1" s="358"/>
      <c r="Y1" s="553"/>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row>
    <row r="2" spans="1:52">
      <c r="A2" s="358"/>
      <c r="B2" s="358"/>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row>
    <row r="3" spans="1:52">
      <c r="A3" s="553"/>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row>
    <row r="4" spans="1:52">
      <c r="A4" s="358"/>
      <c r="B4" s="358"/>
      <c r="C4" s="553"/>
      <c r="D4" s="358"/>
      <c r="E4" s="553"/>
      <c r="F4" s="358"/>
      <c r="G4" s="553"/>
      <c r="H4" s="358"/>
      <c r="I4" s="553"/>
      <c r="J4" s="358"/>
      <c r="K4" s="553"/>
      <c r="L4" s="358"/>
      <c r="M4" s="553"/>
      <c r="N4" s="358"/>
      <c r="O4" s="553"/>
      <c r="P4" s="358"/>
      <c r="Q4" s="553"/>
      <c r="R4" s="358"/>
      <c r="S4" s="553"/>
      <c r="T4" s="358"/>
      <c r="U4" s="553"/>
      <c r="V4" s="358"/>
      <c r="W4" s="553"/>
      <c r="X4" s="358"/>
      <c r="Y4" s="553"/>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row>
    <row r="5" spans="1:52">
      <c r="A5" s="553"/>
      <c r="B5" s="358"/>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row>
    <row r="6" spans="1:52">
      <c r="A6" s="358"/>
      <c r="B6" s="358"/>
      <c r="C6" s="358"/>
      <c r="D6" s="358"/>
      <c r="E6" s="358"/>
      <c r="F6" s="358"/>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c r="AT6" s="358"/>
      <c r="AU6" s="358"/>
      <c r="AV6" s="358"/>
      <c r="AW6" s="358"/>
      <c r="AX6" s="358"/>
      <c r="AY6" s="358"/>
      <c r="AZ6" s="358"/>
    </row>
    <row r="7" spans="1:52">
      <c r="A7" s="553"/>
      <c r="B7" s="358"/>
      <c r="C7" s="553"/>
      <c r="D7" s="358"/>
      <c r="E7" s="553"/>
      <c r="F7" s="358"/>
      <c r="G7" s="553"/>
      <c r="H7" s="358"/>
      <c r="I7" s="553"/>
      <c r="J7" s="358"/>
      <c r="K7" s="553"/>
      <c r="L7" s="358"/>
      <c r="M7" s="553"/>
      <c r="N7" s="358"/>
      <c r="O7" s="553"/>
      <c r="P7" s="358"/>
      <c r="Q7" s="553"/>
      <c r="R7" s="358"/>
      <c r="S7" s="553"/>
      <c r="T7" s="358"/>
      <c r="U7" s="553"/>
      <c r="V7" s="358"/>
      <c r="W7" s="553"/>
      <c r="X7" s="358"/>
      <c r="Y7" s="553"/>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358"/>
      <c r="AZ7" s="358"/>
    </row>
    <row r="8" spans="1:52">
      <c r="A8" s="358"/>
      <c r="B8" s="358"/>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58"/>
      <c r="AV8" s="358"/>
      <c r="AW8" s="358"/>
      <c r="AX8" s="358"/>
      <c r="AY8" s="358"/>
      <c r="AZ8" s="358"/>
    </row>
    <row r="9" spans="1:52">
      <c r="A9" s="553"/>
      <c r="B9" s="358"/>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c r="AT9" s="358"/>
      <c r="AU9" s="358"/>
      <c r="AV9" s="358"/>
      <c r="AW9" s="358"/>
      <c r="AX9" s="358"/>
      <c r="AY9" s="358"/>
      <c r="AZ9" s="358"/>
    </row>
    <row r="10" spans="1:52">
      <c r="A10" s="358"/>
      <c r="B10" s="358"/>
      <c r="C10" s="553"/>
      <c r="D10" s="358"/>
      <c r="E10" s="553"/>
      <c r="F10" s="358"/>
      <c r="G10" s="553"/>
      <c r="H10" s="358"/>
      <c r="I10" s="553"/>
      <c r="J10" s="358"/>
      <c r="K10" s="553"/>
      <c r="L10" s="358"/>
      <c r="M10" s="553"/>
      <c r="N10" s="358"/>
      <c r="O10" s="553"/>
      <c r="P10" s="358"/>
      <c r="Q10" s="553"/>
      <c r="R10" s="358"/>
      <c r="S10" s="553"/>
      <c r="T10" s="358"/>
      <c r="U10" s="553"/>
      <c r="V10" s="358"/>
      <c r="W10" s="553"/>
      <c r="X10" s="358"/>
      <c r="Y10" s="553"/>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row>
    <row r="11" spans="1:52">
      <c r="A11" s="553"/>
      <c r="B11" s="358"/>
      <c r="C11" s="358"/>
      <c r="D11" s="358"/>
      <c r="E11" s="358"/>
      <c r="F11" s="358"/>
      <c r="G11" s="358"/>
      <c r="H11" s="358"/>
      <c r="I11" s="358"/>
      <c r="J11" s="358"/>
      <c r="K11" s="358"/>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row>
    <row r="12" spans="1:52">
      <c r="A12" s="358"/>
      <c r="B12" s="358"/>
      <c r="C12" s="358"/>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358"/>
    </row>
    <row r="13" spans="1:52">
      <c r="A13" s="553"/>
      <c r="B13" s="358"/>
      <c r="C13" s="553"/>
      <c r="D13" s="358"/>
      <c r="E13" s="553"/>
      <c r="F13" s="358"/>
      <c r="G13" s="553"/>
      <c r="H13" s="358"/>
      <c r="I13" s="553"/>
      <c r="J13" s="358"/>
      <c r="K13" s="553"/>
      <c r="L13" s="358"/>
      <c r="M13" s="553"/>
      <c r="N13" s="358"/>
      <c r="O13" s="553"/>
      <c r="P13" s="358"/>
      <c r="Q13" s="553"/>
      <c r="R13" s="358"/>
      <c r="S13" s="553"/>
      <c r="T13" s="358"/>
      <c r="U13" s="553"/>
      <c r="V13" s="358"/>
      <c r="W13" s="553"/>
      <c r="X13" s="358"/>
      <c r="Y13" s="553"/>
      <c r="Z13" s="358"/>
      <c r="AA13" s="358"/>
      <c r="AB13" s="358"/>
      <c r="AC13" s="358"/>
      <c r="AD13" s="358"/>
      <c r="AE13" s="358"/>
      <c r="AF13" s="358"/>
      <c r="AG13" s="358"/>
      <c r="AH13" s="358"/>
      <c r="AI13" s="358"/>
      <c r="AJ13" s="358"/>
      <c r="AK13" s="358"/>
      <c r="AL13" s="358"/>
      <c r="AM13" s="358"/>
      <c r="AN13" s="358"/>
      <c r="AO13" s="358"/>
      <c r="AP13" s="358"/>
      <c r="AQ13" s="358"/>
      <c r="AR13" s="358"/>
      <c r="AS13" s="358"/>
      <c r="AT13" s="358"/>
      <c r="AU13" s="358"/>
      <c r="AV13" s="358"/>
      <c r="AW13" s="358"/>
      <c r="AX13" s="358"/>
      <c r="AY13" s="358"/>
      <c r="AZ13" s="358"/>
    </row>
    <row r="14" spans="1:52">
      <c r="A14" s="358"/>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row>
    <row r="15" spans="1:52">
      <c r="A15" s="553"/>
      <c r="B15" s="358"/>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row>
    <row r="16" spans="1:52">
      <c r="A16" s="358"/>
      <c r="B16" s="358"/>
      <c r="C16" s="553"/>
      <c r="D16" s="358"/>
      <c r="E16" s="553"/>
      <c r="F16" s="358"/>
      <c r="G16" s="553"/>
      <c r="H16" s="358"/>
      <c r="I16" s="553"/>
      <c r="J16" s="358"/>
      <c r="K16" s="553"/>
      <c r="L16" s="358"/>
      <c r="M16" s="553"/>
      <c r="N16" s="358"/>
      <c r="O16" s="553"/>
      <c r="P16" s="358"/>
      <c r="Q16" s="553"/>
      <c r="R16" s="358"/>
      <c r="S16" s="553"/>
      <c r="T16" s="358"/>
      <c r="U16" s="553"/>
      <c r="V16" s="358"/>
      <c r="W16" s="553"/>
      <c r="X16" s="358"/>
      <c r="Y16" s="553"/>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358"/>
    </row>
    <row r="17" spans="1:52">
      <c r="A17" s="553"/>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358"/>
      <c r="AZ17" s="358"/>
    </row>
    <row r="18" spans="1:52">
      <c r="A18" s="358"/>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358"/>
      <c r="AZ18" s="358"/>
    </row>
    <row r="19" spans="1:52">
      <c r="A19" s="553"/>
      <c r="B19" s="358"/>
      <c r="C19" s="553"/>
      <c r="D19" s="358"/>
      <c r="E19" s="553"/>
      <c r="F19" s="358"/>
      <c r="G19" s="553"/>
      <c r="H19" s="358"/>
      <c r="I19" s="553"/>
      <c r="J19" s="358"/>
      <c r="K19" s="553"/>
      <c r="L19" s="358"/>
      <c r="M19" s="553"/>
      <c r="N19" s="358"/>
      <c r="O19" s="553"/>
      <c r="P19" s="358"/>
      <c r="Q19" s="553"/>
      <c r="R19" s="358"/>
      <c r="S19" s="553"/>
      <c r="T19" s="358"/>
      <c r="U19" s="553"/>
      <c r="V19" s="358"/>
      <c r="W19" s="553"/>
      <c r="X19" s="358"/>
      <c r="Y19" s="553"/>
      <c r="Z19" s="358"/>
      <c r="AA19" s="358"/>
      <c r="AB19" s="358"/>
      <c r="AC19" s="358"/>
      <c r="AD19" s="358"/>
      <c r="AE19" s="358"/>
      <c r="AF19" s="358"/>
      <c r="AG19" s="358"/>
      <c r="AH19" s="358"/>
      <c r="AI19" s="358"/>
      <c r="AJ19" s="358"/>
      <c r="AK19" s="358"/>
      <c r="AL19" s="358"/>
      <c r="AM19" s="358"/>
      <c r="AN19" s="358"/>
      <c r="AO19" s="358"/>
      <c r="AP19" s="358"/>
      <c r="AQ19" s="358"/>
      <c r="AR19" s="358"/>
      <c r="AS19" s="358"/>
      <c r="AT19" s="358"/>
      <c r="AU19" s="358"/>
      <c r="AV19" s="358"/>
      <c r="AW19" s="358"/>
      <c r="AX19" s="358"/>
      <c r="AY19" s="358"/>
      <c r="AZ19" s="358"/>
    </row>
    <row r="20" spans="1:52">
      <c r="A20" s="358"/>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358"/>
      <c r="AS20" s="358"/>
      <c r="AT20" s="358"/>
      <c r="AU20" s="358"/>
      <c r="AV20" s="358"/>
      <c r="AW20" s="358"/>
      <c r="AX20" s="358"/>
      <c r="AY20" s="358"/>
      <c r="AZ20" s="358"/>
    </row>
    <row r="21" spans="1:52">
      <c r="A21" s="553"/>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row>
    <row r="22" spans="1:52">
      <c r="A22" s="358"/>
      <c r="B22" s="358"/>
      <c r="C22" s="553"/>
      <c r="D22" s="358"/>
      <c r="E22" s="553"/>
      <c r="F22" s="358"/>
      <c r="G22" s="553"/>
      <c r="H22" s="358"/>
      <c r="I22" s="553"/>
      <c r="J22" s="358"/>
      <c r="K22" s="553"/>
      <c r="L22" s="358"/>
      <c r="M22" s="553"/>
      <c r="N22" s="358"/>
      <c r="O22" s="553"/>
      <c r="P22" s="358"/>
      <c r="Q22" s="553"/>
      <c r="R22" s="358"/>
      <c r="S22" s="553"/>
      <c r="T22" s="358"/>
      <c r="U22" s="553"/>
      <c r="V22" s="358"/>
      <c r="W22" s="553"/>
      <c r="X22" s="358"/>
      <c r="Y22" s="553"/>
      <c r="Z22" s="358"/>
      <c r="AA22" s="358"/>
      <c r="AB22" s="358"/>
      <c r="AC22" s="358"/>
      <c r="AD22" s="358"/>
      <c r="AE22" s="358"/>
      <c r="AF22" s="358"/>
      <c r="AG22" s="358"/>
      <c r="AH22" s="358"/>
      <c r="AI22" s="358"/>
      <c r="AJ22" s="358"/>
      <c r="AK22" s="358"/>
      <c r="AL22" s="358"/>
      <c r="AM22" s="358"/>
      <c r="AN22" s="358"/>
      <c r="AO22" s="358"/>
      <c r="AP22" s="358"/>
      <c r="AQ22" s="358"/>
      <c r="AR22" s="358"/>
      <c r="AS22" s="358"/>
      <c r="AT22" s="358"/>
      <c r="AU22" s="358"/>
      <c r="AV22" s="358"/>
      <c r="AW22" s="358"/>
      <c r="AX22" s="358"/>
      <c r="AY22" s="358"/>
      <c r="AZ22" s="358"/>
    </row>
    <row r="23" spans="1:52">
      <c r="A23" s="553"/>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row>
    <row r="24" spans="1:52">
      <c r="A24" s="358"/>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row>
    <row r="25" spans="1:52">
      <c r="A25" s="553"/>
      <c r="B25" s="358"/>
      <c r="C25" s="553"/>
      <c r="D25" s="358"/>
      <c r="E25" s="553"/>
      <c r="F25" s="358"/>
      <c r="G25" s="553"/>
      <c r="H25" s="358"/>
      <c r="I25" s="553"/>
      <c r="J25" s="358"/>
      <c r="K25" s="553"/>
      <c r="L25" s="358"/>
      <c r="M25" s="553"/>
      <c r="N25" s="358"/>
      <c r="O25" s="553"/>
      <c r="P25" s="358"/>
      <c r="Q25" s="553"/>
      <c r="R25" s="358"/>
      <c r="S25" s="553"/>
      <c r="T25" s="358"/>
      <c r="U25" s="553"/>
      <c r="V25" s="358"/>
      <c r="W25" s="553"/>
      <c r="X25" s="358"/>
      <c r="Y25" s="553"/>
      <c r="Z25" s="358"/>
      <c r="AA25" s="358"/>
      <c r="AB25" s="358"/>
      <c r="AC25" s="358"/>
      <c r="AD25" s="358"/>
      <c r="AE25" s="358"/>
      <c r="AF25" s="358"/>
      <c r="AG25" s="358"/>
      <c r="AH25" s="358"/>
      <c r="AI25" s="358"/>
      <c r="AJ25" s="358"/>
      <c r="AK25" s="358"/>
      <c r="AL25" s="358"/>
      <c r="AM25" s="358"/>
      <c r="AN25" s="358"/>
      <c r="AO25" s="358"/>
      <c r="AP25" s="358"/>
      <c r="AQ25" s="358"/>
      <c r="AR25" s="358"/>
      <c r="AS25" s="358"/>
      <c r="AT25" s="358"/>
      <c r="AU25" s="358"/>
      <c r="AV25" s="358"/>
      <c r="AW25" s="358"/>
      <c r="AX25" s="358"/>
      <c r="AY25" s="358"/>
      <c r="AZ25" s="358"/>
    </row>
    <row r="26" spans="1:52">
      <c r="A26" s="358"/>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c r="AH26" s="358"/>
      <c r="AI26" s="358"/>
      <c r="AJ26" s="358"/>
      <c r="AK26" s="358"/>
      <c r="AL26" s="358"/>
      <c r="AM26" s="358"/>
      <c r="AN26" s="358"/>
      <c r="AO26" s="358"/>
      <c r="AP26" s="358"/>
      <c r="AQ26" s="358"/>
      <c r="AR26" s="358"/>
      <c r="AS26" s="358"/>
      <c r="AT26" s="358"/>
      <c r="AU26" s="358"/>
      <c r="AV26" s="358"/>
      <c r="AW26" s="358"/>
      <c r="AX26" s="358"/>
      <c r="AY26" s="358"/>
      <c r="AZ26" s="358"/>
    </row>
    <row r="27" spans="1:52">
      <c r="A27" s="553"/>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358"/>
      <c r="AZ27" s="358"/>
    </row>
    <row r="28" spans="1:52">
      <c r="A28" s="358"/>
      <c r="B28" s="358"/>
      <c r="C28" s="553"/>
      <c r="D28" s="358"/>
      <c r="E28" s="553"/>
      <c r="F28" s="358"/>
      <c r="G28" s="553"/>
      <c r="H28" s="358"/>
      <c r="I28" s="553"/>
      <c r="J28" s="358"/>
      <c r="K28" s="553"/>
      <c r="L28" s="358"/>
      <c r="M28" s="553"/>
      <c r="N28" s="358"/>
      <c r="O28" s="553"/>
      <c r="P28" s="358"/>
      <c r="Q28" s="553"/>
      <c r="R28" s="358"/>
      <c r="S28" s="553"/>
      <c r="T28" s="358"/>
      <c r="U28" s="553"/>
      <c r="V28" s="358"/>
      <c r="W28" s="553"/>
      <c r="X28" s="358"/>
      <c r="Y28" s="553"/>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358"/>
      <c r="AZ28" s="358"/>
    </row>
    <row r="29" spans="1:52">
      <c r="A29" s="553"/>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row>
    <row r="30" spans="1:52">
      <c r="A30" s="358"/>
      <c r="B30" s="358"/>
      <c r="C30" s="553"/>
      <c r="D30" s="358"/>
      <c r="E30" s="553"/>
      <c r="F30" s="358"/>
      <c r="G30" s="553"/>
      <c r="H30" s="358"/>
      <c r="I30" s="553"/>
      <c r="J30" s="358"/>
      <c r="K30" s="553"/>
      <c r="L30" s="358"/>
      <c r="M30" s="553"/>
      <c r="N30" s="358"/>
      <c r="O30" s="553"/>
      <c r="P30" s="358"/>
      <c r="Q30" s="553"/>
      <c r="R30" s="358"/>
      <c r="S30" s="553"/>
      <c r="T30" s="358"/>
      <c r="U30" s="553"/>
      <c r="V30" s="358"/>
      <c r="W30" s="553"/>
      <c r="X30" s="358"/>
      <c r="Y30" s="553"/>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row>
    <row r="31" spans="1:52">
      <c r="A31" s="553"/>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row>
    <row r="32" spans="1:52">
      <c r="A32" s="358"/>
      <c r="B32" s="358"/>
      <c r="C32" s="553"/>
      <c r="D32" s="358"/>
      <c r="E32" s="553"/>
      <c r="F32" s="358"/>
      <c r="G32" s="553"/>
      <c r="H32" s="358"/>
      <c r="I32" s="553"/>
      <c r="J32" s="358"/>
      <c r="K32" s="553"/>
      <c r="L32" s="358"/>
      <c r="M32" s="553"/>
      <c r="N32" s="358"/>
      <c r="O32" s="553"/>
      <c r="P32" s="358"/>
      <c r="Q32" s="553"/>
      <c r="R32" s="358"/>
      <c r="S32" s="553"/>
      <c r="T32" s="358"/>
      <c r="U32" s="553"/>
      <c r="V32" s="358"/>
      <c r="W32" s="553"/>
      <c r="X32" s="358"/>
      <c r="Y32" s="553"/>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row>
    <row r="33" spans="1:52">
      <c r="A33" s="553"/>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c r="AH33" s="358"/>
      <c r="AI33" s="358"/>
      <c r="AJ33" s="358"/>
      <c r="AK33" s="358"/>
      <c r="AL33" s="358"/>
      <c r="AM33" s="358"/>
      <c r="AN33" s="358"/>
      <c r="AO33" s="358"/>
      <c r="AP33" s="358"/>
      <c r="AQ33" s="358"/>
      <c r="AR33" s="358"/>
      <c r="AS33" s="358"/>
      <c r="AT33" s="358"/>
      <c r="AU33" s="358"/>
      <c r="AV33" s="358"/>
      <c r="AW33" s="358"/>
      <c r="AX33" s="358"/>
      <c r="AY33" s="358"/>
      <c r="AZ33" s="358"/>
    </row>
    <row r="34" spans="1:52">
      <c r="A34" s="358"/>
      <c r="B34" s="358"/>
      <c r="C34" s="553"/>
      <c r="D34" s="358"/>
      <c r="E34" s="553"/>
      <c r="F34" s="358"/>
      <c r="G34" s="553"/>
      <c r="H34" s="358"/>
      <c r="I34" s="553"/>
      <c r="J34" s="358"/>
      <c r="K34" s="553"/>
      <c r="L34" s="358"/>
      <c r="M34" s="553"/>
      <c r="N34" s="358"/>
      <c r="O34" s="553"/>
      <c r="P34" s="358"/>
      <c r="Q34" s="553"/>
      <c r="R34" s="358"/>
      <c r="S34" s="553"/>
      <c r="T34" s="358"/>
      <c r="U34" s="553"/>
      <c r="V34" s="358"/>
      <c r="W34" s="553"/>
      <c r="X34" s="358"/>
      <c r="Y34" s="553"/>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row>
    <row r="35" spans="1:52">
      <c r="A35" s="899"/>
      <c r="B35" s="899"/>
      <c r="C35" s="900"/>
      <c r="D35" s="899"/>
      <c r="E35" s="899"/>
      <c r="F35" s="899"/>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c r="AI35" s="358"/>
      <c r="AJ35" s="358"/>
      <c r="AK35" s="358"/>
      <c r="AL35" s="358"/>
      <c r="AM35" s="358"/>
      <c r="AN35" s="358"/>
      <c r="AO35" s="358"/>
      <c r="AP35" s="358"/>
      <c r="AQ35" s="358"/>
      <c r="AR35" s="358"/>
      <c r="AS35" s="358"/>
      <c r="AT35" s="358"/>
      <c r="AU35" s="358"/>
      <c r="AV35" s="358"/>
      <c r="AW35" s="358"/>
      <c r="AX35" s="358"/>
      <c r="AY35" s="358"/>
      <c r="AZ35" s="358"/>
    </row>
    <row r="36" spans="1:52">
      <c r="A36" s="900"/>
      <c r="B36" s="902"/>
      <c r="C36" s="902"/>
      <c r="D36" s="902"/>
      <c r="E36" s="903"/>
      <c r="F36" s="899"/>
      <c r="G36" s="553"/>
      <c r="H36" s="358"/>
      <c r="I36" s="553"/>
      <c r="J36" s="358"/>
      <c r="K36" s="553"/>
      <c r="L36" s="358"/>
      <c r="M36" s="553"/>
      <c r="N36" s="358"/>
      <c r="O36" s="553"/>
      <c r="P36" s="358"/>
      <c r="Q36" s="553"/>
      <c r="R36" s="358"/>
      <c r="S36" s="553"/>
      <c r="T36" s="358"/>
      <c r="U36" s="553"/>
      <c r="V36" s="358"/>
      <c r="W36" s="553"/>
      <c r="X36" s="358"/>
      <c r="Y36" s="553"/>
      <c r="Z36" s="358"/>
      <c r="AA36" s="358"/>
      <c r="AB36" s="358"/>
      <c r="AC36" s="358"/>
      <c r="AD36" s="358"/>
      <c r="AE36" s="358"/>
      <c r="AF36" s="358"/>
      <c r="AG36" s="358"/>
      <c r="AH36" s="358"/>
      <c r="AI36" s="358"/>
      <c r="AJ36" s="358"/>
      <c r="AK36" s="358"/>
      <c r="AL36" s="358"/>
      <c r="AM36" s="358"/>
      <c r="AN36" s="358"/>
      <c r="AO36" s="358"/>
      <c r="AP36" s="358"/>
      <c r="AQ36" s="358"/>
      <c r="AR36" s="358"/>
      <c r="AS36" s="358"/>
      <c r="AT36" s="358"/>
      <c r="AU36" s="358"/>
      <c r="AV36" s="358"/>
      <c r="AW36" s="358"/>
      <c r="AX36" s="358"/>
      <c r="AY36" s="358"/>
      <c r="AZ36" s="358"/>
    </row>
    <row r="37" spans="1:52">
      <c r="A37" s="899"/>
      <c r="B37" s="902"/>
      <c r="C37" s="902"/>
      <c r="D37" s="902"/>
      <c r="E37" s="902"/>
      <c r="F37" s="899"/>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358"/>
      <c r="AZ37" s="358"/>
    </row>
    <row r="38" spans="1:52">
      <c r="A38" s="899"/>
      <c r="B38" s="899"/>
      <c r="C38" s="901"/>
      <c r="D38" s="899"/>
      <c r="E38" s="901"/>
      <c r="F38" s="899"/>
      <c r="G38" s="553"/>
      <c r="H38" s="358"/>
      <c r="I38" s="553"/>
      <c r="J38" s="358"/>
      <c r="K38" s="553"/>
      <c r="L38" s="358"/>
      <c r="M38" s="553"/>
      <c r="N38" s="358"/>
      <c r="O38" s="553"/>
      <c r="P38" s="358"/>
      <c r="Q38" s="553"/>
      <c r="R38" s="358"/>
      <c r="S38" s="553"/>
      <c r="T38" s="358"/>
      <c r="U38" s="553"/>
      <c r="V38" s="358"/>
      <c r="W38" s="553"/>
      <c r="X38" s="358"/>
      <c r="Y38" s="553"/>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358"/>
    </row>
    <row r="39" spans="1:52">
      <c r="A39" s="899"/>
      <c r="B39" s="899"/>
      <c r="C39" s="899"/>
      <c r="D39" s="899"/>
      <c r="E39" s="899"/>
      <c r="F39" s="899"/>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c r="AH39" s="358"/>
      <c r="AI39" s="358"/>
      <c r="AJ39" s="358"/>
      <c r="AK39" s="358"/>
      <c r="AL39" s="358"/>
      <c r="AM39" s="358"/>
      <c r="AN39" s="358"/>
      <c r="AO39" s="358"/>
      <c r="AP39" s="358"/>
      <c r="AQ39" s="358"/>
      <c r="AR39" s="358"/>
      <c r="AS39" s="358"/>
      <c r="AT39" s="358"/>
      <c r="AU39" s="358"/>
      <c r="AV39" s="358"/>
      <c r="AW39" s="358"/>
      <c r="AX39" s="358"/>
      <c r="AY39" s="358"/>
      <c r="AZ39" s="358"/>
    </row>
    <row r="40" spans="1:52">
      <c r="A40" s="358"/>
      <c r="B40" s="358"/>
      <c r="C40" s="553"/>
      <c r="D40" s="358"/>
      <c r="E40" s="553"/>
      <c r="F40" s="358"/>
      <c r="G40" s="553"/>
      <c r="H40" s="358"/>
      <c r="I40" s="553"/>
      <c r="J40" s="358"/>
      <c r="K40" s="553"/>
      <c r="L40" s="358"/>
      <c r="M40" s="553"/>
      <c r="N40" s="358"/>
      <c r="O40" s="553"/>
      <c r="P40" s="358"/>
      <c r="Q40" s="553"/>
      <c r="R40" s="358"/>
      <c r="S40" s="553"/>
      <c r="T40" s="358"/>
      <c r="U40" s="553"/>
      <c r="V40" s="358"/>
      <c r="W40" s="553"/>
      <c r="X40" s="358"/>
      <c r="Y40" s="553"/>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358"/>
      <c r="AZ40" s="358"/>
    </row>
    <row r="41" spans="1:52">
      <c r="A41" s="358"/>
      <c r="B41" s="358"/>
      <c r="C41" s="358"/>
      <c r="D41" s="358"/>
      <c r="E41" s="358"/>
      <c r="F41" s="35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358"/>
      <c r="AG41" s="358"/>
      <c r="AH41" s="358"/>
      <c r="AI41" s="358"/>
      <c r="AJ41" s="358"/>
      <c r="AK41" s="358"/>
      <c r="AL41" s="358"/>
      <c r="AM41" s="358"/>
      <c r="AN41" s="358"/>
      <c r="AO41" s="358"/>
      <c r="AP41" s="358"/>
      <c r="AQ41" s="358"/>
      <c r="AR41" s="358"/>
      <c r="AS41" s="358"/>
      <c r="AT41" s="358"/>
      <c r="AU41" s="358"/>
      <c r="AV41" s="358"/>
      <c r="AW41" s="358"/>
      <c r="AX41" s="358"/>
      <c r="AY41" s="358"/>
      <c r="AZ41" s="358"/>
    </row>
    <row r="42" spans="1:52">
      <c r="A42" s="358"/>
      <c r="B42" s="358"/>
      <c r="C42" s="553"/>
      <c r="D42" s="358"/>
      <c r="E42" s="553"/>
      <c r="F42" s="358"/>
      <c r="G42" s="553"/>
      <c r="H42" s="358"/>
      <c r="I42" s="553"/>
      <c r="J42" s="358"/>
      <c r="K42" s="553"/>
      <c r="L42" s="358"/>
      <c r="M42" s="553"/>
      <c r="N42" s="358"/>
      <c r="O42" s="553"/>
      <c r="P42" s="358"/>
      <c r="Q42" s="553"/>
      <c r="R42" s="358"/>
      <c r="S42" s="553"/>
      <c r="T42" s="358"/>
      <c r="U42" s="553"/>
      <c r="V42" s="358"/>
      <c r="W42" s="553"/>
      <c r="X42" s="358"/>
      <c r="Y42" s="553"/>
      <c r="Z42" s="358"/>
      <c r="AA42" s="358"/>
      <c r="AB42" s="358"/>
      <c r="AC42" s="358"/>
      <c r="AD42" s="358"/>
      <c r="AE42" s="358"/>
      <c r="AF42" s="358"/>
      <c r="AG42" s="358"/>
      <c r="AH42" s="358"/>
      <c r="AI42" s="358"/>
      <c r="AJ42" s="358"/>
      <c r="AK42" s="358"/>
      <c r="AL42" s="358"/>
      <c r="AM42" s="358"/>
      <c r="AN42" s="358"/>
      <c r="AO42" s="358"/>
      <c r="AP42" s="358"/>
      <c r="AQ42" s="358"/>
      <c r="AR42" s="358"/>
      <c r="AS42" s="358"/>
      <c r="AT42" s="358"/>
      <c r="AU42" s="358"/>
      <c r="AV42" s="358"/>
      <c r="AW42" s="358"/>
      <c r="AX42" s="358"/>
      <c r="AY42" s="358"/>
      <c r="AZ42" s="358"/>
    </row>
    <row r="43" spans="1:52">
      <c r="A43" s="358"/>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row>
    <row r="44" spans="1:52">
      <c r="A44" s="358"/>
      <c r="B44" s="358"/>
      <c r="C44" s="553"/>
      <c r="D44" s="358"/>
      <c r="E44" s="553"/>
      <c r="F44" s="358"/>
      <c r="G44" s="553"/>
      <c r="H44" s="358"/>
      <c r="I44" s="553"/>
      <c r="J44" s="358"/>
      <c r="K44" s="553"/>
      <c r="L44" s="358"/>
      <c r="M44" s="553"/>
      <c r="N44" s="358"/>
      <c r="O44" s="553"/>
      <c r="P44" s="358"/>
      <c r="Q44" s="553"/>
      <c r="R44" s="358"/>
      <c r="S44" s="553"/>
      <c r="T44" s="358"/>
      <c r="U44" s="553"/>
      <c r="V44" s="358"/>
      <c r="W44" s="553"/>
      <c r="X44" s="358"/>
      <c r="Y44" s="553"/>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row>
    <row r="45" spans="1:52">
      <c r="A45" s="358"/>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358"/>
    </row>
    <row r="46" spans="1:52">
      <c r="A46" s="358"/>
      <c r="B46" s="358"/>
      <c r="C46" s="553"/>
      <c r="D46" s="358"/>
      <c r="E46" s="553"/>
      <c r="F46" s="358"/>
      <c r="G46" s="553"/>
      <c r="H46" s="358"/>
      <c r="I46" s="553"/>
      <c r="J46" s="358"/>
      <c r="K46" s="553"/>
      <c r="L46" s="358"/>
      <c r="M46" s="553"/>
      <c r="N46" s="358"/>
      <c r="O46" s="553"/>
      <c r="P46" s="358"/>
      <c r="Q46" s="553"/>
      <c r="R46" s="358"/>
      <c r="S46" s="553"/>
      <c r="T46" s="358"/>
      <c r="U46" s="553"/>
      <c r="V46" s="358"/>
      <c r="W46" s="553"/>
      <c r="X46" s="358"/>
      <c r="Y46" s="553"/>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358"/>
    </row>
    <row r="47" spans="1:52">
      <c r="A47" s="358"/>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358"/>
    </row>
    <row r="48" spans="1:52">
      <c r="A48" s="358"/>
      <c r="B48" s="358"/>
      <c r="C48" s="553"/>
      <c r="D48" s="358"/>
      <c r="E48" s="553"/>
      <c r="F48" s="358"/>
      <c r="G48" s="553"/>
      <c r="H48" s="358"/>
      <c r="I48" s="553"/>
      <c r="J48" s="358"/>
      <c r="K48" s="553"/>
      <c r="L48" s="358"/>
      <c r="M48" s="553"/>
      <c r="N48" s="358"/>
      <c r="O48" s="553"/>
      <c r="P48" s="358"/>
      <c r="Q48" s="553"/>
      <c r="R48" s="358"/>
      <c r="S48" s="553"/>
      <c r="T48" s="358"/>
      <c r="U48" s="553"/>
      <c r="V48" s="358"/>
      <c r="W48" s="553"/>
      <c r="X48" s="358"/>
      <c r="Y48" s="553"/>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row>
    <row r="49" spans="1:52">
      <c r="A49" s="358"/>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row>
    <row r="50" spans="1:52">
      <c r="A50" s="358"/>
      <c r="B50" s="358"/>
      <c r="C50" s="553"/>
      <c r="D50" s="358"/>
      <c r="E50" s="553"/>
      <c r="F50" s="358"/>
      <c r="G50" s="553"/>
      <c r="H50" s="358"/>
      <c r="I50" s="553"/>
      <c r="J50" s="358"/>
      <c r="K50" s="553"/>
      <c r="L50" s="358"/>
      <c r="M50" s="553"/>
      <c r="N50" s="358"/>
      <c r="O50" s="553"/>
      <c r="P50" s="358"/>
      <c r="Q50" s="553"/>
      <c r="R50" s="358"/>
      <c r="S50" s="553"/>
      <c r="T50" s="358"/>
      <c r="U50" s="553"/>
      <c r="V50" s="358"/>
      <c r="W50" s="553"/>
      <c r="X50" s="358"/>
      <c r="Y50" s="553"/>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row>
    <row r="51" spans="1:52">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row>
    <row r="52" spans="1:52">
      <c r="A52" s="358"/>
      <c r="B52" s="358"/>
      <c r="C52" s="553"/>
      <c r="D52" s="358"/>
      <c r="E52" s="553"/>
      <c r="F52" s="358"/>
      <c r="G52" s="553"/>
      <c r="H52" s="358"/>
      <c r="I52" s="553"/>
      <c r="J52" s="358"/>
      <c r="K52" s="553"/>
      <c r="L52" s="358"/>
      <c r="M52" s="553"/>
      <c r="N52" s="358"/>
      <c r="O52" s="553"/>
      <c r="P52" s="358"/>
      <c r="Q52" s="553"/>
      <c r="R52" s="358"/>
      <c r="S52" s="553"/>
      <c r="T52" s="358"/>
      <c r="U52" s="553"/>
      <c r="V52" s="358"/>
      <c r="W52" s="553"/>
      <c r="X52" s="358"/>
      <c r="Y52" s="553"/>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row>
    <row r="53" spans="1:52">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row>
    <row r="54" spans="1:52">
      <c r="A54" s="358"/>
      <c r="B54" s="358"/>
      <c r="C54" s="553"/>
      <c r="D54" s="358"/>
      <c r="E54" s="553"/>
      <c r="F54" s="358"/>
      <c r="G54" s="553"/>
      <c r="H54" s="358"/>
      <c r="I54" s="553"/>
      <c r="J54" s="358"/>
      <c r="K54" s="553"/>
      <c r="L54" s="358"/>
      <c r="M54" s="553"/>
      <c r="N54" s="358"/>
      <c r="O54" s="553"/>
      <c r="P54" s="358"/>
      <c r="Q54" s="553"/>
      <c r="R54" s="358"/>
      <c r="S54" s="553"/>
      <c r="T54" s="358"/>
      <c r="U54" s="553"/>
      <c r="V54" s="358"/>
      <c r="W54" s="553"/>
      <c r="X54" s="358"/>
      <c r="Y54" s="553"/>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c r="AV54" s="358"/>
      <c r="AW54" s="358"/>
      <c r="AX54" s="358"/>
      <c r="AY54" s="358"/>
      <c r="AZ54" s="358"/>
    </row>
    <row r="55" spans="1:52">
      <c r="A55" s="358"/>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358"/>
    </row>
    <row r="56" spans="1:52">
      <c r="A56" s="358"/>
      <c r="B56" s="358"/>
      <c r="C56" s="553"/>
      <c r="D56" s="358"/>
      <c r="E56" s="553"/>
      <c r="F56" s="358"/>
      <c r="G56" s="553"/>
      <c r="H56" s="358"/>
      <c r="I56" s="553"/>
      <c r="J56" s="358"/>
      <c r="K56" s="553"/>
      <c r="L56" s="358"/>
      <c r="M56" s="553"/>
      <c r="N56" s="358"/>
      <c r="O56" s="553"/>
      <c r="P56" s="358"/>
      <c r="Q56" s="553"/>
      <c r="R56" s="358"/>
      <c r="S56" s="553"/>
      <c r="T56" s="358"/>
      <c r="U56" s="553"/>
      <c r="V56" s="358"/>
      <c r="W56" s="553"/>
      <c r="X56" s="358"/>
      <c r="Y56" s="553"/>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row>
    <row r="57" spans="1:52">
      <c r="A57" s="358"/>
      <c r="B57" s="358"/>
      <c r="C57" s="358"/>
      <c r="D57" s="358"/>
      <c r="E57" s="358"/>
      <c r="F57" s="358"/>
      <c r="G57" s="358"/>
      <c r="H57" s="358"/>
      <c r="I57" s="358"/>
      <c r="J57" s="358"/>
      <c r="K57" s="358"/>
      <c r="L57" s="358"/>
      <c r="M57" s="358"/>
      <c r="N57" s="358"/>
      <c r="O57" s="358"/>
      <c r="P57" s="358"/>
      <c r="Q57" s="358"/>
      <c r="R57" s="358"/>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c r="AV57" s="358"/>
      <c r="AW57" s="358"/>
      <c r="AX57" s="358"/>
      <c r="AY57" s="358"/>
      <c r="AZ57" s="358"/>
    </row>
    <row r="58" spans="1:52">
      <c r="A58" s="358"/>
      <c r="B58" s="358"/>
      <c r="C58" s="553"/>
      <c r="D58" s="358"/>
      <c r="E58" s="553"/>
      <c r="F58" s="358"/>
      <c r="G58" s="553"/>
      <c r="H58" s="358"/>
      <c r="I58" s="553"/>
      <c r="J58" s="358"/>
      <c r="K58" s="553"/>
      <c r="L58" s="358"/>
      <c r="M58" s="553"/>
      <c r="N58" s="358"/>
      <c r="O58" s="553"/>
      <c r="P58" s="358"/>
      <c r="Q58" s="553"/>
      <c r="R58" s="358"/>
      <c r="S58" s="553"/>
      <c r="T58" s="358"/>
      <c r="U58" s="553"/>
      <c r="V58" s="358"/>
      <c r="W58" s="553"/>
      <c r="X58" s="358"/>
      <c r="Y58" s="553"/>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row>
    <row r="59" spans="1:52">
      <c r="A59" s="35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58"/>
    </row>
    <row r="60" spans="1:52">
      <c r="A60" s="358"/>
      <c r="B60" s="358"/>
      <c r="C60" s="553"/>
      <c r="D60" s="358"/>
      <c r="E60" s="553"/>
      <c r="F60" s="358"/>
      <c r="G60" s="553"/>
      <c r="H60" s="358"/>
      <c r="I60" s="553"/>
      <c r="J60" s="358"/>
      <c r="K60" s="553"/>
      <c r="L60" s="358"/>
      <c r="M60" s="553"/>
      <c r="N60" s="358"/>
      <c r="O60" s="553"/>
      <c r="P60" s="358"/>
      <c r="Q60" s="553"/>
      <c r="R60" s="358"/>
      <c r="S60" s="553"/>
      <c r="T60" s="358"/>
      <c r="U60" s="553"/>
      <c r="V60" s="358"/>
      <c r="W60" s="553"/>
      <c r="X60" s="358"/>
      <c r="Y60" s="553"/>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58"/>
      <c r="AZ60" s="358"/>
    </row>
    <row r="61" spans="1:52">
      <c r="A61" s="358"/>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row>
    <row r="62" spans="1:52">
      <c r="A62" s="358"/>
      <c r="B62" s="358"/>
      <c r="C62" s="553"/>
      <c r="D62" s="358"/>
      <c r="E62" s="553"/>
      <c r="F62" s="358"/>
      <c r="G62" s="553"/>
      <c r="H62" s="358"/>
      <c r="I62" s="553"/>
      <c r="J62" s="358"/>
      <c r="K62" s="553"/>
      <c r="L62" s="358"/>
      <c r="M62" s="553"/>
      <c r="N62" s="358"/>
      <c r="O62" s="553"/>
      <c r="P62" s="358"/>
      <c r="Q62" s="553"/>
      <c r="R62" s="358"/>
      <c r="S62" s="553"/>
      <c r="T62" s="358"/>
      <c r="U62" s="553"/>
      <c r="V62" s="358"/>
      <c r="W62" s="553"/>
      <c r="X62" s="358"/>
      <c r="Y62" s="553"/>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58"/>
      <c r="AZ62" s="358"/>
    </row>
    <row r="63" spans="1:52">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c r="AV63" s="358"/>
      <c r="AW63" s="358"/>
      <c r="AX63" s="358"/>
      <c r="AY63" s="358"/>
      <c r="AZ63" s="358"/>
    </row>
    <row r="64" spans="1:52">
      <c r="A64" s="358"/>
      <c r="B64" s="358"/>
      <c r="C64" s="553"/>
      <c r="D64" s="358"/>
      <c r="E64" s="553"/>
      <c r="F64" s="358"/>
      <c r="G64" s="553"/>
      <c r="H64" s="358"/>
      <c r="I64" s="553"/>
      <c r="J64" s="358"/>
      <c r="K64" s="553"/>
      <c r="L64" s="358"/>
      <c r="M64" s="553"/>
      <c r="N64" s="358"/>
      <c r="O64" s="553"/>
      <c r="P64" s="358"/>
      <c r="Q64" s="553"/>
      <c r="R64" s="358"/>
      <c r="S64" s="553"/>
      <c r="T64" s="358"/>
      <c r="U64" s="553"/>
      <c r="V64" s="358"/>
      <c r="W64" s="553"/>
      <c r="X64" s="358"/>
      <c r="Y64" s="553"/>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row>
    <row r="65" spans="1:52">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row>
    <row r="66" spans="1:52">
      <c r="A66" s="358"/>
      <c r="B66" s="358"/>
      <c r="C66" s="553"/>
      <c r="D66" s="358"/>
      <c r="E66" s="553"/>
      <c r="F66" s="358"/>
      <c r="G66" s="553"/>
      <c r="H66" s="358"/>
      <c r="I66" s="553"/>
      <c r="J66" s="358"/>
      <c r="K66" s="553"/>
      <c r="L66" s="358"/>
      <c r="M66" s="553"/>
      <c r="N66" s="358"/>
      <c r="O66" s="553"/>
      <c r="P66" s="358"/>
      <c r="Q66" s="553"/>
      <c r="R66" s="358"/>
      <c r="S66" s="553"/>
      <c r="T66" s="358"/>
      <c r="U66" s="553"/>
      <c r="V66" s="358"/>
      <c r="W66" s="553"/>
      <c r="X66" s="358"/>
      <c r="Y66" s="553"/>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row>
    <row r="67" spans="1:52">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row>
    <row r="68" spans="1:52">
      <c r="A68" s="358"/>
      <c r="B68" s="358"/>
      <c r="C68" s="553"/>
      <c r="D68" s="358"/>
      <c r="E68" s="553"/>
      <c r="F68" s="358"/>
      <c r="G68" s="553"/>
      <c r="H68" s="358"/>
      <c r="I68" s="553"/>
      <c r="J68" s="358"/>
      <c r="K68" s="553"/>
      <c r="L68" s="358"/>
      <c r="M68" s="553"/>
      <c r="N68" s="358"/>
      <c r="O68" s="553"/>
      <c r="P68" s="358"/>
      <c r="Q68" s="553"/>
      <c r="R68" s="358"/>
      <c r="S68" s="553"/>
      <c r="T68" s="358"/>
      <c r="U68" s="553"/>
      <c r="V68" s="358"/>
      <c r="W68" s="553"/>
      <c r="X68" s="358"/>
      <c r="Y68" s="553"/>
      <c r="Z68" s="358"/>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row>
    <row r="69" spans="1:52">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row>
    <row r="70" spans="1:52">
      <c r="A70" s="358"/>
      <c r="B70" s="358"/>
      <c r="C70" s="553"/>
      <c r="D70" s="358"/>
      <c r="E70" s="553"/>
      <c r="F70" s="358"/>
      <c r="G70" s="553"/>
      <c r="H70" s="358"/>
      <c r="I70" s="553"/>
      <c r="J70" s="358"/>
      <c r="K70" s="553"/>
      <c r="L70" s="358"/>
      <c r="M70" s="553"/>
      <c r="N70" s="358"/>
      <c r="O70" s="553"/>
      <c r="P70" s="358"/>
      <c r="Q70" s="553"/>
      <c r="R70" s="358"/>
      <c r="S70" s="553"/>
      <c r="T70" s="358"/>
      <c r="U70" s="553"/>
      <c r="V70" s="358"/>
      <c r="W70" s="553"/>
      <c r="X70" s="358"/>
      <c r="Y70" s="553"/>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row>
    <row r="71" spans="1:52">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c r="AV71" s="358"/>
      <c r="AW71" s="358"/>
      <c r="AX71" s="358"/>
      <c r="AY71" s="358"/>
      <c r="AZ71" s="358"/>
    </row>
    <row r="72" spans="1:52">
      <c r="A72" s="358"/>
      <c r="B72" s="358"/>
      <c r="C72" s="553"/>
      <c r="D72" s="358"/>
      <c r="E72" s="553"/>
      <c r="F72" s="358"/>
      <c r="G72" s="553"/>
      <c r="H72" s="358"/>
      <c r="I72" s="553"/>
      <c r="J72" s="358"/>
      <c r="K72" s="553"/>
      <c r="L72" s="358"/>
      <c r="M72" s="553"/>
      <c r="N72" s="358"/>
      <c r="O72" s="553"/>
      <c r="P72" s="358"/>
      <c r="Q72" s="553"/>
      <c r="R72" s="358"/>
      <c r="S72" s="553"/>
      <c r="T72" s="358"/>
      <c r="U72" s="553"/>
      <c r="V72" s="358"/>
      <c r="W72" s="553"/>
      <c r="X72" s="358"/>
      <c r="Y72" s="553"/>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row>
    <row r="73" spans="1:52">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row>
    <row r="74" spans="1:52">
      <c r="A74" s="358"/>
      <c r="B74" s="358"/>
      <c r="C74" s="553"/>
      <c r="D74" s="358"/>
      <c r="E74" s="553"/>
      <c r="F74" s="358"/>
      <c r="G74" s="553"/>
      <c r="H74" s="358"/>
      <c r="I74" s="553"/>
      <c r="J74" s="358"/>
      <c r="K74" s="553"/>
      <c r="L74" s="358"/>
      <c r="M74" s="553"/>
      <c r="N74" s="358"/>
      <c r="O74" s="553"/>
      <c r="P74" s="358"/>
      <c r="Q74" s="553"/>
      <c r="R74" s="358"/>
      <c r="S74" s="553"/>
      <c r="T74" s="358"/>
      <c r="U74" s="553"/>
      <c r="V74" s="358"/>
      <c r="W74" s="553"/>
      <c r="X74" s="358"/>
      <c r="Y74" s="553"/>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row>
    <row r="75" spans="1:52">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row>
    <row r="76" spans="1:52">
      <c r="A76" s="358"/>
      <c r="B76" s="358"/>
      <c r="C76" s="553"/>
      <c r="D76" s="358"/>
      <c r="E76" s="553"/>
      <c r="F76" s="358"/>
      <c r="G76" s="553"/>
      <c r="H76" s="358"/>
      <c r="I76" s="553"/>
      <c r="J76" s="358"/>
      <c r="K76" s="553"/>
      <c r="L76" s="358"/>
      <c r="M76" s="553"/>
      <c r="N76" s="358"/>
      <c r="O76" s="553"/>
      <c r="P76" s="358"/>
      <c r="Q76" s="553"/>
      <c r="R76" s="358"/>
      <c r="S76" s="553"/>
      <c r="T76" s="358"/>
      <c r="U76" s="553"/>
      <c r="V76" s="358"/>
      <c r="W76" s="553"/>
      <c r="X76" s="358"/>
      <c r="Y76" s="553"/>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row>
    <row r="77" spans="1:52">
      <c r="A77" s="35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row>
    <row r="78" spans="1:52">
      <c r="A78" s="358"/>
      <c r="B78" s="358"/>
      <c r="C78" s="553"/>
      <c r="D78" s="358"/>
      <c r="E78" s="553"/>
      <c r="F78" s="358"/>
      <c r="G78" s="553"/>
      <c r="H78" s="358"/>
      <c r="I78" s="553"/>
      <c r="J78" s="358"/>
      <c r="K78" s="553"/>
      <c r="L78" s="358"/>
      <c r="M78" s="553"/>
      <c r="N78" s="358"/>
      <c r="O78" s="553"/>
      <c r="P78" s="358"/>
      <c r="Q78" s="553"/>
      <c r="R78" s="358"/>
      <c r="S78" s="553"/>
      <c r="T78" s="358"/>
      <c r="U78" s="553"/>
      <c r="V78" s="358"/>
      <c r="W78" s="553"/>
      <c r="X78" s="358"/>
      <c r="Y78" s="553"/>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row>
    <row r="79" spans="1:52">
      <c r="A79" s="35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58"/>
      <c r="AO79" s="358"/>
      <c r="AP79" s="358"/>
      <c r="AQ79" s="358"/>
      <c r="AR79" s="358"/>
      <c r="AS79" s="358"/>
      <c r="AT79" s="358"/>
      <c r="AU79" s="358"/>
      <c r="AV79" s="358"/>
      <c r="AW79" s="358"/>
      <c r="AX79" s="358"/>
      <c r="AY79" s="358"/>
      <c r="AZ79" s="358"/>
    </row>
    <row r="80" spans="1:52">
      <c r="A80" s="358"/>
      <c r="B80" s="358"/>
      <c r="C80" s="553"/>
      <c r="D80" s="358"/>
      <c r="E80" s="553"/>
      <c r="F80" s="358"/>
      <c r="G80" s="553"/>
      <c r="H80" s="358"/>
      <c r="I80" s="553"/>
      <c r="J80" s="358"/>
      <c r="K80" s="553"/>
      <c r="L80" s="358"/>
      <c r="M80" s="553"/>
      <c r="N80" s="358"/>
      <c r="O80" s="553"/>
      <c r="P80" s="358"/>
      <c r="Q80" s="553"/>
      <c r="R80" s="358"/>
      <c r="S80" s="553"/>
      <c r="T80" s="358"/>
      <c r="U80" s="553"/>
      <c r="V80" s="358"/>
      <c r="W80" s="553"/>
      <c r="X80" s="358"/>
      <c r="Y80" s="553"/>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row>
    <row r="81" spans="1:52">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row>
    <row r="82" spans="1:52">
      <c r="A82" s="358"/>
      <c r="B82" s="358"/>
      <c r="C82" s="553"/>
      <c r="D82" s="358"/>
      <c r="E82" s="553"/>
      <c r="F82" s="358"/>
      <c r="G82" s="553"/>
      <c r="H82" s="358"/>
      <c r="I82" s="553"/>
      <c r="J82" s="358"/>
      <c r="K82" s="553"/>
      <c r="L82" s="358"/>
      <c r="M82" s="553"/>
      <c r="N82" s="358"/>
      <c r="O82" s="553"/>
      <c r="P82" s="358"/>
      <c r="Q82" s="553"/>
      <c r="R82" s="358"/>
      <c r="S82" s="553"/>
      <c r="T82" s="358"/>
      <c r="U82" s="553"/>
      <c r="V82" s="358"/>
      <c r="W82" s="553"/>
      <c r="X82" s="358"/>
      <c r="Y82" s="553"/>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row>
    <row r="83" spans="1:52">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row>
    <row r="84" spans="1:52">
      <c r="A84" s="358"/>
      <c r="B84" s="358"/>
      <c r="C84" s="553"/>
      <c r="D84" s="358"/>
      <c r="E84" s="553"/>
      <c r="F84" s="358"/>
      <c r="G84" s="553"/>
      <c r="H84" s="358"/>
      <c r="I84" s="553"/>
      <c r="J84" s="358"/>
      <c r="K84" s="553"/>
      <c r="L84" s="358"/>
      <c r="M84" s="553"/>
      <c r="N84" s="358"/>
      <c r="O84" s="553"/>
      <c r="P84" s="358"/>
      <c r="Q84" s="553"/>
      <c r="R84" s="358"/>
      <c r="S84" s="553"/>
      <c r="T84" s="358"/>
      <c r="U84" s="553"/>
      <c r="V84" s="358"/>
      <c r="W84" s="553"/>
      <c r="X84" s="358"/>
      <c r="Y84" s="553"/>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row>
    <row r="85" spans="1:52">
      <c r="A85" s="35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row>
    <row r="86" spans="1:52">
      <c r="A86" s="358"/>
      <c r="B86" s="358"/>
      <c r="C86" s="553"/>
      <c r="D86" s="358"/>
      <c r="E86" s="553"/>
      <c r="F86" s="358"/>
      <c r="G86" s="553"/>
      <c r="H86" s="358"/>
      <c r="I86" s="553"/>
      <c r="J86" s="358"/>
      <c r="K86" s="553"/>
      <c r="L86" s="358"/>
      <c r="M86" s="553"/>
      <c r="N86" s="358"/>
      <c r="O86" s="553"/>
      <c r="P86" s="358"/>
      <c r="Q86" s="553"/>
      <c r="R86" s="358"/>
      <c r="S86" s="553"/>
      <c r="T86" s="358"/>
      <c r="U86" s="553"/>
      <c r="V86" s="358"/>
      <c r="W86" s="553"/>
      <c r="X86" s="358"/>
      <c r="Y86" s="553"/>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8"/>
      <c r="AY86" s="358"/>
      <c r="AZ86" s="358"/>
    </row>
    <row r="87" spans="1:52">
      <c r="A87" s="35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c r="AS87" s="358"/>
      <c r="AT87" s="358"/>
      <c r="AU87" s="358"/>
      <c r="AV87" s="358"/>
      <c r="AW87" s="358"/>
      <c r="AX87" s="358"/>
      <c r="AY87" s="358"/>
      <c r="AZ87" s="358"/>
    </row>
    <row r="88" spans="1:52">
      <c r="A88" s="358"/>
      <c r="B88" s="358"/>
      <c r="C88" s="553"/>
      <c r="D88" s="358"/>
      <c r="E88" s="553"/>
      <c r="F88" s="358"/>
      <c r="G88" s="553"/>
      <c r="H88" s="358"/>
      <c r="I88" s="553"/>
      <c r="J88" s="358"/>
      <c r="K88" s="553"/>
      <c r="L88" s="358"/>
      <c r="M88" s="553"/>
      <c r="N88" s="358"/>
      <c r="O88" s="553"/>
      <c r="P88" s="358"/>
      <c r="Q88" s="553"/>
      <c r="R88" s="358"/>
      <c r="S88" s="553"/>
      <c r="T88" s="358"/>
      <c r="U88" s="553"/>
      <c r="V88" s="358"/>
      <c r="W88" s="553"/>
      <c r="X88" s="358"/>
      <c r="Y88" s="553"/>
      <c r="Z88" s="358"/>
      <c r="AA88" s="358"/>
      <c r="AB88" s="358"/>
      <c r="AC88" s="358"/>
      <c r="AD88" s="358"/>
      <c r="AE88" s="358"/>
      <c r="AF88" s="358"/>
      <c r="AG88" s="358"/>
      <c r="AH88" s="358"/>
      <c r="AI88" s="358"/>
      <c r="AJ88" s="358"/>
      <c r="AK88" s="358"/>
      <c r="AL88" s="358"/>
      <c r="AM88" s="358"/>
      <c r="AN88" s="358"/>
      <c r="AO88" s="358"/>
      <c r="AP88" s="358"/>
      <c r="AQ88" s="358"/>
      <c r="AR88" s="358"/>
      <c r="AS88" s="358"/>
      <c r="AT88" s="358"/>
      <c r="AU88" s="358"/>
      <c r="AV88" s="358"/>
      <c r="AW88" s="358"/>
      <c r="AX88" s="358"/>
      <c r="AY88" s="358"/>
      <c r="AZ88" s="358"/>
    </row>
    <row r="89" spans="1:52">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58"/>
      <c r="AN89" s="358"/>
      <c r="AO89" s="358"/>
      <c r="AP89" s="358"/>
      <c r="AQ89" s="358"/>
      <c r="AR89" s="358"/>
      <c r="AS89" s="358"/>
      <c r="AT89" s="358"/>
      <c r="AU89" s="358"/>
      <c r="AV89" s="358"/>
      <c r="AW89" s="358"/>
      <c r="AX89" s="358"/>
      <c r="AY89" s="358"/>
      <c r="AZ89" s="358"/>
    </row>
    <row r="90" spans="1:52">
      <c r="A90" s="358"/>
      <c r="B90" s="358"/>
      <c r="C90" s="553"/>
      <c r="D90" s="358"/>
      <c r="E90" s="553"/>
      <c r="F90" s="358"/>
      <c r="G90" s="553"/>
      <c r="H90" s="358"/>
      <c r="I90" s="553"/>
      <c r="J90" s="358"/>
      <c r="K90" s="553"/>
      <c r="L90" s="358"/>
      <c r="M90" s="553"/>
      <c r="N90" s="358"/>
      <c r="O90" s="553"/>
      <c r="P90" s="358"/>
      <c r="Q90" s="553"/>
      <c r="R90" s="358"/>
      <c r="S90" s="553"/>
      <c r="T90" s="358"/>
      <c r="U90" s="553"/>
      <c r="V90" s="358"/>
      <c r="W90" s="553"/>
      <c r="X90" s="358"/>
      <c r="Y90" s="553"/>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row>
    <row r="91" spans="1:52">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c r="AS91" s="358"/>
      <c r="AT91" s="358"/>
      <c r="AU91" s="358"/>
      <c r="AV91" s="358"/>
      <c r="AW91" s="358"/>
      <c r="AX91" s="358"/>
      <c r="AY91" s="358"/>
      <c r="AZ91" s="358"/>
    </row>
    <row r="92" spans="1:52">
      <c r="A92" s="358"/>
      <c r="B92" s="358"/>
      <c r="C92" s="553"/>
      <c r="D92" s="358"/>
      <c r="E92" s="553"/>
      <c r="F92" s="358"/>
      <c r="G92" s="553"/>
      <c r="H92" s="358"/>
      <c r="I92" s="553"/>
      <c r="J92" s="358"/>
      <c r="K92" s="553"/>
      <c r="L92" s="358"/>
      <c r="M92" s="553"/>
      <c r="N92" s="358"/>
      <c r="O92" s="553"/>
      <c r="P92" s="358"/>
      <c r="Q92" s="553"/>
      <c r="R92" s="358"/>
      <c r="S92" s="553"/>
      <c r="T92" s="358"/>
      <c r="U92" s="553"/>
      <c r="V92" s="358"/>
      <c r="W92" s="553"/>
      <c r="X92" s="358"/>
      <c r="Y92" s="553"/>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row>
    <row r="93" spans="1:52">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58"/>
      <c r="AN93" s="358"/>
      <c r="AO93" s="358"/>
      <c r="AP93" s="358"/>
      <c r="AQ93" s="358"/>
      <c r="AR93" s="358"/>
      <c r="AS93" s="358"/>
      <c r="AT93" s="358"/>
      <c r="AU93" s="358"/>
      <c r="AV93" s="358"/>
      <c r="AW93" s="358"/>
      <c r="AX93" s="358"/>
      <c r="AY93" s="358"/>
      <c r="AZ93" s="358"/>
    </row>
    <row r="94" spans="1:52">
      <c r="A94" s="358"/>
      <c r="B94" s="358"/>
      <c r="C94" s="553"/>
      <c r="D94" s="358"/>
      <c r="E94" s="553"/>
      <c r="F94" s="358"/>
      <c r="G94" s="553"/>
      <c r="H94" s="358"/>
      <c r="I94" s="553"/>
      <c r="J94" s="358"/>
      <c r="K94" s="553"/>
      <c r="L94" s="358"/>
      <c r="M94" s="553"/>
      <c r="N94" s="358"/>
      <c r="O94" s="553"/>
      <c r="P94" s="358"/>
      <c r="Q94" s="553"/>
      <c r="R94" s="358"/>
      <c r="S94" s="553"/>
      <c r="T94" s="358"/>
      <c r="U94" s="553"/>
      <c r="V94" s="358"/>
      <c r="W94" s="553"/>
      <c r="X94" s="358"/>
      <c r="Y94" s="553"/>
      <c r="Z94" s="358"/>
      <c r="AA94" s="358"/>
      <c r="AB94" s="358"/>
      <c r="AC94" s="358"/>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row>
    <row r="95" spans="1:52">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c r="AS95" s="358"/>
      <c r="AT95" s="358"/>
      <c r="AU95" s="358"/>
      <c r="AV95" s="358"/>
      <c r="AW95" s="358"/>
      <c r="AX95" s="358"/>
      <c r="AY95" s="358"/>
      <c r="AZ95" s="358"/>
    </row>
    <row r="96" spans="1:52">
      <c r="A96" s="358"/>
      <c r="B96" s="358"/>
      <c r="C96" s="553"/>
      <c r="D96" s="358"/>
      <c r="E96" s="553"/>
      <c r="F96" s="358"/>
      <c r="G96" s="553"/>
      <c r="H96" s="358"/>
      <c r="I96" s="553"/>
      <c r="J96" s="358"/>
      <c r="K96" s="553"/>
      <c r="L96" s="358"/>
      <c r="M96" s="553"/>
      <c r="N96" s="358"/>
      <c r="O96" s="553"/>
      <c r="P96" s="358"/>
      <c r="Q96" s="553"/>
      <c r="R96" s="358"/>
      <c r="S96" s="553"/>
      <c r="T96" s="358"/>
      <c r="U96" s="553"/>
      <c r="V96" s="358"/>
      <c r="W96" s="553"/>
      <c r="X96" s="358"/>
      <c r="Y96" s="553"/>
      <c r="Z96" s="358"/>
      <c r="AA96" s="358"/>
      <c r="AB96" s="358"/>
      <c r="AC96" s="358"/>
      <c r="AD96" s="358"/>
      <c r="AE96" s="358"/>
      <c r="AF96" s="358"/>
      <c r="AG96" s="358"/>
      <c r="AH96" s="358"/>
      <c r="AI96" s="358"/>
      <c r="AJ96" s="358"/>
      <c r="AK96" s="358"/>
      <c r="AL96" s="358"/>
      <c r="AM96" s="358"/>
      <c r="AN96" s="358"/>
      <c r="AO96" s="358"/>
      <c r="AP96" s="358"/>
      <c r="AQ96" s="358"/>
      <c r="AR96" s="358"/>
      <c r="AS96" s="358"/>
      <c r="AT96" s="358"/>
      <c r="AU96" s="358"/>
      <c r="AV96" s="358"/>
      <c r="AW96" s="358"/>
      <c r="AX96" s="358"/>
      <c r="AY96" s="358"/>
      <c r="AZ96" s="358"/>
    </row>
    <row r="97" spans="1:52">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row>
    <row r="98" spans="1:52">
      <c r="A98" s="358"/>
      <c r="B98" s="358"/>
      <c r="C98" s="553"/>
      <c r="D98" s="358"/>
      <c r="E98" s="553"/>
      <c r="F98" s="358"/>
      <c r="G98" s="553"/>
      <c r="H98" s="358"/>
      <c r="I98" s="553"/>
      <c r="J98" s="358"/>
      <c r="K98" s="553"/>
      <c r="L98" s="358"/>
      <c r="M98" s="553"/>
      <c r="N98" s="358"/>
      <c r="O98" s="553"/>
      <c r="P98" s="358"/>
      <c r="Q98" s="553"/>
      <c r="R98" s="358"/>
      <c r="S98" s="553"/>
      <c r="T98" s="358"/>
      <c r="U98" s="553"/>
      <c r="V98" s="358"/>
      <c r="W98" s="553"/>
      <c r="X98" s="358"/>
      <c r="Y98" s="553"/>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row>
    <row r="99" spans="1:52">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row>
    <row r="100" spans="1:52">
      <c r="A100" s="358"/>
      <c r="B100" s="358"/>
      <c r="C100" s="358"/>
      <c r="D100" s="358"/>
      <c r="E100" s="553"/>
      <c r="F100" s="358"/>
      <c r="G100" s="553"/>
      <c r="H100" s="358"/>
      <c r="I100" s="553"/>
      <c r="J100" s="358"/>
      <c r="K100" s="553"/>
      <c r="L100" s="358"/>
      <c r="M100" s="553"/>
      <c r="N100" s="358"/>
      <c r="O100" s="553"/>
      <c r="P100" s="358"/>
      <c r="Q100" s="553"/>
      <c r="R100" s="358"/>
      <c r="S100" s="553"/>
      <c r="T100" s="358"/>
      <c r="U100" s="553"/>
      <c r="V100" s="358"/>
      <c r="W100" s="553"/>
      <c r="X100" s="358"/>
      <c r="Y100" s="553"/>
      <c r="Z100" s="358"/>
      <c r="AA100" s="358"/>
      <c r="AB100" s="358"/>
      <c r="AC100" s="358"/>
      <c r="AD100" s="358"/>
      <c r="AE100" s="358"/>
      <c r="AF100" s="358"/>
      <c r="AG100" s="358"/>
      <c r="AH100" s="358"/>
      <c r="AI100" s="358"/>
      <c r="AJ100" s="358"/>
      <c r="AK100" s="358"/>
      <c r="AL100" s="358"/>
      <c r="AM100" s="358"/>
      <c r="AN100" s="358"/>
      <c r="AO100" s="358"/>
      <c r="AP100" s="358"/>
      <c r="AQ100" s="358"/>
      <c r="AR100" s="358"/>
      <c r="AS100" s="358"/>
      <c r="AT100" s="358"/>
      <c r="AU100" s="358"/>
      <c r="AV100" s="358"/>
      <c r="AW100" s="358"/>
      <c r="AX100" s="358"/>
      <c r="AY100" s="358"/>
      <c r="AZ100" s="358"/>
    </row>
  </sheetData>
  <sheetProtection sheet="1" objects="1" scenarios="1" selectLockedCells="1" selectUnlockedCells="1"/>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C99"/>
  </sheetPr>
  <dimension ref="A1:AZ100"/>
  <sheetViews>
    <sheetView zoomScale="90" zoomScaleNormal="90" workbookViewId="0"/>
  </sheetViews>
  <sheetFormatPr defaultRowHeight="14.4"/>
  <sheetData>
    <row r="1" spans="1:52">
      <c r="A1" s="553"/>
      <c r="B1" s="358"/>
      <c r="C1" s="553"/>
      <c r="D1" s="358"/>
      <c r="E1" s="553"/>
      <c r="F1" s="358"/>
      <c r="G1" s="553"/>
      <c r="H1" s="358"/>
      <c r="I1" s="553"/>
      <c r="J1" s="358"/>
      <c r="K1" s="553"/>
      <c r="L1" s="358"/>
      <c r="M1" s="553"/>
      <c r="N1" s="358"/>
      <c r="O1" s="553"/>
      <c r="P1" s="358"/>
      <c r="Q1" s="553"/>
      <c r="R1" s="358"/>
      <c r="S1" s="553"/>
      <c r="T1" s="358"/>
      <c r="U1" s="553"/>
      <c r="V1" s="358"/>
      <c r="W1" s="553"/>
      <c r="X1" s="358"/>
      <c r="Y1" s="553"/>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row>
    <row r="2" spans="1:52">
      <c r="A2" s="358"/>
      <c r="B2" s="358"/>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row>
    <row r="3" spans="1:52">
      <c r="A3" s="553"/>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row>
    <row r="4" spans="1:52">
      <c r="A4" s="358"/>
      <c r="B4" s="358"/>
      <c r="C4" s="553"/>
      <c r="D4" s="358"/>
      <c r="E4" s="553"/>
      <c r="F4" s="358"/>
      <c r="G4" s="553"/>
      <c r="H4" s="358"/>
      <c r="I4" s="553"/>
      <c r="J4" s="358"/>
      <c r="K4" s="553"/>
      <c r="L4" s="358"/>
      <c r="M4" s="553"/>
      <c r="N4" s="358"/>
      <c r="O4" s="553"/>
      <c r="P4" s="358"/>
      <c r="Q4" s="553"/>
      <c r="R4" s="358"/>
      <c r="S4" s="553"/>
      <c r="T4" s="358"/>
      <c r="U4" s="553"/>
      <c r="V4" s="358"/>
      <c r="W4" s="553"/>
      <c r="X4" s="358"/>
      <c r="Y4" s="553"/>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row>
    <row r="5" spans="1:52">
      <c r="A5" s="553"/>
      <c r="B5" s="358"/>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row>
    <row r="6" spans="1:52">
      <c r="A6" s="358"/>
      <c r="B6" s="358"/>
      <c r="C6" s="358"/>
      <c r="D6" s="358"/>
      <c r="E6" s="358"/>
      <c r="F6" s="358"/>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c r="AT6" s="358"/>
      <c r="AU6" s="358"/>
      <c r="AV6" s="358"/>
      <c r="AW6" s="358"/>
      <c r="AX6" s="358"/>
      <c r="AY6" s="358"/>
      <c r="AZ6" s="358"/>
    </row>
    <row r="7" spans="1:52">
      <c r="A7" s="553"/>
      <c r="B7" s="358"/>
      <c r="C7" s="553"/>
      <c r="D7" s="358"/>
      <c r="E7" s="553"/>
      <c r="F7" s="358"/>
      <c r="G7" s="553"/>
      <c r="H7" s="358"/>
      <c r="I7" s="553"/>
      <c r="J7" s="358"/>
      <c r="K7" s="553"/>
      <c r="L7" s="358"/>
      <c r="M7" s="553"/>
      <c r="N7" s="358"/>
      <c r="O7" s="553"/>
      <c r="P7" s="358"/>
      <c r="Q7" s="553"/>
      <c r="R7" s="358"/>
      <c r="S7" s="553"/>
      <c r="T7" s="358"/>
      <c r="U7" s="553"/>
      <c r="V7" s="358"/>
      <c r="W7" s="553"/>
      <c r="X7" s="358"/>
      <c r="Y7" s="553"/>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358"/>
      <c r="AZ7" s="358"/>
    </row>
    <row r="8" spans="1:52">
      <c r="A8" s="358"/>
      <c r="B8" s="358"/>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58"/>
      <c r="AV8" s="358"/>
      <c r="AW8" s="358"/>
      <c r="AX8" s="358"/>
      <c r="AY8" s="358"/>
      <c r="AZ8" s="358"/>
    </row>
    <row r="9" spans="1:52">
      <c r="A9" s="553"/>
      <c r="B9" s="358"/>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c r="AT9" s="358"/>
      <c r="AU9" s="358"/>
      <c r="AV9" s="358"/>
      <c r="AW9" s="358"/>
      <c r="AX9" s="358"/>
      <c r="AY9" s="358"/>
      <c r="AZ9" s="358"/>
    </row>
    <row r="10" spans="1:52">
      <c r="A10" s="358"/>
      <c r="B10" s="358"/>
      <c r="C10" s="553"/>
      <c r="D10" s="358"/>
      <c r="E10" s="553"/>
      <c r="F10" s="358"/>
      <c r="G10" s="553"/>
      <c r="H10" s="358"/>
      <c r="I10" s="553"/>
      <c r="J10" s="358"/>
      <c r="K10" s="553"/>
      <c r="L10" s="358"/>
      <c r="M10" s="553"/>
      <c r="N10" s="358"/>
      <c r="O10" s="553"/>
      <c r="P10" s="358"/>
      <c r="Q10" s="553"/>
      <c r="R10" s="358"/>
      <c r="S10" s="553"/>
      <c r="T10" s="358"/>
      <c r="U10" s="553"/>
      <c r="V10" s="358"/>
      <c r="W10" s="553"/>
      <c r="X10" s="358"/>
      <c r="Y10" s="553"/>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row>
    <row r="11" spans="1:52">
      <c r="A11" s="553"/>
      <c r="B11" s="358"/>
      <c r="C11" s="358"/>
      <c r="D11" s="358"/>
      <c r="E11" s="358"/>
      <c r="F11" s="358"/>
      <c r="G11" s="358"/>
      <c r="H11" s="358"/>
      <c r="I11" s="358"/>
      <c r="J11" s="358"/>
      <c r="K11" s="358"/>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row>
    <row r="12" spans="1:52">
      <c r="A12" s="358"/>
      <c r="B12" s="358"/>
      <c r="C12" s="358"/>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358"/>
    </row>
    <row r="13" spans="1:52">
      <c r="A13" s="553"/>
      <c r="B13" s="358"/>
      <c r="C13" s="553"/>
      <c r="D13" s="358"/>
      <c r="E13" s="553"/>
      <c r="F13" s="358"/>
      <c r="G13" s="553"/>
      <c r="H13" s="358"/>
      <c r="I13" s="553"/>
      <c r="J13" s="358"/>
      <c r="K13" s="553"/>
      <c r="L13" s="358"/>
      <c r="M13" s="553"/>
      <c r="N13" s="358"/>
      <c r="O13" s="553"/>
      <c r="P13" s="358"/>
      <c r="Q13" s="553"/>
      <c r="R13" s="358"/>
      <c r="S13" s="553"/>
      <c r="T13" s="358"/>
      <c r="U13" s="553"/>
      <c r="V13" s="358"/>
      <c r="W13" s="553"/>
      <c r="X13" s="358"/>
      <c r="Y13" s="553"/>
      <c r="Z13" s="358"/>
      <c r="AA13" s="358"/>
      <c r="AB13" s="358"/>
      <c r="AC13" s="358"/>
      <c r="AD13" s="358"/>
      <c r="AE13" s="358"/>
      <c r="AF13" s="358"/>
      <c r="AG13" s="358"/>
      <c r="AH13" s="358"/>
      <c r="AI13" s="358"/>
      <c r="AJ13" s="358"/>
      <c r="AK13" s="358"/>
      <c r="AL13" s="358"/>
      <c r="AM13" s="358"/>
      <c r="AN13" s="358"/>
      <c r="AO13" s="358"/>
      <c r="AP13" s="358"/>
      <c r="AQ13" s="358"/>
      <c r="AR13" s="358"/>
      <c r="AS13" s="358"/>
      <c r="AT13" s="358"/>
      <c r="AU13" s="358"/>
      <c r="AV13" s="358"/>
      <c r="AW13" s="358"/>
      <c r="AX13" s="358"/>
      <c r="AY13" s="358"/>
      <c r="AZ13" s="358"/>
    </row>
    <row r="14" spans="1:52">
      <c r="A14" s="358"/>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row>
    <row r="15" spans="1:52">
      <c r="A15" s="553"/>
      <c r="B15" s="358"/>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row>
    <row r="16" spans="1:52">
      <c r="A16" s="358"/>
      <c r="B16" s="358"/>
      <c r="C16" s="553"/>
      <c r="D16" s="358"/>
      <c r="E16" s="553"/>
      <c r="F16" s="358"/>
      <c r="G16" s="553"/>
      <c r="H16" s="358"/>
      <c r="I16" s="553"/>
      <c r="J16" s="358"/>
      <c r="K16" s="553"/>
      <c r="L16" s="358"/>
      <c r="M16" s="553"/>
      <c r="N16" s="358"/>
      <c r="O16" s="553"/>
      <c r="P16" s="358"/>
      <c r="Q16" s="553"/>
      <c r="R16" s="358"/>
      <c r="S16" s="553"/>
      <c r="T16" s="358"/>
      <c r="U16" s="553"/>
      <c r="V16" s="358"/>
      <c r="W16" s="553"/>
      <c r="X16" s="358"/>
      <c r="Y16" s="553"/>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358"/>
    </row>
    <row r="17" spans="1:52">
      <c r="A17" s="553"/>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358"/>
      <c r="AZ17" s="358"/>
    </row>
    <row r="18" spans="1:52">
      <c r="A18" s="358"/>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358"/>
      <c r="AZ18" s="358"/>
    </row>
    <row r="19" spans="1:52">
      <c r="A19" s="553"/>
      <c r="B19" s="358"/>
      <c r="C19" s="553"/>
      <c r="D19" s="358"/>
      <c r="E19" s="553"/>
      <c r="F19" s="358"/>
      <c r="G19" s="553"/>
      <c r="H19" s="358"/>
      <c r="I19" s="553"/>
      <c r="J19" s="358"/>
      <c r="K19" s="553"/>
      <c r="L19" s="358"/>
      <c r="M19" s="553"/>
      <c r="N19" s="358"/>
      <c r="O19" s="553"/>
      <c r="P19" s="358"/>
      <c r="Q19" s="553"/>
      <c r="R19" s="358"/>
      <c r="S19" s="553"/>
      <c r="T19" s="358"/>
      <c r="U19" s="553"/>
      <c r="V19" s="358"/>
      <c r="W19" s="553"/>
      <c r="X19" s="358"/>
      <c r="Y19" s="553"/>
      <c r="Z19" s="358"/>
      <c r="AA19" s="358"/>
      <c r="AB19" s="358"/>
      <c r="AC19" s="358"/>
      <c r="AD19" s="358"/>
      <c r="AE19" s="358"/>
      <c r="AF19" s="358"/>
      <c r="AG19" s="358"/>
      <c r="AH19" s="358"/>
      <c r="AI19" s="358"/>
      <c r="AJ19" s="358"/>
      <c r="AK19" s="358"/>
      <c r="AL19" s="358"/>
      <c r="AM19" s="358"/>
      <c r="AN19" s="358"/>
      <c r="AO19" s="358"/>
      <c r="AP19" s="358"/>
      <c r="AQ19" s="358"/>
      <c r="AR19" s="358"/>
      <c r="AS19" s="358"/>
      <c r="AT19" s="358"/>
      <c r="AU19" s="358"/>
      <c r="AV19" s="358"/>
      <c r="AW19" s="358"/>
      <c r="AX19" s="358"/>
      <c r="AY19" s="358"/>
      <c r="AZ19" s="358"/>
    </row>
    <row r="20" spans="1:52">
      <c r="A20" s="358"/>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358"/>
      <c r="AS20" s="358"/>
      <c r="AT20" s="358"/>
      <c r="AU20" s="358"/>
      <c r="AV20" s="358"/>
      <c r="AW20" s="358"/>
      <c r="AX20" s="358"/>
      <c r="AY20" s="358"/>
      <c r="AZ20" s="358"/>
    </row>
    <row r="21" spans="1:52">
      <c r="A21" s="553"/>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row>
    <row r="22" spans="1:52">
      <c r="A22" s="358"/>
      <c r="B22" s="358"/>
      <c r="C22" s="553"/>
      <c r="D22" s="358"/>
      <c r="E22" s="553"/>
      <c r="F22" s="358"/>
      <c r="G22" s="553"/>
      <c r="H22" s="358"/>
      <c r="I22" s="553"/>
      <c r="J22" s="358"/>
      <c r="K22" s="553"/>
      <c r="L22" s="358"/>
      <c r="M22" s="553"/>
      <c r="N22" s="358"/>
      <c r="O22" s="553"/>
      <c r="P22" s="358"/>
      <c r="Q22" s="553"/>
      <c r="R22" s="358"/>
      <c r="S22" s="553"/>
      <c r="T22" s="358"/>
      <c r="U22" s="553"/>
      <c r="V22" s="358"/>
      <c r="W22" s="553"/>
      <c r="X22" s="358"/>
      <c r="Y22" s="553"/>
      <c r="Z22" s="358"/>
      <c r="AA22" s="358"/>
      <c r="AB22" s="358"/>
      <c r="AC22" s="358"/>
      <c r="AD22" s="358"/>
      <c r="AE22" s="358"/>
      <c r="AF22" s="358"/>
      <c r="AG22" s="358"/>
      <c r="AH22" s="358"/>
      <c r="AI22" s="358"/>
      <c r="AJ22" s="358"/>
      <c r="AK22" s="358"/>
      <c r="AL22" s="358"/>
      <c r="AM22" s="358"/>
      <c r="AN22" s="358"/>
      <c r="AO22" s="358"/>
      <c r="AP22" s="358"/>
      <c r="AQ22" s="358"/>
      <c r="AR22" s="358"/>
      <c r="AS22" s="358"/>
      <c r="AT22" s="358"/>
      <c r="AU22" s="358"/>
      <c r="AV22" s="358"/>
      <c r="AW22" s="358"/>
      <c r="AX22" s="358"/>
      <c r="AY22" s="358"/>
      <c r="AZ22" s="358"/>
    </row>
    <row r="23" spans="1:52">
      <c r="A23" s="553"/>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row>
    <row r="24" spans="1:52">
      <c r="A24" s="358"/>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row>
    <row r="25" spans="1:52">
      <c r="A25" s="553"/>
      <c r="B25" s="358"/>
      <c r="C25" s="553"/>
      <c r="D25" s="358"/>
      <c r="E25" s="553"/>
      <c r="F25" s="358"/>
      <c r="G25" s="553"/>
      <c r="H25" s="358"/>
      <c r="I25" s="553"/>
      <c r="J25" s="358"/>
      <c r="K25" s="553"/>
      <c r="L25" s="358"/>
      <c r="M25" s="553"/>
      <c r="N25" s="358"/>
      <c r="O25" s="553"/>
      <c r="P25" s="358"/>
      <c r="Q25" s="553"/>
      <c r="R25" s="358"/>
      <c r="S25" s="553"/>
      <c r="T25" s="358"/>
      <c r="U25" s="553"/>
      <c r="V25" s="358"/>
      <c r="W25" s="553"/>
      <c r="X25" s="358"/>
      <c r="Y25" s="553"/>
      <c r="Z25" s="358"/>
      <c r="AA25" s="358"/>
      <c r="AB25" s="358"/>
      <c r="AC25" s="358"/>
      <c r="AD25" s="358"/>
      <c r="AE25" s="358"/>
      <c r="AF25" s="358"/>
      <c r="AG25" s="358"/>
      <c r="AH25" s="358"/>
      <c r="AI25" s="358"/>
      <c r="AJ25" s="358"/>
      <c r="AK25" s="358"/>
      <c r="AL25" s="358"/>
      <c r="AM25" s="358"/>
      <c r="AN25" s="358"/>
      <c r="AO25" s="358"/>
      <c r="AP25" s="358"/>
      <c r="AQ25" s="358"/>
      <c r="AR25" s="358"/>
      <c r="AS25" s="358"/>
      <c r="AT25" s="358"/>
      <c r="AU25" s="358"/>
      <c r="AV25" s="358"/>
      <c r="AW25" s="358"/>
      <c r="AX25" s="358"/>
      <c r="AY25" s="358"/>
      <c r="AZ25" s="358"/>
    </row>
    <row r="26" spans="1:52">
      <c r="A26" s="358"/>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c r="AH26" s="358"/>
      <c r="AI26" s="358"/>
      <c r="AJ26" s="358"/>
      <c r="AK26" s="358"/>
      <c r="AL26" s="358"/>
      <c r="AM26" s="358"/>
      <c r="AN26" s="358"/>
      <c r="AO26" s="358"/>
      <c r="AP26" s="358"/>
      <c r="AQ26" s="358"/>
      <c r="AR26" s="358"/>
      <c r="AS26" s="358"/>
      <c r="AT26" s="358"/>
      <c r="AU26" s="358"/>
      <c r="AV26" s="358"/>
      <c r="AW26" s="358"/>
      <c r="AX26" s="358"/>
      <c r="AY26" s="358"/>
      <c r="AZ26" s="358"/>
    </row>
    <row r="27" spans="1:52">
      <c r="A27" s="553"/>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358"/>
      <c r="AZ27" s="358"/>
    </row>
    <row r="28" spans="1:52">
      <c r="A28" s="358"/>
      <c r="B28" s="358"/>
      <c r="C28" s="553"/>
      <c r="D28" s="358"/>
      <c r="E28" s="553"/>
      <c r="F28" s="358"/>
      <c r="G28" s="553"/>
      <c r="H28" s="358"/>
      <c r="I28" s="553"/>
      <c r="J28" s="358"/>
      <c r="K28" s="553"/>
      <c r="L28" s="358"/>
      <c r="M28" s="553"/>
      <c r="N28" s="358"/>
      <c r="O28" s="553"/>
      <c r="P28" s="358"/>
      <c r="Q28" s="553"/>
      <c r="R28" s="358"/>
      <c r="S28" s="553"/>
      <c r="T28" s="358"/>
      <c r="U28" s="553"/>
      <c r="V28" s="358"/>
      <c r="W28" s="553"/>
      <c r="X28" s="358"/>
      <c r="Y28" s="553"/>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358"/>
      <c r="AZ28" s="358"/>
    </row>
    <row r="29" spans="1:52">
      <c r="A29" s="553"/>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row>
    <row r="30" spans="1:52">
      <c r="A30" s="358"/>
      <c r="B30" s="358"/>
      <c r="C30" s="553"/>
      <c r="D30" s="358"/>
      <c r="E30" s="553"/>
      <c r="F30" s="358"/>
      <c r="G30" s="553"/>
      <c r="H30" s="358"/>
      <c r="I30" s="553"/>
      <c r="J30" s="358"/>
      <c r="K30" s="553"/>
      <c r="L30" s="358"/>
      <c r="M30" s="553"/>
      <c r="N30" s="358"/>
      <c r="O30" s="553"/>
      <c r="P30" s="358"/>
      <c r="Q30" s="553"/>
      <c r="R30" s="358"/>
      <c r="S30" s="553"/>
      <c r="T30" s="358"/>
      <c r="U30" s="553"/>
      <c r="V30" s="358"/>
      <c r="W30" s="553"/>
      <c r="X30" s="358"/>
      <c r="Y30" s="553"/>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row>
    <row r="31" spans="1:52">
      <c r="A31" s="553"/>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row>
    <row r="32" spans="1:52">
      <c r="A32" s="358"/>
      <c r="B32" s="358"/>
      <c r="C32" s="553"/>
      <c r="D32" s="358"/>
      <c r="E32" s="553"/>
      <c r="F32" s="358"/>
      <c r="G32" s="553"/>
      <c r="H32" s="358"/>
      <c r="I32" s="553"/>
      <c r="J32" s="358"/>
      <c r="K32" s="553"/>
      <c r="L32" s="358"/>
      <c r="M32" s="553"/>
      <c r="N32" s="358"/>
      <c r="O32" s="553"/>
      <c r="P32" s="358"/>
      <c r="Q32" s="553"/>
      <c r="R32" s="358"/>
      <c r="S32" s="553"/>
      <c r="T32" s="358"/>
      <c r="U32" s="553"/>
      <c r="V32" s="358"/>
      <c r="W32" s="553"/>
      <c r="X32" s="358"/>
      <c r="Y32" s="553"/>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row>
    <row r="33" spans="1:52">
      <c r="A33" s="553"/>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c r="AH33" s="358"/>
      <c r="AI33" s="358"/>
      <c r="AJ33" s="358"/>
      <c r="AK33" s="358"/>
      <c r="AL33" s="358"/>
      <c r="AM33" s="358"/>
      <c r="AN33" s="358"/>
      <c r="AO33" s="358"/>
      <c r="AP33" s="358"/>
      <c r="AQ33" s="358"/>
      <c r="AR33" s="358"/>
      <c r="AS33" s="358"/>
      <c r="AT33" s="358"/>
      <c r="AU33" s="358"/>
      <c r="AV33" s="358"/>
      <c r="AW33" s="358"/>
      <c r="AX33" s="358"/>
      <c r="AY33" s="358"/>
      <c r="AZ33" s="358"/>
    </row>
    <row r="34" spans="1:52">
      <c r="A34" s="358"/>
      <c r="B34" s="358"/>
      <c r="C34" s="553"/>
      <c r="D34" s="358"/>
      <c r="E34" s="553"/>
      <c r="F34" s="358"/>
      <c r="G34" s="553"/>
      <c r="H34" s="358"/>
      <c r="I34" s="553"/>
      <c r="J34" s="358"/>
      <c r="K34" s="553"/>
      <c r="L34" s="358"/>
      <c r="M34" s="553"/>
      <c r="N34" s="358"/>
      <c r="O34" s="553"/>
      <c r="P34" s="358"/>
      <c r="Q34" s="553"/>
      <c r="R34" s="358"/>
      <c r="S34" s="553"/>
      <c r="T34" s="358"/>
      <c r="U34" s="553"/>
      <c r="V34" s="358"/>
      <c r="W34" s="553"/>
      <c r="X34" s="358"/>
      <c r="Y34" s="553"/>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row>
    <row r="35" spans="1:52">
      <c r="A35" s="861" t="s">
        <v>1367</v>
      </c>
      <c r="B35" s="861" t="str">
        <f>Cashflow!E26</f>
        <v>Minimum allowable temperature at tubing head (°C)</v>
      </c>
      <c r="C35" s="860" t="str">
        <f>Cashflow!AI8</f>
        <v>Injected water temperature (°C)</v>
      </c>
      <c r="D35" s="861" t="str">
        <f>Cashflow!E27</f>
        <v>Average ambient temp (°C)</v>
      </c>
      <c r="E35" s="861"/>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c r="AI35" s="358"/>
      <c r="AJ35" s="358"/>
      <c r="AK35" s="358"/>
      <c r="AL35" s="358"/>
      <c r="AM35" s="358"/>
      <c r="AN35" s="358"/>
      <c r="AO35" s="358"/>
      <c r="AP35" s="358"/>
      <c r="AQ35" s="358"/>
      <c r="AR35" s="358"/>
      <c r="AS35" s="358"/>
      <c r="AT35" s="358"/>
      <c r="AU35" s="358"/>
      <c r="AV35" s="358"/>
      <c r="AW35" s="358"/>
      <c r="AX35" s="358"/>
      <c r="AY35" s="358"/>
      <c r="AZ35" s="358"/>
    </row>
    <row r="36" spans="1:52">
      <c r="A36" s="860">
        <f>Cashflow!C54</f>
        <v>2017</v>
      </c>
      <c r="B36" s="861">
        <f>Cashflow!$I$26</f>
        <v>180</v>
      </c>
      <c r="C36" s="861">
        <f>Cashflow!$AM$8</f>
        <v>151.67804603364539</v>
      </c>
      <c r="D36" s="861">
        <f>Cashflow!$I$27</f>
        <v>10</v>
      </c>
      <c r="E36" s="553"/>
      <c r="F36" s="358"/>
      <c r="G36" s="553"/>
      <c r="H36" s="358"/>
      <c r="I36" s="553"/>
      <c r="J36" s="358"/>
      <c r="K36" s="553"/>
      <c r="L36" s="358"/>
      <c r="M36" s="553"/>
      <c r="N36" s="358"/>
      <c r="O36" s="553"/>
      <c r="P36" s="358"/>
      <c r="Q36" s="553"/>
      <c r="R36" s="358"/>
      <c r="S36" s="553"/>
      <c r="T36" s="358"/>
      <c r="U36" s="553"/>
      <c r="V36" s="358"/>
      <c r="W36" s="553"/>
      <c r="X36" s="358"/>
      <c r="Y36" s="553"/>
      <c r="Z36" s="358"/>
      <c r="AA36" s="358"/>
      <c r="AB36" s="358"/>
      <c r="AC36" s="358"/>
      <c r="AD36" s="358"/>
      <c r="AE36" s="358"/>
      <c r="AF36" s="358"/>
      <c r="AG36" s="358"/>
      <c r="AH36" s="358"/>
      <c r="AI36" s="358"/>
      <c r="AJ36" s="358"/>
      <c r="AK36" s="358"/>
      <c r="AL36" s="358"/>
      <c r="AM36" s="358"/>
      <c r="AN36" s="358"/>
      <c r="AO36" s="358"/>
      <c r="AP36" s="358"/>
      <c r="AQ36" s="358"/>
      <c r="AR36" s="358"/>
      <c r="AS36" s="358"/>
      <c r="AT36" s="358"/>
      <c r="AU36" s="358"/>
      <c r="AV36" s="358"/>
      <c r="AW36" s="358"/>
      <c r="AX36" s="358"/>
      <c r="AY36" s="358"/>
      <c r="AZ36" s="358"/>
    </row>
    <row r="37" spans="1:52">
      <c r="A37" s="861">
        <f>Cashflow!AG54</f>
        <v>2047</v>
      </c>
      <c r="B37" s="861">
        <f>Cashflow!$I$26</f>
        <v>180</v>
      </c>
      <c r="C37" s="861">
        <f>Cashflow!$AM$8</f>
        <v>151.67804603364539</v>
      </c>
      <c r="D37" s="861">
        <f>Cashflow!$I$27</f>
        <v>10</v>
      </c>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358"/>
      <c r="AZ37" s="358"/>
    </row>
    <row r="38" spans="1:52">
      <c r="A38" s="358"/>
      <c r="B38" s="358"/>
      <c r="C38" s="553"/>
      <c r="D38" s="358"/>
      <c r="E38" s="553"/>
      <c r="F38" s="358"/>
      <c r="G38" s="553"/>
      <c r="H38" s="358"/>
      <c r="I38" s="553"/>
      <c r="J38" s="358"/>
      <c r="K38" s="553"/>
      <c r="L38" s="358"/>
      <c r="M38" s="553"/>
      <c r="N38" s="358"/>
      <c r="O38" s="553"/>
      <c r="P38" s="358"/>
      <c r="Q38" s="553"/>
      <c r="R38" s="358"/>
      <c r="S38" s="553"/>
      <c r="T38" s="358"/>
      <c r="U38" s="553"/>
      <c r="V38" s="358"/>
      <c r="W38" s="553"/>
      <c r="X38" s="358"/>
      <c r="Y38" s="553"/>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358"/>
    </row>
    <row r="39" spans="1:52">
      <c r="A39" s="358"/>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c r="AH39" s="358"/>
      <c r="AI39" s="358"/>
      <c r="AJ39" s="358"/>
      <c r="AK39" s="358"/>
      <c r="AL39" s="358"/>
      <c r="AM39" s="358"/>
      <c r="AN39" s="358"/>
      <c r="AO39" s="358"/>
      <c r="AP39" s="358"/>
      <c r="AQ39" s="358"/>
      <c r="AR39" s="358"/>
      <c r="AS39" s="358"/>
      <c r="AT39" s="358"/>
      <c r="AU39" s="358"/>
      <c r="AV39" s="358"/>
      <c r="AW39" s="358"/>
      <c r="AX39" s="358"/>
      <c r="AY39" s="358"/>
      <c r="AZ39" s="358"/>
    </row>
    <row r="40" spans="1:52">
      <c r="A40" s="358"/>
      <c r="B40" s="358"/>
      <c r="C40" s="553"/>
      <c r="D40" s="358"/>
      <c r="E40" s="553"/>
      <c r="F40" s="358"/>
      <c r="G40" s="553"/>
      <c r="H40" s="358"/>
      <c r="I40" s="553"/>
      <c r="J40" s="358"/>
      <c r="K40" s="553"/>
      <c r="L40" s="358"/>
      <c r="M40" s="553"/>
      <c r="N40" s="358"/>
      <c r="O40" s="553"/>
      <c r="P40" s="358"/>
      <c r="Q40" s="553"/>
      <c r="R40" s="358"/>
      <c r="S40" s="553"/>
      <c r="T40" s="358"/>
      <c r="U40" s="553"/>
      <c r="V40" s="358"/>
      <c r="W40" s="553"/>
      <c r="X40" s="358"/>
      <c r="Y40" s="553"/>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358"/>
      <c r="AZ40" s="358"/>
    </row>
    <row r="41" spans="1:52">
      <c r="A41" s="358"/>
      <c r="B41" s="358"/>
      <c r="C41" s="358"/>
      <c r="D41" s="358"/>
      <c r="E41" s="358"/>
      <c r="F41" s="35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358"/>
      <c r="AG41" s="358"/>
      <c r="AH41" s="358"/>
      <c r="AI41" s="358"/>
      <c r="AJ41" s="358"/>
      <c r="AK41" s="358"/>
      <c r="AL41" s="358"/>
      <c r="AM41" s="358"/>
      <c r="AN41" s="358"/>
      <c r="AO41" s="358"/>
      <c r="AP41" s="358"/>
      <c r="AQ41" s="358"/>
      <c r="AR41" s="358"/>
      <c r="AS41" s="358"/>
      <c r="AT41" s="358"/>
      <c r="AU41" s="358"/>
      <c r="AV41" s="358"/>
      <c r="AW41" s="358"/>
      <c r="AX41" s="358"/>
      <c r="AY41" s="358"/>
      <c r="AZ41" s="358"/>
    </row>
    <row r="42" spans="1:52">
      <c r="A42" s="358"/>
      <c r="B42" s="358"/>
      <c r="C42" s="553"/>
      <c r="D42" s="358"/>
      <c r="E42" s="553"/>
      <c r="F42" s="358"/>
      <c r="G42" s="553"/>
      <c r="H42" s="358"/>
      <c r="I42" s="553"/>
      <c r="J42" s="358"/>
      <c r="K42" s="553"/>
      <c r="L42" s="358"/>
      <c r="M42" s="553"/>
      <c r="N42" s="358"/>
      <c r="O42" s="553"/>
      <c r="P42" s="358"/>
      <c r="Q42" s="553"/>
      <c r="R42" s="358"/>
      <c r="S42" s="553"/>
      <c r="T42" s="358"/>
      <c r="U42" s="553"/>
      <c r="V42" s="358"/>
      <c r="W42" s="553"/>
      <c r="X42" s="358"/>
      <c r="Y42" s="553"/>
      <c r="Z42" s="358"/>
      <c r="AA42" s="358"/>
      <c r="AB42" s="358"/>
      <c r="AC42" s="358"/>
      <c r="AD42" s="358"/>
      <c r="AE42" s="358"/>
      <c r="AF42" s="358"/>
      <c r="AG42" s="358"/>
      <c r="AH42" s="358"/>
      <c r="AI42" s="358"/>
      <c r="AJ42" s="358"/>
      <c r="AK42" s="358"/>
      <c r="AL42" s="358"/>
      <c r="AM42" s="358"/>
      <c r="AN42" s="358"/>
      <c r="AO42" s="358"/>
      <c r="AP42" s="358"/>
      <c r="AQ42" s="358"/>
      <c r="AR42" s="358"/>
      <c r="AS42" s="358"/>
      <c r="AT42" s="358"/>
      <c r="AU42" s="358"/>
      <c r="AV42" s="358"/>
      <c r="AW42" s="358"/>
      <c r="AX42" s="358"/>
      <c r="AY42" s="358"/>
      <c r="AZ42" s="358"/>
    </row>
    <row r="43" spans="1:52">
      <c r="A43" s="358"/>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row>
    <row r="44" spans="1:52">
      <c r="A44" s="358"/>
      <c r="B44" s="358"/>
      <c r="C44" s="553"/>
      <c r="D44" s="358"/>
      <c r="E44" s="553"/>
      <c r="F44" s="358"/>
      <c r="G44" s="553"/>
      <c r="H44" s="358"/>
      <c r="I44" s="553"/>
      <c r="J44" s="358"/>
      <c r="K44" s="553"/>
      <c r="L44" s="358"/>
      <c r="M44" s="553"/>
      <c r="N44" s="358"/>
      <c r="O44" s="553"/>
      <c r="P44" s="358"/>
      <c r="Q44" s="553"/>
      <c r="R44" s="358"/>
      <c r="S44" s="553"/>
      <c r="T44" s="358"/>
      <c r="U44" s="553"/>
      <c r="V44" s="358"/>
      <c r="W44" s="553"/>
      <c r="X44" s="358"/>
      <c r="Y44" s="553"/>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row>
    <row r="45" spans="1:52">
      <c r="A45" s="358"/>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358"/>
    </row>
    <row r="46" spans="1:52">
      <c r="A46" s="358"/>
      <c r="B46" s="358"/>
      <c r="C46" s="553"/>
      <c r="D46" s="358"/>
      <c r="E46" s="553"/>
      <c r="F46" s="358"/>
      <c r="G46" s="553"/>
      <c r="H46" s="358"/>
      <c r="I46" s="553"/>
      <c r="J46" s="358"/>
      <c r="K46" s="553"/>
      <c r="L46" s="358"/>
      <c r="M46" s="553"/>
      <c r="N46" s="358"/>
      <c r="O46" s="553"/>
      <c r="P46" s="358"/>
      <c r="Q46" s="553"/>
      <c r="R46" s="358"/>
      <c r="S46" s="553"/>
      <c r="T46" s="358"/>
      <c r="U46" s="553"/>
      <c r="V46" s="358"/>
      <c r="W46" s="553"/>
      <c r="X46" s="358"/>
      <c r="Y46" s="553"/>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358"/>
    </row>
    <row r="47" spans="1:52">
      <c r="A47" s="358"/>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358"/>
    </row>
    <row r="48" spans="1:52">
      <c r="A48" s="358"/>
      <c r="B48" s="358"/>
      <c r="C48" s="553"/>
      <c r="D48" s="358"/>
      <c r="E48" s="553"/>
      <c r="F48" s="358"/>
      <c r="G48" s="553"/>
      <c r="H48" s="358"/>
      <c r="I48" s="553"/>
      <c r="J48" s="358"/>
      <c r="K48" s="553"/>
      <c r="L48" s="358"/>
      <c r="M48" s="553"/>
      <c r="N48" s="358"/>
      <c r="O48" s="553"/>
      <c r="P48" s="358"/>
      <c r="Q48" s="553"/>
      <c r="R48" s="358"/>
      <c r="S48" s="553"/>
      <c r="T48" s="358"/>
      <c r="U48" s="553"/>
      <c r="V48" s="358"/>
      <c r="W48" s="553"/>
      <c r="X48" s="358"/>
      <c r="Y48" s="553"/>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row>
    <row r="49" spans="1:52">
      <c r="A49" s="358"/>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row>
    <row r="50" spans="1:52">
      <c r="A50" s="358"/>
      <c r="B50" s="358"/>
      <c r="C50" s="553"/>
      <c r="D50" s="358"/>
      <c r="E50" s="553"/>
      <c r="F50" s="358"/>
      <c r="G50" s="553"/>
      <c r="H50" s="358"/>
      <c r="I50" s="553"/>
      <c r="J50" s="358"/>
      <c r="K50" s="553"/>
      <c r="L50" s="358"/>
      <c r="M50" s="553"/>
      <c r="N50" s="358"/>
      <c r="O50" s="553"/>
      <c r="P50" s="358"/>
      <c r="Q50" s="553"/>
      <c r="R50" s="358"/>
      <c r="S50" s="553"/>
      <c r="T50" s="358"/>
      <c r="U50" s="553"/>
      <c r="V50" s="358"/>
      <c r="W50" s="553"/>
      <c r="X50" s="358"/>
      <c r="Y50" s="553"/>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row>
    <row r="51" spans="1:52">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row>
    <row r="52" spans="1:52">
      <c r="A52" s="358"/>
      <c r="B52" s="358"/>
      <c r="C52" s="553"/>
      <c r="D52" s="358"/>
      <c r="E52" s="553"/>
      <c r="F52" s="358"/>
      <c r="G52" s="553"/>
      <c r="H52" s="358"/>
      <c r="I52" s="553"/>
      <c r="J52" s="358"/>
      <c r="K52" s="553"/>
      <c r="L52" s="358"/>
      <c r="M52" s="553"/>
      <c r="N52" s="358"/>
      <c r="O52" s="553"/>
      <c r="P52" s="358"/>
      <c r="Q52" s="553"/>
      <c r="R52" s="358"/>
      <c r="S52" s="553"/>
      <c r="T52" s="358"/>
      <c r="U52" s="553"/>
      <c r="V52" s="358"/>
      <c r="W52" s="553"/>
      <c r="X52" s="358"/>
      <c r="Y52" s="553"/>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row>
    <row r="53" spans="1:52">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row>
    <row r="54" spans="1:52">
      <c r="A54" s="358"/>
      <c r="B54" s="358"/>
      <c r="C54" s="553"/>
      <c r="D54" s="358"/>
      <c r="E54" s="553"/>
      <c r="F54" s="358"/>
      <c r="G54" s="553"/>
      <c r="H54" s="358"/>
      <c r="I54" s="553"/>
      <c r="J54" s="358"/>
      <c r="K54" s="553"/>
      <c r="L54" s="358"/>
      <c r="M54" s="553"/>
      <c r="N54" s="358"/>
      <c r="O54" s="553"/>
      <c r="P54" s="358"/>
      <c r="Q54" s="553"/>
      <c r="R54" s="358"/>
      <c r="S54" s="553"/>
      <c r="T54" s="358"/>
      <c r="U54" s="553"/>
      <c r="V54" s="358"/>
      <c r="W54" s="553"/>
      <c r="X54" s="358"/>
      <c r="Y54" s="553"/>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c r="AV54" s="358"/>
      <c r="AW54" s="358"/>
      <c r="AX54" s="358"/>
      <c r="AY54" s="358"/>
      <c r="AZ54" s="358"/>
    </row>
    <row r="55" spans="1:52">
      <c r="A55" s="358"/>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358"/>
    </row>
    <row r="56" spans="1:52">
      <c r="A56" s="358"/>
      <c r="B56" s="358"/>
      <c r="C56" s="553"/>
      <c r="D56" s="358"/>
      <c r="E56" s="553"/>
      <c r="F56" s="358"/>
      <c r="G56" s="553"/>
      <c r="H56" s="358"/>
      <c r="I56" s="553"/>
      <c r="J56" s="358"/>
      <c r="K56" s="553"/>
      <c r="L56" s="358"/>
      <c r="M56" s="553"/>
      <c r="N56" s="358"/>
      <c r="O56" s="553"/>
      <c r="P56" s="358"/>
      <c r="Q56" s="553"/>
      <c r="R56" s="358"/>
      <c r="S56" s="553"/>
      <c r="T56" s="358"/>
      <c r="U56" s="553"/>
      <c r="V56" s="358"/>
      <c r="W56" s="553"/>
      <c r="X56" s="358"/>
      <c r="Y56" s="553"/>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row>
    <row r="57" spans="1:52">
      <c r="A57" s="358"/>
      <c r="B57" s="358"/>
      <c r="C57" s="358"/>
      <c r="D57" s="358"/>
      <c r="E57" s="358"/>
      <c r="F57" s="358"/>
      <c r="G57" s="358"/>
      <c r="H57" s="358"/>
      <c r="I57" s="358"/>
      <c r="J57" s="358"/>
      <c r="K57" s="358"/>
      <c r="L57" s="358"/>
      <c r="M57" s="358"/>
      <c r="N57" s="358"/>
      <c r="O57" s="358"/>
      <c r="P57" s="358"/>
      <c r="Q57" s="358"/>
      <c r="R57" s="358"/>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c r="AV57" s="358"/>
      <c r="AW57" s="358"/>
      <c r="AX57" s="358"/>
      <c r="AY57" s="358"/>
      <c r="AZ57" s="358"/>
    </row>
    <row r="58" spans="1:52">
      <c r="A58" s="358"/>
      <c r="B58" s="358"/>
      <c r="C58" s="553"/>
      <c r="D58" s="358"/>
      <c r="E58" s="553"/>
      <c r="F58" s="358"/>
      <c r="G58" s="553"/>
      <c r="H58" s="358"/>
      <c r="I58" s="553"/>
      <c r="J58" s="358"/>
      <c r="K58" s="553"/>
      <c r="L58" s="358"/>
      <c r="M58" s="553"/>
      <c r="N58" s="358"/>
      <c r="O58" s="553"/>
      <c r="P58" s="358"/>
      <c r="Q58" s="553"/>
      <c r="R58" s="358"/>
      <c r="S58" s="553"/>
      <c r="T58" s="358"/>
      <c r="U58" s="553"/>
      <c r="V58" s="358"/>
      <c r="W58" s="553"/>
      <c r="X58" s="358"/>
      <c r="Y58" s="553"/>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row>
    <row r="59" spans="1:52">
      <c r="A59" s="35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58"/>
    </row>
    <row r="60" spans="1:52">
      <c r="A60" s="358"/>
      <c r="B60" s="358"/>
      <c r="C60" s="553"/>
      <c r="D60" s="358"/>
      <c r="E60" s="553"/>
      <c r="F60" s="358"/>
      <c r="G60" s="553"/>
      <c r="H60" s="358"/>
      <c r="I60" s="553"/>
      <c r="J60" s="358"/>
      <c r="K60" s="553"/>
      <c r="L60" s="358"/>
      <c r="M60" s="553"/>
      <c r="N60" s="358"/>
      <c r="O60" s="553"/>
      <c r="P60" s="358"/>
      <c r="Q60" s="553"/>
      <c r="R60" s="358"/>
      <c r="S60" s="553"/>
      <c r="T60" s="358"/>
      <c r="U60" s="553"/>
      <c r="V60" s="358"/>
      <c r="W60" s="553"/>
      <c r="X60" s="358"/>
      <c r="Y60" s="553"/>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58"/>
      <c r="AZ60" s="358"/>
    </row>
    <row r="61" spans="1:52">
      <c r="A61" s="358"/>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row>
    <row r="62" spans="1:52">
      <c r="A62" s="358"/>
      <c r="B62" s="358"/>
      <c r="C62" s="553"/>
      <c r="D62" s="358"/>
      <c r="E62" s="553"/>
      <c r="F62" s="358"/>
      <c r="G62" s="553"/>
      <c r="H62" s="358"/>
      <c r="I62" s="553"/>
      <c r="J62" s="358"/>
      <c r="K62" s="553"/>
      <c r="L62" s="358"/>
      <c r="M62" s="553"/>
      <c r="N62" s="358"/>
      <c r="O62" s="553"/>
      <c r="P62" s="358"/>
      <c r="Q62" s="553"/>
      <c r="R62" s="358"/>
      <c r="S62" s="553"/>
      <c r="T62" s="358"/>
      <c r="U62" s="553"/>
      <c r="V62" s="358"/>
      <c r="W62" s="553"/>
      <c r="X62" s="358"/>
      <c r="Y62" s="553"/>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58"/>
      <c r="AZ62" s="358"/>
    </row>
    <row r="63" spans="1:52">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c r="AV63" s="358"/>
      <c r="AW63" s="358"/>
      <c r="AX63" s="358"/>
      <c r="AY63" s="358"/>
      <c r="AZ63" s="358"/>
    </row>
    <row r="64" spans="1:52">
      <c r="A64" s="358"/>
      <c r="B64" s="358"/>
      <c r="C64" s="553"/>
      <c r="D64" s="358"/>
      <c r="E64" s="553"/>
      <c r="F64" s="358"/>
      <c r="G64" s="553"/>
      <c r="H64" s="358"/>
      <c r="I64" s="553"/>
      <c r="J64" s="358"/>
      <c r="K64" s="553"/>
      <c r="L64" s="358"/>
      <c r="M64" s="553"/>
      <c r="N64" s="358"/>
      <c r="O64" s="553"/>
      <c r="P64" s="358"/>
      <c r="Q64" s="553"/>
      <c r="R64" s="358"/>
      <c r="S64" s="553"/>
      <c r="T64" s="358"/>
      <c r="U64" s="553"/>
      <c r="V64" s="358"/>
      <c r="W64" s="553"/>
      <c r="X64" s="358"/>
      <c r="Y64" s="553"/>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row>
    <row r="65" spans="1:52">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row>
    <row r="66" spans="1:52">
      <c r="A66" s="358"/>
      <c r="B66" s="358"/>
      <c r="C66" s="553"/>
      <c r="D66" s="358"/>
      <c r="E66" s="553"/>
      <c r="F66" s="358"/>
      <c r="G66" s="553"/>
      <c r="H66" s="358"/>
      <c r="I66" s="553"/>
      <c r="J66" s="358"/>
      <c r="K66" s="553"/>
      <c r="L66" s="358"/>
      <c r="M66" s="553"/>
      <c r="N66" s="358"/>
      <c r="O66" s="553"/>
      <c r="P66" s="358"/>
      <c r="Q66" s="553"/>
      <c r="R66" s="358"/>
      <c r="S66" s="553"/>
      <c r="T66" s="358"/>
      <c r="U66" s="553"/>
      <c r="V66" s="358"/>
      <c r="W66" s="553"/>
      <c r="X66" s="358"/>
      <c r="Y66" s="553"/>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row>
    <row r="67" spans="1:52">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row>
    <row r="68" spans="1:52">
      <c r="A68" s="358"/>
      <c r="B68" s="358"/>
      <c r="C68" s="553"/>
      <c r="D68" s="358"/>
      <c r="E68" s="553"/>
      <c r="F68" s="358"/>
      <c r="G68" s="553"/>
      <c r="H68" s="358"/>
      <c r="I68" s="553"/>
      <c r="J68" s="358"/>
      <c r="K68" s="553"/>
      <c r="L68" s="358"/>
      <c r="M68" s="553"/>
      <c r="N68" s="358"/>
      <c r="O68" s="553"/>
      <c r="P68" s="358"/>
      <c r="Q68" s="553"/>
      <c r="R68" s="358"/>
      <c r="S68" s="553"/>
      <c r="T68" s="358"/>
      <c r="U68" s="553"/>
      <c r="V68" s="358"/>
      <c r="W68" s="553"/>
      <c r="X68" s="358"/>
      <c r="Y68" s="553"/>
      <c r="Z68" s="358"/>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row>
    <row r="69" spans="1:52">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row>
    <row r="70" spans="1:52">
      <c r="A70" s="358"/>
      <c r="B70" s="358"/>
      <c r="C70" s="553"/>
      <c r="D70" s="358"/>
      <c r="E70" s="553"/>
      <c r="F70" s="358"/>
      <c r="G70" s="553"/>
      <c r="H70" s="358"/>
      <c r="I70" s="553"/>
      <c r="J70" s="358"/>
      <c r="K70" s="553"/>
      <c r="L70" s="358"/>
      <c r="M70" s="553"/>
      <c r="N70" s="358"/>
      <c r="O70" s="553"/>
      <c r="P70" s="358"/>
      <c r="Q70" s="553"/>
      <c r="R70" s="358"/>
      <c r="S70" s="553"/>
      <c r="T70" s="358"/>
      <c r="U70" s="553"/>
      <c r="V70" s="358"/>
      <c r="W70" s="553"/>
      <c r="X70" s="358"/>
      <c r="Y70" s="553"/>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row>
    <row r="71" spans="1:52">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c r="AV71" s="358"/>
      <c r="AW71" s="358"/>
      <c r="AX71" s="358"/>
      <c r="AY71" s="358"/>
      <c r="AZ71" s="358"/>
    </row>
    <row r="72" spans="1:52">
      <c r="A72" s="358"/>
      <c r="B72" s="358"/>
      <c r="C72" s="553"/>
      <c r="D72" s="358"/>
      <c r="E72" s="553"/>
      <c r="F72" s="358"/>
      <c r="G72" s="553"/>
      <c r="H72" s="358"/>
      <c r="I72" s="553"/>
      <c r="J72" s="358"/>
      <c r="K72" s="553"/>
      <c r="L72" s="358"/>
      <c r="M72" s="553"/>
      <c r="N72" s="358"/>
      <c r="O72" s="553"/>
      <c r="P72" s="358"/>
      <c r="Q72" s="553"/>
      <c r="R72" s="358"/>
      <c r="S72" s="553"/>
      <c r="T72" s="358"/>
      <c r="U72" s="553"/>
      <c r="V72" s="358"/>
      <c r="W72" s="553"/>
      <c r="X72" s="358"/>
      <c r="Y72" s="553"/>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row>
    <row r="73" spans="1:52">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row>
    <row r="74" spans="1:52">
      <c r="A74" s="358"/>
      <c r="B74" s="358"/>
      <c r="C74" s="553"/>
      <c r="D74" s="358"/>
      <c r="E74" s="553"/>
      <c r="F74" s="358"/>
      <c r="G74" s="553"/>
      <c r="H74" s="358"/>
      <c r="I74" s="553"/>
      <c r="J74" s="358"/>
      <c r="K74" s="553"/>
      <c r="L74" s="358"/>
      <c r="M74" s="553"/>
      <c r="N74" s="358"/>
      <c r="O74" s="553"/>
      <c r="P74" s="358"/>
      <c r="Q74" s="553"/>
      <c r="R74" s="358"/>
      <c r="S74" s="553"/>
      <c r="T74" s="358"/>
      <c r="U74" s="553"/>
      <c r="V74" s="358"/>
      <c r="W74" s="553"/>
      <c r="X74" s="358"/>
      <c r="Y74" s="553"/>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row>
    <row r="75" spans="1:52">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row>
    <row r="76" spans="1:52">
      <c r="A76" s="358"/>
      <c r="B76" s="358"/>
      <c r="C76" s="553"/>
      <c r="D76" s="358"/>
      <c r="E76" s="553"/>
      <c r="F76" s="358"/>
      <c r="G76" s="553"/>
      <c r="H76" s="358"/>
      <c r="I76" s="553"/>
      <c r="J76" s="358"/>
      <c r="K76" s="553"/>
      <c r="L76" s="358"/>
      <c r="M76" s="553"/>
      <c r="N76" s="358"/>
      <c r="O76" s="553"/>
      <c r="P76" s="358"/>
      <c r="Q76" s="553"/>
      <c r="R76" s="358"/>
      <c r="S76" s="553"/>
      <c r="T76" s="358"/>
      <c r="U76" s="553"/>
      <c r="V76" s="358"/>
      <c r="W76" s="553"/>
      <c r="X76" s="358"/>
      <c r="Y76" s="553"/>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row>
    <row r="77" spans="1:52">
      <c r="A77" s="35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row>
    <row r="78" spans="1:52">
      <c r="A78" s="358"/>
      <c r="B78" s="358"/>
      <c r="C78" s="553"/>
      <c r="D78" s="358"/>
      <c r="E78" s="553"/>
      <c r="F78" s="358"/>
      <c r="G78" s="553"/>
      <c r="H78" s="358"/>
      <c r="I78" s="553"/>
      <c r="J78" s="358"/>
      <c r="K78" s="553"/>
      <c r="L78" s="358"/>
      <c r="M78" s="553"/>
      <c r="N78" s="358"/>
      <c r="O78" s="553"/>
      <c r="P78" s="358"/>
      <c r="Q78" s="553"/>
      <c r="R78" s="358"/>
      <c r="S78" s="553"/>
      <c r="T78" s="358"/>
      <c r="U78" s="553"/>
      <c r="V78" s="358"/>
      <c r="W78" s="553"/>
      <c r="X78" s="358"/>
      <c r="Y78" s="553"/>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row>
    <row r="79" spans="1:52">
      <c r="A79" s="35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58"/>
      <c r="AO79" s="358"/>
      <c r="AP79" s="358"/>
      <c r="AQ79" s="358"/>
      <c r="AR79" s="358"/>
      <c r="AS79" s="358"/>
      <c r="AT79" s="358"/>
      <c r="AU79" s="358"/>
      <c r="AV79" s="358"/>
      <c r="AW79" s="358"/>
      <c r="AX79" s="358"/>
      <c r="AY79" s="358"/>
      <c r="AZ79" s="358"/>
    </row>
    <row r="80" spans="1:52">
      <c r="A80" s="358"/>
      <c r="B80" s="358"/>
      <c r="C80" s="553"/>
      <c r="D80" s="358"/>
      <c r="E80" s="553"/>
      <c r="F80" s="358"/>
      <c r="G80" s="553"/>
      <c r="H80" s="358"/>
      <c r="I80" s="553"/>
      <c r="J80" s="358"/>
      <c r="K80" s="553"/>
      <c r="L80" s="358"/>
      <c r="M80" s="553"/>
      <c r="N80" s="358"/>
      <c r="O80" s="553"/>
      <c r="P80" s="358"/>
      <c r="Q80" s="553"/>
      <c r="R80" s="358"/>
      <c r="S80" s="553"/>
      <c r="T80" s="358"/>
      <c r="U80" s="553"/>
      <c r="V80" s="358"/>
      <c r="W80" s="553"/>
      <c r="X80" s="358"/>
      <c r="Y80" s="553"/>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row>
    <row r="81" spans="1:52">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row>
    <row r="82" spans="1:52">
      <c r="A82" s="358"/>
      <c r="B82" s="358"/>
      <c r="C82" s="553"/>
      <c r="D82" s="358"/>
      <c r="E82" s="553"/>
      <c r="F82" s="358"/>
      <c r="G82" s="553"/>
      <c r="H82" s="358"/>
      <c r="I82" s="553"/>
      <c r="J82" s="358"/>
      <c r="K82" s="553"/>
      <c r="L82" s="358"/>
      <c r="M82" s="553"/>
      <c r="N82" s="358"/>
      <c r="O82" s="553"/>
      <c r="P82" s="358"/>
      <c r="Q82" s="553"/>
      <c r="R82" s="358"/>
      <c r="S82" s="553"/>
      <c r="T82" s="358"/>
      <c r="U82" s="553"/>
      <c r="V82" s="358"/>
      <c r="W82" s="553"/>
      <c r="X82" s="358"/>
      <c r="Y82" s="553"/>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row>
    <row r="83" spans="1:52">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row>
    <row r="84" spans="1:52">
      <c r="A84" s="358"/>
      <c r="B84" s="358"/>
      <c r="C84" s="553"/>
      <c r="D84" s="358"/>
      <c r="E84" s="553"/>
      <c r="F84" s="358"/>
      <c r="G84" s="553"/>
      <c r="H84" s="358"/>
      <c r="I84" s="553"/>
      <c r="J84" s="358"/>
      <c r="K84" s="553"/>
      <c r="L84" s="358"/>
      <c r="M84" s="553"/>
      <c r="N84" s="358"/>
      <c r="O84" s="553"/>
      <c r="P84" s="358"/>
      <c r="Q84" s="553"/>
      <c r="R84" s="358"/>
      <c r="S84" s="553"/>
      <c r="T84" s="358"/>
      <c r="U84" s="553"/>
      <c r="V84" s="358"/>
      <c r="W84" s="553"/>
      <c r="X84" s="358"/>
      <c r="Y84" s="553"/>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row>
    <row r="85" spans="1:52">
      <c r="A85" s="35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row>
    <row r="86" spans="1:52">
      <c r="A86" s="358"/>
      <c r="B86" s="358"/>
      <c r="C86" s="553"/>
      <c r="D86" s="358"/>
      <c r="E86" s="553"/>
      <c r="F86" s="358"/>
      <c r="G86" s="553"/>
      <c r="H86" s="358"/>
      <c r="I86" s="553"/>
      <c r="J86" s="358"/>
      <c r="K86" s="553"/>
      <c r="L86" s="358"/>
      <c r="M86" s="553"/>
      <c r="N86" s="358"/>
      <c r="O86" s="553"/>
      <c r="P86" s="358"/>
      <c r="Q86" s="553"/>
      <c r="R86" s="358"/>
      <c r="S86" s="553"/>
      <c r="T86" s="358"/>
      <c r="U86" s="553"/>
      <c r="V86" s="358"/>
      <c r="W86" s="553"/>
      <c r="X86" s="358"/>
      <c r="Y86" s="553"/>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8"/>
      <c r="AY86" s="358"/>
      <c r="AZ86" s="358"/>
    </row>
    <row r="87" spans="1:52">
      <c r="A87" s="35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c r="AS87" s="358"/>
      <c r="AT87" s="358"/>
      <c r="AU87" s="358"/>
      <c r="AV87" s="358"/>
      <c r="AW87" s="358"/>
      <c r="AX87" s="358"/>
      <c r="AY87" s="358"/>
      <c r="AZ87" s="358"/>
    </row>
    <row r="88" spans="1:52">
      <c r="A88" s="358"/>
      <c r="B88" s="358"/>
      <c r="C88" s="553"/>
      <c r="D88" s="358"/>
      <c r="E88" s="553"/>
      <c r="F88" s="358"/>
      <c r="G88" s="553"/>
      <c r="H88" s="358"/>
      <c r="I88" s="553"/>
      <c r="J88" s="358"/>
      <c r="K88" s="553"/>
      <c r="L88" s="358"/>
      <c r="M88" s="553"/>
      <c r="N88" s="358"/>
      <c r="O88" s="553"/>
      <c r="P88" s="358"/>
      <c r="Q88" s="553"/>
      <c r="R88" s="358"/>
      <c r="S88" s="553"/>
      <c r="T88" s="358"/>
      <c r="U88" s="553"/>
      <c r="V88" s="358"/>
      <c r="W88" s="553"/>
      <c r="X88" s="358"/>
      <c r="Y88" s="553"/>
      <c r="Z88" s="358"/>
      <c r="AA88" s="358"/>
      <c r="AB88" s="358"/>
      <c r="AC88" s="358"/>
      <c r="AD88" s="358"/>
      <c r="AE88" s="358"/>
      <c r="AF88" s="358"/>
      <c r="AG88" s="358"/>
      <c r="AH88" s="358"/>
      <c r="AI88" s="358"/>
      <c r="AJ88" s="358"/>
      <c r="AK88" s="358"/>
      <c r="AL88" s="358"/>
      <c r="AM88" s="358"/>
      <c r="AN88" s="358"/>
      <c r="AO88" s="358"/>
      <c r="AP88" s="358"/>
      <c r="AQ88" s="358"/>
      <c r="AR88" s="358"/>
      <c r="AS88" s="358"/>
      <c r="AT88" s="358"/>
      <c r="AU88" s="358"/>
      <c r="AV88" s="358"/>
      <c r="AW88" s="358"/>
      <c r="AX88" s="358"/>
      <c r="AY88" s="358"/>
      <c r="AZ88" s="358"/>
    </row>
    <row r="89" spans="1:52">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58"/>
      <c r="AN89" s="358"/>
      <c r="AO89" s="358"/>
      <c r="AP89" s="358"/>
      <c r="AQ89" s="358"/>
      <c r="AR89" s="358"/>
      <c r="AS89" s="358"/>
      <c r="AT89" s="358"/>
      <c r="AU89" s="358"/>
      <c r="AV89" s="358"/>
      <c r="AW89" s="358"/>
      <c r="AX89" s="358"/>
      <c r="AY89" s="358"/>
      <c r="AZ89" s="358"/>
    </row>
    <row r="90" spans="1:52">
      <c r="A90" s="358"/>
      <c r="B90" s="358"/>
      <c r="C90" s="553"/>
      <c r="D90" s="358"/>
      <c r="E90" s="553"/>
      <c r="F90" s="358"/>
      <c r="G90" s="553"/>
      <c r="H90" s="358"/>
      <c r="I90" s="553"/>
      <c r="J90" s="358"/>
      <c r="K90" s="553"/>
      <c r="L90" s="358"/>
      <c r="M90" s="553"/>
      <c r="N90" s="358"/>
      <c r="O90" s="553"/>
      <c r="P90" s="358"/>
      <c r="Q90" s="553"/>
      <c r="R90" s="358"/>
      <c r="S90" s="553"/>
      <c r="T90" s="358"/>
      <c r="U90" s="553"/>
      <c r="V90" s="358"/>
      <c r="W90" s="553"/>
      <c r="X90" s="358"/>
      <c r="Y90" s="553"/>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row>
    <row r="91" spans="1:52">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c r="AS91" s="358"/>
      <c r="AT91" s="358"/>
      <c r="AU91" s="358"/>
      <c r="AV91" s="358"/>
      <c r="AW91" s="358"/>
      <c r="AX91" s="358"/>
      <c r="AY91" s="358"/>
      <c r="AZ91" s="358"/>
    </row>
    <row r="92" spans="1:52">
      <c r="A92" s="358"/>
      <c r="B92" s="358"/>
      <c r="C92" s="553"/>
      <c r="D92" s="358"/>
      <c r="E92" s="553"/>
      <c r="F92" s="358"/>
      <c r="G92" s="553"/>
      <c r="H92" s="358"/>
      <c r="I92" s="553"/>
      <c r="J92" s="358"/>
      <c r="K92" s="553"/>
      <c r="L92" s="358"/>
      <c r="M92" s="553"/>
      <c r="N92" s="358"/>
      <c r="O92" s="553"/>
      <c r="P92" s="358"/>
      <c r="Q92" s="553"/>
      <c r="R92" s="358"/>
      <c r="S92" s="553"/>
      <c r="T92" s="358"/>
      <c r="U92" s="553"/>
      <c r="V92" s="358"/>
      <c r="W92" s="553"/>
      <c r="X92" s="358"/>
      <c r="Y92" s="553"/>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row>
    <row r="93" spans="1:52">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58"/>
      <c r="AN93" s="358"/>
      <c r="AO93" s="358"/>
      <c r="AP93" s="358"/>
      <c r="AQ93" s="358"/>
      <c r="AR93" s="358"/>
      <c r="AS93" s="358"/>
      <c r="AT93" s="358"/>
      <c r="AU93" s="358"/>
      <c r="AV93" s="358"/>
      <c r="AW93" s="358"/>
      <c r="AX93" s="358"/>
      <c r="AY93" s="358"/>
      <c r="AZ93" s="358"/>
    </row>
    <row r="94" spans="1:52">
      <c r="A94" s="358"/>
      <c r="B94" s="358"/>
      <c r="C94" s="553"/>
      <c r="D94" s="358"/>
      <c r="E94" s="553"/>
      <c r="F94" s="358"/>
      <c r="G94" s="553"/>
      <c r="H94" s="358"/>
      <c r="I94" s="553"/>
      <c r="J94" s="358"/>
      <c r="K94" s="553"/>
      <c r="L94" s="358"/>
      <c r="M94" s="553"/>
      <c r="N94" s="358"/>
      <c r="O94" s="553"/>
      <c r="P94" s="358"/>
      <c r="Q94" s="553"/>
      <c r="R94" s="358"/>
      <c r="S94" s="553"/>
      <c r="T94" s="358"/>
      <c r="U94" s="553"/>
      <c r="V94" s="358"/>
      <c r="W94" s="553"/>
      <c r="X94" s="358"/>
      <c r="Y94" s="553"/>
      <c r="Z94" s="358"/>
      <c r="AA94" s="358"/>
      <c r="AB94" s="358"/>
      <c r="AC94" s="358"/>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row>
    <row r="95" spans="1:52">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c r="AS95" s="358"/>
      <c r="AT95" s="358"/>
      <c r="AU95" s="358"/>
      <c r="AV95" s="358"/>
      <c r="AW95" s="358"/>
      <c r="AX95" s="358"/>
      <c r="AY95" s="358"/>
      <c r="AZ95" s="358"/>
    </row>
    <row r="96" spans="1:52">
      <c r="A96" s="358"/>
      <c r="B96" s="358"/>
      <c r="C96" s="553"/>
      <c r="D96" s="358"/>
      <c r="E96" s="553"/>
      <c r="F96" s="358"/>
      <c r="G96" s="553"/>
      <c r="H96" s="358"/>
      <c r="I96" s="553"/>
      <c r="J96" s="358"/>
      <c r="K96" s="553"/>
      <c r="L96" s="358"/>
      <c r="M96" s="553"/>
      <c r="N96" s="358"/>
      <c r="O96" s="553"/>
      <c r="P96" s="358"/>
      <c r="Q96" s="553"/>
      <c r="R96" s="358"/>
      <c r="S96" s="553"/>
      <c r="T96" s="358"/>
      <c r="U96" s="553"/>
      <c r="V96" s="358"/>
      <c r="W96" s="553"/>
      <c r="X96" s="358"/>
      <c r="Y96" s="553"/>
      <c r="Z96" s="358"/>
      <c r="AA96" s="358"/>
      <c r="AB96" s="358"/>
      <c r="AC96" s="358"/>
      <c r="AD96" s="358"/>
      <c r="AE96" s="358"/>
      <c r="AF96" s="358"/>
      <c r="AG96" s="358"/>
      <c r="AH96" s="358"/>
      <c r="AI96" s="358"/>
      <c r="AJ96" s="358"/>
      <c r="AK96" s="358"/>
      <c r="AL96" s="358"/>
      <c r="AM96" s="358"/>
      <c r="AN96" s="358"/>
      <c r="AO96" s="358"/>
      <c r="AP96" s="358"/>
      <c r="AQ96" s="358"/>
      <c r="AR96" s="358"/>
      <c r="AS96" s="358"/>
      <c r="AT96" s="358"/>
      <c r="AU96" s="358"/>
      <c r="AV96" s="358"/>
      <c r="AW96" s="358"/>
      <c r="AX96" s="358"/>
      <c r="AY96" s="358"/>
      <c r="AZ96" s="358"/>
    </row>
    <row r="97" spans="1:52">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row>
    <row r="98" spans="1:52">
      <c r="A98" s="358"/>
      <c r="B98" s="358"/>
      <c r="C98" s="553"/>
      <c r="D98" s="358"/>
      <c r="E98" s="553"/>
      <c r="F98" s="358"/>
      <c r="G98" s="553"/>
      <c r="H98" s="358"/>
      <c r="I98" s="553"/>
      <c r="J98" s="358"/>
      <c r="K98" s="553"/>
      <c r="L98" s="358"/>
      <c r="M98" s="553"/>
      <c r="N98" s="358"/>
      <c r="O98" s="553"/>
      <c r="P98" s="358"/>
      <c r="Q98" s="553"/>
      <c r="R98" s="358"/>
      <c r="S98" s="553"/>
      <c r="T98" s="358"/>
      <c r="U98" s="553"/>
      <c r="V98" s="358"/>
      <c r="W98" s="553"/>
      <c r="X98" s="358"/>
      <c r="Y98" s="553"/>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row>
    <row r="99" spans="1:52">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row>
    <row r="100" spans="1:52">
      <c r="A100" s="358"/>
      <c r="B100" s="358"/>
      <c r="C100" s="358"/>
      <c r="D100" s="358"/>
      <c r="E100" s="553"/>
      <c r="F100" s="358"/>
      <c r="G100" s="553"/>
      <c r="H100" s="358"/>
      <c r="I100" s="553"/>
      <c r="J100" s="358"/>
      <c r="K100" s="553"/>
      <c r="L100" s="358"/>
      <c r="M100" s="553"/>
      <c r="N100" s="358"/>
      <c r="O100" s="553"/>
      <c r="P100" s="358"/>
      <c r="Q100" s="553"/>
      <c r="R100" s="358"/>
      <c r="S100" s="553"/>
      <c r="T100" s="358"/>
      <c r="U100" s="553"/>
      <c r="V100" s="358"/>
      <c r="W100" s="553"/>
      <c r="X100" s="358"/>
      <c r="Y100" s="553"/>
      <c r="Z100" s="358"/>
      <c r="AA100" s="358"/>
      <c r="AB100" s="358"/>
      <c r="AC100" s="358"/>
      <c r="AD100" s="358"/>
      <c r="AE100" s="358"/>
      <c r="AF100" s="358"/>
      <c r="AG100" s="358"/>
      <c r="AH100" s="358"/>
      <c r="AI100" s="358"/>
      <c r="AJ100" s="358"/>
      <c r="AK100" s="358"/>
      <c r="AL100" s="358"/>
      <c r="AM100" s="358"/>
      <c r="AN100" s="358"/>
      <c r="AO100" s="358"/>
      <c r="AP100" s="358"/>
      <c r="AQ100" s="358"/>
      <c r="AR100" s="358"/>
      <c r="AS100" s="358"/>
      <c r="AT100" s="358"/>
      <c r="AU100" s="358"/>
      <c r="AV100" s="358"/>
      <c r="AW100" s="358"/>
      <c r="AX100" s="358"/>
      <c r="AY100" s="358"/>
      <c r="AZ100" s="358"/>
    </row>
  </sheetData>
  <sheetProtection sheet="1" objects="1" scenarios="1" selectLockedCells="1" selectUnlockedCells="1"/>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CC99"/>
  </sheetPr>
  <dimension ref="A1:AZ100"/>
  <sheetViews>
    <sheetView zoomScale="90" zoomScaleNormal="90" workbookViewId="0"/>
  </sheetViews>
  <sheetFormatPr defaultRowHeight="14.4"/>
  <sheetData>
    <row r="1" spans="1:52">
      <c r="A1" s="553"/>
      <c r="B1" s="358"/>
      <c r="C1" s="553"/>
      <c r="D1" s="358"/>
      <c r="E1" s="553"/>
      <c r="F1" s="358"/>
      <c r="G1" s="553"/>
      <c r="H1" s="358"/>
      <c r="I1" s="553"/>
      <c r="J1" s="358"/>
      <c r="K1" s="553"/>
      <c r="L1" s="358"/>
      <c r="M1" s="553"/>
      <c r="N1" s="358"/>
      <c r="O1" s="553"/>
      <c r="P1" s="358"/>
      <c r="Q1" s="553"/>
      <c r="R1" s="358"/>
      <c r="S1" s="553"/>
      <c r="T1" s="358"/>
      <c r="U1" s="553"/>
      <c r="V1" s="358"/>
      <c r="W1" s="553"/>
      <c r="X1" s="358"/>
      <c r="Y1" s="553"/>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row>
    <row r="2" spans="1:52">
      <c r="A2" s="358"/>
      <c r="B2" s="358"/>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row>
    <row r="3" spans="1:52">
      <c r="A3" s="553"/>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row>
    <row r="4" spans="1:52">
      <c r="A4" s="358"/>
      <c r="B4" s="358"/>
      <c r="C4" s="553"/>
      <c r="D4" s="358"/>
      <c r="E4" s="553"/>
      <c r="F4" s="358"/>
      <c r="G4" s="553"/>
      <c r="H4" s="358"/>
      <c r="I4" s="553"/>
      <c r="J4" s="358"/>
      <c r="K4" s="553"/>
      <c r="L4" s="358"/>
      <c r="M4" s="553"/>
      <c r="N4" s="358"/>
      <c r="O4" s="553"/>
      <c r="P4" s="358"/>
      <c r="Q4" s="553"/>
      <c r="R4" s="358"/>
      <c r="S4" s="553"/>
      <c r="T4" s="358"/>
      <c r="U4" s="553"/>
      <c r="V4" s="358"/>
      <c r="W4" s="553"/>
      <c r="X4" s="358"/>
      <c r="Y4" s="553"/>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row>
    <row r="5" spans="1:52">
      <c r="A5" s="553"/>
      <c r="B5" s="358"/>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row>
    <row r="6" spans="1:52">
      <c r="A6" s="358"/>
      <c r="B6" s="358"/>
      <c r="C6" s="358"/>
      <c r="D6" s="358"/>
      <c r="E6" s="358"/>
      <c r="F6" s="358"/>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c r="AT6" s="358"/>
      <c r="AU6" s="358"/>
      <c r="AV6" s="358"/>
      <c r="AW6" s="358"/>
      <c r="AX6" s="358"/>
      <c r="AY6" s="358"/>
      <c r="AZ6" s="358"/>
    </row>
    <row r="7" spans="1:52">
      <c r="A7" s="553"/>
      <c r="B7" s="358"/>
      <c r="C7" s="553"/>
      <c r="D7" s="358"/>
      <c r="E7" s="553"/>
      <c r="F7" s="358"/>
      <c r="G7" s="553"/>
      <c r="H7" s="358"/>
      <c r="I7" s="553"/>
      <c r="J7" s="358"/>
      <c r="K7" s="553"/>
      <c r="L7" s="358"/>
      <c r="M7" s="553"/>
      <c r="N7" s="358"/>
      <c r="O7" s="553"/>
      <c r="P7" s="358"/>
      <c r="Q7" s="553"/>
      <c r="R7" s="358"/>
      <c r="S7" s="553"/>
      <c r="T7" s="358"/>
      <c r="U7" s="553"/>
      <c r="V7" s="358"/>
      <c r="W7" s="553"/>
      <c r="X7" s="358"/>
      <c r="Y7" s="553"/>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358"/>
      <c r="AZ7" s="358"/>
    </row>
    <row r="8" spans="1:52">
      <c r="A8" s="358"/>
      <c r="B8" s="358"/>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58"/>
      <c r="AV8" s="358"/>
      <c r="AW8" s="358"/>
      <c r="AX8" s="358"/>
      <c r="AY8" s="358"/>
      <c r="AZ8" s="358"/>
    </row>
    <row r="9" spans="1:52">
      <c r="A9" s="553"/>
      <c r="B9" s="358"/>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c r="AT9" s="358"/>
      <c r="AU9" s="358"/>
      <c r="AV9" s="358"/>
      <c r="AW9" s="358"/>
      <c r="AX9" s="358"/>
      <c r="AY9" s="358"/>
      <c r="AZ9" s="358"/>
    </row>
    <row r="10" spans="1:52">
      <c r="A10" s="358"/>
      <c r="B10" s="358"/>
      <c r="C10" s="553"/>
      <c r="D10" s="358"/>
      <c r="E10" s="553"/>
      <c r="F10" s="358"/>
      <c r="G10" s="553"/>
      <c r="H10" s="358"/>
      <c r="I10" s="553"/>
      <c r="J10" s="358"/>
      <c r="K10" s="553"/>
      <c r="L10" s="358"/>
      <c r="M10" s="553"/>
      <c r="N10" s="358"/>
      <c r="O10" s="553"/>
      <c r="P10" s="358"/>
      <c r="Q10" s="553"/>
      <c r="R10" s="358"/>
      <c r="S10" s="553"/>
      <c r="T10" s="358"/>
      <c r="U10" s="553"/>
      <c r="V10" s="358"/>
      <c r="W10" s="553"/>
      <c r="X10" s="358"/>
      <c r="Y10" s="553"/>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row>
    <row r="11" spans="1:52">
      <c r="A11" s="553"/>
      <c r="B11" s="358"/>
      <c r="C11" s="358"/>
      <c r="D11" s="358"/>
      <c r="E11" s="358"/>
      <c r="F11" s="358"/>
      <c r="G11" s="358"/>
      <c r="H11" s="358"/>
      <c r="I11" s="358"/>
      <c r="J11" s="358"/>
      <c r="K11" s="358"/>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row>
    <row r="12" spans="1:52">
      <c r="A12" s="358"/>
      <c r="B12" s="358"/>
      <c r="C12" s="358"/>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358"/>
    </row>
    <row r="13" spans="1:52">
      <c r="A13" s="553"/>
      <c r="B13" s="358"/>
      <c r="C13" s="553"/>
      <c r="D13" s="358"/>
      <c r="E13" s="553"/>
      <c r="F13" s="358"/>
      <c r="G13" s="553"/>
      <c r="H13" s="358"/>
      <c r="I13" s="553"/>
      <c r="J13" s="358"/>
      <c r="K13" s="553"/>
      <c r="L13" s="358"/>
      <c r="M13" s="553"/>
      <c r="N13" s="358"/>
      <c r="O13" s="553"/>
      <c r="P13" s="358"/>
      <c r="Q13" s="553"/>
      <c r="R13" s="358"/>
      <c r="S13" s="553"/>
      <c r="T13" s="358"/>
      <c r="U13" s="553"/>
      <c r="V13" s="358"/>
      <c r="W13" s="553"/>
      <c r="X13" s="358"/>
      <c r="Y13" s="553"/>
      <c r="Z13" s="358"/>
      <c r="AA13" s="358"/>
      <c r="AB13" s="358"/>
      <c r="AC13" s="358"/>
      <c r="AD13" s="358"/>
      <c r="AE13" s="358"/>
      <c r="AF13" s="358"/>
      <c r="AG13" s="358"/>
      <c r="AH13" s="358"/>
      <c r="AI13" s="358"/>
      <c r="AJ13" s="358"/>
      <c r="AK13" s="358"/>
      <c r="AL13" s="358"/>
      <c r="AM13" s="358"/>
      <c r="AN13" s="358"/>
      <c r="AO13" s="358"/>
      <c r="AP13" s="358"/>
      <c r="AQ13" s="358"/>
      <c r="AR13" s="358"/>
      <c r="AS13" s="358"/>
      <c r="AT13" s="358"/>
      <c r="AU13" s="358"/>
      <c r="AV13" s="358"/>
      <c r="AW13" s="358"/>
      <c r="AX13" s="358"/>
      <c r="AY13" s="358"/>
      <c r="AZ13" s="358"/>
    </row>
    <row r="14" spans="1:52">
      <c r="A14" s="358"/>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row>
    <row r="15" spans="1:52">
      <c r="A15" s="553"/>
      <c r="B15" s="358"/>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row>
    <row r="16" spans="1:52">
      <c r="A16" s="358"/>
      <c r="B16" s="358"/>
      <c r="C16" s="553"/>
      <c r="D16" s="358"/>
      <c r="E16" s="553"/>
      <c r="F16" s="358"/>
      <c r="G16" s="553"/>
      <c r="H16" s="358"/>
      <c r="I16" s="553"/>
      <c r="J16" s="358"/>
      <c r="K16" s="553"/>
      <c r="L16" s="358"/>
      <c r="M16" s="553"/>
      <c r="N16" s="358"/>
      <c r="O16" s="553"/>
      <c r="P16" s="358"/>
      <c r="Q16" s="553"/>
      <c r="R16" s="358"/>
      <c r="S16" s="553"/>
      <c r="T16" s="358"/>
      <c r="U16" s="553"/>
      <c r="V16" s="358"/>
      <c r="W16" s="553"/>
      <c r="X16" s="358"/>
      <c r="Y16" s="553"/>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358"/>
    </row>
    <row r="17" spans="1:52">
      <c r="A17" s="553"/>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358"/>
      <c r="AZ17" s="358"/>
    </row>
    <row r="18" spans="1:52">
      <c r="A18" s="358"/>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358"/>
      <c r="AZ18" s="358"/>
    </row>
    <row r="19" spans="1:52">
      <c r="A19" s="553"/>
      <c r="B19" s="358"/>
      <c r="C19" s="553"/>
      <c r="D19" s="358"/>
      <c r="E19" s="553"/>
      <c r="F19" s="358"/>
      <c r="G19" s="553"/>
      <c r="H19" s="358"/>
      <c r="I19" s="553"/>
      <c r="J19" s="358"/>
      <c r="K19" s="553"/>
      <c r="L19" s="358"/>
      <c r="M19" s="553"/>
      <c r="N19" s="358"/>
      <c r="O19" s="553"/>
      <c r="P19" s="358"/>
      <c r="Q19" s="553"/>
      <c r="R19" s="358"/>
      <c r="S19" s="553"/>
      <c r="T19" s="358"/>
      <c r="U19" s="553"/>
      <c r="V19" s="358"/>
      <c r="W19" s="553"/>
      <c r="X19" s="358"/>
      <c r="Y19" s="553"/>
      <c r="Z19" s="358"/>
      <c r="AA19" s="358"/>
      <c r="AB19" s="358"/>
      <c r="AC19" s="358"/>
      <c r="AD19" s="358"/>
      <c r="AE19" s="358"/>
      <c r="AF19" s="358"/>
      <c r="AG19" s="358"/>
      <c r="AH19" s="358"/>
      <c r="AI19" s="358"/>
      <c r="AJ19" s="358"/>
      <c r="AK19" s="358"/>
      <c r="AL19" s="358"/>
      <c r="AM19" s="358"/>
      <c r="AN19" s="358"/>
      <c r="AO19" s="358"/>
      <c r="AP19" s="358"/>
      <c r="AQ19" s="358"/>
      <c r="AR19" s="358"/>
      <c r="AS19" s="358"/>
      <c r="AT19" s="358"/>
      <c r="AU19" s="358"/>
      <c r="AV19" s="358"/>
      <c r="AW19" s="358"/>
      <c r="AX19" s="358"/>
      <c r="AY19" s="358"/>
      <c r="AZ19" s="358"/>
    </row>
    <row r="20" spans="1:52">
      <c r="A20" s="358"/>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358"/>
      <c r="AS20" s="358"/>
      <c r="AT20" s="358"/>
      <c r="AU20" s="358"/>
      <c r="AV20" s="358"/>
      <c r="AW20" s="358"/>
      <c r="AX20" s="358"/>
      <c r="AY20" s="358"/>
      <c r="AZ20" s="358"/>
    </row>
    <row r="21" spans="1:52">
      <c r="A21" s="553"/>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row>
    <row r="22" spans="1:52">
      <c r="A22" s="358"/>
      <c r="B22" s="358"/>
      <c r="C22" s="553"/>
      <c r="D22" s="358"/>
      <c r="E22" s="553"/>
      <c r="F22" s="358"/>
      <c r="G22" s="553"/>
      <c r="H22" s="358"/>
      <c r="I22" s="553"/>
      <c r="J22" s="358"/>
      <c r="K22" s="553"/>
      <c r="L22" s="358"/>
      <c r="M22" s="553"/>
      <c r="N22" s="358"/>
      <c r="O22" s="553"/>
      <c r="P22" s="358"/>
      <c r="Q22" s="553"/>
      <c r="R22" s="358"/>
      <c r="S22" s="553"/>
      <c r="T22" s="358"/>
      <c r="U22" s="553"/>
      <c r="V22" s="358"/>
      <c r="W22" s="553"/>
      <c r="X22" s="358"/>
      <c r="Y22" s="553"/>
      <c r="Z22" s="358"/>
      <c r="AA22" s="358"/>
      <c r="AB22" s="358"/>
      <c r="AC22" s="358"/>
      <c r="AD22" s="358"/>
      <c r="AE22" s="358"/>
      <c r="AF22" s="358"/>
      <c r="AG22" s="358"/>
      <c r="AH22" s="358"/>
      <c r="AI22" s="358"/>
      <c r="AJ22" s="358"/>
      <c r="AK22" s="358"/>
      <c r="AL22" s="358"/>
      <c r="AM22" s="358"/>
      <c r="AN22" s="358"/>
      <c r="AO22" s="358"/>
      <c r="AP22" s="358"/>
      <c r="AQ22" s="358"/>
      <c r="AR22" s="358"/>
      <c r="AS22" s="358"/>
      <c r="AT22" s="358"/>
      <c r="AU22" s="358"/>
      <c r="AV22" s="358"/>
      <c r="AW22" s="358"/>
      <c r="AX22" s="358"/>
      <c r="AY22" s="358"/>
      <c r="AZ22" s="358"/>
    </row>
    <row r="23" spans="1:52">
      <c r="A23" s="553"/>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row>
    <row r="24" spans="1:52">
      <c r="A24" s="358"/>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row>
    <row r="25" spans="1:52">
      <c r="A25" s="553"/>
      <c r="B25" s="358"/>
      <c r="C25" s="553"/>
      <c r="D25" s="358"/>
      <c r="E25" s="553"/>
      <c r="F25" s="358"/>
      <c r="G25" s="553"/>
      <c r="H25" s="358"/>
      <c r="I25" s="553"/>
      <c r="J25" s="358"/>
      <c r="K25" s="553"/>
      <c r="L25" s="358"/>
      <c r="M25" s="553"/>
      <c r="N25" s="358"/>
      <c r="O25" s="553"/>
      <c r="P25" s="358"/>
      <c r="Q25" s="553"/>
      <c r="R25" s="358"/>
      <c r="S25" s="553"/>
      <c r="T25" s="358"/>
      <c r="U25" s="553"/>
      <c r="V25" s="358"/>
      <c r="W25" s="553"/>
      <c r="X25" s="358"/>
      <c r="Y25" s="553"/>
      <c r="Z25" s="358"/>
      <c r="AA25" s="358"/>
      <c r="AB25" s="358"/>
      <c r="AC25" s="358"/>
      <c r="AD25" s="358"/>
      <c r="AE25" s="358"/>
      <c r="AF25" s="358"/>
      <c r="AG25" s="358"/>
      <c r="AH25" s="358"/>
      <c r="AI25" s="358"/>
      <c r="AJ25" s="358"/>
      <c r="AK25" s="358"/>
      <c r="AL25" s="358"/>
      <c r="AM25" s="358"/>
      <c r="AN25" s="358"/>
      <c r="AO25" s="358"/>
      <c r="AP25" s="358"/>
      <c r="AQ25" s="358"/>
      <c r="AR25" s="358"/>
      <c r="AS25" s="358"/>
      <c r="AT25" s="358"/>
      <c r="AU25" s="358"/>
      <c r="AV25" s="358"/>
      <c r="AW25" s="358"/>
      <c r="AX25" s="358"/>
      <c r="AY25" s="358"/>
      <c r="AZ25" s="358"/>
    </row>
    <row r="26" spans="1:52">
      <c r="A26" s="358"/>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c r="AH26" s="358"/>
      <c r="AI26" s="358"/>
      <c r="AJ26" s="358"/>
      <c r="AK26" s="358"/>
      <c r="AL26" s="358"/>
      <c r="AM26" s="358"/>
      <c r="AN26" s="358"/>
      <c r="AO26" s="358"/>
      <c r="AP26" s="358"/>
      <c r="AQ26" s="358"/>
      <c r="AR26" s="358"/>
      <c r="AS26" s="358"/>
      <c r="AT26" s="358"/>
      <c r="AU26" s="358"/>
      <c r="AV26" s="358"/>
      <c r="AW26" s="358"/>
      <c r="AX26" s="358"/>
      <c r="AY26" s="358"/>
      <c r="AZ26" s="358"/>
    </row>
    <row r="27" spans="1:52">
      <c r="A27" s="553"/>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358"/>
      <c r="AZ27" s="358"/>
    </row>
    <row r="28" spans="1:52">
      <c r="A28" s="358"/>
      <c r="B28" s="358"/>
      <c r="C28" s="553"/>
      <c r="D28" s="358"/>
      <c r="E28" s="553"/>
      <c r="F28" s="358"/>
      <c r="G28" s="553"/>
      <c r="H28" s="358"/>
      <c r="I28" s="553"/>
      <c r="J28" s="358"/>
      <c r="K28" s="553"/>
      <c r="L28" s="358"/>
      <c r="M28" s="553"/>
      <c r="N28" s="358"/>
      <c r="O28" s="553"/>
      <c r="P28" s="358"/>
      <c r="Q28" s="553"/>
      <c r="R28" s="358"/>
      <c r="S28" s="553"/>
      <c r="T28" s="358"/>
      <c r="U28" s="553"/>
      <c r="V28" s="358"/>
      <c r="W28" s="553"/>
      <c r="X28" s="358"/>
      <c r="Y28" s="553"/>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358"/>
      <c r="AZ28" s="358"/>
    </row>
    <row r="29" spans="1:52">
      <c r="A29" s="553"/>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row>
    <row r="30" spans="1:52">
      <c r="A30" s="358"/>
      <c r="B30" s="358"/>
      <c r="C30" s="553"/>
      <c r="D30" s="358"/>
      <c r="E30" s="553"/>
      <c r="F30" s="358"/>
      <c r="G30" s="553"/>
      <c r="H30" s="358"/>
      <c r="I30" s="553"/>
      <c r="J30" s="358"/>
      <c r="K30" s="553"/>
      <c r="L30" s="358"/>
      <c r="M30" s="553"/>
      <c r="N30" s="358"/>
      <c r="O30" s="553"/>
      <c r="P30" s="358"/>
      <c r="Q30" s="553"/>
      <c r="R30" s="358"/>
      <c r="S30" s="553"/>
      <c r="T30" s="358"/>
      <c r="U30" s="553"/>
      <c r="V30" s="358"/>
      <c r="W30" s="553"/>
      <c r="X30" s="358"/>
      <c r="Y30" s="553"/>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row>
    <row r="31" spans="1:52">
      <c r="A31" s="553"/>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row>
    <row r="32" spans="1:52">
      <c r="A32" s="899"/>
      <c r="B32" s="899"/>
      <c r="C32" s="901"/>
      <c r="D32" s="899"/>
      <c r="E32" s="901"/>
      <c r="F32" s="358"/>
      <c r="G32" s="553"/>
      <c r="H32" s="358"/>
      <c r="I32" s="553"/>
      <c r="J32" s="358"/>
      <c r="K32" s="553"/>
      <c r="L32" s="358"/>
      <c r="M32" s="553"/>
      <c r="N32" s="358"/>
      <c r="O32" s="553"/>
      <c r="P32" s="358"/>
      <c r="Q32" s="553"/>
      <c r="R32" s="358"/>
      <c r="S32" s="553"/>
      <c r="T32" s="358"/>
      <c r="U32" s="553"/>
      <c r="V32" s="358"/>
      <c r="W32" s="553"/>
      <c r="X32" s="358"/>
      <c r="Y32" s="553"/>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row>
    <row r="33" spans="1:52">
      <c r="A33" s="901"/>
      <c r="B33" s="899"/>
      <c r="C33" s="899"/>
      <c r="D33" s="899"/>
      <c r="E33" s="899"/>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c r="AH33" s="358"/>
      <c r="AI33" s="358"/>
      <c r="AJ33" s="358"/>
      <c r="AK33" s="358"/>
      <c r="AL33" s="358"/>
      <c r="AM33" s="358"/>
      <c r="AN33" s="358"/>
      <c r="AO33" s="358"/>
      <c r="AP33" s="358"/>
      <c r="AQ33" s="358"/>
      <c r="AR33" s="358"/>
      <c r="AS33" s="358"/>
      <c r="AT33" s="358"/>
      <c r="AU33" s="358"/>
      <c r="AV33" s="358"/>
      <c r="AW33" s="358"/>
      <c r="AX33" s="358"/>
      <c r="AY33" s="358"/>
      <c r="AZ33" s="358"/>
    </row>
    <row r="34" spans="1:52">
      <c r="A34" s="861"/>
      <c r="B34" s="861"/>
      <c r="C34" s="858"/>
      <c r="D34" s="861"/>
      <c r="E34" s="858"/>
      <c r="F34" s="861"/>
      <c r="G34" s="553"/>
      <c r="H34" s="358"/>
      <c r="I34" s="553"/>
      <c r="J34" s="358"/>
      <c r="K34" s="553"/>
      <c r="L34" s="358"/>
      <c r="M34" s="553"/>
      <c r="N34" s="358"/>
      <c r="O34" s="553"/>
      <c r="P34" s="358"/>
      <c r="Q34" s="553"/>
      <c r="R34" s="358"/>
      <c r="S34" s="553"/>
      <c r="T34" s="358"/>
      <c r="U34" s="553"/>
      <c r="V34" s="358"/>
      <c r="W34" s="553"/>
      <c r="X34" s="358"/>
      <c r="Y34" s="553"/>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row>
    <row r="35" spans="1:52">
      <c r="A35" s="858" t="str">
        <f ca="1">IF(Cashflow!AG111="Producing", "The field is still producing at the end of the analysis","Reason for closing in the field: "&amp;Cashflow!AG112)</f>
        <v>The field is still producing at the end of the analysis</v>
      </c>
      <c r="B35" s="861"/>
      <c r="C35" s="861"/>
      <c r="D35" s="861"/>
      <c r="E35" s="861"/>
      <c r="F35" s="861"/>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c r="AI35" s="358"/>
      <c r="AJ35" s="358"/>
      <c r="AK35" s="358"/>
      <c r="AL35" s="358"/>
      <c r="AM35" s="358"/>
      <c r="AN35" s="358"/>
      <c r="AO35" s="358"/>
      <c r="AP35" s="358"/>
      <c r="AQ35" s="358"/>
      <c r="AR35" s="358"/>
      <c r="AS35" s="358"/>
      <c r="AT35" s="358"/>
      <c r="AU35" s="358"/>
      <c r="AV35" s="358"/>
      <c r="AW35" s="358"/>
      <c r="AX35" s="358"/>
      <c r="AY35" s="358"/>
      <c r="AZ35" s="358"/>
    </row>
    <row r="36" spans="1:52">
      <c r="A36" s="861" t="s">
        <v>1469</v>
      </c>
      <c r="B36" s="861"/>
      <c r="C36" s="858"/>
      <c r="D36" s="861"/>
      <c r="E36" s="858"/>
      <c r="F36" s="861"/>
      <c r="G36" s="553"/>
      <c r="H36" s="358"/>
      <c r="I36" s="553"/>
      <c r="J36" s="358"/>
      <c r="K36" s="553"/>
      <c r="L36" s="358"/>
      <c r="M36" s="553"/>
      <c r="N36" s="358"/>
      <c r="O36" s="553"/>
      <c r="P36" s="358"/>
      <c r="Q36" s="553"/>
      <c r="R36" s="358"/>
      <c r="S36" s="553"/>
      <c r="T36" s="358"/>
      <c r="U36" s="553"/>
      <c r="V36" s="358"/>
      <c r="W36" s="553"/>
      <c r="X36" s="358"/>
      <c r="Y36" s="553"/>
      <c r="Z36" s="358"/>
      <c r="AA36" s="358"/>
      <c r="AB36" s="358"/>
      <c r="AC36" s="358"/>
      <c r="AD36" s="358"/>
      <c r="AE36" s="358"/>
      <c r="AF36" s="358"/>
      <c r="AG36" s="358"/>
      <c r="AH36" s="358"/>
      <c r="AI36" s="358"/>
      <c r="AJ36" s="358"/>
      <c r="AK36" s="358"/>
      <c r="AL36" s="358"/>
      <c r="AM36" s="358"/>
      <c r="AN36" s="358"/>
      <c r="AO36" s="358"/>
      <c r="AP36" s="358"/>
      <c r="AQ36" s="358"/>
      <c r="AR36" s="358"/>
      <c r="AS36" s="358"/>
      <c r="AT36" s="358"/>
      <c r="AU36" s="358"/>
      <c r="AV36" s="358"/>
      <c r="AW36" s="358"/>
      <c r="AX36" s="358"/>
      <c r="AY36" s="358"/>
      <c r="AZ36" s="358"/>
    </row>
    <row r="37" spans="1:52">
      <c r="A37" s="858">
        <f ca="1">HLOOKUP(1,Cashflow!C55:AG73,ROW(Cashflow!C73)-ROW(Cashflow!C55)+1,FALSE)</f>
        <v>2034</v>
      </c>
      <c r="B37" s="861">
        <f>0</f>
        <v>0</v>
      </c>
      <c r="C37" s="861"/>
      <c r="D37" s="861"/>
      <c r="E37" s="861"/>
      <c r="F37" s="861"/>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358"/>
      <c r="AZ37" s="358"/>
    </row>
    <row r="38" spans="1:52">
      <c r="A38" s="858">
        <f ca="1">HLOOKUP(1,Cashflow!C55:AG73,ROW(Cashflow!C73)-ROW(Cashflow!C55)+1,FALSE)</f>
        <v>2034</v>
      </c>
      <c r="B38" s="910">
        <v>100</v>
      </c>
      <c r="C38" s="858"/>
      <c r="D38" s="861"/>
      <c r="E38" s="858"/>
      <c r="F38" s="861"/>
      <c r="G38" s="553"/>
      <c r="H38" s="358"/>
      <c r="I38" s="553"/>
      <c r="J38" s="358"/>
      <c r="K38" s="553"/>
      <c r="L38" s="358"/>
      <c r="M38" s="553"/>
      <c r="N38" s="358"/>
      <c r="O38" s="553"/>
      <c r="P38" s="358"/>
      <c r="Q38" s="553"/>
      <c r="R38" s="358"/>
      <c r="S38" s="553"/>
      <c r="T38" s="358"/>
      <c r="U38" s="553"/>
      <c r="V38" s="358"/>
      <c r="W38" s="553"/>
      <c r="X38" s="358"/>
      <c r="Y38" s="553"/>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358"/>
    </row>
    <row r="39" spans="1:52">
      <c r="A39" s="861"/>
      <c r="B39" s="861"/>
      <c r="C39" s="861"/>
      <c r="D39" s="861"/>
      <c r="E39" s="861"/>
      <c r="F39" s="861"/>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c r="AH39" s="358"/>
      <c r="AI39" s="358"/>
      <c r="AJ39" s="358"/>
      <c r="AK39" s="358"/>
      <c r="AL39" s="358"/>
      <c r="AM39" s="358"/>
      <c r="AN39" s="358"/>
      <c r="AO39" s="358"/>
      <c r="AP39" s="358"/>
      <c r="AQ39" s="358"/>
      <c r="AR39" s="358"/>
      <c r="AS39" s="358"/>
      <c r="AT39" s="358"/>
      <c r="AU39" s="358"/>
      <c r="AV39" s="358"/>
      <c r="AW39" s="358"/>
      <c r="AX39" s="358"/>
      <c r="AY39" s="358"/>
      <c r="AZ39" s="358"/>
    </row>
    <row r="40" spans="1:52">
      <c r="A40" s="899"/>
      <c r="B40" s="899"/>
      <c r="C40" s="901"/>
      <c r="D40" s="899"/>
      <c r="E40" s="901"/>
      <c r="F40" s="928"/>
      <c r="G40" s="553"/>
      <c r="H40" s="358"/>
      <c r="I40" s="553"/>
      <c r="J40" s="358"/>
      <c r="K40" s="553"/>
      <c r="L40" s="358"/>
      <c r="M40" s="553"/>
      <c r="N40" s="358"/>
      <c r="O40" s="553"/>
      <c r="P40" s="358"/>
      <c r="Q40" s="553"/>
      <c r="R40" s="358"/>
      <c r="S40" s="553"/>
      <c r="T40" s="358"/>
      <c r="U40" s="553"/>
      <c r="V40" s="358"/>
      <c r="W40" s="553"/>
      <c r="X40" s="358"/>
      <c r="Y40" s="553"/>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358"/>
      <c r="AZ40" s="358"/>
    </row>
    <row r="41" spans="1:52">
      <c r="A41" s="899"/>
      <c r="B41" s="899"/>
      <c r="C41" s="899"/>
      <c r="D41" s="899"/>
      <c r="E41" s="899"/>
      <c r="F41" s="92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358"/>
      <c r="AG41" s="358"/>
      <c r="AH41" s="358"/>
      <c r="AI41" s="358"/>
      <c r="AJ41" s="358"/>
      <c r="AK41" s="358"/>
      <c r="AL41" s="358"/>
      <c r="AM41" s="358"/>
      <c r="AN41" s="358"/>
      <c r="AO41" s="358"/>
      <c r="AP41" s="358"/>
      <c r="AQ41" s="358"/>
      <c r="AR41" s="358"/>
      <c r="AS41" s="358"/>
      <c r="AT41" s="358"/>
      <c r="AU41" s="358"/>
      <c r="AV41" s="358"/>
      <c r="AW41" s="358"/>
      <c r="AX41" s="358"/>
      <c r="AY41" s="358"/>
      <c r="AZ41" s="358"/>
    </row>
    <row r="42" spans="1:52">
      <c r="A42" s="928"/>
      <c r="B42" s="928"/>
      <c r="C42" s="929"/>
      <c r="D42" s="928"/>
      <c r="E42" s="929"/>
      <c r="F42" s="928"/>
      <c r="G42" s="553"/>
      <c r="H42" s="358"/>
      <c r="I42" s="553"/>
      <c r="J42" s="358"/>
      <c r="K42" s="553"/>
      <c r="L42" s="358"/>
      <c r="M42" s="553"/>
      <c r="N42" s="358"/>
      <c r="O42" s="553"/>
      <c r="P42" s="358"/>
      <c r="Q42" s="553"/>
      <c r="R42" s="358"/>
      <c r="S42" s="553"/>
      <c r="T42" s="358"/>
      <c r="U42" s="553"/>
      <c r="V42" s="358"/>
      <c r="W42" s="553"/>
      <c r="X42" s="358"/>
      <c r="Y42" s="553"/>
      <c r="Z42" s="358"/>
      <c r="AA42" s="358"/>
      <c r="AB42" s="358"/>
      <c r="AC42" s="358"/>
      <c r="AD42" s="358"/>
      <c r="AE42" s="358"/>
      <c r="AF42" s="358"/>
      <c r="AG42" s="358"/>
      <c r="AH42" s="358"/>
      <c r="AI42" s="358"/>
      <c r="AJ42" s="358"/>
      <c r="AK42" s="358"/>
      <c r="AL42" s="358"/>
      <c r="AM42" s="358"/>
      <c r="AN42" s="358"/>
      <c r="AO42" s="358"/>
      <c r="AP42" s="358"/>
      <c r="AQ42" s="358"/>
      <c r="AR42" s="358"/>
      <c r="AS42" s="358"/>
      <c r="AT42" s="358"/>
      <c r="AU42" s="358"/>
      <c r="AV42" s="358"/>
      <c r="AW42" s="358"/>
      <c r="AX42" s="358"/>
      <c r="AY42" s="358"/>
      <c r="AZ42" s="358"/>
    </row>
    <row r="43" spans="1:52">
      <c r="A43" s="358"/>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row>
    <row r="44" spans="1:52">
      <c r="A44" s="358"/>
      <c r="B44" s="358"/>
      <c r="C44" s="553"/>
      <c r="D44" s="358"/>
      <c r="E44" s="553"/>
      <c r="F44" s="358"/>
      <c r="G44" s="553"/>
      <c r="H44" s="358"/>
      <c r="I44" s="553"/>
      <c r="J44" s="358"/>
      <c r="K44" s="553"/>
      <c r="L44" s="358"/>
      <c r="M44" s="553"/>
      <c r="N44" s="358"/>
      <c r="O44" s="553"/>
      <c r="P44" s="358"/>
      <c r="Q44" s="553"/>
      <c r="R44" s="358"/>
      <c r="S44" s="553"/>
      <c r="T44" s="358"/>
      <c r="U44" s="553"/>
      <c r="V44" s="358"/>
      <c r="W44" s="553"/>
      <c r="X44" s="358"/>
      <c r="Y44" s="553"/>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row>
    <row r="45" spans="1:52">
      <c r="A45" s="358"/>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358"/>
    </row>
    <row r="46" spans="1:52">
      <c r="A46" s="358"/>
      <c r="B46" s="358"/>
      <c r="C46" s="553"/>
      <c r="D46" s="358"/>
      <c r="E46" s="553"/>
      <c r="F46" s="358"/>
      <c r="G46" s="553"/>
      <c r="H46" s="358"/>
      <c r="I46" s="553"/>
      <c r="J46" s="358"/>
      <c r="K46" s="553"/>
      <c r="L46" s="358"/>
      <c r="M46" s="553"/>
      <c r="N46" s="358"/>
      <c r="O46" s="553"/>
      <c r="P46" s="358"/>
      <c r="Q46" s="553"/>
      <c r="R46" s="358"/>
      <c r="S46" s="553"/>
      <c r="T46" s="358"/>
      <c r="U46" s="553"/>
      <c r="V46" s="358"/>
      <c r="W46" s="553"/>
      <c r="X46" s="358"/>
      <c r="Y46" s="553"/>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358"/>
    </row>
    <row r="47" spans="1:52">
      <c r="A47" s="358"/>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358"/>
    </row>
    <row r="48" spans="1:52">
      <c r="A48" s="358"/>
      <c r="B48" s="358"/>
      <c r="C48" s="553"/>
      <c r="D48" s="358"/>
      <c r="E48" s="553"/>
      <c r="F48" s="358"/>
      <c r="G48" s="553"/>
      <c r="H48" s="358"/>
      <c r="I48" s="553"/>
      <c r="J48" s="358"/>
      <c r="K48" s="553"/>
      <c r="L48" s="358"/>
      <c r="M48" s="553"/>
      <c r="N48" s="358"/>
      <c r="O48" s="553"/>
      <c r="P48" s="358"/>
      <c r="Q48" s="553"/>
      <c r="R48" s="358"/>
      <c r="S48" s="553"/>
      <c r="T48" s="358"/>
      <c r="U48" s="553"/>
      <c r="V48" s="358"/>
      <c r="W48" s="553"/>
      <c r="X48" s="358"/>
      <c r="Y48" s="553"/>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row>
    <row r="49" spans="1:52">
      <c r="A49" s="358"/>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row>
    <row r="50" spans="1:52">
      <c r="A50" s="358"/>
      <c r="B50" s="358"/>
      <c r="C50" s="553"/>
      <c r="D50" s="358"/>
      <c r="E50" s="553"/>
      <c r="F50" s="358"/>
      <c r="G50" s="553"/>
      <c r="H50" s="358"/>
      <c r="I50" s="553"/>
      <c r="J50" s="358"/>
      <c r="K50" s="553"/>
      <c r="L50" s="358"/>
      <c r="M50" s="553"/>
      <c r="N50" s="358"/>
      <c r="O50" s="553"/>
      <c r="P50" s="358"/>
      <c r="Q50" s="553"/>
      <c r="R50" s="358"/>
      <c r="S50" s="553"/>
      <c r="T50" s="358"/>
      <c r="U50" s="553"/>
      <c r="V50" s="358"/>
      <c r="W50" s="553"/>
      <c r="X50" s="358"/>
      <c r="Y50" s="553"/>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row>
    <row r="51" spans="1:52">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row>
    <row r="52" spans="1:52">
      <c r="A52" s="358"/>
      <c r="B52" s="358"/>
      <c r="C52" s="553"/>
      <c r="D52" s="358"/>
      <c r="E52" s="553"/>
      <c r="F52" s="358"/>
      <c r="G52" s="553"/>
      <c r="H52" s="358"/>
      <c r="I52" s="553"/>
      <c r="J52" s="358"/>
      <c r="K52" s="553"/>
      <c r="L52" s="358"/>
      <c r="M52" s="553"/>
      <c r="N52" s="358"/>
      <c r="O52" s="553"/>
      <c r="P52" s="358"/>
      <c r="Q52" s="553"/>
      <c r="R52" s="358"/>
      <c r="S52" s="553"/>
      <c r="T52" s="358"/>
      <c r="U52" s="553"/>
      <c r="V52" s="358"/>
      <c r="W52" s="553"/>
      <c r="X52" s="358"/>
      <c r="Y52" s="553"/>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row>
    <row r="53" spans="1:52">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row>
    <row r="54" spans="1:52">
      <c r="A54" s="358"/>
      <c r="B54" s="358"/>
      <c r="C54" s="553"/>
      <c r="D54" s="358"/>
      <c r="E54" s="553"/>
      <c r="F54" s="358"/>
      <c r="G54" s="553"/>
      <c r="H54" s="358"/>
      <c r="I54" s="553"/>
      <c r="J54" s="358"/>
      <c r="K54" s="553"/>
      <c r="L54" s="358"/>
      <c r="M54" s="553"/>
      <c r="N54" s="358"/>
      <c r="O54" s="553"/>
      <c r="P54" s="358"/>
      <c r="Q54" s="553"/>
      <c r="R54" s="358"/>
      <c r="S54" s="553"/>
      <c r="T54" s="358"/>
      <c r="U54" s="553"/>
      <c r="V54" s="358"/>
      <c r="W54" s="553"/>
      <c r="X54" s="358"/>
      <c r="Y54" s="553"/>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c r="AV54" s="358"/>
      <c r="AW54" s="358"/>
      <c r="AX54" s="358"/>
      <c r="AY54" s="358"/>
      <c r="AZ54" s="358"/>
    </row>
    <row r="55" spans="1:52">
      <c r="A55" s="358"/>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358"/>
    </row>
    <row r="56" spans="1:52">
      <c r="A56" s="358"/>
      <c r="B56" s="358"/>
      <c r="C56" s="553"/>
      <c r="D56" s="358"/>
      <c r="E56" s="553"/>
      <c r="F56" s="358"/>
      <c r="G56" s="553"/>
      <c r="H56" s="358"/>
      <c r="I56" s="553"/>
      <c r="J56" s="358"/>
      <c r="K56" s="553"/>
      <c r="L56" s="358"/>
      <c r="M56" s="553"/>
      <c r="N56" s="358"/>
      <c r="O56" s="553"/>
      <c r="P56" s="358"/>
      <c r="Q56" s="553"/>
      <c r="R56" s="358"/>
      <c r="S56" s="553"/>
      <c r="T56" s="358"/>
      <c r="U56" s="553"/>
      <c r="V56" s="358"/>
      <c r="W56" s="553"/>
      <c r="X56" s="358"/>
      <c r="Y56" s="553"/>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row>
    <row r="57" spans="1:52">
      <c r="A57" s="358"/>
      <c r="B57" s="358"/>
      <c r="C57" s="358"/>
      <c r="D57" s="358"/>
      <c r="E57" s="358"/>
      <c r="F57" s="358"/>
      <c r="G57" s="358"/>
      <c r="H57" s="358"/>
      <c r="I57" s="358"/>
      <c r="J57" s="358"/>
      <c r="K57" s="358"/>
      <c r="L57" s="358"/>
      <c r="M57" s="358"/>
      <c r="N57" s="358"/>
      <c r="O57" s="358"/>
      <c r="P57" s="358"/>
      <c r="Q57" s="358"/>
      <c r="R57" s="358"/>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c r="AV57" s="358"/>
      <c r="AW57" s="358"/>
      <c r="AX57" s="358"/>
      <c r="AY57" s="358"/>
      <c r="AZ57" s="358"/>
    </row>
    <row r="58" spans="1:52">
      <c r="A58" s="358"/>
      <c r="B58" s="358"/>
      <c r="C58" s="553"/>
      <c r="D58" s="358"/>
      <c r="E58" s="553"/>
      <c r="F58" s="358"/>
      <c r="G58" s="553"/>
      <c r="H58" s="358"/>
      <c r="I58" s="553"/>
      <c r="J58" s="358"/>
      <c r="K58" s="553"/>
      <c r="L58" s="358"/>
      <c r="M58" s="553"/>
      <c r="N58" s="358"/>
      <c r="O58" s="553"/>
      <c r="P58" s="358"/>
      <c r="Q58" s="553"/>
      <c r="R58" s="358"/>
      <c r="S58" s="553"/>
      <c r="T58" s="358"/>
      <c r="U58" s="553"/>
      <c r="V58" s="358"/>
      <c r="W58" s="553"/>
      <c r="X58" s="358"/>
      <c r="Y58" s="553"/>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row>
    <row r="59" spans="1:52">
      <c r="A59" s="35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58"/>
    </row>
    <row r="60" spans="1:52">
      <c r="A60" s="358"/>
      <c r="B60" s="358"/>
      <c r="C60" s="553"/>
      <c r="D60" s="358"/>
      <c r="E60" s="553"/>
      <c r="F60" s="358"/>
      <c r="G60" s="553"/>
      <c r="H60" s="358"/>
      <c r="I60" s="553"/>
      <c r="J60" s="358"/>
      <c r="K60" s="553"/>
      <c r="L60" s="358"/>
      <c r="M60" s="553"/>
      <c r="N60" s="358"/>
      <c r="O60" s="553"/>
      <c r="P60" s="358"/>
      <c r="Q60" s="553"/>
      <c r="R60" s="358"/>
      <c r="S60" s="553"/>
      <c r="T60" s="358"/>
      <c r="U60" s="553"/>
      <c r="V60" s="358"/>
      <c r="W60" s="553"/>
      <c r="X60" s="358"/>
      <c r="Y60" s="553"/>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58"/>
      <c r="AZ60" s="358"/>
    </row>
    <row r="61" spans="1:52">
      <c r="A61" s="358"/>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row>
    <row r="62" spans="1:52">
      <c r="A62" s="358"/>
      <c r="B62" s="358"/>
      <c r="C62" s="553"/>
      <c r="D62" s="358"/>
      <c r="E62" s="553"/>
      <c r="F62" s="358"/>
      <c r="G62" s="553"/>
      <c r="H62" s="358"/>
      <c r="I62" s="553"/>
      <c r="J62" s="358"/>
      <c r="K62" s="553"/>
      <c r="L62" s="358"/>
      <c r="M62" s="553"/>
      <c r="N62" s="358"/>
      <c r="O62" s="553"/>
      <c r="P62" s="358"/>
      <c r="Q62" s="553"/>
      <c r="R62" s="358"/>
      <c r="S62" s="553"/>
      <c r="T62" s="358"/>
      <c r="U62" s="553"/>
      <c r="V62" s="358"/>
      <c r="W62" s="553"/>
      <c r="X62" s="358"/>
      <c r="Y62" s="553"/>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58"/>
      <c r="AZ62" s="358"/>
    </row>
    <row r="63" spans="1:52">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c r="AV63" s="358"/>
      <c r="AW63" s="358"/>
      <c r="AX63" s="358"/>
      <c r="AY63" s="358"/>
      <c r="AZ63" s="358"/>
    </row>
    <row r="64" spans="1:52">
      <c r="A64" s="358"/>
      <c r="B64" s="358"/>
      <c r="C64" s="553"/>
      <c r="D64" s="358"/>
      <c r="E64" s="553"/>
      <c r="F64" s="358"/>
      <c r="G64" s="553"/>
      <c r="H64" s="358"/>
      <c r="I64" s="553"/>
      <c r="J64" s="358"/>
      <c r="K64" s="553"/>
      <c r="L64" s="358"/>
      <c r="M64" s="553"/>
      <c r="N64" s="358"/>
      <c r="O64" s="553"/>
      <c r="P64" s="358"/>
      <c r="Q64" s="553"/>
      <c r="R64" s="358"/>
      <c r="S64" s="553"/>
      <c r="T64" s="358"/>
      <c r="U64" s="553"/>
      <c r="V64" s="358"/>
      <c r="W64" s="553"/>
      <c r="X64" s="358"/>
      <c r="Y64" s="553"/>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row>
    <row r="65" spans="1:52">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row>
    <row r="66" spans="1:52">
      <c r="A66" s="358"/>
      <c r="B66" s="358"/>
      <c r="C66" s="553"/>
      <c r="D66" s="358"/>
      <c r="E66" s="553"/>
      <c r="F66" s="358"/>
      <c r="G66" s="553"/>
      <c r="H66" s="358"/>
      <c r="I66" s="553"/>
      <c r="J66" s="358"/>
      <c r="K66" s="553"/>
      <c r="L66" s="358"/>
      <c r="M66" s="553"/>
      <c r="N66" s="358"/>
      <c r="O66" s="553"/>
      <c r="P66" s="358"/>
      <c r="Q66" s="553"/>
      <c r="R66" s="358"/>
      <c r="S66" s="553"/>
      <c r="T66" s="358"/>
      <c r="U66" s="553"/>
      <c r="V66" s="358"/>
      <c r="W66" s="553"/>
      <c r="X66" s="358"/>
      <c r="Y66" s="553"/>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row>
    <row r="67" spans="1:52">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row>
    <row r="68" spans="1:52">
      <c r="A68" s="358"/>
      <c r="B68" s="358"/>
      <c r="C68" s="553"/>
      <c r="D68" s="358"/>
      <c r="E68" s="553"/>
      <c r="F68" s="358"/>
      <c r="G68" s="553"/>
      <c r="H68" s="358"/>
      <c r="I68" s="553"/>
      <c r="J68" s="358"/>
      <c r="K68" s="553"/>
      <c r="L68" s="358"/>
      <c r="M68" s="553"/>
      <c r="N68" s="358"/>
      <c r="O68" s="553"/>
      <c r="P68" s="358"/>
      <c r="Q68" s="553"/>
      <c r="R68" s="358"/>
      <c r="S68" s="553"/>
      <c r="T68" s="358"/>
      <c r="U68" s="553"/>
      <c r="V68" s="358"/>
      <c r="W68" s="553"/>
      <c r="X68" s="358"/>
      <c r="Y68" s="553"/>
      <c r="Z68" s="358"/>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row>
    <row r="69" spans="1:52">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row>
    <row r="70" spans="1:52">
      <c r="A70" s="358"/>
      <c r="B70" s="358"/>
      <c r="C70" s="553"/>
      <c r="D70" s="358"/>
      <c r="E70" s="553"/>
      <c r="F70" s="358"/>
      <c r="G70" s="553"/>
      <c r="H70" s="358"/>
      <c r="I70" s="553"/>
      <c r="J70" s="358"/>
      <c r="K70" s="553"/>
      <c r="L70" s="358"/>
      <c r="M70" s="553"/>
      <c r="N70" s="358"/>
      <c r="O70" s="553"/>
      <c r="P70" s="358"/>
      <c r="Q70" s="553"/>
      <c r="R70" s="358"/>
      <c r="S70" s="553"/>
      <c r="T70" s="358"/>
      <c r="U70" s="553"/>
      <c r="V70" s="358"/>
      <c r="W70" s="553"/>
      <c r="X70" s="358"/>
      <c r="Y70" s="553"/>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row>
    <row r="71" spans="1:52">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c r="AV71" s="358"/>
      <c r="AW71" s="358"/>
      <c r="AX71" s="358"/>
      <c r="AY71" s="358"/>
      <c r="AZ71" s="358"/>
    </row>
    <row r="72" spans="1:52">
      <c r="A72" s="358"/>
      <c r="B72" s="358"/>
      <c r="C72" s="553"/>
      <c r="D72" s="358"/>
      <c r="E72" s="553"/>
      <c r="F72" s="358"/>
      <c r="G72" s="553"/>
      <c r="H72" s="358"/>
      <c r="I72" s="553"/>
      <c r="J72" s="358"/>
      <c r="K72" s="553"/>
      <c r="L72" s="358"/>
      <c r="M72" s="553"/>
      <c r="N72" s="358"/>
      <c r="O72" s="553"/>
      <c r="P72" s="358"/>
      <c r="Q72" s="553"/>
      <c r="R72" s="358"/>
      <c r="S72" s="553"/>
      <c r="T72" s="358"/>
      <c r="U72" s="553"/>
      <c r="V72" s="358"/>
      <c r="W72" s="553"/>
      <c r="X72" s="358"/>
      <c r="Y72" s="553"/>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row>
    <row r="73" spans="1:52">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row>
    <row r="74" spans="1:52">
      <c r="A74" s="358"/>
      <c r="B74" s="358"/>
      <c r="C74" s="553"/>
      <c r="D74" s="358"/>
      <c r="E74" s="553"/>
      <c r="F74" s="358"/>
      <c r="G74" s="553"/>
      <c r="H74" s="358"/>
      <c r="I74" s="553"/>
      <c r="J74" s="358"/>
      <c r="K74" s="553"/>
      <c r="L74" s="358"/>
      <c r="M74" s="553"/>
      <c r="N74" s="358"/>
      <c r="O74" s="553"/>
      <c r="P74" s="358"/>
      <c r="Q74" s="553"/>
      <c r="R74" s="358"/>
      <c r="S74" s="553"/>
      <c r="T74" s="358"/>
      <c r="U74" s="553"/>
      <c r="V74" s="358"/>
      <c r="W74" s="553"/>
      <c r="X74" s="358"/>
      <c r="Y74" s="553"/>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row>
    <row r="75" spans="1:52">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row>
    <row r="76" spans="1:52">
      <c r="A76" s="358"/>
      <c r="B76" s="358"/>
      <c r="C76" s="553"/>
      <c r="D76" s="358"/>
      <c r="E76" s="553"/>
      <c r="F76" s="358"/>
      <c r="G76" s="553"/>
      <c r="H76" s="358"/>
      <c r="I76" s="553"/>
      <c r="J76" s="358"/>
      <c r="K76" s="553"/>
      <c r="L76" s="358"/>
      <c r="M76" s="553"/>
      <c r="N76" s="358"/>
      <c r="O76" s="553"/>
      <c r="P76" s="358"/>
      <c r="Q76" s="553"/>
      <c r="R76" s="358"/>
      <c r="S76" s="553"/>
      <c r="T76" s="358"/>
      <c r="U76" s="553"/>
      <c r="V76" s="358"/>
      <c r="W76" s="553"/>
      <c r="X76" s="358"/>
      <c r="Y76" s="553"/>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row>
    <row r="77" spans="1:52">
      <c r="A77" s="35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row>
    <row r="78" spans="1:52">
      <c r="A78" s="358"/>
      <c r="B78" s="358"/>
      <c r="C78" s="553"/>
      <c r="D78" s="358"/>
      <c r="E78" s="553"/>
      <c r="F78" s="358"/>
      <c r="G78" s="553"/>
      <c r="H78" s="358"/>
      <c r="I78" s="553"/>
      <c r="J78" s="358"/>
      <c r="K78" s="553"/>
      <c r="L78" s="358"/>
      <c r="M78" s="553"/>
      <c r="N78" s="358"/>
      <c r="O78" s="553"/>
      <c r="P78" s="358"/>
      <c r="Q78" s="553"/>
      <c r="R78" s="358"/>
      <c r="S78" s="553"/>
      <c r="T78" s="358"/>
      <c r="U78" s="553"/>
      <c r="V78" s="358"/>
      <c r="W78" s="553"/>
      <c r="X78" s="358"/>
      <c r="Y78" s="553"/>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row>
    <row r="79" spans="1:52">
      <c r="A79" s="35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58"/>
      <c r="AO79" s="358"/>
      <c r="AP79" s="358"/>
      <c r="AQ79" s="358"/>
      <c r="AR79" s="358"/>
      <c r="AS79" s="358"/>
      <c r="AT79" s="358"/>
      <c r="AU79" s="358"/>
      <c r="AV79" s="358"/>
      <c r="AW79" s="358"/>
      <c r="AX79" s="358"/>
      <c r="AY79" s="358"/>
      <c r="AZ79" s="358"/>
    </row>
    <row r="80" spans="1:52">
      <c r="A80" s="358"/>
      <c r="B80" s="358"/>
      <c r="C80" s="553"/>
      <c r="D80" s="358"/>
      <c r="E80" s="553"/>
      <c r="F80" s="358"/>
      <c r="G80" s="553"/>
      <c r="H80" s="358"/>
      <c r="I80" s="553"/>
      <c r="J80" s="358"/>
      <c r="K80" s="553"/>
      <c r="L80" s="358"/>
      <c r="M80" s="553"/>
      <c r="N80" s="358"/>
      <c r="O80" s="553"/>
      <c r="P80" s="358"/>
      <c r="Q80" s="553"/>
      <c r="R80" s="358"/>
      <c r="S80" s="553"/>
      <c r="T80" s="358"/>
      <c r="U80" s="553"/>
      <c r="V80" s="358"/>
      <c r="W80" s="553"/>
      <c r="X80" s="358"/>
      <c r="Y80" s="553"/>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row>
    <row r="81" spans="1:52">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row>
    <row r="82" spans="1:52">
      <c r="A82" s="358"/>
      <c r="B82" s="358"/>
      <c r="C82" s="553"/>
      <c r="D82" s="358"/>
      <c r="E82" s="553"/>
      <c r="F82" s="358"/>
      <c r="G82" s="553"/>
      <c r="H82" s="358"/>
      <c r="I82" s="553"/>
      <c r="J82" s="358"/>
      <c r="K82" s="553"/>
      <c r="L82" s="358"/>
      <c r="M82" s="553"/>
      <c r="N82" s="358"/>
      <c r="O82" s="553"/>
      <c r="P82" s="358"/>
      <c r="Q82" s="553"/>
      <c r="R82" s="358"/>
      <c r="S82" s="553"/>
      <c r="T82" s="358"/>
      <c r="U82" s="553"/>
      <c r="V82" s="358"/>
      <c r="W82" s="553"/>
      <c r="X82" s="358"/>
      <c r="Y82" s="553"/>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row>
    <row r="83" spans="1:52">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row>
    <row r="84" spans="1:52">
      <c r="A84" s="358"/>
      <c r="B84" s="358"/>
      <c r="C84" s="553"/>
      <c r="D84" s="358"/>
      <c r="E84" s="553"/>
      <c r="F84" s="358"/>
      <c r="G84" s="553"/>
      <c r="H84" s="358"/>
      <c r="I84" s="553"/>
      <c r="J84" s="358"/>
      <c r="K84" s="553"/>
      <c r="L84" s="358"/>
      <c r="M84" s="553"/>
      <c r="N84" s="358"/>
      <c r="O84" s="553"/>
      <c r="P84" s="358"/>
      <c r="Q84" s="553"/>
      <c r="R84" s="358"/>
      <c r="S84" s="553"/>
      <c r="T84" s="358"/>
      <c r="U84" s="553"/>
      <c r="V84" s="358"/>
      <c r="W84" s="553"/>
      <c r="X84" s="358"/>
      <c r="Y84" s="553"/>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row>
    <row r="85" spans="1:52">
      <c r="A85" s="35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row>
    <row r="86" spans="1:52">
      <c r="A86" s="358"/>
      <c r="B86" s="358"/>
      <c r="C86" s="553"/>
      <c r="D86" s="358"/>
      <c r="E86" s="553"/>
      <c r="F86" s="358"/>
      <c r="G86" s="553"/>
      <c r="H86" s="358"/>
      <c r="I86" s="553"/>
      <c r="J86" s="358"/>
      <c r="K86" s="553"/>
      <c r="L86" s="358"/>
      <c r="M86" s="553"/>
      <c r="N86" s="358"/>
      <c r="O86" s="553"/>
      <c r="P86" s="358"/>
      <c r="Q86" s="553"/>
      <c r="R86" s="358"/>
      <c r="S86" s="553"/>
      <c r="T86" s="358"/>
      <c r="U86" s="553"/>
      <c r="V86" s="358"/>
      <c r="W86" s="553"/>
      <c r="X86" s="358"/>
      <c r="Y86" s="553"/>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8"/>
      <c r="AY86" s="358"/>
      <c r="AZ86" s="358"/>
    </row>
    <row r="87" spans="1:52">
      <c r="A87" s="35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c r="AS87" s="358"/>
      <c r="AT87" s="358"/>
      <c r="AU87" s="358"/>
      <c r="AV87" s="358"/>
      <c r="AW87" s="358"/>
      <c r="AX87" s="358"/>
      <c r="AY87" s="358"/>
      <c r="AZ87" s="358"/>
    </row>
    <row r="88" spans="1:52">
      <c r="A88" s="358"/>
      <c r="B88" s="358"/>
      <c r="C88" s="553"/>
      <c r="D88" s="358"/>
      <c r="E88" s="553"/>
      <c r="F88" s="358"/>
      <c r="G88" s="553"/>
      <c r="H88" s="358"/>
      <c r="I88" s="553"/>
      <c r="J88" s="358"/>
      <c r="K88" s="553"/>
      <c r="L88" s="358"/>
      <c r="M88" s="553"/>
      <c r="N88" s="358"/>
      <c r="O88" s="553"/>
      <c r="P88" s="358"/>
      <c r="Q88" s="553"/>
      <c r="R88" s="358"/>
      <c r="S88" s="553"/>
      <c r="T88" s="358"/>
      <c r="U88" s="553"/>
      <c r="V88" s="358"/>
      <c r="W88" s="553"/>
      <c r="X88" s="358"/>
      <c r="Y88" s="553"/>
      <c r="Z88" s="358"/>
      <c r="AA88" s="358"/>
      <c r="AB88" s="358"/>
      <c r="AC88" s="358"/>
      <c r="AD88" s="358"/>
      <c r="AE88" s="358"/>
      <c r="AF88" s="358"/>
      <c r="AG88" s="358"/>
      <c r="AH88" s="358"/>
      <c r="AI88" s="358"/>
      <c r="AJ88" s="358"/>
      <c r="AK88" s="358"/>
      <c r="AL88" s="358"/>
      <c r="AM88" s="358"/>
      <c r="AN88" s="358"/>
      <c r="AO88" s="358"/>
      <c r="AP88" s="358"/>
      <c r="AQ88" s="358"/>
      <c r="AR88" s="358"/>
      <c r="AS88" s="358"/>
      <c r="AT88" s="358"/>
      <c r="AU88" s="358"/>
      <c r="AV88" s="358"/>
      <c r="AW88" s="358"/>
      <c r="AX88" s="358"/>
      <c r="AY88" s="358"/>
      <c r="AZ88" s="358"/>
    </row>
    <row r="89" spans="1:52">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58"/>
      <c r="AN89" s="358"/>
      <c r="AO89" s="358"/>
      <c r="AP89" s="358"/>
      <c r="AQ89" s="358"/>
      <c r="AR89" s="358"/>
      <c r="AS89" s="358"/>
      <c r="AT89" s="358"/>
      <c r="AU89" s="358"/>
      <c r="AV89" s="358"/>
      <c r="AW89" s="358"/>
      <c r="AX89" s="358"/>
      <c r="AY89" s="358"/>
      <c r="AZ89" s="358"/>
    </row>
    <row r="90" spans="1:52">
      <c r="A90" s="358"/>
      <c r="B90" s="358"/>
      <c r="C90" s="553"/>
      <c r="D90" s="358"/>
      <c r="E90" s="553"/>
      <c r="F90" s="358"/>
      <c r="G90" s="553"/>
      <c r="H90" s="358"/>
      <c r="I90" s="553"/>
      <c r="J90" s="358"/>
      <c r="K90" s="553"/>
      <c r="L90" s="358"/>
      <c r="M90" s="553"/>
      <c r="N90" s="358"/>
      <c r="O90" s="553"/>
      <c r="P90" s="358"/>
      <c r="Q90" s="553"/>
      <c r="R90" s="358"/>
      <c r="S90" s="553"/>
      <c r="T90" s="358"/>
      <c r="U90" s="553"/>
      <c r="V90" s="358"/>
      <c r="W90" s="553"/>
      <c r="X90" s="358"/>
      <c r="Y90" s="553"/>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row>
    <row r="91" spans="1:52">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c r="AS91" s="358"/>
      <c r="AT91" s="358"/>
      <c r="AU91" s="358"/>
      <c r="AV91" s="358"/>
      <c r="AW91" s="358"/>
      <c r="AX91" s="358"/>
      <c r="AY91" s="358"/>
      <c r="AZ91" s="358"/>
    </row>
    <row r="92" spans="1:52">
      <c r="A92" s="358"/>
      <c r="B92" s="358"/>
      <c r="C92" s="553"/>
      <c r="D92" s="358"/>
      <c r="E92" s="553"/>
      <c r="F92" s="358"/>
      <c r="G92" s="553"/>
      <c r="H92" s="358"/>
      <c r="I92" s="553"/>
      <c r="J92" s="358"/>
      <c r="K92" s="553"/>
      <c r="L92" s="358"/>
      <c r="M92" s="553"/>
      <c r="N92" s="358"/>
      <c r="O92" s="553"/>
      <c r="P92" s="358"/>
      <c r="Q92" s="553"/>
      <c r="R92" s="358"/>
      <c r="S92" s="553"/>
      <c r="T92" s="358"/>
      <c r="U92" s="553"/>
      <c r="V92" s="358"/>
      <c r="W92" s="553"/>
      <c r="X92" s="358"/>
      <c r="Y92" s="553"/>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row>
    <row r="93" spans="1:52">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58"/>
      <c r="AN93" s="358"/>
      <c r="AO93" s="358"/>
      <c r="AP93" s="358"/>
      <c r="AQ93" s="358"/>
      <c r="AR93" s="358"/>
      <c r="AS93" s="358"/>
      <c r="AT93" s="358"/>
      <c r="AU93" s="358"/>
      <c r="AV93" s="358"/>
      <c r="AW93" s="358"/>
      <c r="AX93" s="358"/>
      <c r="AY93" s="358"/>
      <c r="AZ93" s="358"/>
    </row>
    <row r="94" spans="1:52">
      <c r="A94" s="358"/>
      <c r="B94" s="358"/>
      <c r="C94" s="553"/>
      <c r="D94" s="358"/>
      <c r="E94" s="553"/>
      <c r="F94" s="358"/>
      <c r="G94" s="553"/>
      <c r="H94" s="358"/>
      <c r="I94" s="553"/>
      <c r="J94" s="358"/>
      <c r="K94" s="553"/>
      <c r="L94" s="358"/>
      <c r="M94" s="553"/>
      <c r="N94" s="358"/>
      <c r="O94" s="553"/>
      <c r="P94" s="358"/>
      <c r="Q94" s="553"/>
      <c r="R94" s="358"/>
      <c r="S94" s="553"/>
      <c r="T94" s="358"/>
      <c r="U94" s="553"/>
      <c r="V94" s="358"/>
      <c r="W94" s="553"/>
      <c r="X94" s="358"/>
      <c r="Y94" s="553"/>
      <c r="Z94" s="358"/>
      <c r="AA94" s="358"/>
      <c r="AB94" s="358"/>
      <c r="AC94" s="358"/>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row>
    <row r="95" spans="1:52">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c r="AS95" s="358"/>
      <c r="AT95" s="358"/>
      <c r="AU95" s="358"/>
      <c r="AV95" s="358"/>
      <c r="AW95" s="358"/>
      <c r="AX95" s="358"/>
      <c r="AY95" s="358"/>
      <c r="AZ95" s="358"/>
    </row>
    <row r="96" spans="1:52">
      <c r="A96" s="358"/>
      <c r="B96" s="358"/>
      <c r="C96" s="553"/>
      <c r="D96" s="358"/>
      <c r="E96" s="553"/>
      <c r="F96" s="358"/>
      <c r="G96" s="553"/>
      <c r="H96" s="358"/>
      <c r="I96" s="553"/>
      <c r="J96" s="358"/>
      <c r="K96" s="553"/>
      <c r="L96" s="358"/>
      <c r="M96" s="553"/>
      <c r="N96" s="358"/>
      <c r="O96" s="553"/>
      <c r="P96" s="358"/>
      <c r="Q96" s="553"/>
      <c r="R96" s="358"/>
      <c r="S96" s="553"/>
      <c r="T96" s="358"/>
      <c r="U96" s="553"/>
      <c r="V96" s="358"/>
      <c r="W96" s="553"/>
      <c r="X96" s="358"/>
      <c r="Y96" s="553"/>
      <c r="Z96" s="358"/>
      <c r="AA96" s="358"/>
      <c r="AB96" s="358"/>
      <c r="AC96" s="358"/>
      <c r="AD96" s="358"/>
      <c r="AE96" s="358"/>
      <c r="AF96" s="358"/>
      <c r="AG96" s="358"/>
      <c r="AH96" s="358"/>
      <c r="AI96" s="358"/>
      <c r="AJ96" s="358"/>
      <c r="AK96" s="358"/>
      <c r="AL96" s="358"/>
      <c r="AM96" s="358"/>
      <c r="AN96" s="358"/>
      <c r="AO96" s="358"/>
      <c r="AP96" s="358"/>
      <c r="AQ96" s="358"/>
      <c r="AR96" s="358"/>
      <c r="AS96" s="358"/>
      <c r="AT96" s="358"/>
      <c r="AU96" s="358"/>
      <c r="AV96" s="358"/>
      <c r="AW96" s="358"/>
      <c r="AX96" s="358"/>
      <c r="AY96" s="358"/>
      <c r="AZ96" s="358"/>
    </row>
    <row r="97" spans="1:52">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row>
    <row r="98" spans="1:52">
      <c r="A98" s="358"/>
      <c r="B98" s="358"/>
      <c r="C98" s="553"/>
      <c r="D98" s="358"/>
      <c r="E98" s="553"/>
      <c r="F98" s="358"/>
      <c r="G98" s="553"/>
      <c r="H98" s="358"/>
      <c r="I98" s="553"/>
      <c r="J98" s="358"/>
      <c r="K98" s="553"/>
      <c r="L98" s="358"/>
      <c r="M98" s="553"/>
      <c r="N98" s="358"/>
      <c r="O98" s="553"/>
      <c r="P98" s="358"/>
      <c r="Q98" s="553"/>
      <c r="R98" s="358"/>
      <c r="S98" s="553"/>
      <c r="T98" s="358"/>
      <c r="U98" s="553"/>
      <c r="V98" s="358"/>
      <c r="W98" s="553"/>
      <c r="X98" s="358"/>
      <c r="Y98" s="553"/>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row>
    <row r="99" spans="1:52">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row>
    <row r="100" spans="1:52">
      <c r="A100" s="358"/>
      <c r="B100" s="358"/>
      <c r="C100" s="358"/>
      <c r="D100" s="358"/>
      <c r="E100" s="553"/>
      <c r="F100" s="358"/>
      <c r="G100" s="553"/>
      <c r="H100" s="358"/>
      <c r="I100" s="553"/>
      <c r="J100" s="358"/>
      <c r="K100" s="553"/>
      <c r="L100" s="358"/>
      <c r="M100" s="553"/>
      <c r="N100" s="358"/>
      <c r="O100" s="553"/>
      <c r="P100" s="358"/>
      <c r="Q100" s="553"/>
      <c r="R100" s="358"/>
      <c r="S100" s="553"/>
      <c r="T100" s="358"/>
      <c r="U100" s="553"/>
      <c r="V100" s="358"/>
      <c r="W100" s="553"/>
      <c r="X100" s="358"/>
      <c r="Y100" s="553"/>
      <c r="Z100" s="358"/>
      <c r="AA100" s="358"/>
      <c r="AB100" s="358"/>
      <c r="AC100" s="358"/>
      <c r="AD100" s="358"/>
      <c r="AE100" s="358"/>
      <c r="AF100" s="358"/>
      <c r="AG100" s="358"/>
      <c r="AH100" s="358"/>
      <c r="AI100" s="358"/>
      <c r="AJ100" s="358"/>
      <c r="AK100" s="358"/>
      <c r="AL100" s="358"/>
      <c r="AM100" s="358"/>
      <c r="AN100" s="358"/>
      <c r="AO100" s="358"/>
      <c r="AP100" s="358"/>
      <c r="AQ100" s="358"/>
      <c r="AR100" s="358"/>
      <c r="AS100" s="358"/>
      <c r="AT100" s="358"/>
      <c r="AU100" s="358"/>
      <c r="AV100" s="358"/>
      <c r="AW100" s="358"/>
      <c r="AX100" s="358"/>
      <c r="AY100" s="358"/>
      <c r="AZ100" s="358"/>
    </row>
  </sheetData>
  <sheetProtection sheet="1" objects="1" scenarios="1" selectLockedCells="1" selectUnlockedCell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CC99"/>
  </sheetPr>
  <dimension ref="A1:AZ100"/>
  <sheetViews>
    <sheetView zoomScale="90" zoomScaleNormal="90" workbookViewId="0"/>
  </sheetViews>
  <sheetFormatPr defaultRowHeight="14.4"/>
  <sheetData>
    <row r="1" spans="1:52">
      <c r="A1" s="553"/>
      <c r="B1" s="358"/>
      <c r="C1" s="553"/>
      <c r="D1" s="358"/>
      <c r="E1" s="553"/>
      <c r="F1" s="358"/>
      <c r="G1" s="553"/>
      <c r="H1" s="358"/>
      <c r="I1" s="553"/>
      <c r="J1" s="358"/>
      <c r="K1" s="553"/>
      <c r="L1" s="358"/>
      <c r="M1" s="553"/>
      <c r="N1" s="358"/>
      <c r="O1" s="553"/>
      <c r="P1" s="358"/>
      <c r="Q1" s="553"/>
      <c r="R1" s="553"/>
      <c r="S1" s="553"/>
      <c r="T1" s="553"/>
      <c r="U1" s="553"/>
      <c r="V1" s="553"/>
      <c r="W1" s="553"/>
      <c r="X1" s="553"/>
      <c r="Y1" s="553"/>
      <c r="Z1" s="553"/>
      <c r="AA1" s="553"/>
      <c r="AB1" s="553"/>
      <c r="AC1" s="553"/>
      <c r="AD1" s="553"/>
      <c r="AE1" s="553"/>
      <c r="AF1" s="553"/>
      <c r="AG1" s="553"/>
      <c r="AH1" s="553"/>
      <c r="AI1" s="553"/>
      <c r="AJ1" s="553"/>
      <c r="AK1" s="553"/>
      <c r="AL1" s="553"/>
      <c r="AM1" s="553"/>
      <c r="AN1" s="553"/>
      <c r="AO1" s="553"/>
      <c r="AP1" s="553"/>
      <c r="AQ1" s="553"/>
      <c r="AR1" s="553"/>
      <c r="AS1" s="553"/>
      <c r="AT1" s="553"/>
      <c r="AU1" s="553"/>
      <c r="AV1" s="553"/>
      <c r="AW1" s="553"/>
      <c r="AX1" s="553"/>
      <c r="AY1" s="553"/>
      <c r="AZ1" s="553"/>
    </row>
    <row r="2" spans="1:52">
      <c r="A2" s="358"/>
      <c r="B2" s="358"/>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row>
    <row r="3" spans="1:52">
      <c r="A3" s="553"/>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row>
    <row r="4" spans="1:52">
      <c r="A4" s="358"/>
      <c r="B4" s="358"/>
      <c r="C4" s="553"/>
      <c r="D4" s="358"/>
      <c r="E4" s="553"/>
      <c r="F4" s="358"/>
      <c r="G4" s="553"/>
      <c r="H4" s="358"/>
      <c r="I4" s="553"/>
      <c r="J4" s="358"/>
      <c r="K4" s="553"/>
      <c r="L4" s="358"/>
      <c r="M4" s="553"/>
      <c r="N4" s="358"/>
      <c r="O4" s="553"/>
      <c r="P4" s="358"/>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c r="AR4" s="553"/>
      <c r="AS4" s="553"/>
      <c r="AT4" s="553"/>
      <c r="AU4" s="553"/>
      <c r="AV4" s="553"/>
      <c r="AW4" s="553"/>
      <c r="AX4" s="553"/>
      <c r="AY4" s="553"/>
      <c r="AZ4" s="553"/>
    </row>
    <row r="5" spans="1:52">
      <c r="A5" s="553"/>
      <c r="B5" s="358"/>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row>
    <row r="6" spans="1:52">
      <c r="A6" s="358"/>
      <c r="B6" s="358"/>
      <c r="C6" s="358"/>
      <c r="D6" s="358"/>
      <c r="E6" s="358"/>
      <c r="F6" s="358"/>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c r="AT6" s="358"/>
      <c r="AU6" s="358"/>
      <c r="AV6" s="358"/>
      <c r="AW6" s="358"/>
      <c r="AX6" s="358"/>
      <c r="AY6" s="358"/>
      <c r="AZ6" s="358"/>
    </row>
    <row r="7" spans="1:52">
      <c r="A7" s="553"/>
      <c r="B7" s="358"/>
      <c r="C7" s="553"/>
      <c r="D7" s="358"/>
      <c r="E7" s="553"/>
      <c r="F7" s="358"/>
      <c r="G7" s="553"/>
      <c r="H7" s="358"/>
      <c r="I7" s="553"/>
      <c r="J7" s="358"/>
      <c r="K7" s="553"/>
      <c r="L7" s="358"/>
      <c r="M7" s="553"/>
      <c r="N7" s="358"/>
      <c r="O7" s="553"/>
      <c r="P7" s="358"/>
      <c r="Q7" s="553"/>
      <c r="R7" s="553"/>
      <c r="S7" s="553"/>
      <c r="T7" s="553"/>
      <c r="U7" s="553"/>
      <c r="V7" s="553"/>
      <c r="W7" s="553"/>
      <c r="X7" s="553"/>
      <c r="Y7" s="553"/>
      <c r="Z7" s="553"/>
      <c r="AA7" s="553"/>
      <c r="AB7" s="553"/>
      <c r="AC7" s="553"/>
      <c r="AD7" s="553"/>
      <c r="AE7" s="553"/>
      <c r="AF7" s="553"/>
      <c r="AG7" s="553"/>
      <c r="AH7" s="553"/>
      <c r="AI7" s="553"/>
      <c r="AJ7" s="553"/>
      <c r="AK7" s="553"/>
      <c r="AL7" s="553"/>
      <c r="AM7" s="553"/>
      <c r="AN7" s="553"/>
      <c r="AO7" s="553"/>
      <c r="AP7" s="553"/>
      <c r="AQ7" s="553"/>
      <c r="AR7" s="553"/>
      <c r="AS7" s="553"/>
      <c r="AT7" s="553"/>
      <c r="AU7" s="553"/>
      <c r="AV7" s="553"/>
      <c r="AW7" s="553"/>
      <c r="AX7" s="553"/>
      <c r="AY7" s="553"/>
      <c r="AZ7" s="553"/>
    </row>
    <row r="8" spans="1:52">
      <c r="A8" s="358"/>
      <c r="B8" s="358"/>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58"/>
      <c r="AV8" s="358"/>
      <c r="AW8" s="358"/>
      <c r="AX8" s="358"/>
      <c r="AY8" s="358"/>
      <c r="AZ8" s="358"/>
    </row>
    <row r="9" spans="1:52">
      <c r="A9" s="553"/>
      <c r="B9" s="358"/>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c r="AT9" s="358"/>
      <c r="AU9" s="358"/>
      <c r="AV9" s="358"/>
      <c r="AW9" s="358"/>
      <c r="AX9" s="358"/>
      <c r="AY9" s="358"/>
      <c r="AZ9" s="358"/>
    </row>
    <row r="10" spans="1:52">
      <c r="A10" s="358"/>
      <c r="B10" s="358"/>
      <c r="C10" s="553"/>
      <c r="D10" s="358"/>
      <c r="E10" s="553"/>
      <c r="F10" s="358"/>
      <c r="G10" s="553"/>
      <c r="H10" s="358"/>
      <c r="I10" s="553"/>
      <c r="J10" s="358"/>
      <c r="K10" s="553"/>
      <c r="L10" s="358"/>
      <c r="M10" s="553"/>
      <c r="N10" s="358"/>
      <c r="O10" s="553"/>
      <c r="P10" s="358"/>
      <c r="Q10" s="553"/>
      <c r="R10" s="553"/>
      <c r="S10" s="553"/>
      <c r="T10" s="553"/>
      <c r="U10" s="553"/>
      <c r="V10" s="553"/>
      <c r="W10" s="553"/>
      <c r="X10" s="553"/>
      <c r="Y10" s="553"/>
      <c r="Z10" s="553"/>
      <c r="AA10" s="553"/>
      <c r="AB10" s="553"/>
      <c r="AC10" s="553"/>
      <c r="AD10" s="553"/>
      <c r="AE10" s="553"/>
      <c r="AF10" s="553"/>
      <c r="AG10" s="553"/>
      <c r="AH10" s="553"/>
      <c r="AI10" s="553"/>
      <c r="AJ10" s="553"/>
      <c r="AK10" s="553"/>
      <c r="AL10" s="553"/>
      <c r="AM10" s="553"/>
      <c r="AN10" s="553"/>
      <c r="AO10" s="553"/>
      <c r="AP10" s="553"/>
      <c r="AQ10" s="553"/>
      <c r="AR10" s="553"/>
      <c r="AS10" s="553"/>
      <c r="AT10" s="553"/>
      <c r="AU10" s="553"/>
      <c r="AV10" s="553"/>
      <c r="AW10" s="553"/>
      <c r="AX10" s="553"/>
      <c r="AY10" s="553"/>
      <c r="AZ10" s="553"/>
    </row>
    <row r="11" spans="1:52">
      <c r="A11" s="553"/>
      <c r="B11" s="358"/>
      <c r="C11" s="358"/>
      <c r="D11" s="358"/>
      <c r="E11" s="358"/>
      <c r="F11" s="358"/>
      <c r="G11" s="358"/>
      <c r="H11" s="358"/>
      <c r="I11" s="358"/>
      <c r="J11" s="358"/>
      <c r="K11" s="358"/>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row>
    <row r="12" spans="1:52">
      <c r="A12" s="358"/>
      <c r="B12" s="358"/>
      <c r="C12" s="358"/>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358"/>
    </row>
    <row r="13" spans="1:52">
      <c r="A13" s="553"/>
      <c r="B13" s="358"/>
      <c r="C13" s="553"/>
      <c r="D13" s="358"/>
      <c r="E13" s="553"/>
      <c r="F13" s="358"/>
      <c r="G13" s="553"/>
      <c r="H13" s="358"/>
      <c r="I13" s="553"/>
      <c r="J13" s="358"/>
      <c r="K13" s="553"/>
      <c r="L13" s="358"/>
      <c r="M13" s="553"/>
      <c r="N13" s="358"/>
      <c r="O13" s="553"/>
      <c r="P13" s="358"/>
      <c r="Q13" s="553"/>
      <c r="R13" s="553"/>
      <c r="S13" s="553"/>
      <c r="T13" s="553"/>
      <c r="U13" s="553"/>
      <c r="V13" s="553"/>
      <c r="W13" s="553"/>
      <c r="X13" s="553"/>
      <c r="Y13" s="553"/>
      <c r="Z13" s="553"/>
      <c r="AA13" s="553"/>
      <c r="AB13" s="553"/>
      <c r="AC13" s="553"/>
      <c r="AD13" s="553"/>
      <c r="AE13" s="553"/>
      <c r="AF13" s="553"/>
      <c r="AG13" s="553"/>
      <c r="AH13" s="553"/>
      <c r="AI13" s="553"/>
      <c r="AJ13" s="553"/>
      <c r="AK13" s="553"/>
      <c r="AL13" s="553"/>
      <c r="AM13" s="553"/>
      <c r="AN13" s="553"/>
      <c r="AO13" s="553"/>
      <c r="AP13" s="553"/>
      <c r="AQ13" s="553"/>
      <c r="AR13" s="553"/>
      <c r="AS13" s="553"/>
      <c r="AT13" s="553"/>
      <c r="AU13" s="553"/>
      <c r="AV13" s="553"/>
      <c r="AW13" s="553"/>
      <c r="AX13" s="553"/>
      <c r="AY13" s="553"/>
      <c r="AZ13" s="553"/>
    </row>
    <row r="14" spans="1:52">
      <c r="A14" s="358"/>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row>
    <row r="15" spans="1:52">
      <c r="A15" s="553"/>
      <c r="B15" s="358"/>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row>
    <row r="16" spans="1:52">
      <c r="A16" s="358"/>
      <c r="B16" s="358"/>
      <c r="C16" s="553"/>
      <c r="D16" s="358"/>
      <c r="E16" s="553"/>
      <c r="F16" s="358"/>
      <c r="G16" s="553"/>
      <c r="H16" s="358"/>
      <c r="I16" s="553"/>
      <c r="J16" s="358"/>
      <c r="K16" s="553"/>
      <c r="L16" s="358"/>
      <c r="M16" s="553"/>
      <c r="N16" s="358"/>
      <c r="O16" s="553"/>
      <c r="P16" s="358"/>
      <c r="Q16" s="553"/>
      <c r="R16" s="553"/>
      <c r="S16" s="553"/>
      <c r="T16" s="553"/>
      <c r="U16" s="553"/>
      <c r="V16" s="553"/>
      <c r="W16" s="553"/>
      <c r="X16" s="553"/>
      <c r="Y16" s="553"/>
      <c r="Z16" s="553"/>
      <c r="AA16" s="553"/>
      <c r="AB16" s="553"/>
      <c r="AC16" s="553"/>
      <c r="AD16" s="553"/>
      <c r="AE16" s="553"/>
      <c r="AF16" s="553"/>
      <c r="AG16" s="553"/>
      <c r="AH16" s="553"/>
      <c r="AI16" s="553"/>
      <c r="AJ16" s="553"/>
      <c r="AK16" s="553"/>
      <c r="AL16" s="553"/>
      <c r="AM16" s="553"/>
      <c r="AN16" s="553"/>
      <c r="AO16" s="553"/>
      <c r="AP16" s="553"/>
      <c r="AQ16" s="553"/>
      <c r="AR16" s="553"/>
      <c r="AS16" s="553"/>
      <c r="AT16" s="553"/>
      <c r="AU16" s="553"/>
      <c r="AV16" s="553"/>
      <c r="AW16" s="553"/>
      <c r="AX16" s="553"/>
      <c r="AY16" s="553"/>
      <c r="AZ16" s="553"/>
    </row>
    <row r="17" spans="1:52">
      <c r="A17" s="553"/>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358"/>
      <c r="AZ17" s="358"/>
    </row>
    <row r="18" spans="1:52">
      <c r="A18" s="358"/>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358"/>
      <c r="AZ18" s="358"/>
    </row>
    <row r="19" spans="1:52">
      <c r="A19" s="553"/>
      <c r="B19" s="358"/>
      <c r="C19" s="553"/>
      <c r="D19" s="358"/>
      <c r="E19" s="553"/>
      <c r="F19" s="358"/>
      <c r="G19" s="553"/>
      <c r="H19" s="358"/>
      <c r="I19" s="553"/>
      <c r="J19" s="358"/>
      <c r="K19" s="553"/>
      <c r="L19" s="358"/>
      <c r="M19" s="553"/>
      <c r="N19" s="358"/>
      <c r="O19" s="553"/>
      <c r="P19" s="358"/>
      <c r="Q19" s="553"/>
      <c r="R19" s="553"/>
      <c r="S19" s="553"/>
      <c r="T19" s="553"/>
      <c r="U19" s="553"/>
      <c r="V19" s="553"/>
      <c r="W19" s="553"/>
      <c r="X19" s="553"/>
      <c r="Y19" s="553"/>
      <c r="Z19" s="553"/>
      <c r="AA19" s="553"/>
      <c r="AB19" s="553"/>
      <c r="AC19" s="553"/>
      <c r="AD19" s="553"/>
      <c r="AE19" s="553"/>
      <c r="AF19" s="553"/>
      <c r="AG19" s="553"/>
      <c r="AH19" s="553"/>
      <c r="AI19" s="553"/>
      <c r="AJ19" s="553"/>
      <c r="AK19" s="553"/>
      <c r="AL19" s="553"/>
      <c r="AM19" s="553"/>
      <c r="AN19" s="553"/>
      <c r="AO19" s="553"/>
      <c r="AP19" s="553"/>
      <c r="AQ19" s="553"/>
      <c r="AR19" s="553"/>
      <c r="AS19" s="553"/>
      <c r="AT19" s="553"/>
      <c r="AU19" s="553"/>
      <c r="AV19" s="553"/>
      <c r="AW19" s="553"/>
      <c r="AX19" s="553"/>
      <c r="AY19" s="553"/>
      <c r="AZ19" s="553"/>
    </row>
    <row r="20" spans="1:52">
      <c r="A20" s="358"/>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358"/>
      <c r="AS20" s="358"/>
      <c r="AT20" s="358"/>
      <c r="AU20" s="358"/>
      <c r="AV20" s="358"/>
      <c r="AW20" s="358"/>
      <c r="AX20" s="358"/>
      <c r="AY20" s="358"/>
      <c r="AZ20" s="358"/>
    </row>
    <row r="21" spans="1:52">
      <c r="A21" s="553"/>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row>
    <row r="22" spans="1:52">
      <c r="A22" s="358"/>
      <c r="B22" s="358"/>
      <c r="C22" s="553"/>
      <c r="D22" s="358"/>
      <c r="E22" s="553"/>
      <c r="F22" s="358"/>
      <c r="G22" s="553"/>
      <c r="H22" s="358"/>
      <c r="I22" s="553"/>
      <c r="J22" s="358"/>
      <c r="K22" s="553"/>
      <c r="L22" s="358"/>
      <c r="M22" s="553"/>
      <c r="N22" s="358"/>
      <c r="O22" s="553"/>
      <c r="P22" s="358"/>
      <c r="Q22" s="553"/>
      <c r="R22" s="553"/>
      <c r="S22" s="553"/>
      <c r="T22" s="553"/>
      <c r="U22" s="553"/>
      <c r="V22" s="553"/>
      <c r="W22" s="553"/>
      <c r="X22" s="553"/>
      <c r="Y22" s="553"/>
      <c r="Z22" s="553"/>
      <c r="AA22" s="553"/>
      <c r="AB22" s="553"/>
      <c r="AC22" s="553"/>
      <c r="AD22" s="553"/>
      <c r="AE22" s="553"/>
      <c r="AF22" s="553"/>
      <c r="AG22" s="553"/>
      <c r="AH22" s="553"/>
      <c r="AI22" s="553"/>
      <c r="AJ22" s="553"/>
      <c r="AK22" s="553"/>
      <c r="AL22" s="553"/>
      <c r="AM22" s="553"/>
      <c r="AN22" s="553"/>
      <c r="AO22" s="553"/>
      <c r="AP22" s="553"/>
      <c r="AQ22" s="553"/>
      <c r="AR22" s="553"/>
      <c r="AS22" s="553"/>
      <c r="AT22" s="553"/>
      <c r="AU22" s="553"/>
      <c r="AV22" s="553"/>
      <c r="AW22" s="553"/>
      <c r="AX22" s="553"/>
      <c r="AY22" s="553"/>
      <c r="AZ22" s="553"/>
    </row>
    <row r="23" spans="1:52">
      <c r="A23" s="553"/>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row>
    <row r="24" spans="1:52">
      <c r="A24" s="358"/>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row>
    <row r="25" spans="1:52">
      <c r="A25" s="553"/>
      <c r="B25" s="358"/>
      <c r="C25" s="553"/>
      <c r="D25" s="358"/>
      <c r="E25" s="553"/>
      <c r="F25" s="358"/>
      <c r="G25" s="553"/>
      <c r="H25" s="358"/>
      <c r="I25" s="553"/>
      <c r="J25" s="358"/>
      <c r="K25" s="553"/>
      <c r="L25" s="358"/>
      <c r="M25" s="553"/>
      <c r="N25" s="358"/>
      <c r="O25" s="553"/>
      <c r="P25" s="358"/>
      <c r="Q25" s="553"/>
      <c r="R25" s="553"/>
      <c r="S25" s="553"/>
      <c r="T25" s="553"/>
      <c r="U25" s="553"/>
      <c r="V25" s="553"/>
      <c r="W25" s="553"/>
      <c r="X25" s="553"/>
      <c r="Y25" s="553"/>
      <c r="Z25" s="553"/>
      <c r="AA25" s="553"/>
      <c r="AB25" s="553"/>
      <c r="AC25" s="553"/>
      <c r="AD25" s="553"/>
      <c r="AE25" s="553"/>
      <c r="AF25" s="553"/>
      <c r="AG25" s="553"/>
      <c r="AH25" s="553"/>
      <c r="AI25" s="553"/>
      <c r="AJ25" s="553"/>
      <c r="AK25" s="553"/>
      <c r="AL25" s="553"/>
      <c r="AM25" s="553"/>
      <c r="AN25" s="553"/>
      <c r="AO25" s="553"/>
      <c r="AP25" s="553"/>
      <c r="AQ25" s="553"/>
      <c r="AR25" s="553"/>
      <c r="AS25" s="553"/>
      <c r="AT25" s="553"/>
      <c r="AU25" s="553"/>
      <c r="AV25" s="553"/>
      <c r="AW25" s="553"/>
      <c r="AX25" s="553"/>
      <c r="AY25" s="553"/>
      <c r="AZ25" s="553"/>
    </row>
    <row r="26" spans="1:52">
      <c r="A26" s="358"/>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c r="AH26" s="358"/>
      <c r="AI26" s="358"/>
      <c r="AJ26" s="358"/>
      <c r="AK26" s="358"/>
      <c r="AL26" s="358"/>
      <c r="AM26" s="358"/>
      <c r="AN26" s="358"/>
      <c r="AO26" s="358"/>
      <c r="AP26" s="358"/>
      <c r="AQ26" s="358"/>
      <c r="AR26" s="358"/>
      <c r="AS26" s="358"/>
      <c r="AT26" s="358"/>
      <c r="AU26" s="358"/>
      <c r="AV26" s="358"/>
      <c r="AW26" s="358"/>
      <c r="AX26" s="358"/>
      <c r="AY26" s="358"/>
      <c r="AZ26" s="358"/>
    </row>
    <row r="27" spans="1:52">
      <c r="A27" s="553"/>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358"/>
      <c r="AZ27" s="358"/>
    </row>
    <row r="28" spans="1:52">
      <c r="A28" s="358"/>
      <c r="B28" s="358"/>
      <c r="C28" s="553"/>
      <c r="D28" s="358"/>
      <c r="E28" s="553"/>
      <c r="F28" s="358"/>
      <c r="G28" s="553"/>
      <c r="H28" s="358"/>
      <c r="I28" s="553"/>
      <c r="J28" s="358"/>
      <c r="K28" s="553"/>
      <c r="L28" s="358"/>
      <c r="M28" s="553"/>
      <c r="N28" s="358"/>
      <c r="O28" s="553"/>
      <c r="P28" s="358"/>
      <c r="Q28" s="553"/>
      <c r="R28" s="553"/>
      <c r="S28" s="553"/>
      <c r="T28" s="553"/>
      <c r="U28" s="553"/>
      <c r="V28" s="553"/>
      <c r="W28" s="553"/>
      <c r="X28" s="553"/>
      <c r="Y28" s="553"/>
      <c r="Z28" s="553"/>
      <c r="AA28" s="553"/>
      <c r="AB28" s="553"/>
      <c r="AC28" s="553"/>
      <c r="AD28" s="553"/>
      <c r="AE28" s="553"/>
      <c r="AF28" s="553"/>
      <c r="AG28" s="553"/>
      <c r="AH28" s="553"/>
      <c r="AI28" s="553"/>
      <c r="AJ28" s="553"/>
      <c r="AK28" s="553"/>
      <c r="AL28" s="553"/>
      <c r="AM28" s="553"/>
      <c r="AN28" s="553"/>
      <c r="AO28" s="553"/>
      <c r="AP28" s="553"/>
      <c r="AQ28" s="553"/>
      <c r="AR28" s="553"/>
      <c r="AS28" s="553"/>
      <c r="AT28" s="553"/>
      <c r="AU28" s="553"/>
      <c r="AV28" s="553"/>
      <c r="AW28" s="553"/>
      <c r="AX28" s="553"/>
      <c r="AY28" s="553"/>
      <c r="AZ28" s="553"/>
    </row>
    <row r="29" spans="1:52">
      <c r="A29" s="553"/>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row>
    <row r="30" spans="1:52">
      <c r="A30" s="358"/>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553"/>
      <c r="AB30" s="553"/>
      <c r="AC30" s="553"/>
      <c r="AD30" s="553"/>
      <c r="AE30" s="553"/>
      <c r="AF30" s="553"/>
      <c r="AG30" s="553"/>
      <c r="AH30" s="553"/>
      <c r="AI30" s="553"/>
      <c r="AJ30" s="553"/>
      <c r="AK30" s="553"/>
      <c r="AL30" s="553"/>
      <c r="AM30" s="553"/>
      <c r="AN30" s="553"/>
      <c r="AO30" s="553"/>
      <c r="AP30" s="553"/>
      <c r="AQ30" s="553"/>
      <c r="AR30" s="553"/>
      <c r="AS30" s="553"/>
      <c r="AT30" s="553"/>
      <c r="AU30" s="553"/>
      <c r="AV30" s="553"/>
      <c r="AW30" s="553"/>
      <c r="AX30" s="553"/>
      <c r="AY30" s="553"/>
      <c r="AZ30" s="553"/>
    </row>
    <row r="31" spans="1:52">
      <c r="A31" s="929"/>
      <c r="B31" s="928"/>
      <c r="C31" s="929"/>
      <c r="D31" s="928"/>
      <c r="E31" s="929"/>
      <c r="F31" s="928"/>
      <c r="G31" s="929"/>
      <c r="H31" s="928"/>
      <c r="I31" s="929"/>
      <c r="J31" s="928"/>
      <c r="K31" s="929"/>
      <c r="L31" s="928"/>
      <c r="M31" s="929"/>
      <c r="N31" s="928"/>
      <c r="O31" s="929"/>
      <c r="P31" s="928"/>
      <c r="Q31" s="929"/>
      <c r="R31" s="928"/>
      <c r="S31" s="929"/>
      <c r="T31" s="928"/>
      <c r="U31" s="929"/>
      <c r="V31" s="928"/>
      <c r="W31" s="929"/>
      <c r="X31" s="928"/>
      <c r="Y31" s="553"/>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row>
    <row r="32" spans="1:52">
      <c r="A32" s="928"/>
      <c r="B32" s="928"/>
      <c r="C32" s="928"/>
      <c r="D32" s="928"/>
      <c r="E32" s="928"/>
      <c r="F32" s="928"/>
      <c r="G32" s="928"/>
      <c r="H32" s="928"/>
      <c r="I32" s="928"/>
      <c r="J32" s="928"/>
      <c r="K32" s="928"/>
      <c r="L32" s="928"/>
      <c r="M32" s="928"/>
      <c r="N32" s="928"/>
      <c r="O32" s="928"/>
      <c r="P32" s="928"/>
      <c r="Q32" s="928"/>
      <c r="R32" s="928"/>
      <c r="S32" s="928"/>
      <c r="T32" s="928"/>
      <c r="U32" s="928"/>
      <c r="V32" s="928"/>
      <c r="W32" s="928"/>
      <c r="X32" s="928"/>
      <c r="Y32" s="358"/>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row>
    <row r="33" spans="1:52">
      <c r="A33" s="929"/>
      <c r="B33" s="928"/>
      <c r="C33" s="928"/>
      <c r="D33" s="928"/>
      <c r="E33" s="928"/>
      <c r="F33" s="928"/>
      <c r="G33" s="928"/>
      <c r="H33" s="928"/>
      <c r="I33" s="928"/>
      <c r="J33" s="928"/>
      <c r="K33" s="928"/>
      <c r="L33" s="928"/>
      <c r="M33" s="928"/>
      <c r="N33" s="928"/>
      <c r="O33" s="928"/>
      <c r="P33" s="928"/>
      <c r="Q33" s="928"/>
      <c r="R33" s="928"/>
      <c r="S33" s="928"/>
      <c r="T33" s="928"/>
      <c r="U33" s="928"/>
      <c r="V33" s="928"/>
      <c r="W33" s="928"/>
      <c r="X33" s="928"/>
      <c r="Y33" s="358"/>
      <c r="Z33" s="358"/>
      <c r="AA33" s="553"/>
      <c r="AB33" s="553"/>
      <c r="AC33" s="553"/>
      <c r="AD33" s="553"/>
      <c r="AE33" s="553"/>
      <c r="AF33" s="553"/>
      <c r="AG33" s="553"/>
      <c r="AH33" s="553"/>
      <c r="AI33" s="553"/>
      <c r="AJ33" s="553"/>
      <c r="AK33" s="553"/>
      <c r="AL33" s="553"/>
      <c r="AM33" s="553"/>
      <c r="AN33" s="553"/>
      <c r="AO33" s="553"/>
      <c r="AP33" s="553"/>
      <c r="AQ33" s="553"/>
      <c r="AR33" s="553"/>
      <c r="AS33" s="553"/>
      <c r="AT33" s="553"/>
      <c r="AU33" s="553"/>
      <c r="AV33" s="553"/>
      <c r="AW33" s="553"/>
      <c r="AX33" s="553"/>
      <c r="AY33" s="553"/>
      <c r="AZ33" s="553"/>
    </row>
    <row r="34" spans="1:52">
      <c r="A34" s="928"/>
      <c r="B34" s="928"/>
      <c r="C34" s="929"/>
      <c r="D34" s="928"/>
      <c r="E34" s="929"/>
      <c r="F34" s="928"/>
      <c r="G34" s="929"/>
      <c r="H34" s="928"/>
      <c r="I34" s="929"/>
      <c r="J34" s="928"/>
      <c r="K34" s="929"/>
      <c r="L34" s="928"/>
      <c r="M34" s="929"/>
      <c r="N34" s="928"/>
      <c r="O34" s="929"/>
      <c r="P34" s="928"/>
      <c r="Q34" s="929"/>
      <c r="R34" s="928"/>
      <c r="S34" s="929"/>
      <c r="T34" s="928"/>
      <c r="U34" s="929"/>
      <c r="V34" s="928"/>
      <c r="W34" s="929"/>
      <c r="X34" s="928"/>
      <c r="Y34" s="553"/>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row>
    <row r="35" spans="1:52">
      <c r="A35" s="858" t="str">
        <f>IF(Cashflow!Q7="Yes","All expl. and appr. well successes reused as injectors / All expl., appr., and devt. well failures P&amp;A","All explr. and appr. well successes P&amp;A / All expl., appr., and devt. well failures P&amp;A")</f>
        <v>All expl. and appr. well successes reused as injectors / All expl., appr., and devt. well failures P&amp;A</v>
      </c>
      <c r="B35" s="861"/>
      <c r="C35" s="861"/>
      <c r="D35" s="861"/>
      <c r="E35" s="861"/>
      <c r="F35" s="861"/>
      <c r="G35" s="861"/>
      <c r="H35" s="861"/>
      <c r="I35" s="861"/>
      <c r="J35" s="861"/>
      <c r="K35" s="861"/>
      <c r="L35" s="861"/>
      <c r="M35" s="861"/>
      <c r="N35" s="861"/>
      <c r="O35" s="861"/>
      <c r="P35" s="861"/>
      <c r="Q35" s="861"/>
      <c r="R35" s="861"/>
      <c r="S35" s="861"/>
      <c r="T35" s="861"/>
      <c r="U35" s="861"/>
      <c r="V35" s="861"/>
      <c r="W35" s="861"/>
      <c r="X35" s="861"/>
      <c r="Y35" s="861"/>
      <c r="Z35" s="861"/>
      <c r="AA35" s="861"/>
      <c r="AB35" s="861"/>
      <c r="AC35" s="861"/>
      <c r="AD35" s="861"/>
      <c r="AE35" s="861"/>
      <c r="AF35" s="861"/>
      <c r="AG35" s="861"/>
      <c r="AH35" s="358"/>
      <c r="AI35" s="358"/>
      <c r="AJ35" s="358"/>
      <c r="AK35" s="358"/>
      <c r="AL35" s="358"/>
      <c r="AM35" s="358"/>
      <c r="AN35" s="358"/>
      <c r="AO35" s="358"/>
      <c r="AP35" s="358"/>
      <c r="AQ35" s="358"/>
      <c r="AR35" s="358"/>
      <c r="AS35" s="358"/>
      <c r="AT35" s="358"/>
      <c r="AU35" s="358"/>
      <c r="AV35" s="358"/>
      <c r="AW35" s="358"/>
      <c r="AX35" s="358"/>
      <c r="AY35" s="358"/>
      <c r="AZ35" s="358"/>
    </row>
    <row r="36" spans="1:52">
      <c r="A36" s="861"/>
      <c r="B36" s="861"/>
      <c r="C36" s="861"/>
      <c r="D36" s="861"/>
      <c r="E36" s="861"/>
      <c r="F36" s="861"/>
      <c r="G36" s="861"/>
      <c r="H36" s="861"/>
      <c r="I36" s="861"/>
      <c r="J36" s="861"/>
      <c r="K36" s="861"/>
      <c r="L36" s="861"/>
      <c r="M36" s="861"/>
      <c r="N36" s="861"/>
      <c r="O36" s="861"/>
      <c r="P36" s="861"/>
      <c r="Q36" s="861"/>
      <c r="R36" s="861"/>
      <c r="S36" s="861"/>
      <c r="T36" s="861"/>
      <c r="U36" s="861"/>
      <c r="V36" s="861"/>
      <c r="W36" s="861"/>
      <c r="X36" s="861"/>
      <c r="Y36" s="861"/>
      <c r="Z36" s="861"/>
      <c r="AA36" s="858"/>
      <c r="AB36" s="858"/>
      <c r="AC36" s="858"/>
      <c r="AD36" s="858"/>
      <c r="AE36" s="858"/>
      <c r="AF36" s="858"/>
      <c r="AG36" s="858"/>
      <c r="AH36" s="553"/>
      <c r="AI36" s="553"/>
      <c r="AJ36" s="553"/>
      <c r="AK36" s="553"/>
      <c r="AL36" s="553"/>
      <c r="AM36" s="553"/>
      <c r="AN36" s="553"/>
      <c r="AO36" s="553"/>
      <c r="AP36" s="553"/>
      <c r="AQ36" s="553"/>
      <c r="AR36" s="553"/>
      <c r="AS36" s="553"/>
      <c r="AT36" s="553"/>
      <c r="AU36" s="553"/>
      <c r="AV36" s="553"/>
      <c r="AW36" s="553"/>
      <c r="AX36" s="553"/>
      <c r="AY36" s="553"/>
      <c r="AZ36" s="553"/>
    </row>
    <row r="37" spans="1:52">
      <c r="A37" s="858"/>
      <c r="B37" s="1116" t="str">
        <f>Cashflow!B120</f>
        <v>New platform capex calc.</v>
      </c>
      <c r="C37" s="861">
        <f>Cashflow!C120</f>
        <v>2017</v>
      </c>
      <c r="D37" s="861">
        <f>Cashflow!D120</f>
        <v>2018</v>
      </c>
      <c r="E37" s="861">
        <f>Cashflow!E120</f>
        <v>2019</v>
      </c>
      <c r="F37" s="861">
        <f>Cashflow!F120</f>
        <v>2020</v>
      </c>
      <c r="G37" s="861">
        <f>Cashflow!G120</f>
        <v>2021</v>
      </c>
      <c r="H37" s="861">
        <f>Cashflow!H120</f>
        <v>2022</v>
      </c>
      <c r="I37" s="861">
        <f>Cashflow!I120</f>
        <v>2023</v>
      </c>
      <c r="J37" s="861">
        <f>Cashflow!J120</f>
        <v>2024</v>
      </c>
      <c r="K37" s="861">
        <f>Cashflow!K120</f>
        <v>2025</v>
      </c>
      <c r="L37" s="861">
        <f>Cashflow!L120</f>
        <v>2026</v>
      </c>
      <c r="M37" s="861">
        <f>Cashflow!M120</f>
        <v>2027</v>
      </c>
      <c r="N37" s="861">
        <f>Cashflow!N120</f>
        <v>2028</v>
      </c>
      <c r="O37" s="861">
        <f>Cashflow!O120</f>
        <v>2029</v>
      </c>
      <c r="P37" s="861">
        <f>Cashflow!P120</f>
        <v>2030</v>
      </c>
      <c r="Q37" s="861">
        <f>Cashflow!Q120</f>
        <v>2031</v>
      </c>
      <c r="R37" s="861">
        <f>Cashflow!R120</f>
        <v>2032</v>
      </c>
      <c r="S37" s="861">
        <f>Cashflow!S120</f>
        <v>2033</v>
      </c>
      <c r="T37" s="861">
        <f>Cashflow!T120</f>
        <v>2034</v>
      </c>
      <c r="U37" s="861">
        <f>Cashflow!U120</f>
        <v>2035</v>
      </c>
      <c r="V37" s="861">
        <f>Cashflow!V120</f>
        <v>2036</v>
      </c>
      <c r="W37" s="861">
        <f>Cashflow!W120</f>
        <v>2037</v>
      </c>
      <c r="X37" s="861">
        <f>Cashflow!X120</f>
        <v>2038</v>
      </c>
      <c r="Y37" s="861">
        <f>Cashflow!Y120</f>
        <v>2039</v>
      </c>
      <c r="Z37" s="861">
        <f>Cashflow!Z120</f>
        <v>2040</v>
      </c>
      <c r="AA37" s="861">
        <f>Cashflow!AA120</f>
        <v>2041</v>
      </c>
      <c r="AB37" s="861">
        <f>Cashflow!AB120</f>
        <v>2042</v>
      </c>
      <c r="AC37" s="861">
        <f>Cashflow!AC120</f>
        <v>2043</v>
      </c>
      <c r="AD37" s="861">
        <f>Cashflow!AD120</f>
        <v>2044</v>
      </c>
      <c r="AE37" s="861">
        <f>Cashflow!AE120</f>
        <v>2045</v>
      </c>
      <c r="AF37" s="861">
        <f>Cashflow!AF120</f>
        <v>2046</v>
      </c>
      <c r="AG37" s="861">
        <f>Cashflow!AG120</f>
        <v>2047</v>
      </c>
      <c r="AH37" s="928"/>
      <c r="AI37" s="358"/>
      <c r="AJ37" s="358"/>
      <c r="AK37" s="358"/>
      <c r="AL37" s="358"/>
      <c r="AM37" s="358"/>
      <c r="AN37" s="358"/>
      <c r="AO37" s="358"/>
      <c r="AP37" s="358"/>
      <c r="AQ37" s="358"/>
      <c r="AR37" s="358"/>
      <c r="AS37" s="358"/>
      <c r="AT37" s="358"/>
      <c r="AU37" s="358"/>
      <c r="AV37" s="358"/>
      <c r="AW37" s="358"/>
      <c r="AX37" s="358"/>
      <c r="AY37" s="358"/>
      <c r="AZ37" s="358"/>
    </row>
    <row r="38" spans="1:52">
      <c r="A38" s="861"/>
      <c r="B38" s="1116"/>
      <c r="C38" s="861"/>
      <c r="D38" s="861"/>
      <c r="E38" s="861"/>
      <c r="F38" s="861"/>
      <c r="G38" s="861"/>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61"/>
      <c r="AG38" s="861"/>
      <c r="AH38" s="928"/>
      <c r="AI38" s="358"/>
      <c r="AJ38" s="358"/>
      <c r="AK38" s="358"/>
      <c r="AL38" s="358"/>
      <c r="AM38" s="358"/>
      <c r="AN38" s="358"/>
      <c r="AO38" s="358"/>
      <c r="AP38" s="358"/>
      <c r="AQ38" s="358"/>
      <c r="AR38" s="358"/>
      <c r="AS38" s="358"/>
      <c r="AT38" s="358"/>
      <c r="AU38" s="358"/>
      <c r="AV38" s="358"/>
      <c r="AW38" s="358"/>
      <c r="AX38" s="358"/>
      <c r="AY38" s="358"/>
      <c r="AZ38" s="358"/>
    </row>
    <row r="39" spans="1:52">
      <c r="A39" s="858"/>
      <c r="B39" s="1116" t="str">
        <f>Cashflow!B122</f>
        <v>New prod/inj well clusters constructed</v>
      </c>
      <c r="C39" s="861" t="e">
        <f>IF(Cashflow!C122=0,#N/A,0)</f>
        <v>#N/A</v>
      </c>
      <c r="D39" s="861" t="e">
        <f>IF(Cashflow!D122=0,#N/A,0)</f>
        <v>#N/A</v>
      </c>
      <c r="E39" s="861" t="e">
        <f>IF(Cashflow!E122=0,#N/A,0)</f>
        <v>#N/A</v>
      </c>
      <c r="F39" s="861">
        <f>IF(Cashflow!F122=0,#N/A,0)</f>
        <v>0</v>
      </c>
      <c r="G39" s="861" t="e">
        <f>IF(Cashflow!G122=0,#N/A,0)</f>
        <v>#N/A</v>
      </c>
      <c r="H39" s="861" t="e">
        <f>IF(Cashflow!H122=0,#N/A,0)</f>
        <v>#N/A</v>
      </c>
      <c r="I39" s="861" t="e">
        <f>IF(Cashflow!I122=0,#N/A,0)</f>
        <v>#N/A</v>
      </c>
      <c r="J39" s="861">
        <f>IF(Cashflow!J122=0,#N/A,0)</f>
        <v>0</v>
      </c>
      <c r="K39" s="861">
        <f>IF(Cashflow!K122=0,#N/A,0)</f>
        <v>0</v>
      </c>
      <c r="L39" s="861" t="e">
        <f ca="1">IF(Cashflow!L122=0,#N/A,0)</f>
        <v>#N/A</v>
      </c>
      <c r="M39" s="861">
        <f ca="1">IF(Cashflow!M122=0,#N/A,0)</f>
        <v>0</v>
      </c>
      <c r="N39" s="861">
        <f ca="1">IF(Cashflow!N122=0,#N/A,0)</f>
        <v>0</v>
      </c>
      <c r="O39" s="861" t="e">
        <f ca="1">IF(Cashflow!O122=0,#N/A,0)</f>
        <v>#N/A</v>
      </c>
      <c r="P39" s="861" t="e">
        <f ca="1">IF(Cashflow!P122=0,#N/A,0)</f>
        <v>#N/A</v>
      </c>
      <c r="Q39" s="861" t="e">
        <f ca="1">IF(Cashflow!Q122=0,#N/A,0)</f>
        <v>#N/A</v>
      </c>
      <c r="R39" s="861" t="e">
        <f ca="1">IF(Cashflow!R122=0,#N/A,0)</f>
        <v>#N/A</v>
      </c>
      <c r="S39" s="861" t="e">
        <f ca="1">IF(Cashflow!S122=0,#N/A,0)</f>
        <v>#N/A</v>
      </c>
      <c r="T39" s="861" t="e">
        <f ca="1">IF(Cashflow!T122=0,#N/A,0)</f>
        <v>#N/A</v>
      </c>
      <c r="U39" s="861" t="e">
        <f ca="1">IF(Cashflow!U122=0,#N/A,0)</f>
        <v>#N/A</v>
      </c>
      <c r="V39" s="861" t="e">
        <f ca="1">IF(Cashflow!V122=0,#N/A,0)</f>
        <v>#N/A</v>
      </c>
      <c r="W39" s="861" t="e">
        <f ca="1">IF(Cashflow!W122=0,#N/A,0)</f>
        <v>#N/A</v>
      </c>
      <c r="X39" s="861" t="e">
        <f ca="1">IF(Cashflow!X122=0,#N/A,0)</f>
        <v>#N/A</v>
      </c>
      <c r="Y39" s="861" t="e">
        <f ca="1">IF(Cashflow!Y122=0,#N/A,0)</f>
        <v>#N/A</v>
      </c>
      <c r="Z39" s="861" t="e">
        <f ca="1">IF(Cashflow!Z122=0,#N/A,0)</f>
        <v>#N/A</v>
      </c>
      <c r="AA39" s="861" t="e">
        <f ca="1">IF(Cashflow!AA122=0,#N/A,0)</f>
        <v>#N/A</v>
      </c>
      <c r="AB39" s="861" t="e">
        <f ca="1">IF(Cashflow!AB122=0,#N/A,0)</f>
        <v>#N/A</v>
      </c>
      <c r="AC39" s="861" t="e">
        <f ca="1">IF(Cashflow!AC122=0,#N/A,0)</f>
        <v>#N/A</v>
      </c>
      <c r="AD39" s="861" t="e">
        <f ca="1">IF(Cashflow!AD122=0,#N/A,0)</f>
        <v>#N/A</v>
      </c>
      <c r="AE39" s="861" t="e">
        <f ca="1">IF(Cashflow!AE122=0,#N/A,0)</f>
        <v>#N/A</v>
      </c>
      <c r="AF39" s="861" t="e">
        <f ca="1">IF(Cashflow!AF122=0,#N/A,0)</f>
        <v>#N/A</v>
      </c>
      <c r="AG39" s="861" t="e">
        <f ca="1">IF(Cashflow!AG122=0,#N/A,0)</f>
        <v>#N/A</v>
      </c>
      <c r="AH39" s="929"/>
      <c r="AI39" s="553"/>
      <c r="AJ39" s="553"/>
      <c r="AK39" s="553"/>
      <c r="AL39" s="553"/>
      <c r="AM39" s="553"/>
      <c r="AN39" s="553"/>
      <c r="AO39" s="553"/>
      <c r="AP39" s="553"/>
      <c r="AQ39" s="553"/>
      <c r="AR39" s="553"/>
      <c r="AS39" s="553"/>
      <c r="AT39" s="553"/>
      <c r="AU39" s="553"/>
      <c r="AV39" s="553"/>
      <c r="AW39" s="553"/>
      <c r="AX39" s="553"/>
      <c r="AY39" s="553"/>
      <c r="AZ39" s="553"/>
    </row>
    <row r="40" spans="1:52">
      <c r="A40" s="861"/>
      <c r="B40" s="1116" t="str">
        <f>Cashflow!B124</f>
        <v>New well cluster capex in yr of prod</v>
      </c>
      <c r="C40" s="861" t="e">
        <f>IF(Cashflow!C124=0,#N/A,0)</f>
        <v>#N/A</v>
      </c>
      <c r="D40" s="861" t="e">
        <f>IF(Cashflow!D124=0,#N/A,0)</f>
        <v>#N/A</v>
      </c>
      <c r="E40" s="861" t="e">
        <f>IF(Cashflow!E124=0,#N/A,0)</f>
        <v>#N/A</v>
      </c>
      <c r="F40" s="861" t="e">
        <f>IF(Cashflow!F124=0,#N/A,0)</f>
        <v>#N/A</v>
      </c>
      <c r="G40" s="861" t="e">
        <f>IF(Cashflow!G124=0,#N/A,0)</f>
        <v>#N/A</v>
      </c>
      <c r="H40" s="861" t="e">
        <f>IF(Cashflow!H124=0,#N/A,0)</f>
        <v>#N/A</v>
      </c>
      <c r="I40" s="861" t="e">
        <f>IF(Cashflow!I124=0,#N/A,0)</f>
        <v>#N/A</v>
      </c>
      <c r="J40" s="861">
        <f>IF(Cashflow!J124=0,#N/A,0)</f>
        <v>0</v>
      </c>
      <c r="K40" s="861">
        <f>IF(Cashflow!K124=0,#N/A,0)</f>
        <v>0</v>
      </c>
      <c r="L40" s="861" t="e">
        <f ca="1">IF(Cashflow!L124=0,#N/A,0)</f>
        <v>#N/A</v>
      </c>
      <c r="M40" s="861">
        <f ca="1">IF(Cashflow!M124=0,#N/A,0)</f>
        <v>0</v>
      </c>
      <c r="N40" s="861">
        <f ca="1">IF(Cashflow!N124=0,#N/A,0)</f>
        <v>0</v>
      </c>
      <c r="O40" s="861" t="e">
        <f ca="1">IF(Cashflow!O124=0,#N/A,0)</f>
        <v>#N/A</v>
      </c>
      <c r="P40" s="861" t="e">
        <f ca="1">IF(Cashflow!P124=0,#N/A,0)</f>
        <v>#N/A</v>
      </c>
      <c r="Q40" s="861" t="e">
        <f ca="1">IF(Cashflow!Q124=0,#N/A,0)</f>
        <v>#N/A</v>
      </c>
      <c r="R40" s="861" t="e">
        <f ca="1">IF(Cashflow!R124=0,#N/A,0)</f>
        <v>#N/A</v>
      </c>
      <c r="S40" s="861" t="e">
        <f ca="1">IF(Cashflow!S124=0,#N/A,0)</f>
        <v>#N/A</v>
      </c>
      <c r="T40" s="861" t="e">
        <f ca="1">IF(Cashflow!T124=0,#N/A,0)</f>
        <v>#N/A</v>
      </c>
      <c r="U40" s="861" t="e">
        <f ca="1">IF(Cashflow!U124=0,#N/A,0)</f>
        <v>#N/A</v>
      </c>
      <c r="V40" s="861" t="e">
        <f ca="1">IF(Cashflow!V124=0,#N/A,0)</f>
        <v>#N/A</v>
      </c>
      <c r="W40" s="861" t="e">
        <f ca="1">IF(Cashflow!W124=0,#N/A,0)</f>
        <v>#N/A</v>
      </c>
      <c r="X40" s="861" t="e">
        <f ca="1">IF(Cashflow!X124=0,#N/A,0)</f>
        <v>#N/A</v>
      </c>
      <c r="Y40" s="861" t="e">
        <f ca="1">IF(Cashflow!Y124=0,#N/A,0)</f>
        <v>#N/A</v>
      </c>
      <c r="Z40" s="861" t="e">
        <f ca="1">IF(Cashflow!Z124=0,#N/A,0)</f>
        <v>#N/A</v>
      </c>
      <c r="AA40" s="861" t="e">
        <f ca="1">IF(Cashflow!AA124=0,#N/A,0)</f>
        <v>#N/A</v>
      </c>
      <c r="AB40" s="861" t="e">
        <f ca="1">IF(Cashflow!AB124=0,#N/A,0)</f>
        <v>#N/A</v>
      </c>
      <c r="AC40" s="861" t="e">
        <f ca="1">IF(Cashflow!AC124=0,#N/A,0)</f>
        <v>#N/A</v>
      </c>
      <c r="AD40" s="861" t="e">
        <f ca="1">IF(Cashflow!AD124=0,#N/A,0)</f>
        <v>#N/A</v>
      </c>
      <c r="AE40" s="861" t="e">
        <f ca="1">IF(Cashflow!AE124=0,#N/A,0)</f>
        <v>#N/A</v>
      </c>
      <c r="AF40" s="861" t="e">
        <f ca="1">IF(Cashflow!AF124=0,#N/A,0)</f>
        <v>#N/A</v>
      </c>
      <c r="AG40" s="861" t="e">
        <f ca="1">IF(Cashflow!AG124=0,#N/A,0)</f>
        <v>#N/A</v>
      </c>
      <c r="AH40" s="928"/>
      <c r="AI40" s="358"/>
      <c r="AJ40" s="358"/>
      <c r="AK40" s="358"/>
      <c r="AL40" s="358"/>
      <c r="AM40" s="358"/>
      <c r="AN40" s="358"/>
      <c r="AO40" s="358"/>
      <c r="AP40" s="358"/>
      <c r="AQ40" s="358"/>
      <c r="AR40" s="358"/>
      <c r="AS40" s="358"/>
      <c r="AT40" s="358"/>
      <c r="AU40" s="358"/>
      <c r="AV40" s="358"/>
      <c r="AW40" s="358"/>
      <c r="AX40" s="358"/>
      <c r="AY40" s="358"/>
      <c r="AZ40" s="358"/>
    </row>
    <row r="41" spans="1:52">
      <c r="A41" s="929"/>
      <c r="B41" s="928"/>
      <c r="C41" s="928"/>
      <c r="D41" s="928"/>
      <c r="E41" s="928"/>
      <c r="F41" s="928"/>
      <c r="G41" s="928"/>
      <c r="H41" s="928"/>
      <c r="I41" s="928"/>
      <c r="J41" s="928"/>
      <c r="K41" s="928"/>
      <c r="L41" s="928"/>
      <c r="M41" s="928"/>
      <c r="N41" s="928"/>
      <c r="O41" s="928"/>
      <c r="P41" s="928"/>
      <c r="Q41" s="928"/>
      <c r="R41" s="928"/>
      <c r="S41" s="928"/>
      <c r="T41" s="928"/>
      <c r="U41" s="928"/>
      <c r="V41" s="928"/>
      <c r="W41" s="928"/>
      <c r="X41" s="928"/>
      <c r="Y41" s="358"/>
      <c r="Z41" s="358"/>
      <c r="AA41" s="358"/>
      <c r="AB41" s="358"/>
      <c r="AC41" s="358"/>
      <c r="AD41" s="358"/>
      <c r="AE41" s="358"/>
      <c r="AF41" s="358"/>
      <c r="AG41" s="358"/>
      <c r="AH41" s="358"/>
      <c r="AI41" s="358"/>
      <c r="AJ41" s="358"/>
      <c r="AK41" s="358"/>
      <c r="AL41" s="358"/>
      <c r="AM41" s="358"/>
      <c r="AN41" s="358"/>
      <c r="AO41" s="358"/>
      <c r="AP41" s="358"/>
      <c r="AQ41" s="358"/>
      <c r="AR41" s="358"/>
      <c r="AS41" s="358"/>
      <c r="AT41" s="358"/>
      <c r="AU41" s="358"/>
      <c r="AV41" s="358"/>
      <c r="AW41" s="358"/>
      <c r="AX41" s="358"/>
      <c r="AY41" s="358"/>
      <c r="AZ41" s="358"/>
    </row>
    <row r="42" spans="1:52">
      <c r="A42" s="928"/>
      <c r="B42" s="928"/>
      <c r="C42" s="928"/>
      <c r="D42" s="928"/>
      <c r="E42" s="928"/>
      <c r="F42" s="928"/>
      <c r="G42" s="928"/>
      <c r="H42" s="928"/>
      <c r="I42" s="928"/>
      <c r="J42" s="928"/>
      <c r="K42" s="928"/>
      <c r="L42" s="928"/>
      <c r="M42" s="928"/>
      <c r="N42" s="928"/>
      <c r="O42" s="928"/>
      <c r="P42" s="928"/>
      <c r="Q42" s="928"/>
      <c r="R42" s="928"/>
      <c r="S42" s="928"/>
      <c r="T42" s="928"/>
      <c r="U42" s="928"/>
      <c r="V42" s="928"/>
      <c r="W42" s="928"/>
      <c r="X42" s="928"/>
      <c r="Y42" s="358"/>
      <c r="Z42" s="358"/>
      <c r="AA42" s="553"/>
      <c r="AB42" s="553"/>
      <c r="AC42" s="553"/>
      <c r="AD42" s="553"/>
      <c r="AE42" s="553"/>
      <c r="AF42" s="553"/>
      <c r="AG42" s="553"/>
      <c r="AH42" s="553"/>
      <c r="AI42" s="553"/>
      <c r="AJ42" s="553"/>
      <c r="AK42" s="553"/>
      <c r="AL42" s="553"/>
      <c r="AM42" s="553"/>
      <c r="AN42" s="553"/>
      <c r="AO42" s="553"/>
      <c r="AP42" s="553"/>
      <c r="AQ42" s="553"/>
      <c r="AR42" s="553"/>
      <c r="AS42" s="553"/>
      <c r="AT42" s="553"/>
      <c r="AU42" s="553"/>
      <c r="AV42" s="553"/>
      <c r="AW42" s="553"/>
      <c r="AX42" s="553"/>
      <c r="AY42" s="553"/>
      <c r="AZ42" s="553"/>
    </row>
    <row r="43" spans="1:52">
      <c r="A43" s="929"/>
      <c r="B43" s="928"/>
      <c r="C43" s="929"/>
      <c r="D43" s="928"/>
      <c r="E43" s="929"/>
      <c r="F43" s="928"/>
      <c r="G43" s="929"/>
      <c r="H43" s="928"/>
      <c r="I43" s="929"/>
      <c r="J43" s="928"/>
      <c r="K43" s="929"/>
      <c r="L43" s="928"/>
      <c r="M43" s="929"/>
      <c r="N43" s="928"/>
      <c r="O43" s="929"/>
      <c r="P43" s="928"/>
      <c r="Q43" s="929"/>
      <c r="R43" s="928"/>
      <c r="S43" s="929"/>
      <c r="T43" s="928"/>
      <c r="U43" s="929"/>
      <c r="V43" s="928"/>
      <c r="W43" s="929"/>
      <c r="X43" s="928"/>
      <c r="Y43" s="553"/>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row>
    <row r="44" spans="1:52">
      <c r="A44" s="928"/>
      <c r="B44" s="928"/>
      <c r="C44" s="928"/>
      <c r="D44" s="928"/>
      <c r="E44" s="928"/>
      <c r="F44" s="928"/>
      <c r="G44" s="928"/>
      <c r="H44" s="928"/>
      <c r="I44" s="928"/>
      <c r="J44" s="928"/>
      <c r="K44" s="928"/>
      <c r="L44" s="928"/>
      <c r="M44" s="928"/>
      <c r="N44" s="928"/>
      <c r="O44" s="928"/>
      <c r="P44" s="928"/>
      <c r="Q44" s="928"/>
      <c r="R44" s="928"/>
      <c r="S44" s="928"/>
      <c r="T44" s="928"/>
      <c r="U44" s="928"/>
      <c r="V44" s="928"/>
      <c r="W44" s="928"/>
      <c r="X44" s="928"/>
      <c r="Y44" s="358"/>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row>
    <row r="45" spans="1:52">
      <c r="A45" s="553"/>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553"/>
      <c r="AB45" s="553"/>
      <c r="AC45" s="553"/>
      <c r="AD45" s="553"/>
      <c r="AE45" s="553"/>
      <c r="AF45" s="553"/>
      <c r="AG45" s="553"/>
      <c r="AH45" s="553"/>
      <c r="AI45" s="553"/>
      <c r="AJ45" s="553"/>
      <c r="AK45" s="553"/>
      <c r="AL45" s="553"/>
      <c r="AM45" s="553"/>
      <c r="AN45" s="553"/>
      <c r="AO45" s="553"/>
      <c r="AP45" s="553"/>
      <c r="AQ45" s="553"/>
      <c r="AR45" s="553"/>
      <c r="AS45" s="553"/>
      <c r="AT45" s="553"/>
      <c r="AU45" s="553"/>
      <c r="AV45" s="553"/>
      <c r="AW45" s="553"/>
      <c r="AX45" s="553"/>
      <c r="AY45" s="553"/>
      <c r="AZ45" s="553"/>
    </row>
    <row r="46" spans="1:52">
      <c r="A46" s="358"/>
      <c r="B46" s="358"/>
      <c r="C46" s="553"/>
      <c r="D46" s="358"/>
      <c r="E46" s="553"/>
      <c r="F46" s="358"/>
      <c r="G46" s="553"/>
      <c r="H46" s="358"/>
      <c r="I46" s="553"/>
      <c r="J46" s="358"/>
      <c r="K46" s="553"/>
      <c r="L46" s="358"/>
      <c r="M46" s="553"/>
      <c r="N46" s="358"/>
      <c r="O46" s="553"/>
      <c r="P46" s="358"/>
      <c r="Q46" s="553"/>
      <c r="R46" s="358"/>
      <c r="S46" s="553"/>
      <c r="T46" s="358"/>
      <c r="U46" s="553"/>
      <c r="V46" s="358"/>
      <c r="W46" s="553"/>
      <c r="X46" s="358"/>
      <c r="Y46" s="553"/>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358"/>
    </row>
    <row r="47" spans="1:52">
      <c r="A47" s="553"/>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358"/>
    </row>
    <row r="48" spans="1:52">
      <c r="A48" s="358"/>
      <c r="B48" s="358"/>
      <c r="C48" s="358"/>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553"/>
      <c r="AB48" s="553"/>
      <c r="AC48" s="553"/>
      <c r="AD48" s="553"/>
      <c r="AE48" s="553"/>
      <c r="AF48" s="553"/>
      <c r="AG48" s="553"/>
      <c r="AH48" s="553"/>
      <c r="AI48" s="553"/>
      <c r="AJ48" s="553"/>
      <c r="AK48" s="553"/>
      <c r="AL48" s="553"/>
      <c r="AM48" s="553"/>
      <c r="AN48" s="553"/>
      <c r="AO48" s="553"/>
      <c r="AP48" s="553"/>
      <c r="AQ48" s="553"/>
      <c r="AR48" s="553"/>
      <c r="AS48" s="553"/>
      <c r="AT48" s="553"/>
      <c r="AU48" s="553"/>
      <c r="AV48" s="553"/>
      <c r="AW48" s="553"/>
      <c r="AX48" s="553"/>
      <c r="AY48" s="553"/>
      <c r="AZ48" s="553"/>
    </row>
    <row r="49" spans="1:52">
      <c r="A49" s="553"/>
      <c r="B49" s="358"/>
      <c r="C49" s="553"/>
      <c r="D49" s="358"/>
      <c r="E49" s="553"/>
      <c r="F49" s="358"/>
      <c r="G49" s="553"/>
      <c r="H49" s="358"/>
      <c r="I49" s="553"/>
      <c r="J49" s="358"/>
      <c r="K49" s="553"/>
      <c r="L49" s="358"/>
      <c r="M49" s="553"/>
      <c r="N49" s="358"/>
      <c r="O49" s="553"/>
      <c r="P49" s="358"/>
      <c r="Q49" s="553"/>
      <c r="R49" s="358"/>
      <c r="S49" s="553"/>
      <c r="T49" s="358"/>
      <c r="U49" s="553"/>
      <c r="V49" s="358"/>
      <c r="W49" s="553"/>
      <c r="X49" s="358"/>
      <c r="Y49" s="553"/>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row>
    <row r="50" spans="1:52">
      <c r="A50" s="358"/>
      <c r="B50" s="358"/>
      <c r="C50" s="358"/>
      <c r="D50" s="358"/>
      <c r="E50" s="358"/>
      <c r="F50" s="358"/>
      <c r="G50" s="358"/>
      <c r="H50" s="358"/>
      <c r="I50" s="358"/>
      <c r="J50" s="358"/>
      <c r="K50" s="358"/>
      <c r="L50" s="358"/>
      <c r="M50" s="358"/>
      <c r="N50" s="358"/>
      <c r="O50" s="358"/>
      <c r="P50" s="358"/>
      <c r="Q50" s="358"/>
      <c r="R50" s="358"/>
      <c r="S50" s="358"/>
      <c r="T50" s="358"/>
      <c r="U50" s="358"/>
      <c r="V50" s="358"/>
      <c r="W50" s="358"/>
      <c r="X50" s="358"/>
      <c r="Y50" s="358"/>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row>
    <row r="51" spans="1:52">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row>
    <row r="52" spans="1:52">
      <c r="A52" s="358"/>
      <c r="B52" s="358"/>
      <c r="C52" s="358"/>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row>
    <row r="53" spans="1:52">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row>
    <row r="54" spans="1:52">
      <c r="A54" s="358"/>
      <c r="B54" s="358"/>
      <c r="C54" s="358"/>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c r="AV54" s="358"/>
      <c r="AW54" s="358"/>
      <c r="AX54" s="358"/>
      <c r="AY54" s="358"/>
      <c r="AZ54" s="358"/>
    </row>
    <row r="55" spans="1:52">
      <c r="A55" s="358"/>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358"/>
    </row>
    <row r="56" spans="1:52">
      <c r="A56" s="358"/>
      <c r="B56" s="358"/>
      <c r="C56" s="358"/>
      <c r="D56" s="358"/>
      <c r="E56" s="358"/>
      <c r="F56" s="358"/>
      <c r="G56" s="358"/>
      <c r="H56" s="358"/>
      <c r="I56" s="358"/>
      <c r="J56" s="358"/>
      <c r="K56" s="358"/>
      <c r="L56" s="358"/>
      <c r="M56" s="358"/>
      <c r="N56" s="358"/>
      <c r="O56" s="358"/>
      <c r="P56" s="358"/>
      <c r="Q56" s="358"/>
      <c r="R56" s="358"/>
      <c r="S56" s="358"/>
      <c r="T56" s="358"/>
      <c r="U56" s="358"/>
      <c r="V56" s="358"/>
      <c r="W56" s="358"/>
      <c r="X56" s="358"/>
      <c r="Y56" s="358"/>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row>
    <row r="57" spans="1:52">
      <c r="A57" s="358"/>
      <c r="B57" s="358"/>
      <c r="C57" s="358"/>
      <c r="D57" s="358"/>
      <c r="E57" s="358"/>
      <c r="F57" s="358"/>
      <c r="G57" s="358"/>
      <c r="H57" s="358"/>
      <c r="I57" s="358"/>
      <c r="J57" s="358"/>
      <c r="K57" s="358"/>
      <c r="L57" s="358"/>
      <c r="M57" s="358"/>
      <c r="N57" s="358"/>
      <c r="O57" s="358"/>
      <c r="P57" s="358"/>
      <c r="Q57" s="358"/>
      <c r="R57" s="358"/>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c r="AV57" s="358"/>
      <c r="AW57" s="358"/>
      <c r="AX57" s="358"/>
      <c r="AY57" s="358"/>
      <c r="AZ57" s="358"/>
    </row>
    <row r="58" spans="1:52">
      <c r="A58" s="358"/>
      <c r="B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row>
    <row r="59" spans="1:52">
      <c r="A59" s="35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58"/>
    </row>
    <row r="60" spans="1:52">
      <c r="A60" s="358"/>
      <c r="B60" s="358"/>
      <c r="C60" s="358"/>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58"/>
      <c r="AZ60" s="358"/>
    </row>
    <row r="61" spans="1:52">
      <c r="A61" s="358"/>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row>
    <row r="62" spans="1:52">
      <c r="A62" s="358"/>
      <c r="B62" s="358"/>
      <c r="C62" s="358"/>
      <c r="D62" s="358"/>
      <c r="E62" s="358"/>
      <c r="F62" s="358"/>
      <c r="G62" s="358"/>
      <c r="H62" s="358"/>
      <c r="I62" s="358"/>
      <c r="J62" s="358"/>
      <c r="K62" s="358"/>
      <c r="L62" s="358"/>
      <c r="M62" s="358"/>
      <c r="N62" s="358"/>
      <c r="O62" s="358"/>
      <c r="P62" s="358"/>
      <c r="Q62" s="358"/>
      <c r="R62" s="358"/>
      <c r="S62" s="358"/>
      <c r="T62" s="358"/>
      <c r="U62" s="358"/>
      <c r="V62" s="358"/>
      <c r="W62" s="358"/>
      <c r="X62" s="358"/>
      <c r="Y62" s="358"/>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58"/>
      <c r="AZ62" s="358"/>
    </row>
    <row r="63" spans="1:52">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c r="AV63" s="358"/>
      <c r="AW63" s="358"/>
      <c r="AX63" s="358"/>
      <c r="AY63" s="358"/>
      <c r="AZ63" s="358"/>
    </row>
    <row r="64" spans="1:52">
      <c r="A64" s="358"/>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row>
    <row r="65" spans="1:52">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row>
    <row r="66" spans="1:52">
      <c r="A66" s="358"/>
      <c r="B66" s="358"/>
      <c r="C66" s="358"/>
      <c r="D66" s="358"/>
      <c r="E66" s="358"/>
      <c r="F66" s="358"/>
      <c r="G66" s="358"/>
      <c r="H66" s="358"/>
      <c r="I66" s="358"/>
      <c r="J66" s="358"/>
      <c r="K66" s="358"/>
      <c r="L66" s="358"/>
      <c r="M66" s="358"/>
      <c r="N66" s="358"/>
      <c r="O66" s="358"/>
      <c r="P66" s="358"/>
      <c r="Q66" s="358"/>
      <c r="R66" s="358"/>
      <c r="S66" s="358"/>
      <c r="T66" s="358"/>
      <c r="U66" s="358"/>
      <c r="V66" s="358"/>
      <c r="W66" s="358"/>
      <c r="X66" s="358"/>
      <c r="Y66" s="358"/>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row>
    <row r="67" spans="1:52">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row>
    <row r="68" spans="1:52">
      <c r="A68" s="358"/>
      <c r="B68" s="358"/>
      <c r="C68" s="358"/>
      <c r="D68" s="358"/>
      <c r="E68" s="358"/>
      <c r="F68" s="358"/>
      <c r="G68" s="358"/>
      <c r="H68" s="358"/>
      <c r="I68" s="358"/>
      <c r="J68" s="358"/>
      <c r="K68" s="358"/>
      <c r="L68" s="358"/>
      <c r="M68" s="358"/>
      <c r="N68" s="358"/>
      <c r="O68" s="358"/>
      <c r="P68" s="358"/>
      <c r="Q68" s="358"/>
      <c r="R68" s="358"/>
      <c r="S68" s="358"/>
      <c r="T68" s="358"/>
      <c r="U68" s="358"/>
      <c r="V68" s="358"/>
      <c r="W68" s="358"/>
      <c r="X68" s="358"/>
      <c r="Y68" s="358"/>
      <c r="Z68" s="358"/>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row>
    <row r="69" spans="1:52">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row>
    <row r="70" spans="1:52">
      <c r="A70" s="358"/>
      <c r="B70" s="358"/>
      <c r="C70" s="358"/>
      <c r="D70" s="358"/>
      <c r="E70" s="358"/>
      <c r="F70" s="358"/>
      <c r="G70" s="358"/>
      <c r="H70" s="358"/>
      <c r="I70" s="358"/>
      <c r="J70" s="358"/>
      <c r="K70" s="358"/>
      <c r="L70" s="358"/>
      <c r="M70" s="358"/>
      <c r="N70" s="358"/>
      <c r="O70" s="358"/>
      <c r="P70" s="358"/>
      <c r="Q70" s="358"/>
      <c r="R70" s="358"/>
      <c r="S70" s="358"/>
      <c r="T70" s="358"/>
      <c r="U70" s="358"/>
      <c r="V70" s="358"/>
      <c r="W70" s="358"/>
      <c r="X70" s="358"/>
      <c r="Y70" s="358"/>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row>
    <row r="71" spans="1:52">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c r="AV71" s="358"/>
      <c r="AW71" s="358"/>
      <c r="AX71" s="358"/>
      <c r="AY71" s="358"/>
      <c r="AZ71" s="358"/>
    </row>
    <row r="72" spans="1:52">
      <c r="A72" s="358"/>
      <c r="B72" s="358"/>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row>
    <row r="73" spans="1:52">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row>
    <row r="74" spans="1:52">
      <c r="A74" s="358"/>
      <c r="B74" s="358"/>
      <c r="C74" s="358"/>
      <c r="D74" s="358"/>
      <c r="E74" s="358"/>
      <c r="F74" s="358"/>
      <c r="G74" s="358"/>
      <c r="H74" s="358"/>
      <c r="I74" s="358"/>
      <c r="J74" s="358"/>
      <c r="K74" s="358"/>
      <c r="L74" s="358"/>
      <c r="M74" s="358"/>
      <c r="N74" s="358"/>
      <c r="O74" s="358"/>
      <c r="P74" s="358"/>
      <c r="Q74" s="358"/>
      <c r="R74" s="358"/>
      <c r="S74" s="358"/>
      <c r="T74" s="358"/>
      <c r="U74" s="358"/>
      <c r="V74" s="358"/>
      <c r="W74" s="358"/>
      <c r="X74" s="358"/>
      <c r="Y74" s="358"/>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row>
    <row r="75" spans="1:52">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row>
    <row r="76" spans="1:52">
      <c r="A76" s="358"/>
      <c r="B76" s="358"/>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row>
    <row r="77" spans="1:52">
      <c r="A77" s="35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row>
    <row r="78" spans="1:52">
      <c r="A78" s="358"/>
      <c r="B78" s="358"/>
      <c r="C78" s="358"/>
      <c r="D78" s="358"/>
      <c r="E78" s="358"/>
      <c r="F78" s="358"/>
      <c r="G78" s="358"/>
      <c r="H78" s="358"/>
      <c r="I78" s="358"/>
      <c r="J78" s="358"/>
      <c r="K78" s="358"/>
      <c r="L78" s="358"/>
      <c r="M78" s="358"/>
      <c r="N78" s="358"/>
      <c r="O78" s="358"/>
      <c r="P78" s="358"/>
      <c r="Q78" s="358"/>
      <c r="R78" s="358"/>
      <c r="S78" s="358"/>
      <c r="T78" s="358"/>
      <c r="U78" s="358"/>
      <c r="V78" s="358"/>
      <c r="W78" s="358"/>
      <c r="X78" s="358"/>
      <c r="Y78" s="358"/>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row>
    <row r="79" spans="1:52">
      <c r="A79" s="35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58"/>
      <c r="AO79" s="358"/>
      <c r="AP79" s="358"/>
      <c r="AQ79" s="358"/>
      <c r="AR79" s="358"/>
      <c r="AS79" s="358"/>
      <c r="AT79" s="358"/>
      <c r="AU79" s="358"/>
      <c r="AV79" s="358"/>
      <c r="AW79" s="358"/>
      <c r="AX79" s="358"/>
      <c r="AY79" s="358"/>
      <c r="AZ79" s="358"/>
    </row>
    <row r="80" spans="1:52">
      <c r="A80" s="358"/>
      <c r="B80" s="358"/>
      <c r="C80" s="358"/>
      <c r="D80" s="358"/>
      <c r="E80" s="358"/>
      <c r="F80" s="358"/>
      <c r="G80" s="358"/>
      <c r="H80" s="358"/>
      <c r="I80" s="358"/>
      <c r="J80" s="358"/>
      <c r="K80" s="358"/>
      <c r="L80" s="358"/>
      <c r="M80" s="358"/>
      <c r="N80" s="358"/>
      <c r="O80" s="358"/>
      <c r="P80" s="358"/>
      <c r="Q80" s="358"/>
      <c r="R80" s="358"/>
      <c r="S80" s="358"/>
      <c r="T80" s="358"/>
      <c r="U80" s="358"/>
      <c r="V80" s="358"/>
      <c r="W80" s="358"/>
      <c r="X80" s="358"/>
      <c r="Y80" s="358"/>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row>
    <row r="81" spans="1:52">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row>
    <row r="82" spans="1:52">
      <c r="A82" s="358"/>
      <c r="B82" s="358"/>
      <c r="C82" s="358"/>
      <c r="D82" s="358"/>
      <c r="E82" s="358"/>
      <c r="F82" s="358"/>
      <c r="G82" s="358"/>
      <c r="H82" s="358"/>
      <c r="I82" s="358"/>
      <c r="J82" s="358"/>
      <c r="K82" s="358"/>
      <c r="L82" s="358"/>
      <c r="M82" s="358"/>
      <c r="N82" s="358"/>
      <c r="O82" s="358"/>
      <c r="P82" s="358"/>
      <c r="Q82" s="358"/>
      <c r="R82" s="358"/>
      <c r="S82" s="358"/>
      <c r="T82" s="358"/>
      <c r="U82" s="358"/>
      <c r="V82" s="358"/>
      <c r="W82" s="358"/>
      <c r="X82" s="358"/>
      <c r="Y82" s="358"/>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row>
    <row r="83" spans="1:52">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row>
    <row r="84" spans="1:52">
      <c r="A84" s="358"/>
      <c r="B84" s="358"/>
      <c r="C84" s="358"/>
      <c r="D84" s="358"/>
      <c r="E84" s="358"/>
      <c r="F84" s="358"/>
      <c r="G84" s="358"/>
      <c r="H84" s="358"/>
      <c r="I84" s="358"/>
      <c r="J84" s="358"/>
      <c r="K84" s="358"/>
      <c r="L84" s="358"/>
      <c r="M84" s="358"/>
      <c r="N84" s="358"/>
      <c r="O84" s="358"/>
      <c r="P84" s="358"/>
      <c r="Q84" s="358"/>
      <c r="R84" s="358"/>
      <c r="S84" s="358"/>
      <c r="T84" s="358"/>
      <c r="U84" s="358"/>
      <c r="V84" s="358"/>
      <c r="W84" s="358"/>
      <c r="X84" s="358"/>
      <c r="Y84" s="358"/>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row>
    <row r="85" spans="1:52">
      <c r="A85" s="35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row>
    <row r="86" spans="1:52">
      <c r="A86" s="358"/>
      <c r="B86" s="358"/>
      <c r="C86" s="358"/>
      <c r="D86" s="358"/>
      <c r="E86" s="358"/>
      <c r="F86" s="358"/>
      <c r="G86" s="358"/>
      <c r="H86" s="358"/>
      <c r="I86" s="358"/>
      <c r="J86" s="358"/>
      <c r="K86" s="358"/>
      <c r="L86" s="358"/>
      <c r="M86" s="358"/>
      <c r="N86" s="358"/>
      <c r="O86" s="358"/>
      <c r="P86" s="358"/>
      <c r="Q86" s="358"/>
      <c r="R86" s="358"/>
      <c r="S86" s="358"/>
      <c r="T86" s="358"/>
      <c r="U86" s="358"/>
      <c r="V86" s="358"/>
      <c r="W86" s="358"/>
      <c r="X86" s="358"/>
      <c r="Y86" s="358"/>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8"/>
      <c r="AY86" s="358"/>
      <c r="AZ86" s="358"/>
    </row>
    <row r="87" spans="1:52">
      <c r="A87" s="35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c r="AS87" s="358"/>
      <c r="AT87" s="358"/>
      <c r="AU87" s="358"/>
      <c r="AV87" s="358"/>
      <c r="AW87" s="358"/>
      <c r="AX87" s="358"/>
      <c r="AY87" s="358"/>
      <c r="AZ87" s="358"/>
    </row>
    <row r="88" spans="1:52">
      <c r="A88" s="358"/>
      <c r="B88" s="358"/>
      <c r="C88" s="358"/>
      <c r="D88" s="358"/>
      <c r="E88" s="358"/>
      <c r="F88" s="358"/>
      <c r="G88" s="358"/>
      <c r="H88" s="358"/>
      <c r="I88" s="358"/>
      <c r="J88" s="358"/>
      <c r="K88" s="358"/>
      <c r="L88" s="358"/>
      <c r="M88" s="358"/>
      <c r="N88" s="358"/>
      <c r="O88" s="358"/>
      <c r="P88" s="358"/>
      <c r="Q88" s="358"/>
      <c r="R88" s="358"/>
      <c r="S88" s="358"/>
      <c r="T88" s="358"/>
      <c r="U88" s="358"/>
      <c r="V88" s="358"/>
      <c r="W88" s="358"/>
      <c r="X88" s="358"/>
      <c r="Y88" s="358"/>
      <c r="Z88" s="358"/>
      <c r="AA88" s="358"/>
      <c r="AB88" s="358"/>
      <c r="AC88" s="358"/>
      <c r="AD88" s="358"/>
      <c r="AE88" s="358"/>
      <c r="AF88" s="358"/>
      <c r="AG88" s="358"/>
      <c r="AH88" s="358"/>
      <c r="AI88" s="358"/>
      <c r="AJ88" s="358"/>
      <c r="AK88" s="358"/>
      <c r="AL88" s="358"/>
      <c r="AM88" s="358"/>
      <c r="AN88" s="358"/>
      <c r="AO88" s="358"/>
      <c r="AP88" s="358"/>
      <c r="AQ88" s="358"/>
      <c r="AR88" s="358"/>
      <c r="AS88" s="358"/>
      <c r="AT88" s="358"/>
      <c r="AU88" s="358"/>
      <c r="AV88" s="358"/>
      <c r="AW88" s="358"/>
      <c r="AX88" s="358"/>
      <c r="AY88" s="358"/>
      <c r="AZ88" s="358"/>
    </row>
    <row r="89" spans="1:52">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58"/>
      <c r="AN89" s="358"/>
      <c r="AO89" s="358"/>
      <c r="AP89" s="358"/>
      <c r="AQ89" s="358"/>
      <c r="AR89" s="358"/>
      <c r="AS89" s="358"/>
      <c r="AT89" s="358"/>
      <c r="AU89" s="358"/>
      <c r="AV89" s="358"/>
      <c r="AW89" s="358"/>
      <c r="AX89" s="358"/>
      <c r="AY89" s="358"/>
      <c r="AZ89" s="358"/>
    </row>
    <row r="90" spans="1:52">
      <c r="A90" s="358"/>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row>
    <row r="91" spans="1:52">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c r="AS91" s="358"/>
      <c r="AT91" s="358"/>
      <c r="AU91" s="358"/>
      <c r="AV91" s="358"/>
      <c r="AW91" s="358"/>
      <c r="AX91" s="358"/>
      <c r="AY91" s="358"/>
      <c r="AZ91" s="358"/>
    </row>
    <row r="92" spans="1:52">
      <c r="A92" s="358"/>
      <c r="B92" s="358"/>
      <c r="C92" s="358"/>
      <c r="D92" s="358"/>
      <c r="E92" s="358"/>
      <c r="F92" s="358"/>
      <c r="G92" s="358"/>
      <c r="H92" s="358"/>
      <c r="I92" s="358"/>
      <c r="J92" s="358"/>
      <c r="K92" s="358"/>
      <c r="L92" s="358"/>
      <c r="M92" s="358"/>
      <c r="N92" s="358"/>
      <c r="O92" s="358"/>
      <c r="P92" s="358"/>
      <c r="Q92" s="358"/>
      <c r="R92" s="358"/>
      <c r="S92" s="358"/>
      <c r="T92" s="358"/>
      <c r="U92" s="358"/>
      <c r="V92" s="358"/>
      <c r="W92" s="358"/>
      <c r="X92" s="358"/>
      <c r="Y92" s="358"/>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row>
    <row r="93" spans="1:52">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58"/>
      <c r="AN93" s="358"/>
      <c r="AO93" s="358"/>
      <c r="AP93" s="358"/>
      <c r="AQ93" s="358"/>
      <c r="AR93" s="358"/>
      <c r="AS93" s="358"/>
      <c r="AT93" s="358"/>
      <c r="AU93" s="358"/>
      <c r="AV93" s="358"/>
      <c r="AW93" s="358"/>
      <c r="AX93" s="358"/>
      <c r="AY93" s="358"/>
      <c r="AZ93" s="358"/>
    </row>
    <row r="94" spans="1:52">
      <c r="A94" s="358"/>
      <c r="B94" s="358"/>
      <c r="C94" s="358"/>
      <c r="D94" s="358"/>
      <c r="E94" s="358"/>
      <c r="F94" s="358"/>
      <c r="G94" s="358"/>
      <c r="H94" s="358"/>
      <c r="I94" s="358"/>
      <c r="J94" s="358"/>
      <c r="K94" s="358"/>
      <c r="L94" s="358"/>
      <c r="M94" s="358"/>
      <c r="N94" s="358"/>
      <c r="O94" s="358"/>
      <c r="P94" s="358"/>
      <c r="Q94" s="358"/>
      <c r="R94" s="358"/>
      <c r="S94" s="358"/>
      <c r="T94" s="358"/>
      <c r="U94" s="358"/>
      <c r="V94" s="358"/>
      <c r="W94" s="358"/>
      <c r="X94" s="358"/>
      <c r="Y94" s="358"/>
      <c r="Z94" s="358"/>
      <c r="AA94" s="358"/>
      <c r="AB94" s="358"/>
      <c r="AC94" s="358"/>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row>
    <row r="95" spans="1:52">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c r="AS95" s="358"/>
      <c r="AT95" s="358"/>
      <c r="AU95" s="358"/>
      <c r="AV95" s="358"/>
      <c r="AW95" s="358"/>
      <c r="AX95" s="358"/>
      <c r="AY95" s="358"/>
      <c r="AZ95" s="358"/>
    </row>
    <row r="96" spans="1:52">
      <c r="A96" s="358"/>
      <c r="B96" s="358"/>
      <c r="C96" s="358"/>
      <c r="D96" s="358"/>
      <c r="E96" s="358"/>
      <c r="F96" s="358"/>
      <c r="G96" s="358"/>
      <c r="H96" s="358"/>
      <c r="I96" s="358"/>
      <c r="J96" s="358"/>
      <c r="K96" s="358"/>
      <c r="L96" s="358"/>
      <c r="M96" s="358"/>
      <c r="N96" s="358"/>
      <c r="O96" s="358"/>
      <c r="P96" s="358"/>
      <c r="Q96" s="358"/>
      <c r="R96" s="358"/>
      <c r="S96" s="358"/>
      <c r="T96" s="358"/>
      <c r="U96" s="358"/>
      <c r="V96" s="358"/>
      <c r="W96" s="358"/>
      <c r="X96" s="358"/>
      <c r="Y96" s="358"/>
      <c r="Z96" s="358"/>
      <c r="AA96" s="358"/>
      <c r="AB96" s="358"/>
      <c r="AC96" s="358"/>
      <c r="AD96" s="358"/>
      <c r="AE96" s="358"/>
      <c r="AF96" s="358"/>
      <c r="AG96" s="358"/>
      <c r="AH96" s="358"/>
      <c r="AI96" s="358"/>
      <c r="AJ96" s="358"/>
      <c r="AK96" s="358"/>
      <c r="AL96" s="358"/>
      <c r="AM96" s="358"/>
      <c r="AN96" s="358"/>
      <c r="AO96" s="358"/>
      <c r="AP96" s="358"/>
      <c r="AQ96" s="358"/>
      <c r="AR96" s="358"/>
      <c r="AS96" s="358"/>
      <c r="AT96" s="358"/>
      <c r="AU96" s="358"/>
      <c r="AV96" s="358"/>
      <c r="AW96" s="358"/>
      <c r="AX96" s="358"/>
      <c r="AY96" s="358"/>
      <c r="AZ96" s="358"/>
    </row>
    <row r="97" spans="1:52">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row>
    <row r="98" spans="1:52">
      <c r="A98" s="358"/>
      <c r="B98" s="358"/>
      <c r="C98" s="358"/>
      <c r="D98" s="358"/>
      <c r="E98" s="358"/>
      <c r="F98" s="358"/>
      <c r="G98" s="358"/>
      <c r="H98" s="358"/>
      <c r="I98" s="358"/>
      <c r="J98" s="358"/>
      <c r="K98" s="358"/>
      <c r="L98" s="358"/>
      <c r="M98" s="358"/>
      <c r="N98" s="358"/>
      <c r="O98" s="358"/>
      <c r="P98" s="358"/>
      <c r="Q98" s="358"/>
      <c r="R98" s="358"/>
      <c r="S98" s="358"/>
      <c r="T98" s="358"/>
      <c r="U98" s="358"/>
      <c r="V98" s="358"/>
      <c r="W98" s="358"/>
      <c r="X98" s="358"/>
      <c r="Y98" s="358"/>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row>
    <row r="99" spans="1:52">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row>
    <row r="100" spans="1:52">
      <c r="A100" s="358"/>
      <c r="B100" s="358"/>
      <c r="C100" s="358"/>
      <c r="D100" s="358"/>
      <c r="E100" s="358"/>
      <c r="F100" s="358"/>
      <c r="G100" s="358"/>
      <c r="H100" s="358"/>
      <c r="I100" s="358"/>
      <c r="J100" s="358"/>
      <c r="K100" s="358"/>
      <c r="L100" s="358"/>
      <c r="M100" s="358"/>
      <c r="N100" s="358"/>
      <c r="O100" s="358"/>
      <c r="P100" s="358"/>
      <c r="Q100" s="358"/>
      <c r="R100" s="358"/>
      <c r="S100" s="358"/>
      <c r="T100" s="358"/>
      <c r="U100" s="358"/>
      <c r="V100" s="358"/>
      <c r="W100" s="358"/>
      <c r="X100" s="358"/>
      <c r="Y100" s="358"/>
      <c r="Z100" s="358"/>
      <c r="AA100" s="358"/>
      <c r="AB100" s="358"/>
      <c r="AC100" s="358"/>
      <c r="AD100" s="358"/>
      <c r="AE100" s="358"/>
      <c r="AF100" s="358"/>
      <c r="AG100" s="358"/>
      <c r="AH100" s="358"/>
      <c r="AI100" s="358"/>
      <c r="AJ100" s="358"/>
      <c r="AK100" s="358"/>
      <c r="AL100" s="358"/>
      <c r="AM100" s="358"/>
      <c r="AN100" s="358"/>
      <c r="AO100" s="358"/>
      <c r="AP100" s="358"/>
      <c r="AQ100" s="358"/>
      <c r="AR100" s="358"/>
      <c r="AS100" s="358"/>
      <c r="AT100" s="358"/>
      <c r="AU100" s="358"/>
      <c r="AV100" s="358"/>
      <c r="AW100" s="358"/>
      <c r="AX100" s="358"/>
      <c r="AY100" s="358"/>
      <c r="AZ100" s="358"/>
    </row>
  </sheetData>
  <sheetProtection sheet="1" objects="1" scenarios="1" selectLockedCells="1" selectUnlockedCells="1"/>
  <pageMargins left="0.7" right="0.7" top="0.75" bottom="0.75" header="0.3" footer="0.3"/>
  <pageSetup paperSize="9" orientation="portrait" r:id="rId1"/>
  <ignoredErrors>
    <ignoredError sqref="C39:AG40"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CC99"/>
  </sheetPr>
  <dimension ref="A1:AZ100"/>
  <sheetViews>
    <sheetView zoomScale="90" zoomScaleNormal="90" workbookViewId="0"/>
  </sheetViews>
  <sheetFormatPr defaultRowHeight="14.4"/>
  <sheetData>
    <row r="1" spans="1:52">
      <c r="A1" s="553"/>
      <c r="B1" s="358"/>
      <c r="C1" s="553"/>
      <c r="D1" s="358"/>
      <c r="E1" s="553"/>
      <c r="F1" s="358"/>
      <c r="G1" s="553"/>
      <c r="H1" s="358"/>
      <c r="I1" s="553"/>
      <c r="J1" s="358"/>
      <c r="K1" s="553"/>
      <c r="L1" s="358"/>
      <c r="M1" s="553"/>
      <c r="N1" s="358"/>
      <c r="O1" s="553"/>
      <c r="P1" s="358"/>
      <c r="Q1" s="553"/>
      <c r="R1" s="358"/>
      <c r="S1" s="553"/>
      <c r="T1" s="358"/>
      <c r="U1" s="553"/>
      <c r="V1" s="358"/>
      <c r="W1" s="553"/>
      <c r="X1" s="358"/>
      <c r="Y1" s="553"/>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row>
    <row r="2" spans="1:52">
      <c r="A2" s="358"/>
      <c r="B2" s="358"/>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row>
    <row r="3" spans="1:52">
      <c r="A3" s="553"/>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row>
    <row r="4" spans="1:52">
      <c r="A4" s="358"/>
      <c r="B4" s="358"/>
      <c r="C4" s="553"/>
      <c r="D4" s="358"/>
      <c r="E4" s="553"/>
      <c r="F4" s="358"/>
      <c r="G4" s="553"/>
      <c r="H4" s="358"/>
      <c r="I4" s="553"/>
      <c r="J4" s="358"/>
      <c r="K4" s="553"/>
      <c r="L4" s="358"/>
      <c r="M4" s="553"/>
      <c r="N4" s="358"/>
      <c r="O4" s="553"/>
      <c r="P4" s="358"/>
      <c r="Q4" s="553"/>
      <c r="R4" s="358"/>
      <c r="S4" s="553"/>
      <c r="T4" s="358"/>
      <c r="U4" s="553"/>
      <c r="V4" s="358"/>
      <c r="W4" s="553"/>
      <c r="X4" s="358"/>
      <c r="Y4" s="553"/>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row>
    <row r="5" spans="1:52">
      <c r="A5" s="553"/>
      <c r="B5" s="358"/>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row>
    <row r="6" spans="1:52">
      <c r="A6" s="358"/>
      <c r="B6" s="358"/>
      <c r="C6" s="358"/>
      <c r="D6" s="358"/>
      <c r="E6" s="358"/>
      <c r="F6" s="358"/>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c r="AT6" s="358"/>
      <c r="AU6" s="358"/>
      <c r="AV6" s="358"/>
      <c r="AW6" s="358"/>
      <c r="AX6" s="358"/>
      <c r="AY6" s="358"/>
      <c r="AZ6" s="358"/>
    </row>
    <row r="7" spans="1:52">
      <c r="A7" s="553"/>
      <c r="B7" s="358"/>
      <c r="C7" s="553"/>
      <c r="D7" s="358"/>
      <c r="E7" s="553"/>
      <c r="F7" s="358"/>
      <c r="G7" s="553"/>
      <c r="H7" s="358"/>
      <c r="I7" s="553"/>
      <c r="J7" s="358"/>
      <c r="K7" s="553"/>
      <c r="L7" s="358"/>
      <c r="M7" s="553"/>
      <c r="N7" s="358"/>
      <c r="O7" s="553"/>
      <c r="P7" s="358"/>
      <c r="Q7" s="553"/>
      <c r="R7" s="358"/>
      <c r="S7" s="553"/>
      <c r="T7" s="358"/>
      <c r="U7" s="553"/>
      <c r="V7" s="358"/>
      <c r="W7" s="553"/>
      <c r="X7" s="358"/>
      <c r="Y7" s="553"/>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358"/>
      <c r="AZ7" s="358"/>
    </row>
    <row r="8" spans="1:52">
      <c r="A8" s="358"/>
      <c r="B8" s="358"/>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58"/>
      <c r="AV8" s="358"/>
      <c r="AW8" s="358"/>
      <c r="AX8" s="358"/>
      <c r="AY8" s="358"/>
      <c r="AZ8" s="358"/>
    </row>
    <row r="9" spans="1:52">
      <c r="A9" s="553"/>
      <c r="B9" s="358"/>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c r="AT9" s="358"/>
      <c r="AU9" s="358"/>
      <c r="AV9" s="358"/>
      <c r="AW9" s="358"/>
      <c r="AX9" s="358"/>
      <c r="AY9" s="358"/>
      <c r="AZ9" s="358"/>
    </row>
    <row r="10" spans="1:52">
      <c r="A10" s="358"/>
      <c r="B10" s="358"/>
      <c r="C10" s="553"/>
      <c r="D10" s="358"/>
      <c r="E10" s="553"/>
      <c r="F10" s="358"/>
      <c r="G10" s="553"/>
      <c r="H10" s="358"/>
      <c r="I10" s="553"/>
      <c r="J10" s="358"/>
      <c r="K10" s="553"/>
      <c r="L10" s="358"/>
      <c r="M10" s="553"/>
      <c r="N10" s="358"/>
      <c r="O10" s="553"/>
      <c r="P10" s="358"/>
      <c r="Q10" s="553"/>
      <c r="R10" s="358"/>
      <c r="S10" s="553"/>
      <c r="T10" s="358"/>
      <c r="U10" s="553"/>
      <c r="V10" s="358"/>
      <c r="W10" s="553"/>
      <c r="X10" s="358"/>
      <c r="Y10" s="553"/>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row>
    <row r="11" spans="1:52">
      <c r="A11" s="553"/>
      <c r="B11" s="358"/>
      <c r="C11" s="358"/>
      <c r="D11" s="358"/>
      <c r="E11" s="358"/>
      <c r="F11" s="358"/>
      <c r="G11" s="358"/>
      <c r="H11" s="358"/>
      <c r="I11" s="358"/>
      <c r="J11" s="358"/>
      <c r="K11" s="358"/>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row>
    <row r="12" spans="1:52">
      <c r="A12" s="358"/>
      <c r="B12" s="358"/>
      <c r="C12" s="358"/>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358"/>
    </row>
    <row r="13" spans="1:52">
      <c r="A13" s="553"/>
      <c r="B13" s="358"/>
      <c r="C13" s="553"/>
      <c r="D13" s="358"/>
      <c r="E13" s="553"/>
      <c r="F13" s="358"/>
      <c r="G13" s="553"/>
      <c r="H13" s="358"/>
      <c r="I13" s="553"/>
      <c r="J13" s="358"/>
      <c r="K13" s="553"/>
      <c r="L13" s="358"/>
      <c r="M13" s="553"/>
      <c r="N13" s="358"/>
      <c r="O13" s="553"/>
      <c r="P13" s="358"/>
      <c r="Q13" s="553"/>
      <c r="R13" s="358"/>
      <c r="S13" s="553"/>
      <c r="T13" s="358"/>
      <c r="U13" s="553"/>
      <c r="V13" s="358"/>
      <c r="W13" s="553"/>
      <c r="X13" s="358"/>
      <c r="Y13" s="553"/>
      <c r="Z13" s="358"/>
      <c r="AA13" s="358"/>
      <c r="AB13" s="358"/>
      <c r="AC13" s="358"/>
      <c r="AD13" s="358"/>
      <c r="AE13" s="358"/>
      <c r="AF13" s="358"/>
      <c r="AG13" s="358"/>
      <c r="AH13" s="358"/>
      <c r="AI13" s="358"/>
      <c r="AJ13" s="358"/>
      <c r="AK13" s="358"/>
      <c r="AL13" s="358"/>
      <c r="AM13" s="358"/>
      <c r="AN13" s="358"/>
      <c r="AO13" s="358"/>
      <c r="AP13" s="358"/>
      <c r="AQ13" s="358"/>
      <c r="AR13" s="358"/>
      <c r="AS13" s="358"/>
      <c r="AT13" s="358"/>
      <c r="AU13" s="358"/>
      <c r="AV13" s="358"/>
      <c r="AW13" s="358"/>
      <c r="AX13" s="358"/>
      <c r="AY13" s="358"/>
      <c r="AZ13" s="358"/>
    </row>
    <row r="14" spans="1:52">
      <c r="A14" s="358"/>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row>
    <row r="15" spans="1:52">
      <c r="A15" s="553"/>
      <c r="B15" s="358"/>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row>
    <row r="16" spans="1:52">
      <c r="A16" s="358"/>
      <c r="B16" s="358"/>
      <c r="C16" s="553"/>
      <c r="D16" s="358"/>
      <c r="E16" s="553"/>
      <c r="F16" s="358"/>
      <c r="G16" s="553"/>
      <c r="H16" s="358"/>
      <c r="I16" s="553"/>
      <c r="J16" s="358"/>
      <c r="K16" s="553"/>
      <c r="L16" s="358"/>
      <c r="M16" s="553"/>
      <c r="N16" s="358"/>
      <c r="O16" s="553"/>
      <c r="P16" s="358"/>
      <c r="Q16" s="553"/>
      <c r="R16" s="358"/>
      <c r="S16" s="553"/>
      <c r="T16" s="358"/>
      <c r="U16" s="553"/>
      <c r="V16" s="358"/>
      <c r="W16" s="553"/>
      <c r="X16" s="358"/>
      <c r="Y16" s="553"/>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358"/>
    </row>
    <row r="17" spans="1:52">
      <c r="A17" s="553"/>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358"/>
      <c r="AZ17" s="358"/>
    </row>
    <row r="18" spans="1:52">
      <c r="A18" s="358"/>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358"/>
      <c r="AZ18" s="358"/>
    </row>
    <row r="19" spans="1:52">
      <c r="A19" s="553"/>
      <c r="B19" s="358"/>
      <c r="C19" s="553"/>
      <c r="D19" s="358"/>
      <c r="E19" s="553"/>
      <c r="F19" s="358"/>
      <c r="G19" s="553"/>
      <c r="H19" s="358"/>
      <c r="I19" s="553"/>
      <c r="J19" s="358"/>
      <c r="K19" s="553"/>
      <c r="L19" s="358"/>
      <c r="M19" s="553"/>
      <c r="N19" s="358"/>
      <c r="O19" s="553"/>
      <c r="P19" s="358"/>
      <c r="Q19" s="553"/>
      <c r="R19" s="358"/>
      <c r="S19" s="553"/>
      <c r="T19" s="358"/>
      <c r="U19" s="553"/>
      <c r="V19" s="358"/>
      <c r="W19" s="553"/>
      <c r="X19" s="358"/>
      <c r="Y19" s="553"/>
      <c r="Z19" s="358"/>
      <c r="AA19" s="358"/>
      <c r="AB19" s="358"/>
      <c r="AC19" s="358"/>
      <c r="AD19" s="358"/>
      <c r="AE19" s="358"/>
      <c r="AF19" s="358"/>
      <c r="AG19" s="358"/>
      <c r="AH19" s="358"/>
      <c r="AI19" s="358"/>
      <c r="AJ19" s="358"/>
      <c r="AK19" s="358"/>
      <c r="AL19" s="358"/>
      <c r="AM19" s="358"/>
      <c r="AN19" s="358"/>
      <c r="AO19" s="358"/>
      <c r="AP19" s="358"/>
      <c r="AQ19" s="358"/>
      <c r="AR19" s="358"/>
      <c r="AS19" s="358"/>
      <c r="AT19" s="358"/>
      <c r="AU19" s="358"/>
      <c r="AV19" s="358"/>
      <c r="AW19" s="358"/>
      <c r="AX19" s="358"/>
      <c r="AY19" s="358"/>
      <c r="AZ19" s="358"/>
    </row>
    <row r="20" spans="1:52">
      <c r="A20" s="358"/>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358"/>
      <c r="AS20" s="358"/>
      <c r="AT20" s="358"/>
      <c r="AU20" s="358"/>
      <c r="AV20" s="358"/>
      <c r="AW20" s="358"/>
      <c r="AX20" s="358"/>
      <c r="AY20" s="358"/>
      <c r="AZ20" s="358"/>
    </row>
    <row r="21" spans="1:52">
      <c r="A21" s="553"/>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row>
    <row r="22" spans="1:52">
      <c r="A22" s="358"/>
      <c r="B22" s="358"/>
      <c r="C22" s="553"/>
      <c r="D22" s="358"/>
      <c r="E22" s="553"/>
      <c r="F22" s="358"/>
      <c r="G22" s="553"/>
      <c r="H22" s="358"/>
      <c r="I22" s="553"/>
      <c r="J22" s="358"/>
      <c r="K22" s="553"/>
      <c r="L22" s="358"/>
      <c r="M22" s="553"/>
      <c r="N22" s="358"/>
      <c r="O22" s="553"/>
      <c r="P22" s="358"/>
      <c r="Q22" s="553"/>
      <c r="R22" s="358"/>
      <c r="S22" s="553"/>
      <c r="T22" s="358"/>
      <c r="U22" s="553"/>
      <c r="V22" s="358"/>
      <c r="W22" s="553"/>
      <c r="X22" s="358"/>
      <c r="Y22" s="553"/>
      <c r="Z22" s="358"/>
      <c r="AA22" s="358"/>
      <c r="AB22" s="358"/>
      <c r="AC22" s="358"/>
      <c r="AD22" s="358"/>
      <c r="AE22" s="358"/>
      <c r="AF22" s="358"/>
      <c r="AG22" s="358"/>
      <c r="AH22" s="358"/>
      <c r="AI22" s="358"/>
      <c r="AJ22" s="358"/>
      <c r="AK22" s="358"/>
      <c r="AL22" s="358"/>
      <c r="AM22" s="358"/>
      <c r="AN22" s="358"/>
      <c r="AO22" s="358"/>
      <c r="AP22" s="358"/>
      <c r="AQ22" s="358"/>
      <c r="AR22" s="358"/>
      <c r="AS22" s="358"/>
      <c r="AT22" s="358"/>
      <c r="AU22" s="358"/>
      <c r="AV22" s="358"/>
      <c r="AW22" s="358"/>
      <c r="AX22" s="358"/>
      <c r="AY22" s="358"/>
      <c r="AZ22" s="358"/>
    </row>
    <row r="23" spans="1:52">
      <c r="A23" s="553"/>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row>
    <row r="24" spans="1:52">
      <c r="A24" s="358"/>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row>
    <row r="25" spans="1:52">
      <c r="A25" s="553"/>
      <c r="B25" s="358"/>
      <c r="C25" s="553"/>
      <c r="D25" s="358"/>
      <c r="E25" s="553"/>
      <c r="F25" s="358"/>
      <c r="G25" s="553"/>
      <c r="H25" s="358"/>
      <c r="I25" s="553"/>
      <c r="J25" s="358"/>
      <c r="K25" s="553"/>
      <c r="L25" s="358"/>
      <c r="M25" s="553"/>
      <c r="N25" s="358"/>
      <c r="O25" s="553"/>
      <c r="P25" s="358"/>
      <c r="Q25" s="553"/>
      <c r="R25" s="358"/>
      <c r="S25" s="553"/>
      <c r="T25" s="358"/>
      <c r="U25" s="553"/>
      <c r="V25" s="358"/>
      <c r="W25" s="553"/>
      <c r="X25" s="358"/>
      <c r="Y25" s="553"/>
      <c r="Z25" s="358"/>
      <c r="AA25" s="358"/>
      <c r="AB25" s="358"/>
      <c r="AC25" s="358"/>
      <c r="AD25" s="358"/>
      <c r="AE25" s="358"/>
      <c r="AF25" s="358"/>
      <c r="AG25" s="358"/>
      <c r="AH25" s="358"/>
      <c r="AI25" s="358"/>
      <c r="AJ25" s="358"/>
      <c r="AK25" s="358"/>
      <c r="AL25" s="358"/>
      <c r="AM25" s="358"/>
      <c r="AN25" s="358"/>
      <c r="AO25" s="358"/>
      <c r="AP25" s="358"/>
      <c r="AQ25" s="358"/>
      <c r="AR25" s="358"/>
      <c r="AS25" s="358"/>
      <c r="AT25" s="358"/>
      <c r="AU25" s="358"/>
      <c r="AV25" s="358"/>
      <c r="AW25" s="358"/>
      <c r="AX25" s="358"/>
      <c r="AY25" s="358"/>
      <c r="AZ25" s="358"/>
    </row>
    <row r="26" spans="1:52">
      <c r="A26" s="358"/>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c r="AH26" s="358"/>
      <c r="AI26" s="358"/>
      <c r="AJ26" s="358"/>
      <c r="AK26" s="358"/>
      <c r="AL26" s="358"/>
      <c r="AM26" s="358"/>
      <c r="AN26" s="358"/>
      <c r="AO26" s="358"/>
      <c r="AP26" s="358"/>
      <c r="AQ26" s="358"/>
      <c r="AR26" s="358"/>
      <c r="AS26" s="358"/>
      <c r="AT26" s="358"/>
      <c r="AU26" s="358"/>
      <c r="AV26" s="358"/>
      <c r="AW26" s="358"/>
      <c r="AX26" s="358"/>
      <c r="AY26" s="358"/>
      <c r="AZ26" s="358"/>
    </row>
    <row r="27" spans="1:52">
      <c r="A27" s="553"/>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358"/>
      <c r="AZ27" s="358"/>
    </row>
    <row r="28" spans="1:52">
      <c r="A28" s="358"/>
      <c r="B28" s="358"/>
      <c r="C28" s="553"/>
      <c r="D28" s="358"/>
      <c r="E28" s="553"/>
      <c r="F28" s="358"/>
      <c r="G28" s="553"/>
      <c r="H28" s="358"/>
      <c r="I28" s="553"/>
      <c r="J28" s="358"/>
      <c r="K28" s="553"/>
      <c r="L28" s="358"/>
      <c r="M28" s="553"/>
      <c r="N28" s="358"/>
      <c r="O28" s="553"/>
      <c r="P28" s="358"/>
      <c r="Q28" s="553"/>
      <c r="R28" s="358"/>
      <c r="S28" s="553"/>
      <c r="T28" s="358"/>
      <c r="U28" s="553"/>
      <c r="V28" s="358"/>
      <c r="W28" s="553"/>
      <c r="X28" s="358"/>
      <c r="Y28" s="553"/>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358"/>
      <c r="AZ28" s="358"/>
    </row>
    <row r="29" spans="1:52">
      <c r="A29" s="553"/>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row>
    <row r="30" spans="1:52">
      <c r="A30" s="358"/>
      <c r="B30" s="358"/>
      <c r="C30" s="553"/>
      <c r="D30" s="358"/>
      <c r="E30" s="553"/>
      <c r="F30" s="358"/>
      <c r="G30" s="553"/>
      <c r="H30" s="358"/>
      <c r="I30" s="553"/>
      <c r="J30" s="358"/>
      <c r="K30" s="553"/>
      <c r="L30" s="358"/>
      <c r="M30" s="553"/>
      <c r="N30" s="358"/>
      <c r="O30" s="553"/>
      <c r="P30" s="358"/>
      <c r="Q30" s="553"/>
      <c r="R30" s="358"/>
      <c r="S30" s="553"/>
      <c r="T30" s="358"/>
      <c r="U30" s="553"/>
      <c r="V30" s="358"/>
      <c r="W30" s="553"/>
      <c r="X30" s="358"/>
      <c r="Y30" s="553"/>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row>
    <row r="31" spans="1:52">
      <c r="A31" s="553"/>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row>
    <row r="32" spans="1:52">
      <c r="A32" s="358"/>
      <c r="B32" s="358"/>
      <c r="C32" s="553"/>
      <c r="D32" s="358"/>
      <c r="E32" s="553"/>
      <c r="F32" s="358"/>
      <c r="G32" s="553"/>
      <c r="H32" s="358"/>
      <c r="I32" s="553"/>
      <c r="J32" s="358"/>
      <c r="K32" s="553"/>
      <c r="L32" s="358"/>
      <c r="M32" s="553"/>
      <c r="N32" s="358"/>
      <c r="O32" s="553"/>
      <c r="P32" s="358"/>
      <c r="Q32" s="553"/>
      <c r="R32" s="358"/>
      <c r="S32" s="553"/>
      <c r="T32" s="358"/>
      <c r="U32" s="553"/>
      <c r="V32" s="358"/>
      <c r="W32" s="553"/>
      <c r="X32" s="358"/>
      <c r="Y32" s="553"/>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row>
    <row r="33" spans="1:52">
      <c r="A33" s="553"/>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c r="AH33" s="358"/>
      <c r="AI33" s="358"/>
      <c r="AJ33" s="358"/>
      <c r="AK33" s="358"/>
      <c r="AL33" s="358"/>
      <c r="AM33" s="358"/>
      <c r="AN33" s="358"/>
      <c r="AO33" s="358"/>
      <c r="AP33" s="358"/>
      <c r="AQ33" s="358"/>
      <c r="AR33" s="358"/>
      <c r="AS33" s="358"/>
      <c r="AT33" s="358"/>
      <c r="AU33" s="358"/>
      <c r="AV33" s="358"/>
      <c r="AW33" s="358"/>
      <c r="AX33" s="358"/>
      <c r="AY33" s="358"/>
      <c r="AZ33" s="358"/>
    </row>
    <row r="34" spans="1:52">
      <c r="A34" s="358"/>
      <c r="B34" s="358"/>
      <c r="C34" s="553"/>
      <c r="D34" s="358"/>
      <c r="E34" s="553"/>
      <c r="F34" s="358"/>
      <c r="G34" s="553"/>
      <c r="H34" s="358"/>
      <c r="I34" s="553"/>
      <c r="J34" s="358"/>
      <c r="K34" s="553"/>
      <c r="L34" s="358"/>
      <c r="M34" s="553"/>
      <c r="N34" s="358"/>
      <c r="O34" s="553"/>
      <c r="P34" s="358"/>
      <c r="Q34" s="553"/>
      <c r="R34" s="358"/>
      <c r="S34" s="553"/>
      <c r="T34" s="358"/>
      <c r="U34" s="553"/>
      <c r="V34" s="358"/>
      <c r="W34" s="553"/>
      <c r="X34" s="358"/>
      <c r="Y34" s="553"/>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row>
    <row r="35" spans="1:52">
      <c r="A35" s="858" t="str">
        <f ca="1">IF(Cashflow!AG111="Producing", "The field is still producing at the end of the analysis","Reason for closing in the field: "&amp;Cashflow!AG112)</f>
        <v>The field is still producing at the end of the analysis</v>
      </c>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c r="AI35" s="358"/>
      <c r="AJ35" s="358"/>
      <c r="AK35" s="358"/>
      <c r="AL35" s="358"/>
      <c r="AM35" s="358"/>
      <c r="AN35" s="358"/>
      <c r="AO35" s="358"/>
      <c r="AP35" s="358"/>
      <c r="AQ35" s="358"/>
      <c r="AR35" s="358"/>
      <c r="AS35" s="358"/>
      <c r="AT35" s="358"/>
      <c r="AU35" s="358"/>
      <c r="AV35" s="358"/>
      <c r="AW35" s="358"/>
      <c r="AX35" s="358"/>
      <c r="AY35" s="358"/>
      <c r="AZ35" s="358"/>
    </row>
    <row r="36" spans="1:52">
      <c r="A36" s="358"/>
      <c r="B36" s="358"/>
      <c r="C36" s="553"/>
      <c r="D36" s="358"/>
      <c r="E36" s="553"/>
      <c r="F36" s="358"/>
      <c r="G36" s="553"/>
      <c r="H36" s="358"/>
      <c r="I36" s="553"/>
      <c r="J36" s="358"/>
      <c r="K36" s="553"/>
      <c r="L36" s="358"/>
      <c r="M36" s="553"/>
      <c r="N36" s="358"/>
      <c r="O36" s="553"/>
      <c r="P36" s="358"/>
      <c r="Q36" s="553"/>
      <c r="R36" s="358"/>
      <c r="S36" s="553"/>
      <c r="T36" s="358"/>
      <c r="U36" s="553"/>
      <c r="V36" s="358"/>
      <c r="W36" s="553"/>
      <c r="X36" s="358"/>
      <c r="Y36" s="553"/>
      <c r="Z36" s="358"/>
      <c r="AA36" s="358"/>
      <c r="AB36" s="358"/>
      <c r="AC36" s="358"/>
      <c r="AD36" s="358"/>
      <c r="AE36" s="358"/>
      <c r="AF36" s="358"/>
      <c r="AG36" s="358"/>
      <c r="AH36" s="358"/>
      <c r="AI36" s="358"/>
      <c r="AJ36" s="358"/>
      <c r="AK36" s="358"/>
      <c r="AL36" s="358"/>
      <c r="AM36" s="358"/>
      <c r="AN36" s="358"/>
      <c r="AO36" s="358"/>
      <c r="AP36" s="358"/>
      <c r="AQ36" s="358"/>
      <c r="AR36" s="358"/>
      <c r="AS36" s="358"/>
      <c r="AT36" s="358"/>
      <c r="AU36" s="358"/>
      <c r="AV36" s="358"/>
      <c r="AW36" s="358"/>
      <c r="AX36" s="358"/>
      <c r="AY36" s="358"/>
      <c r="AZ36" s="358"/>
    </row>
    <row r="37" spans="1:52">
      <c r="A37" s="553"/>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358"/>
      <c r="AZ37" s="358"/>
    </row>
    <row r="38" spans="1:52">
      <c r="A38" s="358"/>
      <c r="B38" s="358"/>
      <c r="C38" s="553"/>
      <c r="D38" s="358"/>
      <c r="E38" s="553"/>
      <c r="F38" s="358"/>
      <c r="G38" s="553"/>
      <c r="H38" s="358"/>
      <c r="I38" s="553"/>
      <c r="J38" s="358"/>
      <c r="K38" s="553"/>
      <c r="L38" s="358"/>
      <c r="M38" s="553"/>
      <c r="N38" s="358"/>
      <c r="O38" s="553"/>
      <c r="P38" s="358"/>
      <c r="Q38" s="553"/>
      <c r="R38" s="358"/>
      <c r="S38" s="553"/>
      <c r="T38" s="358"/>
      <c r="U38" s="553"/>
      <c r="V38" s="358"/>
      <c r="W38" s="553"/>
      <c r="X38" s="358"/>
      <c r="Y38" s="553"/>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358"/>
    </row>
    <row r="39" spans="1:52">
      <c r="A39" s="358"/>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c r="AH39" s="358"/>
      <c r="AI39" s="358"/>
      <c r="AJ39" s="358"/>
      <c r="AK39" s="358"/>
      <c r="AL39" s="358"/>
      <c r="AM39" s="358"/>
      <c r="AN39" s="358"/>
      <c r="AO39" s="358"/>
      <c r="AP39" s="358"/>
      <c r="AQ39" s="358"/>
      <c r="AR39" s="358"/>
      <c r="AS39" s="358"/>
      <c r="AT39" s="358"/>
      <c r="AU39" s="358"/>
      <c r="AV39" s="358"/>
      <c r="AW39" s="358"/>
      <c r="AX39" s="358"/>
      <c r="AY39" s="358"/>
      <c r="AZ39" s="358"/>
    </row>
    <row r="40" spans="1:52">
      <c r="A40" s="358"/>
      <c r="B40" s="358"/>
      <c r="C40" s="553"/>
      <c r="D40" s="358"/>
      <c r="E40" s="553"/>
      <c r="F40" s="358"/>
      <c r="G40" s="553"/>
      <c r="H40" s="358"/>
      <c r="I40" s="553"/>
      <c r="J40" s="358"/>
      <c r="K40" s="553"/>
      <c r="L40" s="358"/>
      <c r="M40" s="553"/>
      <c r="N40" s="358"/>
      <c r="O40" s="553"/>
      <c r="P40" s="358"/>
      <c r="Q40" s="553"/>
      <c r="R40" s="358"/>
      <c r="S40" s="553"/>
      <c r="T40" s="358"/>
      <c r="U40" s="553"/>
      <c r="V40" s="358"/>
      <c r="W40" s="553"/>
      <c r="X40" s="358"/>
      <c r="Y40" s="553"/>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358"/>
      <c r="AZ40" s="358"/>
    </row>
    <row r="41" spans="1:52">
      <c r="A41" s="358"/>
      <c r="B41" s="358"/>
      <c r="C41" s="358"/>
      <c r="D41" s="358"/>
      <c r="E41" s="358"/>
      <c r="F41" s="35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358"/>
      <c r="AG41" s="358"/>
      <c r="AH41" s="358"/>
      <c r="AI41" s="358"/>
      <c r="AJ41" s="358"/>
      <c r="AK41" s="358"/>
      <c r="AL41" s="358"/>
      <c r="AM41" s="358"/>
      <c r="AN41" s="358"/>
      <c r="AO41" s="358"/>
      <c r="AP41" s="358"/>
      <c r="AQ41" s="358"/>
      <c r="AR41" s="358"/>
      <c r="AS41" s="358"/>
      <c r="AT41" s="358"/>
      <c r="AU41" s="358"/>
      <c r="AV41" s="358"/>
      <c r="AW41" s="358"/>
      <c r="AX41" s="358"/>
      <c r="AY41" s="358"/>
      <c r="AZ41" s="358"/>
    </row>
    <row r="42" spans="1:52">
      <c r="A42" s="358"/>
      <c r="B42" s="358"/>
      <c r="C42" s="553"/>
      <c r="D42" s="358"/>
      <c r="E42" s="553"/>
      <c r="F42" s="358"/>
      <c r="G42" s="553"/>
      <c r="H42" s="358"/>
      <c r="I42" s="553"/>
      <c r="J42" s="358"/>
      <c r="K42" s="553"/>
      <c r="L42" s="358"/>
      <c r="M42" s="553"/>
      <c r="N42" s="358"/>
      <c r="O42" s="553"/>
      <c r="P42" s="358"/>
      <c r="Q42" s="553"/>
      <c r="R42" s="358"/>
      <c r="S42" s="553"/>
      <c r="T42" s="358"/>
      <c r="U42" s="553"/>
      <c r="V42" s="358"/>
      <c r="W42" s="553"/>
      <c r="X42" s="358"/>
      <c r="Y42" s="553"/>
      <c r="Z42" s="358"/>
      <c r="AA42" s="358"/>
      <c r="AB42" s="358"/>
      <c r="AC42" s="358"/>
      <c r="AD42" s="358"/>
      <c r="AE42" s="358"/>
      <c r="AF42" s="358"/>
      <c r="AG42" s="358"/>
      <c r="AH42" s="358"/>
      <c r="AI42" s="358"/>
      <c r="AJ42" s="358"/>
      <c r="AK42" s="358"/>
      <c r="AL42" s="358"/>
      <c r="AM42" s="358"/>
      <c r="AN42" s="358"/>
      <c r="AO42" s="358"/>
      <c r="AP42" s="358"/>
      <c r="AQ42" s="358"/>
      <c r="AR42" s="358"/>
      <c r="AS42" s="358"/>
      <c r="AT42" s="358"/>
      <c r="AU42" s="358"/>
      <c r="AV42" s="358"/>
      <c r="AW42" s="358"/>
      <c r="AX42" s="358"/>
      <c r="AY42" s="358"/>
      <c r="AZ42" s="358"/>
    </row>
    <row r="43" spans="1:52">
      <c r="A43" s="358"/>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row>
    <row r="44" spans="1:52">
      <c r="A44" s="358"/>
      <c r="B44" s="358"/>
      <c r="C44" s="553"/>
      <c r="D44" s="358"/>
      <c r="E44" s="553"/>
      <c r="F44" s="358"/>
      <c r="G44" s="553"/>
      <c r="H44" s="358"/>
      <c r="I44" s="553"/>
      <c r="J44" s="358"/>
      <c r="K44" s="553"/>
      <c r="L44" s="358"/>
      <c r="M44" s="553"/>
      <c r="N44" s="358"/>
      <c r="O44" s="553"/>
      <c r="P44" s="358"/>
      <c r="Q44" s="553"/>
      <c r="R44" s="358"/>
      <c r="S44" s="553"/>
      <c r="T44" s="358"/>
      <c r="U44" s="553"/>
      <c r="V44" s="358"/>
      <c r="W44" s="553"/>
      <c r="X44" s="358"/>
      <c r="Y44" s="553"/>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row>
    <row r="45" spans="1:52">
      <c r="A45" s="358"/>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358"/>
    </row>
    <row r="46" spans="1:52">
      <c r="A46" s="358"/>
      <c r="B46" s="358"/>
      <c r="C46" s="553"/>
      <c r="D46" s="358"/>
      <c r="E46" s="553"/>
      <c r="F46" s="358"/>
      <c r="G46" s="553"/>
      <c r="H46" s="358"/>
      <c r="I46" s="553"/>
      <c r="J46" s="358"/>
      <c r="K46" s="553"/>
      <c r="L46" s="358"/>
      <c r="M46" s="553"/>
      <c r="N46" s="358"/>
      <c r="O46" s="553"/>
      <c r="P46" s="358"/>
      <c r="Q46" s="553"/>
      <c r="R46" s="358"/>
      <c r="S46" s="553"/>
      <c r="T46" s="358"/>
      <c r="U46" s="553"/>
      <c r="V46" s="358"/>
      <c r="W46" s="553"/>
      <c r="X46" s="358"/>
      <c r="Y46" s="553"/>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358"/>
    </row>
    <row r="47" spans="1:52">
      <c r="A47" s="358"/>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358"/>
    </row>
    <row r="48" spans="1:52">
      <c r="A48" s="358"/>
      <c r="B48" s="358"/>
      <c r="C48" s="553"/>
      <c r="D48" s="358"/>
      <c r="E48" s="553"/>
      <c r="F48" s="358"/>
      <c r="G48" s="553"/>
      <c r="H48" s="358"/>
      <c r="I48" s="553"/>
      <c r="J48" s="358"/>
      <c r="K48" s="553"/>
      <c r="L48" s="358"/>
      <c r="M48" s="553"/>
      <c r="N48" s="358"/>
      <c r="O48" s="553"/>
      <c r="P48" s="358"/>
      <c r="Q48" s="553"/>
      <c r="R48" s="358"/>
      <c r="S48" s="553"/>
      <c r="T48" s="358"/>
      <c r="U48" s="553"/>
      <c r="V48" s="358"/>
      <c r="W48" s="553"/>
      <c r="X48" s="358"/>
      <c r="Y48" s="553"/>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row>
    <row r="49" spans="1:52">
      <c r="A49" s="358"/>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row>
    <row r="50" spans="1:52">
      <c r="A50" s="358"/>
      <c r="B50" s="358"/>
      <c r="C50" s="553"/>
      <c r="D50" s="358"/>
      <c r="E50" s="553"/>
      <c r="F50" s="358"/>
      <c r="G50" s="553"/>
      <c r="H50" s="358"/>
      <c r="I50" s="553"/>
      <c r="J50" s="358"/>
      <c r="K50" s="553"/>
      <c r="L50" s="358"/>
      <c r="M50" s="553"/>
      <c r="N50" s="358"/>
      <c r="O50" s="553"/>
      <c r="P50" s="358"/>
      <c r="Q50" s="553"/>
      <c r="R50" s="358"/>
      <c r="S50" s="553"/>
      <c r="T50" s="358"/>
      <c r="U50" s="553"/>
      <c r="V50" s="358"/>
      <c r="W50" s="553"/>
      <c r="X50" s="358"/>
      <c r="Y50" s="553"/>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row>
    <row r="51" spans="1:52">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row>
    <row r="52" spans="1:52">
      <c r="A52" s="358"/>
      <c r="B52" s="358"/>
      <c r="C52" s="553"/>
      <c r="D52" s="358"/>
      <c r="E52" s="553"/>
      <c r="F52" s="358"/>
      <c r="G52" s="553"/>
      <c r="H52" s="358"/>
      <c r="I52" s="553"/>
      <c r="J52" s="358"/>
      <c r="K52" s="553"/>
      <c r="L52" s="358"/>
      <c r="M52" s="553"/>
      <c r="N52" s="358"/>
      <c r="O52" s="553"/>
      <c r="P52" s="358"/>
      <c r="Q52" s="553"/>
      <c r="R52" s="358"/>
      <c r="S52" s="553"/>
      <c r="T52" s="358"/>
      <c r="U52" s="553"/>
      <c r="V52" s="358"/>
      <c r="W52" s="553"/>
      <c r="X52" s="358"/>
      <c r="Y52" s="553"/>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row>
    <row r="53" spans="1:52">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row>
    <row r="54" spans="1:52">
      <c r="A54" s="358"/>
      <c r="B54" s="358"/>
      <c r="C54" s="553"/>
      <c r="D54" s="358"/>
      <c r="E54" s="553"/>
      <c r="F54" s="358"/>
      <c r="G54" s="553"/>
      <c r="H54" s="358"/>
      <c r="I54" s="553"/>
      <c r="J54" s="358"/>
      <c r="K54" s="553"/>
      <c r="L54" s="358"/>
      <c r="M54" s="553"/>
      <c r="N54" s="358"/>
      <c r="O54" s="553"/>
      <c r="P54" s="358"/>
      <c r="Q54" s="553"/>
      <c r="R54" s="358"/>
      <c r="S54" s="553"/>
      <c r="T54" s="358"/>
      <c r="U54" s="553"/>
      <c r="V54" s="358"/>
      <c r="W54" s="553"/>
      <c r="X54" s="358"/>
      <c r="Y54" s="553"/>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c r="AV54" s="358"/>
      <c r="AW54" s="358"/>
      <c r="AX54" s="358"/>
      <c r="AY54" s="358"/>
      <c r="AZ54" s="358"/>
    </row>
    <row r="55" spans="1:52">
      <c r="A55" s="358"/>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358"/>
    </row>
    <row r="56" spans="1:52">
      <c r="A56" s="358"/>
      <c r="B56" s="358"/>
      <c r="C56" s="553"/>
      <c r="D56" s="358"/>
      <c r="E56" s="553"/>
      <c r="F56" s="358"/>
      <c r="G56" s="553"/>
      <c r="H56" s="358"/>
      <c r="I56" s="553"/>
      <c r="J56" s="358"/>
      <c r="K56" s="553"/>
      <c r="L56" s="358"/>
      <c r="M56" s="553"/>
      <c r="N56" s="358"/>
      <c r="O56" s="553"/>
      <c r="P56" s="358"/>
      <c r="Q56" s="553"/>
      <c r="R56" s="358"/>
      <c r="S56" s="553"/>
      <c r="T56" s="358"/>
      <c r="U56" s="553"/>
      <c r="V56" s="358"/>
      <c r="W56" s="553"/>
      <c r="X56" s="358"/>
      <c r="Y56" s="553"/>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row>
    <row r="57" spans="1:52">
      <c r="A57" s="358"/>
      <c r="B57" s="358"/>
      <c r="C57" s="358"/>
      <c r="D57" s="358"/>
      <c r="E57" s="358"/>
      <c r="F57" s="358"/>
      <c r="G57" s="358"/>
      <c r="H57" s="358"/>
      <c r="I57" s="358"/>
      <c r="J57" s="358"/>
      <c r="K57" s="358"/>
      <c r="L57" s="358"/>
      <c r="M57" s="358"/>
      <c r="N57" s="358"/>
      <c r="O57" s="358"/>
      <c r="P57" s="358"/>
      <c r="Q57" s="358"/>
      <c r="R57" s="358"/>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c r="AV57" s="358"/>
      <c r="AW57" s="358"/>
      <c r="AX57" s="358"/>
      <c r="AY57" s="358"/>
      <c r="AZ57" s="358"/>
    </row>
    <row r="58" spans="1:52">
      <c r="A58" s="358"/>
      <c r="B58" s="358"/>
      <c r="C58" s="553"/>
      <c r="D58" s="358"/>
      <c r="E58" s="553"/>
      <c r="F58" s="358"/>
      <c r="G58" s="553"/>
      <c r="H58" s="358"/>
      <c r="I58" s="553"/>
      <c r="J58" s="358"/>
      <c r="K58" s="553"/>
      <c r="L58" s="358"/>
      <c r="M58" s="553"/>
      <c r="N58" s="358"/>
      <c r="O58" s="553"/>
      <c r="P58" s="358"/>
      <c r="Q58" s="553"/>
      <c r="R58" s="358"/>
      <c r="S58" s="553"/>
      <c r="T58" s="358"/>
      <c r="U58" s="553"/>
      <c r="V58" s="358"/>
      <c r="W58" s="553"/>
      <c r="X58" s="358"/>
      <c r="Y58" s="553"/>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row>
    <row r="59" spans="1:52">
      <c r="A59" s="35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58"/>
    </row>
    <row r="60" spans="1:52">
      <c r="A60" s="358"/>
      <c r="B60" s="358"/>
      <c r="C60" s="553"/>
      <c r="D60" s="358"/>
      <c r="E60" s="553"/>
      <c r="F60" s="358"/>
      <c r="G60" s="553"/>
      <c r="H60" s="358"/>
      <c r="I60" s="553"/>
      <c r="J60" s="358"/>
      <c r="K60" s="553"/>
      <c r="L60" s="358"/>
      <c r="M60" s="553"/>
      <c r="N60" s="358"/>
      <c r="O60" s="553"/>
      <c r="P60" s="358"/>
      <c r="Q60" s="553"/>
      <c r="R60" s="358"/>
      <c r="S60" s="553"/>
      <c r="T60" s="358"/>
      <c r="U60" s="553"/>
      <c r="V60" s="358"/>
      <c r="W60" s="553"/>
      <c r="X60" s="358"/>
      <c r="Y60" s="553"/>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58"/>
      <c r="AZ60" s="358"/>
    </row>
    <row r="61" spans="1:52">
      <c r="A61" s="358"/>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row>
    <row r="62" spans="1:52">
      <c r="A62" s="358"/>
      <c r="B62" s="358"/>
      <c r="C62" s="553"/>
      <c r="D62" s="358"/>
      <c r="E62" s="553"/>
      <c r="F62" s="358"/>
      <c r="G62" s="553"/>
      <c r="H62" s="358"/>
      <c r="I62" s="553"/>
      <c r="J62" s="358"/>
      <c r="K62" s="553"/>
      <c r="L62" s="358"/>
      <c r="M62" s="553"/>
      <c r="N62" s="358"/>
      <c r="O62" s="553"/>
      <c r="P62" s="358"/>
      <c r="Q62" s="553"/>
      <c r="R62" s="358"/>
      <c r="S62" s="553"/>
      <c r="T62" s="358"/>
      <c r="U62" s="553"/>
      <c r="V62" s="358"/>
      <c r="W62" s="553"/>
      <c r="X62" s="358"/>
      <c r="Y62" s="553"/>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58"/>
      <c r="AZ62" s="358"/>
    </row>
    <row r="63" spans="1:52">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c r="AV63" s="358"/>
      <c r="AW63" s="358"/>
      <c r="AX63" s="358"/>
      <c r="AY63" s="358"/>
      <c r="AZ63" s="358"/>
    </row>
    <row r="64" spans="1:52">
      <c r="A64" s="358"/>
      <c r="B64" s="358"/>
      <c r="C64" s="553"/>
      <c r="D64" s="358"/>
      <c r="E64" s="553"/>
      <c r="F64" s="358"/>
      <c r="G64" s="553"/>
      <c r="H64" s="358"/>
      <c r="I64" s="553"/>
      <c r="J64" s="358"/>
      <c r="K64" s="553"/>
      <c r="L64" s="358"/>
      <c r="M64" s="553"/>
      <c r="N64" s="358"/>
      <c r="O64" s="553"/>
      <c r="P64" s="358"/>
      <c r="Q64" s="553"/>
      <c r="R64" s="358"/>
      <c r="S64" s="553"/>
      <c r="T64" s="358"/>
      <c r="U64" s="553"/>
      <c r="V64" s="358"/>
      <c r="W64" s="553"/>
      <c r="X64" s="358"/>
      <c r="Y64" s="553"/>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row>
    <row r="65" spans="1:52">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row>
    <row r="66" spans="1:52">
      <c r="A66" s="358"/>
      <c r="B66" s="358"/>
      <c r="C66" s="553"/>
      <c r="D66" s="358"/>
      <c r="E66" s="553"/>
      <c r="F66" s="358"/>
      <c r="G66" s="553"/>
      <c r="H66" s="358"/>
      <c r="I66" s="553"/>
      <c r="J66" s="358"/>
      <c r="K66" s="553"/>
      <c r="L66" s="358"/>
      <c r="M66" s="553"/>
      <c r="N66" s="358"/>
      <c r="O66" s="553"/>
      <c r="P66" s="358"/>
      <c r="Q66" s="553"/>
      <c r="R66" s="358"/>
      <c r="S66" s="553"/>
      <c r="T66" s="358"/>
      <c r="U66" s="553"/>
      <c r="V66" s="358"/>
      <c r="W66" s="553"/>
      <c r="X66" s="358"/>
      <c r="Y66" s="553"/>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row>
    <row r="67" spans="1:52">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row>
    <row r="68" spans="1:52">
      <c r="A68" s="358"/>
      <c r="B68" s="358"/>
      <c r="C68" s="553"/>
      <c r="D68" s="358"/>
      <c r="E68" s="553"/>
      <c r="F68" s="358"/>
      <c r="G68" s="553"/>
      <c r="H68" s="358"/>
      <c r="I68" s="553"/>
      <c r="J68" s="358"/>
      <c r="K68" s="553"/>
      <c r="L68" s="358"/>
      <c r="M68" s="553"/>
      <c r="N68" s="358"/>
      <c r="O68" s="553"/>
      <c r="P68" s="358"/>
      <c r="Q68" s="553"/>
      <c r="R68" s="358"/>
      <c r="S68" s="553"/>
      <c r="T68" s="358"/>
      <c r="U68" s="553"/>
      <c r="V68" s="358"/>
      <c r="W68" s="553"/>
      <c r="X68" s="358"/>
      <c r="Y68" s="553"/>
      <c r="Z68" s="358"/>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row>
    <row r="69" spans="1:52">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row>
    <row r="70" spans="1:52">
      <c r="A70" s="358"/>
      <c r="B70" s="358"/>
      <c r="C70" s="553"/>
      <c r="D70" s="358"/>
      <c r="E70" s="553"/>
      <c r="F70" s="358"/>
      <c r="G70" s="553"/>
      <c r="H70" s="358"/>
      <c r="I70" s="553"/>
      <c r="J70" s="358"/>
      <c r="K70" s="553"/>
      <c r="L70" s="358"/>
      <c r="M70" s="553"/>
      <c r="N70" s="358"/>
      <c r="O70" s="553"/>
      <c r="P70" s="358"/>
      <c r="Q70" s="553"/>
      <c r="R70" s="358"/>
      <c r="S70" s="553"/>
      <c r="T70" s="358"/>
      <c r="U70" s="553"/>
      <c r="V70" s="358"/>
      <c r="W70" s="553"/>
      <c r="X70" s="358"/>
      <c r="Y70" s="553"/>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row>
    <row r="71" spans="1:52">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c r="AV71" s="358"/>
      <c r="AW71" s="358"/>
      <c r="AX71" s="358"/>
      <c r="AY71" s="358"/>
      <c r="AZ71" s="358"/>
    </row>
    <row r="72" spans="1:52">
      <c r="A72" s="358"/>
      <c r="B72" s="358"/>
      <c r="C72" s="553"/>
      <c r="D72" s="358"/>
      <c r="E72" s="553"/>
      <c r="F72" s="358"/>
      <c r="G72" s="553"/>
      <c r="H72" s="358"/>
      <c r="I72" s="553"/>
      <c r="J72" s="358"/>
      <c r="K72" s="553"/>
      <c r="L72" s="358"/>
      <c r="M72" s="553"/>
      <c r="N72" s="358"/>
      <c r="O72" s="553"/>
      <c r="P72" s="358"/>
      <c r="Q72" s="553"/>
      <c r="R72" s="358"/>
      <c r="S72" s="553"/>
      <c r="T72" s="358"/>
      <c r="U72" s="553"/>
      <c r="V72" s="358"/>
      <c r="W72" s="553"/>
      <c r="X72" s="358"/>
      <c r="Y72" s="553"/>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row>
    <row r="73" spans="1:52">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row>
    <row r="74" spans="1:52">
      <c r="A74" s="358"/>
      <c r="B74" s="358"/>
      <c r="C74" s="553"/>
      <c r="D74" s="358"/>
      <c r="E74" s="553"/>
      <c r="F74" s="358"/>
      <c r="G74" s="553"/>
      <c r="H74" s="358"/>
      <c r="I74" s="553"/>
      <c r="J74" s="358"/>
      <c r="K74" s="553"/>
      <c r="L74" s="358"/>
      <c r="M74" s="553"/>
      <c r="N74" s="358"/>
      <c r="O74" s="553"/>
      <c r="P74" s="358"/>
      <c r="Q74" s="553"/>
      <c r="R74" s="358"/>
      <c r="S74" s="553"/>
      <c r="T74" s="358"/>
      <c r="U74" s="553"/>
      <c r="V74" s="358"/>
      <c r="W74" s="553"/>
      <c r="X74" s="358"/>
      <c r="Y74" s="553"/>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row>
    <row r="75" spans="1:52">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row>
    <row r="76" spans="1:52">
      <c r="A76" s="358"/>
      <c r="B76" s="358"/>
      <c r="C76" s="553"/>
      <c r="D76" s="358"/>
      <c r="E76" s="553"/>
      <c r="F76" s="358"/>
      <c r="G76" s="553"/>
      <c r="H76" s="358"/>
      <c r="I76" s="553"/>
      <c r="J76" s="358"/>
      <c r="K76" s="553"/>
      <c r="L76" s="358"/>
      <c r="M76" s="553"/>
      <c r="N76" s="358"/>
      <c r="O76" s="553"/>
      <c r="P76" s="358"/>
      <c r="Q76" s="553"/>
      <c r="R76" s="358"/>
      <c r="S76" s="553"/>
      <c r="T76" s="358"/>
      <c r="U76" s="553"/>
      <c r="V76" s="358"/>
      <c r="W76" s="553"/>
      <c r="X76" s="358"/>
      <c r="Y76" s="553"/>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row>
    <row r="77" spans="1:52">
      <c r="A77" s="35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row>
    <row r="78" spans="1:52">
      <c r="A78" s="358"/>
      <c r="B78" s="358"/>
      <c r="C78" s="553"/>
      <c r="D78" s="358"/>
      <c r="E78" s="553"/>
      <c r="F78" s="358"/>
      <c r="G78" s="553"/>
      <c r="H78" s="358"/>
      <c r="I78" s="553"/>
      <c r="J78" s="358"/>
      <c r="K78" s="553"/>
      <c r="L78" s="358"/>
      <c r="M78" s="553"/>
      <c r="N78" s="358"/>
      <c r="O78" s="553"/>
      <c r="P78" s="358"/>
      <c r="Q78" s="553"/>
      <c r="R78" s="358"/>
      <c r="S78" s="553"/>
      <c r="T78" s="358"/>
      <c r="U78" s="553"/>
      <c r="V78" s="358"/>
      <c r="W78" s="553"/>
      <c r="X78" s="358"/>
      <c r="Y78" s="553"/>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row>
    <row r="79" spans="1:52">
      <c r="A79" s="35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58"/>
      <c r="AO79" s="358"/>
      <c r="AP79" s="358"/>
      <c r="AQ79" s="358"/>
      <c r="AR79" s="358"/>
      <c r="AS79" s="358"/>
      <c r="AT79" s="358"/>
      <c r="AU79" s="358"/>
      <c r="AV79" s="358"/>
      <c r="AW79" s="358"/>
      <c r="AX79" s="358"/>
      <c r="AY79" s="358"/>
      <c r="AZ79" s="358"/>
    </row>
    <row r="80" spans="1:52">
      <c r="A80" s="358"/>
      <c r="B80" s="358"/>
      <c r="C80" s="553"/>
      <c r="D80" s="358"/>
      <c r="E80" s="553"/>
      <c r="F80" s="358"/>
      <c r="G80" s="553"/>
      <c r="H80" s="358"/>
      <c r="I80" s="553"/>
      <c r="J80" s="358"/>
      <c r="K80" s="553"/>
      <c r="L80" s="358"/>
      <c r="M80" s="553"/>
      <c r="N80" s="358"/>
      <c r="O80" s="553"/>
      <c r="P80" s="358"/>
      <c r="Q80" s="553"/>
      <c r="R80" s="358"/>
      <c r="S80" s="553"/>
      <c r="T80" s="358"/>
      <c r="U80" s="553"/>
      <c r="V80" s="358"/>
      <c r="W80" s="553"/>
      <c r="X80" s="358"/>
      <c r="Y80" s="553"/>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row>
    <row r="81" spans="1:52">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row>
    <row r="82" spans="1:52">
      <c r="A82" s="358"/>
      <c r="B82" s="358"/>
      <c r="C82" s="553"/>
      <c r="D82" s="358"/>
      <c r="E82" s="553"/>
      <c r="F82" s="358"/>
      <c r="G82" s="553"/>
      <c r="H82" s="358"/>
      <c r="I82" s="553"/>
      <c r="J82" s="358"/>
      <c r="K82" s="553"/>
      <c r="L82" s="358"/>
      <c r="M82" s="553"/>
      <c r="N82" s="358"/>
      <c r="O82" s="553"/>
      <c r="P82" s="358"/>
      <c r="Q82" s="553"/>
      <c r="R82" s="358"/>
      <c r="S82" s="553"/>
      <c r="T82" s="358"/>
      <c r="U82" s="553"/>
      <c r="V82" s="358"/>
      <c r="W82" s="553"/>
      <c r="X82" s="358"/>
      <c r="Y82" s="553"/>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row>
    <row r="83" spans="1:52">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row>
    <row r="84" spans="1:52">
      <c r="A84" s="358"/>
      <c r="B84" s="358"/>
      <c r="C84" s="553"/>
      <c r="D84" s="358"/>
      <c r="E84" s="553"/>
      <c r="F84" s="358"/>
      <c r="G84" s="553"/>
      <c r="H84" s="358"/>
      <c r="I84" s="553"/>
      <c r="J84" s="358"/>
      <c r="K84" s="553"/>
      <c r="L84" s="358"/>
      <c r="M84" s="553"/>
      <c r="N84" s="358"/>
      <c r="O84" s="553"/>
      <c r="P84" s="358"/>
      <c r="Q84" s="553"/>
      <c r="R84" s="358"/>
      <c r="S84" s="553"/>
      <c r="T84" s="358"/>
      <c r="U84" s="553"/>
      <c r="V84" s="358"/>
      <c r="W84" s="553"/>
      <c r="X84" s="358"/>
      <c r="Y84" s="553"/>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row>
    <row r="85" spans="1:52">
      <c r="A85" s="35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row>
    <row r="86" spans="1:52">
      <c r="A86" s="358"/>
      <c r="B86" s="358"/>
      <c r="C86" s="553"/>
      <c r="D86" s="358"/>
      <c r="E86" s="553"/>
      <c r="F86" s="358"/>
      <c r="G86" s="553"/>
      <c r="H86" s="358"/>
      <c r="I86" s="553"/>
      <c r="J86" s="358"/>
      <c r="K86" s="553"/>
      <c r="L86" s="358"/>
      <c r="M86" s="553"/>
      <c r="N86" s="358"/>
      <c r="O86" s="553"/>
      <c r="P86" s="358"/>
      <c r="Q86" s="553"/>
      <c r="R86" s="358"/>
      <c r="S86" s="553"/>
      <c r="T86" s="358"/>
      <c r="U86" s="553"/>
      <c r="V86" s="358"/>
      <c r="W86" s="553"/>
      <c r="X86" s="358"/>
      <c r="Y86" s="553"/>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8"/>
      <c r="AY86" s="358"/>
      <c r="AZ86" s="358"/>
    </row>
    <row r="87" spans="1:52">
      <c r="A87" s="35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c r="AS87" s="358"/>
      <c r="AT87" s="358"/>
      <c r="AU87" s="358"/>
      <c r="AV87" s="358"/>
      <c r="AW87" s="358"/>
      <c r="AX87" s="358"/>
      <c r="AY87" s="358"/>
      <c r="AZ87" s="358"/>
    </row>
    <row r="88" spans="1:52">
      <c r="A88" s="358"/>
      <c r="B88" s="358"/>
      <c r="C88" s="553"/>
      <c r="D88" s="358"/>
      <c r="E88" s="553"/>
      <c r="F88" s="358"/>
      <c r="G88" s="553"/>
      <c r="H88" s="358"/>
      <c r="I88" s="553"/>
      <c r="J88" s="358"/>
      <c r="K88" s="553"/>
      <c r="L88" s="358"/>
      <c r="M88" s="553"/>
      <c r="N88" s="358"/>
      <c r="O88" s="553"/>
      <c r="P88" s="358"/>
      <c r="Q88" s="553"/>
      <c r="R88" s="358"/>
      <c r="S88" s="553"/>
      <c r="T88" s="358"/>
      <c r="U88" s="553"/>
      <c r="V88" s="358"/>
      <c r="W88" s="553"/>
      <c r="X88" s="358"/>
      <c r="Y88" s="553"/>
      <c r="Z88" s="358"/>
      <c r="AA88" s="358"/>
      <c r="AB88" s="358"/>
      <c r="AC88" s="358"/>
      <c r="AD88" s="358"/>
      <c r="AE88" s="358"/>
      <c r="AF88" s="358"/>
      <c r="AG88" s="358"/>
      <c r="AH88" s="358"/>
      <c r="AI88" s="358"/>
      <c r="AJ88" s="358"/>
      <c r="AK88" s="358"/>
      <c r="AL88" s="358"/>
      <c r="AM88" s="358"/>
      <c r="AN88" s="358"/>
      <c r="AO88" s="358"/>
      <c r="AP88" s="358"/>
      <c r="AQ88" s="358"/>
      <c r="AR88" s="358"/>
      <c r="AS88" s="358"/>
      <c r="AT88" s="358"/>
      <c r="AU88" s="358"/>
      <c r="AV88" s="358"/>
      <c r="AW88" s="358"/>
      <c r="AX88" s="358"/>
      <c r="AY88" s="358"/>
      <c r="AZ88" s="358"/>
    </row>
    <row r="89" spans="1:52">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58"/>
      <c r="AN89" s="358"/>
      <c r="AO89" s="358"/>
      <c r="AP89" s="358"/>
      <c r="AQ89" s="358"/>
      <c r="AR89" s="358"/>
      <c r="AS89" s="358"/>
      <c r="AT89" s="358"/>
      <c r="AU89" s="358"/>
      <c r="AV89" s="358"/>
      <c r="AW89" s="358"/>
      <c r="AX89" s="358"/>
      <c r="AY89" s="358"/>
      <c r="AZ89" s="358"/>
    </row>
    <row r="90" spans="1:52">
      <c r="A90" s="358"/>
      <c r="B90" s="358"/>
      <c r="C90" s="553"/>
      <c r="D90" s="358"/>
      <c r="E90" s="553"/>
      <c r="F90" s="358"/>
      <c r="G90" s="553"/>
      <c r="H90" s="358"/>
      <c r="I90" s="553"/>
      <c r="J90" s="358"/>
      <c r="K90" s="553"/>
      <c r="L90" s="358"/>
      <c r="M90" s="553"/>
      <c r="N90" s="358"/>
      <c r="O90" s="553"/>
      <c r="P90" s="358"/>
      <c r="Q90" s="553"/>
      <c r="R90" s="358"/>
      <c r="S90" s="553"/>
      <c r="T90" s="358"/>
      <c r="U90" s="553"/>
      <c r="V90" s="358"/>
      <c r="W90" s="553"/>
      <c r="X90" s="358"/>
      <c r="Y90" s="553"/>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row>
    <row r="91" spans="1:52">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c r="AS91" s="358"/>
      <c r="AT91" s="358"/>
      <c r="AU91" s="358"/>
      <c r="AV91" s="358"/>
      <c r="AW91" s="358"/>
      <c r="AX91" s="358"/>
      <c r="AY91" s="358"/>
      <c r="AZ91" s="358"/>
    </row>
    <row r="92" spans="1:52">
      <c r="A92" s="358"/>
      <c r="B92" s="358"/>
      <c r="C92" s="553"/>
      <c r="D92" s="358"/>
      <c r="E92" s="553"/>
      <c r="F92" s="358"/>
      <c r="G92" s="553"/>
      <c r="H92" s="358"/>
      <c r="I92" s="553"/>
      <c r="J92" s="358"/>
      <c r="K92" s="553"/>
      <c r="L92" s="358"/>
      <c r="M92" s="553"/>
      <c r="N92" s="358"/>
      <c r="O92" s="553"/>
      <c r="P92" s="358"/>
      <c r="Q92" s="553"/>
      <c r="R92" s="358"/>
      <c r="S92" s="553"/>
      <c r="T92" s="358"/>
      <c r="U92" s="553"/>
      <c r="V92" s="358"/>
      <c r="W92" s="553"/>
      <c r="X92" s="358"/>
      <c r="Y92" s="553"/>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row>
    <row r="93" spans="1:52">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58"/>
      <c r="AN93" s="358"/>
      <c r="AO93" s="358"/>
      <c r="AP93" s="358"/>
      <c r="AQ93" s="358"/>
      <c r="AR93" s="358"/>
      <c r="AS93" s="358"/>
      <c r="AT93" s="358"/>
      <c r="AU93" s="358"/>
      <c r="AV93" s="358"/>
      <c r="AW93" s="358"/>
      <c r="AX93" s="358"/>
      <c r="AY93" s="358"/>
      <c r="AZ93" s="358"/>
    </row>
    <row r="94" spans="1:52">
      <c r="A94" s="358"/>
      <c r="B94" s="358"/>
      <c r="C94" s="553"/>
      <c r="D94" s="358"/>
      <c r="E94" s="553"/>
      <c r="F94" s="358"/>
      <c r="G94" s="553"/>
      <c r="H94" s="358"/>
      <c r="I94" s="553"/>
      <c r="J94" s="358"/>
      <c r="K94" s="553"/>
      <c r="L94" s="358"/>
      <c r="M94" s="553"/>
      <c r="N94" s="358"/>
      <c r="O94" s="553"/>
      <c r="P94" s="358"/>
      <c r="Q94" s="553"/>
      <c r="R94" s="358"/>
      <c r="S94" s="553"/>
      <c r="T94" s="358"/>
      <c r="U94" s="553"/>
      <c r="V94" s="358"/>
      <c r="W94" s="553"/>
      <c r="X94" s="358"/>
      <c r="Y94" s="553"/>
      <c r="Z94" s="358"/>
      <c r="AA94" s="358"/>
      <c r="AB94" s="358"/>
      <c r="AC94" s="358"/>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row>
    <row r="95" spans="1:52">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c r="AS95" s="358"/>
      <c r="AT95" s="358"/>
      <c r="AU95" s="358"/>
      <c r="AV95" s="358"/>
      <c r="AW95" s="358"/>
      <c r="AX95" s="358"/>
      <c r="AY95" s="358"/>
      <c r="AZ95" s="358"/>
    </row>
    <row r="96" spans="1:52">
      <c r="A96" s="358"/>
      <c r="B96" s="358"/>
      <c r="C96" s="553"/>
      <c r="D96" s="358"/>
      <c r="E96" s="553"/>
      <c r="F96" s="358"/>
      <c r="G96" s="553"/>
      <c r="H96" s="358"/>
      <c r="I96" s="553"/>
      <c r="J96" s="358"/>
      <c r="K96" s="553"/>
      <c r="L96" s="358"/>
      <c r="M96" s="553"/>
      <c r="N96" s="358"/>
      <c r="O96" s="553"/>
      <c r="P96" s="358"/>
      <c r="Q96" s="553"/>
      <c r="R96" s="358"/>
      <c r="S96" s="553"/>
      <c r="T96" s="358"/>
      <c r="U96" s="553"/>
      <c r="V96" s="358"/>
      <c r="W96" s="553"/>
      <c r="X96" s="358"/>
      <c r="Y96" s="553"/>
      <c r="Z96" s="358"/>
      <c r="AA96" s="358"/>
      <c r="AB96" s="358"/>
      <c r="AC96" s="358"/>
      <c r="AD96" s="358"/>
      <c r="AE96" s="358"/>
      <c r="AF96" s="358"/>
      <c r="AG96" s="358"/>
      <c r="AH96" s="358"/>
      <c r="AI96" s="358"/>
      <c r="AJ96" s="358"/>
      <c r="AK96" s="358"/>
      <c r="AL96" s="358"/>
      <c r="AM96" s="358"/>
      <c r="AN96" s="358"/>
      <c r="AO96" s="358"/>
      <c r="AP96" s="358"/>
      <c r="AQ96" s="358"/>
      <c r="AR96" s="358"/>
      <c r="AS96" s="358"/>
      <c r="AT96" s="358"/>
      <c r="AU96" s="358"/>
      <c r="AV96" s="358"/>
      <c r="AW96" s="358"/>
      <c r="AX96" s="358"/>
      <c r="AY96" s="358"/>
      <c r="AZ96" s="358"/>
    </row>
    <row r="97" spans="1:52">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row>
    <row r="98" spans="1:52">
      <c r="A98" s="358"/>
      <c r="B98" s="358"/>
      <c r="C98" s="553"/>
      <c r="D98" s="358"/>
      <c r="E98" s="553"/>
      <c r="F98" s="358"/>
      <c r="G98" s="553"/>
      <c r="H98" s="358"/>
      <c r="I98" s="553"/>
      <c r="J98" s="358"/>
      <c r="K98" s="553"/>
      <c r="L98" s="358"/>
      <c r="M98" s="553"/>
      <c r="N98" s="358"/>
      <c r="O98" s="553"/>
      <c r="P98" s="358"/>
      <c r="Q98" s="553"/>
      <c r="R98" s="358"/>
      <c r="S98" s="553"/>
      <c r="T98" s="358"/>
      <c r="U98" s="553"/>
      <c r="V98" s="358"/>
      <c r="W98" s="553"/>
      <c r="X98" s="358"/>
      <c r="Y98" s="553"/>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row>
    <row r="99" spans="1:52">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row>
    <row r="100" spans="1:52">
      <c r="A100" s="358"/>
      <c r="B100" s="358"/>
      <c r="C100" s="358"/>
      <c r="D100" s="358"/>
      <c r="E100" s="553"/>
      <c r="F100" s="358"/>
      <c r="G100" s="553"/>
      <c r="H100" s="358"/>
      <c r="I100" s="553"/>
      <c r="J100" s="358"/>
      <c r="K100" s="553"/>
      <c r="L100" s="358"/>
      <c r="M100" s="553"/>
      <c r="N100" s="358"/>
      <c r="O100" s="553"/>
      <c r="P100" s="358"/>
      <c r="Q100" s="553"/>
      <c r="R100" s="358"/>
      <c r="S100" s="553"/>
      <c r="T100" s="358"/>
      <c r="U100" s="553"/>
      <c r="V100" s="358"/>
      <c r="W100" s="553"/>
      <c r="X100" s="358"/>
      <c r="Y100" s="553"/>
      <c r="Z100" s="358"/>
      <c r="AA100" s="358"/>
      <c r="AB100" s="358"/>
      <c r="AC100" s="358"/>
      <c r="AD100" s="358"/>
      <c r="AE100" s="358"/>
      <c r="AF100" s="358"/>
      <c r="AG100" s="358"/>
      <c r="AH100" s="358"/>
      <c r="AI100" s="358"/>
      <c r="AJ100" s="358"/>
      <c r="AK100" s="358"/>
      <c r="AL100" s="358"/>
      <c r="AM100" s="358"/>
      <c r="AN100" s="358"/>
      <c r="AO100" s="358"/>
      <c r="AP100" s="358"/>
      <c r="AQ100" s="358"/>
      <c r="AR100" s="358"/>
      <c r="AS100" s="358"/>
      <c r="AT100" s="358"/>
      <c r="AU100" s="358"/>
      <c r="AV100" s="358"/>
      <c r="AW100" s="358"/>
      <c r="AX100" s="358"/>
      <c r="AY100" s="358"/>
      <c r="AZ100" s="358"/>
    </row>
  </sheetData>
  <sheetProtection sheet="1" objects="1" scenarios="1" selectLockedCells="1" selectUnlockedCells="1"/>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CC99"/>
  </sheetPr>
  <dimension ref="A1:AZ100"/>
  <sheetViews>
    <sheetView zoomScale="90" zoomScaleNormal="90" workbookViewId="0"/>
  </sheetViews>
  <sheetFormatPr defaultRowHeight="14.4"/>
  <sheetData>
    <row r="1" spans="1:52">
      <c r="A1" s="553"/>
      <c r="B1" s="358"/>
      <c r="C1" s="553"/>
      <c r="D1" s="358"/>
      <c r="E1" s="553"/>
      <c r="F1" s="358"/>
      <c r="G1" s="553"/>
      <c r="H1" s="358"/>
      <c r="I1" s="553"/>
      <c r="J1" s="358"/>
      <c r="K1" s="553"/>
      <c r="L1" s="358"/>
      <c r="M1" s="553"/>
      <c r="N1" s="358"/>
      <c r="O1" s="553"/>
      <c r="P1" s="358"/>
      <c r="Q1" s="553"/>
      <c r="R1" s="358"/>
      <c r="S1" s="553"/>
      <c r="T1" s="358"/>
      <c r="U1" s="553"/>
      <c r="V1" s="358"/>
      <c r="W1" s="553"/>
      <c r="X1" s="358"/>
      <c r="Y1" s="553"/>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row>
    <row r="2" spans="1:52">
      <c r="A2" s="358"/>
      <c r="B2" s="358"/>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row>
    <row r="3" spans="1:52">
      <c r="A3" s="553"/>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row>
    <row r="4" spans="1:52">
      <c r="A4" s="358"/>
      <c r="B4" s="358"/>
      <c r="C4" s="553"/>
      <c r="D4" s="358"/>
      <c r="E4" s="553"/>
      <c r="F4" s="358"/>
      <c r="G4" s="553"/>
      <c r="H4" s="358"/>
      <c r="I4" s="553"/>
      <c r="J4" s="358"/>
      <c r="K4" s="553"/>
      <c r="L4" s="358"/>
      <c r="M4" s="553"/>
      <c r="N4" s="358"/>
      <c r="O4" s="553"/>
      <c r="P4" s="358"/>
      <c r="Q4" s="553"/>
      <c r="R4" s="358"/>
      <c r="S4" s="553"/>
      <c r="T4" s="358"/>
      <c r="U4" s="553"/>
      <c r="V4" s="358"/>
      <c r="W4" s="553"/>
      <c r="X4" s="358"/>
      <c r="Y4" s="553"/>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row>
    <row r="5" spans="1:52">
      <c r="A5" s="553"/>
      <c r="B5" s="358"/>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row>
    <row r="6" spans="1:52">
      <c r="A6" s="358"/>
      <c r="B6" s="358"/>
      <c r="C6" s="358"/>
      <c r="D6" s="358"/>
      <c r="E6" s="358"/>
      <c r="F6" s="358"/>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c r="AT6" s="358"/>
      <c r="AU6" s="358"/>
      <c r="AV6" s="358"/>
      <c r="AW6" s="358"/>
      <c r="AX6" s="358"/>
      <c r="AY6" s="358"/>
      <c r="AZ6" s="358"/>
    </row>
    <row r="7" spans="1:52">
      <c r="A7" s="553"/>
      <c r="B7" s="358"/>
      <c r="C7" s="553"/>
      <c r="D7" s="358"/>
      <c r="E7" s="553"/>
      <c r="F7" s="358"/>
      <c r="G7" s="553"/>
      <c r="H7" s="358"/>
      <c r="I7" s="553"/>
      <c r="J7" s="358"/>
      <c r="K7" s="553"/>
      <c r="L7" s="358"/>
      <c r="M7" s="553"/>
      <c r="N7" s="358"/>
      <c r="O7" s="553"/>
      <c r="P7" s="358"/>
      <c r="Q7" s="553"/>
      <c r="R7" s="358"/>
      <c r="S7" s="553"/>
      <c r="T7" s="358"/>
      <c r="U7" s="553"/>
      <c r="V7" s="358"/>
      <c r="W7" s="553"/>
      <c r="X7" s="358"/>
      <c r="Y7" s="553"/>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358"/>
      <c r="AZ7" s="358"/>
    </row>
    <row r="8" spans="1:52">
      <c r="A8" s="358"/>
      <c r="B8" s="358"/>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58"/>
      <c r="AV8" s="358"/>
      <c r="AW8" s="358"/>
      <c r="AX8" s="358"/>
      <c r="AY8" s="358"/>
      <c r="AZ8" s="358"/>
    </row>
    <row r="9" spans="1:52">
      <c r="A9" s="553"/>
      <c r="B9" s="358"/>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c r="AT9" s="358"/>
      <c r="AU9" s="358"/>
      <c r="AV9" s="358"/>
      <c r="AW9" s="358"/>
      <c r="AX9" s="358"/>
      <c r="AY9" s="358"/>
      <c r="AZ9" s="358"/>
    </row>
    <row r="10" spans="1:52">
      <c r="A10" s="358"/>
      <c r="B10" s="358"/>
      <c r="C10" s="553"/>
      <c r="D10" s="358"/>
      <c r="E10" s="553"/>
      <c r="F10" s="358"/>
      <c r="G10" s="553"/>
      <c r="H10" s="358"/>
      <c r="I10" s="553"/>
      <c r="J10" s="358"/>
      <c r="K10" s="553"/>
      <c r="L10" s="358"/>
      <c r="M10" s="553"/>
      <c r="N10" s="358"/>
      <c r="O10" s="553"/>
      <c r="P10" s="358"/>
      <c r="Q10" s="553"/>
      <c r="R10" s="358"/>
      <c r="S10" s="553"/>
      <c r="T10" s="358"/>
      <c r="U10" s="553"/>
      <c r="V10" s="358"/>
      <c r="W10" s="553"/>
      <c r="X10" s="358"/>
      <c r="Y10" s="553"/>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row>
    <row r="11" spans="1:52">
      <c r="A11" s="553"/>
      <c r="B11" s="358"/>
      <c r="C11" s="358"/>
      <c r="D11" s="358"/>
      <c r="E11" s="358"/>
      <c r="F11" s="358"/>
      <c r="G11" s="358"/>
      <c r="H11" s="358"/>
      <c r="I11" s="358"/>
      <c r="J11" s="358"/>
      <c r="K11" s="358"/>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row>
    <row r="12" spans="1:52">
      <c r="A12" s="358"/>
      <c r="B12" s="358"/>
      <c r="C12" s="358"/>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358"/>
    </row>
    <row r="13" spans="1:52">
      <c r="A13" s="553"/>
      <c r="B13" s="358"/>
      <c r="C13" s="553"/>
      <c r="D13" s="358"/>
      <c r="E13" s="553"/>
      <c r="F13" s="358"/>
      <c r="G13" s="553"/>
      <c r="H13" s="358"/>
      <c r="I13" s="553"/>
      <c r="J13" s="358"/>
      <c r="K13" s="553"/>
      <c r="L13" s="358"/>
      <c r="M13" s="553"/>
      <c r="N13" s="358"/>
      <c r="O13" s="553"/>
      <c r="P13" s="358"/>
      <c r="Q13" s="553"/>
      <c r="R13" s="358"/>
      <c r="S13" s="553"/>
      <c r="T13" s="358"/>
      <c r="U13" s="553"/>
      <c r="V13" s="358"/>
      <c r="W13" s="553"/>
      <c r="X13" s="358"/>
      <c r="Y13" s="553"/>
      <c r="Z13" s="358"/>
      <c r="AA13" s="358"/>
      <c r="AB13" s="358"/>
      <c r="AC13" s="358"/>
      <c r="AD13" s="358"/>
      <c r="AE13" s="358"/>
      <c r="AF13" s="358"/>
      <c r="AG13" s="358"/>
      <c r="AH13" s="358"/>
      <c r="AI13" s="358"/>
      <c r="AJ13" s="358"/>
      <c r="AK13" s="358"/>
      <c r="AL13" s="358"/>
      <c r="AM13" s="358"/>
      <c r="AN13" s="358"/>
      <c r="AO13" s="358"/>
      <c r="AP13" s="358"/>
      <c r="AQ13" s="358"/>
      <c r="AR13" s="358"/>
      <c r="AS13" s="358"/>
      <c r="AT13" s="358"/>
      <c r="AU13" s="358"/>
      <c r="AV13" s="358"/>
      <c r="AW13" s="358"/>
      <c r="AX13" s="358"/>
      <c r="AY13" s="358"/>
      <c r="AZ13" s="358"/>
    </row>
    <row r="14" spans="1:52">
      <c r="A14" s="358"/>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row>
    <row r="15" spans="1:52">
      <c r="A15" s="553"/>
      <c r="B15" s="358"/>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row>
    <row r="16" spans="1:52">
      <c r="A16" s="358"/>
      <c r="B16" s="358"/>
      <c r="C16" s="553"/>
      <c r="D16" s="358"/>
      <c r="E16" s="553"/>
      <c r="F16" s="358"/>
      <c r="G16" s="553"/>
      <c r="H16" s="358"/>
      <c r="I16" s="553"/>
      <c r="J16" s="358"/>
      <c r="K16" s="553"/>
      <c r="L16" s="358"/>
      <c r="M16" s="553"/>
      <c r="N16" s="358"/>
      <c r="O16" s="553"/>
      <c r="P16" s="358"/>
      <c r="Q16" s="553"/>
      <c r="R16" s="358"/>
      <c r="S16" s="553"/>
      <c r="T16" s="358"/>
      <c r="U16" s="553"/>
      <c r="V16" s="358"/>
      <c r="W16" s="553"/>
      <c r="X16" s="358"/>
      <c r="Y16" s="553"/>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358"/>
    </row>
    <row r="17" spans="1:52">
      <c r="A17" s="553"/>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358"/>
      <c r="AZ17" s="358"/>
    </row>
    <row r="18" spans="1:52">
      <c r="A18" s="358"/>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358"/>
      <c r="AZ18" s="358"/>
    </row>
    <row r="19" spans="1:52">
      <c r="A19" s="553"/>
      <c r="B19" s="358"/>
      <c r="C19" s="553"/>
      <c r="D19" s="358"/>
      <c r="E19" s="553"/>
      <c r="F19" s="358"/>
      <c r="G19" s="553"/>
      <c r="H19" s="358"/>
      <c r="I19" s="553"/>
      <c r="J19" s="358"/>
      <c r="K19" s="553"/>
      <c r="L19" s="358"/>
      <c r="M19" s="553"/>
      <c r="N19" s="358"/>
      <c r="O19" s="553"/>
      <c r="P19" s="358"/>
      <c r="Q19" s="553"/>
      <c r="R19" s="358"/>
      <c r="S19" s="553"/>
      <c r="T19" s="358"/>
      <c r="U19" s="553"/>
      <c r="V19" s="358"/>
      <c r="W19" s="553"/>
      <c r="X19" s="358"/>
      <c r="Y19" s="553"/>
      <c r="Z19" s="358"/>
      <c r="AA19" s="358"/>
      <c r="AB19" s="358"/>
      <c r="AC19" s="358"/>
      <c r="AD19" s="358"/>
      <c r="AE19" s="358"/>
      <c r="AF19" s="358"/>
      <c r="AG19" s="358"/>
      <c r="AH19" s="358"/>
      <c r="AI19" s="358"/>
      <c r="AJ19" s="358"/>
      <c r="AK19" s="358"/>
      <c r="AL19" s="358"/>
      <c r="AM19" s="358"/>
      <c r="AN19" s="358"/>
      <c r="AO19" s="358"/>
      <c r="AP19" s="358"/>
      <c r="AQ19" s="358"/>
      <c r="AR19" s="358"/>
      <c r="AS19" s="358"/>
      <c r="AT19" s="358"/>
      <c r="AU19" s="358"/>
      <c r="AV19" s="358"/>
      <c r="AW19" s="358"/>
      <c r="AX19" s="358"/>
      <c r="AY19" s="358"/>
      <c r="AZ19" s="358"/>
    </row>
    <row r="20" spans="1:52">
      <c r="A20" s="358"/>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358"/>
      <c r="AS20" s="358"/>
      <c r="AT20" s="358"/>
      <c r="AU20" s="358"/>
      <c r="AV20" s="358"/>
      <c r="AW20" s="358"/>
      <c r="AX20" s="358"/>
      <c r="AY20" s="358"/>
      <c r="AZ20" s="358"/>
    </row>
    <row r="21" spans="1:52">
      <c r="A21" s="553"/>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row>
    <row r="22" spans="1:52">
      <c r="A22" s="358"/>
      <c r="B22" s="358"/>
      <c r="C22" s="553"/>
      <c r="D22" s="358"/>
      <c r="E22" s="553"/>
      <c r="F22" s="358"/>
      <c r="G22" s="553"/>
      <c r="H22" s="358"/>
      <c r="I22" s="553"/>
      <c r="J22" s="358"/>
      <c r="K22" s="553"/>
      <c r="L22" s="358"/>
      <c r="M22" s="553"/>
      <c r="N22" s="358"/>
      <c r="O22" s="553"/>
      <c r="P22" s="358"/>
      <c r="Q22" s="553"/>
      <c r="R22" s="358"/>
      <c r="S22" s="553"/>
      <c r="T22" s="358"/>
      <c r="U22" s="553"/>
      <c r="V22" s="358"/>
      <c r="W22" s="553"/>
      <c r="X22" s="358"/>
      <c r="Y22" s="553"/>
      <c r="Z22" s="358"/>
      <c r="AA22" s="358"/>
      <c r="AB22" s="358"/>
      <c r="AC22" s="358"/>
      <c r="AD22" s="358"/>
      <c r="AE22" s="358"/>
      <c r="AF22" s="358"/>
      <c r="AG22" s="358"/>
      <c r="AH22" s="358"/>
      <c r="AI22" s="358"/>
      <c r="AJ22" s="358"/>
      <c r="AK22" s="358"/>
      <c r="AL22" s="358"/>
      <c r="AM22" s="358"/>
      <c r="AN22" s="358"/>
      <c r="AO22" s="358"/>
      <c r="AP22" s="358"/>
      <c r="AQ22" s="358"/>
      <c r="AR22" s="358"/>
      <c r="AS22" s="358"/>
      <c r="AT22" s="358"/>
      <c r="AU22" s="358"/>
      <c r="AV22" s="358"/>
      <c r="AW22" s="358"/>
      <c r="AX22" s="358"/>
      <c r="AY22" s="358"/>
      <c r="AZ22" s="358"/>
    </row>
    <row r="23" spans="1:52">
      <c r="A23" s="553"/>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row>
    <row r="24" spans="1:52">
      <c r="A24" s="358"/>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row>
    <row r="25" spans="1:52">
      <c r="A25" s="553"/>
      <c r="B25" s="358"/>
      <c r="C25" s="553"/>
      <c r="D25" s="358"/>
      <c r="E25" s="553"/>
      <c r="F25" s="358"/>
      <c r="G25" s="553"/>
      <c r="H25" s="358"/>
      <c r="I25" s="553"/>
      <c r="J25" s="358"/>
      <c r="K25" s="553"/>
      <c r="L25" s="358"/>
      <c r="M25" s="553"/>
      <c r="N25" s="358"/>
      <c r="O25" s="553"/>
      <c r="P25" s="358"/>
      <c r="Q25" s="553"/>
      <c r="R25" s="358"/>
      <c r="S25" s="553"/>
      <c r="T25" s="358"/>
      <c r="U25" s="553"/>
      <c r="V25" s="358"/>
      <c r="W25" s="553"/>
      <c r="X25" s="358"/>
      <c r="Y25" s="553"/>
      <c r="Z25" s="358"/>
      <c r="AA25" s="358"/>
      <c r="AB25" s="358"/>
      <c r="AC25" s="358"/>
      <c r="AD25" s="358"/>
      <c r="AE25" s="358"/>
      <c r="AF25" s="358"/>
      <c r="AG25" s="358"/>
      <c r="AH25" s="358"/>
      <c r="AI25" s="358"/>
      <c r="AJ25" s="358"/>
      <c r="AK25" s="358"/>
      <c r="AL25" s="358"/>
      <c r="AM25" s="358"/>
      <c r="AN25" s="358"/>
      <c r="AO25" s="358"/>
      <c r="AP25" s="358"/>
      <c r="AQ25" s="358"/>
      <c r="AR25" s="358"/>
      <c r="AS25" s="358"/>
      <c r="AT25" s="358"/>
      <c r="AU25" s="358"/>
      <c r="AV25" s="358"/>
      <c r="AW25" s="358"/>
      <c r="AX25" s="358"/>
      <c r="AY25" s="358"/>
      <c r="AZ25" s="358"/>
    </row>
    <row r="26" spans="1:52">
      <c r="A26" s="358"/>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c r="AH26" s="358"/>
      <c r="AI26" s="358"/>
      <c r="AJ26" s="358"/>
      <c r="AK26" s="358"/>
      <c r="AL26" s="358"/>
      <c r="AM26" s="358"/>
      <c r="AN26" s="358"/>
      <c r="AO26" s="358"/>
      <c r="AP26" s="358"/>
      <c r="AQ26" s="358"/>
      <c r="AR26" s="358"/>
      <c r="AS26" s="358"/>
      <c r="AT26" s="358"/>
      <c r="AU26" s="358"/>
      <c r="AV26" s="358"/>
      <c r="AW26" s="358"/>
      <c r="AX26" s="358"/>
      <c r="AY26" s="358"/>
      <c r="AZ26" s="358"/>
    </row>
    <row r="27" spans="1:52">
      <c r="A27" s="553"/>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358"/>
      <c r="AZ27" s="358"/>
    </row>
    <row r="28" spans="1:52">
      <c r="A28" s="358"/>
      <c r="B28" s="358"/>
      <c r="C28" s="553"/>
      <c r="D28" s="358"/>
      <c r="E28" s="553"/>
      <c r="F28" s="358"/>
      <c r="G28" s="553"/>
      <c r="H28" s="358"/>
      <c r="I28" s="553"/>
      <c r="J28" s="358"/>
      <c r="K28" s="553"/>
      <c r="L28" s="358"/>
      <c r="M28" s="553"/>
      <c r="N28" s="358"/>
      <c r="O28" s="553"/>
      <c r="P28" s="358"/>
      <c r="Q28" s="553"/>
      <c r="R28" s="358"/>
      <c r="S28" s="553"/>
      <c r="T28" s="358"/>
      <c r="U28" s="553"/>
      <c r="V28" s="358"/>
      <c r="W28" s="553"/>
      <c r="X28" s="358"/>
      <c r="Y28" s="553"/>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358"/>
      <c r="AZ28" s="358"/>
    </row>
    <row r="29" spans="1:52">
      <c r="A29" s="553"/>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row>
    <row r="30" spans="1:52">
      <c r="A30" s="358"/>
      <c r="B30" s="358"/>
      <c r="C30" s="553"/>
      <c r="D30" s="358"/>
      <c r="E30" s="553"/>
      <c r="F30" s="358"/>
      <c r="G30" s="553"/>
      <c r="H30" s="358"/>
      <c r="I30" s="553"/>
      <c r="J30" s="358"/>
      <c r="K30" s="553"/>
      <c r="L30" s="358"/>
      <c r="M30" s="553"/>
      <c r="N30" s="358"/>
      <c r="O30" s="553"/>
      <c r="P30" s="358"/>
      <c r="Q30" s="553"/>
      <c r="R30" s="358"/>
      <c r="S30" s="553"/>
      <c r="T30" s="358"/>
      <c r="U30" s="553"/>
      <c r="V30" s="358"/>
      <c r="W30" s="553"/>
      <c r="X30" s="358"/>
      <c r="Y30" s="553"/>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row>
    <row r="31" spans="1:52">
      <c r="A31" s="553"/>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row>
    <row r="32" spans="1:52">
      <c r="A32" s="358"/>
      <c r="B32" s="358"/>
      <c r="C32" s="553"/>
      <c r="D32" s="358"/>
      <c r="E32" s="553"/>
      <c r="F32" s="358"/>
      <c r="G32" s="553"/>
      <c r="H32" s="358"/>
      <c r="I32" s="553"/>
      <c r="J32" s="358"/>
      <c r="K32" s="553"/>
      <c r="L32" s="358"/>
      <c r="M32" s="553"/>
      <c r="N32" s="358"/>
      <c r="O32" s="553"/>
      <c r="P32" s="358"/>
      <c r="Q32" s="553"/>
      <c r="R32" s="358"/>
      <c r="S32" s="553"/>
      <c r="T32" s="358"/>
      <c r="U32" s="553"/>
      <c r="V32" s="358"/>
      <c r="W32" s="553"/>
      <c r="X32" s="358"/>
      <c r="Y32" s="553"/>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row>
    <row r="33" spans="1:52">
      <c r="A33" s="553"/>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c r="AH33" s="358"/>
      <c r="AI33" s="358"/>
      <c r="AJ33" s="358"/>
      <c r="AK33" s="358"/>
      <c r="AL33" s="358"/>
      <c r="AM33" s="358"/>
      <c r="AN33" s="358"/>
      <c r="AO33" s="358"/>
      <c r="AP33" s="358"/>
      <c r="AQ33" s="358"/>
      <c r="AR33" s="358"/>
      <c r="AS33" s="358"/>
      <c r="AT33" s="358"/>
      <c r="AU33" s="358"/>
      <c r="AV33" s="358"/>
      <c r="AW33" s="358"/>
      <c r="AX33" s="358"/>
      <c r="AY33" s="358"/>
      <c r="AZ33" s="358"/>
    </row>
    <row r="34" spans="1:52">
      <c r="A34" s="358"/>
      <c r="B34" s="358"/>
      <c r="C34" s="553"/>
      <c r="D34" s="358"/>
      <c r="E34" s="553"/>
      <c r="F34" s="358"/>
      <c r="G34" s="553"/>
      <c r="H34" s="358"/>
      <c r="I34" s="553"/>
      <c r="J34" s="358"/>
      <c r="K34" s="553"/>
      <c r="L34" s="358"/>
      <c r="M34" s="553"/>
      <c r="N34" s="358"/>
      <c r="O34" s="553"/>
      <c r="P34" s="358"/>
      <c r="Q34" s="553"/>
      <c r="R34" s="358"/>
      <c r="S34" s="553"/>
      <c r="T34" s="358"/>
      <c r="U34" s="553"/>
      <c r="V34" s="358"/>
      <c r="W34" s="553"/>
      <c r="X34" s="358"/>
      <c r="Y34" s="553"/>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row>
    <row r="35" spans="1:52">
      <c r="A35" s="553"/>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c r="AI35" s="358"/>
      <c r="AJ35" s="358"/>
      <c r="AK35" s="358"/>
      <c r="AL35" s="358"/>
      <c r="AM35" s="358"/>
      <c r="AN35" s="358"/>
      <c r="AO35" s="358"/>
      <c r="AP35" s="358"/>
      <c r="AQ35" s="358"/>
      <c r="AR35" s="358"/>
      <c r="AS35" s="358"/>
      <c r="AT35" s="358"/>
      <c r="AU35" s="358"/>
      <c r="AV35" s="358"/>
      <c r="AW35" s="358"/>
      <c r="AX35" s="358"/>
      <c r="AY35" s="358"/>
      <c r="AZ35" s="358"/>
    </row>
    <row r="36" spans="1:52">
      <c r="A36" s="358"/>
      <c r="B36" s="358"/>
      <c r="C36" s="553"/>
      <c r="D36" s="358"/>
      <c r="E36" s="553"/>
      <c r="F36" s="358"/>
      <c r="G36" s="553"/>
      <c r="H36" s="358"/>
      <c r="I36" s="553"/>
      <c r="J36" s="358"/>
      <c r="K36" s="553"/>
      <c r="L36" s="358"/>
      <c r="M36" s="553"/>
      <c r="N36" s="358"/>
      <c r="O36" s="553"/>
      <c r="P36" s="358"/>
      <c r="Q36" s="553"/>
      <c r="R36" s="358"/>
      <c r="S36" s="553"/>
      <c r="T36" s="358"/>
      <c r="U36" s="553"/>
      <c r="V36" s="358"/>
      <c r="W36" s="553"/>
      <c r="X36" s="358"/>
      <c r="Y36" s="553"/>
      <c r="Z36" s="358"/>
      <c r="AA36" s="358"/>
      <c r="AB36" s="358"/>
      <c r="AC36" s="358"/>
      <c r="AD36" s="358"/>
      <c r="AE36" s="358"/>
      <c r="AF36" s="358"/>
      <c r="AG36" s="358"/>
      <c r="AH36" s="358"/>
      <c r="AI36" s="358"/>
      <c r="AJ36" s="358"/>
      <c r="AK36" s="358"/>
      <c r="AL36" s="358"/>
      <c r="AM36" s="358"/>
      <c r="AN36" s="358"/>
      <c r="AO36" s="358"/>
      <c r="AP36" s="358"/>
      <c r="AQ36" s="358"/>
      <c r="AR36" s="358"/>
      <c r="AS36" s="358"/>
      <c r="AT36" s="358"/>
      <c r="AU36" s="358"/>
      <c r="AV36" s="358"/>
      <c r="AW36" s="358"/>
      <c r="AX36" s="358"/>
      <c r="AY36" s="358"/>
      <c r="AZ36" s="358"/>
    </row>
    <row r="37" spans="1:52">
      <c r="A37" s="553"/>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358"/>
      <c r="AZ37" s="358"/>
    </row>
    <row r="38" spans="1:52">
      <c r="A38" s="358"/>
      <c r="B38" s="358"/>
      <c r="C38" s="553"/>
      <c r="D38" s="358"/>
      <c r="E38" s="553"/>
      <c r="F38" s="358"/>
      <c r="G38" s="553"/>
      <c r="H38" s="358"/>
      <c r="I38" s="553"/>
      <c r="J38" s="358"/>
      <c r="K38" s="553"/>
      <c r="L38" s="358"/>
      <c r="M38" s="553"/>
      <c r="N38" s="358"/>
      <c r="O38" s="553"/>
      <c r="P38" s="358"/>
      <c r="Q38" s="553"/>
      <c r="R38" s="358"/>
      <c r="S38" s="553"/>
      <c r="T38" s="358"/>
      <c r="U38" s="553"/>
      <c r="V38" s="358"/>
      <c r="W38" s="553"/>
      <c r="X38" s="358"/>
      <c r="Y38" s="553"/>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358"/>
    </row>
    <row r="39" spans="1:52">
      <c r="A39" s="358"/>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c r="AH39" s="358"/>
      <c r="AI39" s="358"/>
      <c r="AJ39" s="358"/>
      <c r="AK39" s="358"/>
      <c r="AL39" s="358"/>
      <c r="AM39" s="358"/>
      <c r="AN39" s="358"/>
      <c r="AO39" s="358"/>
      <c r="AP39" s="358"/>
      <c r="AQ39" s="358"/>
      <c r="AR39" s="358"/>
      <c r="AS39" s="358"/>
      <c r="AT39" s="358"/>
      <c r="AU39" s="358"/>
      <c r="AV39" s="358"/>
      <c r="AW39" s="358"/>
      <c r="AX39" s="358"/>
      <c r="AY39" s="358"/>
      <c r="AZ39" s="358"/>
    </row>
    <row r="40" spans="1:52">
      <c r="A40" s="358"/>
      <c r="B40" s="358"/>
      <c r="C40" s="553"/>
      <c r="D40" s="358"/>
      <c r="E40" s="553"/>
      <c r="F40" s="358"/>
      <c r="G40" s="553"/>
      <c r="H40" s="358"/>
      <c r="I40" s="553"/>
      <c r="J40" s="358"/>
      <c r="K40" s="553"/>
      <c r="L40" s="358"/>
      <c r="M40" s="553"/>
      <c r="N40" s="358"/>
      <c r="O40" s="553"/>
      <c r="P40" s="358"/>
      <c r="Q40" s="553"/>
      <c r="R40" s="358"/>
      <c r="S40" s="553"/>
      <c r="T40" s="358"/>
      <c r="U40" s="553"/>
      <c r="V40" s="358"/>
      <c r="W40" s="553"/>
      <c r="X40" s="358"/>
      <c r="Y40" s="553"/>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358"/>
      <c r="AZ40" s="358"/>
    </row>
    <row r="41" spans="1:52">
      <c r="A41" s="358"/>
      <c r="B41" s="358"/>
      <c r="C41" s="358"/>
      <c r="D41" s="358"/>
      <c r="E41" s="358"/>
      <c r="F41" s="35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358"/>
      <c r="AG41" s="358"/>
      <c r="AH41" s="358"/>
      <c r="AI41" s="358"/>
      <c r="AJ41" s="358"/>
      <c r="AK41" s="358"/>
      <c r="AL41" s="358"/>
      <c r="AM41" s="358"/>
      <c r="AN41" s="358"/>
      <c r="AO41" s="358"/>
      <c r="AP41" s="358"/>
      <c r="AQ41" s="358"/>
      <c r="AR41" s="358"/>
      <c r="AS41" s="358"/>
      <c r="AT41" s="358"/>
      <c r="AU41" s="358"/>
      <c r="AV41" s="358"/>
      <c r="AW41" s="358"/>
      <c r="AX41" s="358"/>
      <c r="AY41" s="358"/>
      <c r="AZ41" s="358"/>
    </row>
    <row r="42" spans="1:52">
      <c r="A42" s="358"/>
      <c r="B42" s="358"/>
      <c r="C42" s="553"/>
      <c r="D42" s="358"/>
      <c r="E42" s="553"/>
      <c r="F42" s="358"/>
      <c r="G42" s="553"/>
      <c r="H42" s="358"/>
      <c r="I42" s="553"/>
      <c r="J42" s="358"/>
      <c r="K42" s="553"/>
      <c r="L42" s="358"/>
      <c r="M42" s="553"/>
      <c r="N42" s="358"/>
      <c r="O42" s="553"/>
      <c r="P42" s="358"/>
      <c r="Q42" s="553"/>
      <c r="R42" s="358"/>
      <c r="S42" s="553"/>
      <c r="T42" s="358"/>
      <c r="U42" s="553"/>
      <c r="V42" s="358"/>
      <c r="W42" s="553"/>
      <c r="X42" s="358"/>
      <c r="Y42" s="553"/>
      <c r="Z42" s="358"/>
      <c r="AA42" s="358"/>
      <c r="AB42" s="358"/>
      <c r="AC42" s="358"/>
      <c r="AD42" s="358"/>
      <c r="AE42" s="358"/>
      <c r="AF42" s="358"/>
      <c r="AG42" s="358"/>
      <c r="AH42" s="358"/>
      <c r="AI42" s="358"/>
      <c r="AJ42" s="358"/>
      <c r="AK42" s="358"/>
      <c r="AL42" s="358"/>
      <c r="AM42" s="358"/>
      <c r="AN42" s="358"/>
      <c r="AO42" s="358"/>
      <c r="AP42" s="358"/>
      <c r="AQ42" s="358"/>
      <c r="AR42" s="358"/>
      <c r="AS42" s="358"/>
      <c r="AT42" s="358"/>
      <c r="AU42" s="358"/>
      <c r="AV42" s="358"/>
      <c r="AW42" s="358"/>
      <c r="AX42" s="358"/>
      <c r="AY42" s="358"/>
      <c r="AZ42" s="358"/>
    </row>
    <row r="43" spans="1:52">
      <c r="A43" s="358"/>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row>
    <row r="44" spans="1:52">
      <c r="A44" s="358"/>
      <c r="B44" s="358"/>
      <c r="C44" s="553"/>
      <c r="D44" s="358"/>
      <c r="E44" s="553"/>
      <c r="F44" s="358"/>
      <c r="G44" s="553"/>
      <c r="H44" s="358"/>
      <c r="I44" s="553"/>
      <c r="J44" s="358"/>
      <c r="K44" s="553"/>
      <c r="L44" s="358"/>
      <c r="M44" s="553"/>
      <c r="N44" s="358"/>
      <c r="O44" s="553"/>
      <c r="P44" s="358"/>
      <c r="Q44" s="553"/>
      <c r="R44" s="358"/>
      <c r="S44" s="553"/>
      <c r="T44" s="358"/>
      <c r="U44" s="553"/>
      <c r="V44" s="358"/>
      <c r="W44" s="553"/>
      <c r="X44" s="358"/>
      <c r="Y44" s="553"/>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row>
    <row r="45" spans="1:52">
      <c r="A45" s="358"/>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358"/>
    </row>
    <row r="46" spans="1:52">
      <c r="A46" s="358"/>
      <c r="B46" s="358"/>
      <c r="C46" s="553"/>
      <c r="D46" s="358"/>
      <c r="E46" s="553"/>
      <c r="F46" s="358"/>
      <c r="G46" s="553"/>
      <c r="H46" s="358"/>
      <c r="I46" s="553"/>
      <c r="J46" s="358"/>
      <c r="K46" s="553"/>
      <c r="L46" s="358"/>
      <c r="M46" s="553"/>
      <c r="N46" s="358"/>
      <c r="O46" s="553"/>
      <c r="P46" s="358"/>
      <c r="Q46" s="553"/>
      <c r="R46" s="358"/>
      <c r="S46" s="553"/>
      <c r="T46" s="358"/>
      <c r="U46" s="553"/>
      <c r="V46" s="358"/>
      <c r="W46" s="553"/>
      <c r="X46" s="358"/>
      <c r="Y46" s="553"/>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358"/>
    </row>
    <row r="47" spans="1:52">
      <c r="A47" s="358"/>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358"/>
    </row>
    <row r="48" spans="1:52">
      <c r="A48" s="358"/>
      <c r="B48" s="358"/>
      <c r="C48" s="553"/>
      <c r="D48" s="358"/>
      <c r="E48" s="553"/>
      <c r="F48" s="358"/>
      <c r="G48" s="553"/>
      <c r="H48" s="358"/>
      <c r="I48" s="553"/>
      <c r="J48" s="358"/>
      <c r="K48" s="553"/>
      <c r="L48" s="358"/>
      <c r="M48" s="553"/>
      <c r="N48" s="358"/>
      <c r="O48" s="553"/>
      <c r="P48" s="358"/>
      <c r="Q48" s="553"/>
      <c r="R48" s="358"/>
      <c r="S48" s="553"/>
      <c r="T48" s="358"/>
      <c r="U48" s="553"/>
      <c r="V48" s="358"/>
      <c r="W48" s="553"/>
      <c r="X48" s="358"/>
      <c r="Y48" s="553"/>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row>
    <row r="49" spans="1:52">
      <c r="A49" s="358"/>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row>
    <row r="50" spans="1:52">
      <c r="A50" s="358"/>
      <c r="B50" s="358"/>
      <c r="C50" s="553"/>
      <c r="D50" s="358"/>
      <c r="E50" s="553"/>
      <c r="F50" s="358"/>
      <c r="G50" s="553"/>
      <c r="H50" s="358"/>
      <c r="I50" s="553"/>
      <c r="J50" s="358"/>
      <c r="K50" s="553"/>
      <c r="L50" s="358"/>
      <c r="M50" s="553"/>
      <c r="N50" s="358"/>
      <c r="O50" s="553"/>
      <c r="P50" s="358"/>
      <c r="Q50" s="553"/>
      <c r="R50" s="358"/>
      <c r="S50" s="553"/>
      <c r="T50" s="358"/>
      <c r="U50" s="553"/>
      <c r="V50" s="358"/>
      <c r="W50" s="553"/>
      <c r="X50" s="358"/>
      <c r="Y50" s="553"/>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row>
    <row r="51" spans="1:52">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row>
    <row r="52" spans="1:52">
      <c r="A52" s="358"/>
      <c r="B52" s="358"/>
      <c r="C52" s="553"/>
      <c r="D52" s="358"/>
      <c r="E52" s="553"/>
      <c r="F52" s="358"/>
      <c r="G52" s="553"/>
      <c r="H52" s="358"/>
      <c r="I52" s="553"/>
      <c r="J52" s="358"/>
      <c r="K52" s="553"/>
      <c r="L52" s="358"/>
      <c r="M52" s="553"/>
      <c r="N52" s="358"/>
      <c r="O52" s="553"/>
      <c r="P52" s="358"/>
      <c r="Q52" s="553"/>
      <c r="R52" s="358"/>
      <c r="S52" s="553"/>
      <c r="T52" s="358"/>
      <c r="U52" s="553"/>
      <c r="V52" s="358"/>
      <c r="W52" s="553"/>
      <c r="X52" s="358"/>
      <c r="Y52" s="553"/>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row>
    <row r="53" spans="1:52">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row>
    <row r="54" spans="1:52">
      <c r="A54" s="358"/>
      <c r="B54" s="358"/>
      <c r="C54" s="553"/>
      <c r="D54" s="358"/>
      <c r="E54" s="553"/>
      <c r="F54" s="358"/>
      <c r="G54" s="553"/>
      <c r="H54" s="358"/>
      <c r="I54" s="553"/>
      <c r="J54" s="358"/>
      <c r="K54" s="553"/>
      <c r="L54" s="358"/>
      <c r="M54" s="553"/>
      <c r="N54" s="358"/>
      <c r="O54" s="553"/>
      <c r="P54" s="358"/>
      <c r="Q54" s="553"/>
      <c r="R54" s="358"/>
      <c r="S54" s="553"/>
      <c r="T54" s="358"/>
      <c r="U54" s="553"/>
      <c r="V54" s="358"/>
      <c r="W54" s="553"/>
      <c r="X54" s="358"/>
      <c r="Y54" s="553"/>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c r="AV54" s="358"/>
      <c r="AW54" s="358"/>
      <c r="AX54" s="358"/>
      <c r="AY54" s="358"/>
      <c r="AZ54" s="358"/>
    </row>
    <row r="55" spans="1:52">
      <c r="A55" s="358"/>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358"/>
    </row>
    <row r="56" spans="1:52">
      <c r="A56" s="358"/>
      <c r="B56" s="358"/>
      <c r="C56" s="553"/>
      <c r="D56" s="358"/>
      <c r="E56" s="553"/>
      <c r="F56" s="358"/>
      <c r="G56" s="553"/>
      <c r="H56" s="358"/>
      <c r="I56" s="553"/>
      <c r="J56" s="358"/>
      <c r="K56" s="553"/>
      <c r="L56" s="358"/>
      <c r="M56" s="553"/>
      <c r="N56" s="358"/>
      <c r="O56" s="553"/>
      <c r="P56" s="358"/>
      <c r="Q56" s="553"/>
      <c r="R56" s="358"/>
      <c r="S56" s="553"/>
      <c r="T56" s="358"/>
      <c r="U56" s="553"/>
      <c r="V56" s="358"/>
      <c r="W56" s="553"/>
      <c r="X56" s="358"/>
      <c r="Y56" s="553"/>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row>
    <row r="57" spans="1:52">
      <c r="A57" s="358"/>
      <c r="B57" s="358"/>
      <c r="C57" s="358"/>
      <c r="D57" s="358"/>
      <c r="E57" s="358"/>
      <c r="F57" s="358"/>
      <c r="G57" s="358"/>
      <c r="H57" s="358"/>
      <c r="I57" s="358"/>
      <c r="J57" s="358"/>
      <c r="K57" s="358"/>
      <c r="L57" s="358"/>
      <c r="M57" s="358"/>
      <c r="N57" s="358"/>
      <c r="O57" s="358"/>
      <c r="P57" s="358"/>
      <c r="Q57" s="358"/>
      <c r="R57" s="358"/>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c r="AV57" s="358"/>
      <c r="AW57" s="358"/>
      <c r="AX57" s="358"/>
      <c r="AY57" s="358"/>
      <c r="AZ57" s="358"/>
    </row>
    <row r="58" spans="1:52">
      <c r="A58" s="358"/>
      <c r="B58" s="358"/>
      <c r="C58" s="553"/>
      <c r="D58" s="358"/>
      <c r="E58" s="553"/>
      <c r="F58" s="358"/>
      <c r="G58" s="553"/>
      <c r="H58" s="358"/>
      <c r="I58" s="553"/>
      <c r="J58" s="358"/>
      <c r="K58" s="553"/>
      <c r="L58" s="358"/>
      <c r="M58" s="553"/>
      <c r="N58" s="358"/>
      <c r="O58" s="553"/>
      <c r="P58" s="358"/>
      <c r="Q58" s="553"/>
      <c r="R58" s="358"/>
      <c r="S58" s="553"/>
      <c r="T58" s="358"/>
      <c r="U58" s="553"/>
      <c r="V58" s="358"/>
      <c r="W58" s="553"/>
      <c r="X58" s="358"/>
      <c r="Y58" s="553"/>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row>
    <row r="59" spans="1:52">
      <c r="A59" s="35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58"/>
    </row>
    <row r="60" spans="1:52">
      <c r="A60" s="358"/>
      <c r="B60" s="358"/>
      <c r="C60" s="553"/>
      <c r="D60" s="358"/>
      <c r="E60" s="553"/>
      <c r="F60" s="358"/>
      <c r="G60" s="553"/>
      <c r="H60" s="358"/>
      <c r="I60" s="553"/>
      <c r="J60" s="358"/>
      <c r="K60" s="553"/>
      <c r="L60" s="358"/>
      <c r="M60" s="553"/>
      <c r="N60" s="358"/>
      <c r="O60" s="553"/>
      <c r="P60" s="358"/>
      <c r="Q60" s="553"/>
      <c r="R60" s="358"/>
      <c r="S60" s="553"/>
      <c r="T60" s="358"/>
      <c r="U60" s="553"/>
      <c r="V60" s="358"/>
      <c r="W60" s="553"/>
      <c r="X60" s="358"/>
      <c r="Y60" s="553"/>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58"/>
      <c r="AZ60" s="358"/>
    </row>
    <row r="61" spans="1:52">
      <c r="A61" s="358"/>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row>
    <row r="62" spans="1:52">
      <c r="A62" s="358"/>
      <c r="B62" s="358"/>
      <c r="C62" s="553"/>
      <c r="D62" s="358"/>
      <c r="E62" s="553"/>
      <c r="F62" s="358"/>
      <c r="G62" s="553"/>
      <c r="H62" s="358"/>
      <c r="I62" s="553"/>
      <c r="J62" s="358"/>
      <c r="K62" s="553"/>
      <c r="L62" s="358"/>
      <c r="M62" s="553"/>
      <c r="N62" s="358"/>
      <c r="O62" s="553"/>
      <c r="P62" s="358"/>
      <c r="Q62" s="553"/>
      <c r="R62" s="358"/>
      <c r="S62" s="553"/>
      <c r="T62" s="358"/>
      <c r="U62" s="553"/>
      <c r="V62" s="358"/>
      <c r="W62" s="553"/>
      <c r="X62" s="358"/>
      <c r="Y62" s="553"/>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58"/>
      <c r="AZ62" s="358"/>
    </row>
    <row r="63" spans="1:52">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c r="AV63" s="358"/>
      <c r="AW63" s="358"/>
      <c r="AX63" s="358"/>
      <c r="AY63" s="358"/>
      <c r="AZ63" s="358"/>
    </row>
    <row r="64" spans="1:52">
      <c r="A64" s="358"/>
      <c r="B64" s="358"/>
      <c r="C64" s="553"/>
      <c r="D64" s="358"/>
      <c r="E64" s="553"/>
      <c r="F64" s="358"/>
      <c r="G64" s="553"/>
      <c r="H64" s="358"/>
      <c r="I64" s="553"/>
      <c r="J64" s="358"/>
      <c r="K64" s="553"/>
      <c r="L64" s="358"/>
      <c r="M64" s="553"/>
      <c r="N64" s="358"/>
      <c r="O64" s="553"/>
      <c r="P64" s="358"/>
      <c r="Q64" s="553"/>
      <c r="R64" s="358"/>
      <c r="S64" s="553"/>
      <c r="T64" s="358"/>
      <c r="U64" s="553"/>
      <c r="V64" s="358"/>
      <c r="W64" s="553"/>
      <c r="X64" s="358"/>
      <c r="Y64" s="553"/>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row>
    <row r="65" spans="1:52">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row>
    <row r="66" spans="1:52">
      <c r="A66" s="358"/>
      <c r="B66" s="358"/>
      <c r="C66" s="553"/>
      <c r="D66" s="358"/>
      <c r="E66" s="553"/>
      <c r="F66" s="358"/>
      <c r="G66" s="553"/>
      <c r="H66" s="358"/>
      <c r="I66" s="553"/>
      <c r="J66" s="358"/>
      <c r="K66" s="553"/>
      <c r="L66" s="358"/>
      <c r="M66" s="553"/>
      <c r="N66" s="358"/>
      <c r="O66" s="553"/>
      <c r="P66" s="358"/>
      <c r="Q66" s="553"/>
      <c r="R66" s="358"/>
      <c r="S66" s="553"/>
      <c r="T66" s="358"/>
      <c r="U66" s="553"/>
      <c r="V66" s="358"/>
      <c r="W66" s="553"/>
      <c r="X66" s="358"/>
      <c r="Y66" s="553"/>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row>
    <row r="67" spans="1:52">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row>
    <row r="68" spans="1:52">
      <c r="A68" s="358"/>
      <c r="B68" s="358"/>
      <c r="C68" s="553"/>
      <c r="D68" s="358"/>
      <c r="E68" s="553"/>
      <c r="F68" s="358"/>
      <c r="G68" s="553"/>
      <c r="H68" s="358"/>
      <c r="I68" s="553"/>
      <c r="J68" s="358"/>
      <c r="K68" s="553"/>
      <c r="L68" s="358"/>
      <c r="M68" s="553"/>
      <c r="N68" s="358"/>
      <c r="O68" s="553"/>
      <c r="P68" s="358"/>
      <c r="Q68" s="553"/>
      <c r="R68" s="358"/>
      <c r="S68" s="553"/>
      <c r="T68" s="358"/>
      <c r="U68" s="553"/>
      <c r="V68" s="358"/>
      <c r="W68" s="553"/>
      <c r="X68" s="358"/>
      <c r="Y68" s="553"/>
      <c r="Z68" s="358"/>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row>
    <row r="69" spans="1:52">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row>
    <row r="70" spans="1:52">
      <c r="A70" s="358"/>
      <c r="B70" s="358"/>
      <c r="C70" s="553"/>
      <c r="D70" s="358"/>
      <c r="E70" s="553"/>
      <c r="F70" s="358"/>
      <c r="G70" s="553"/>
      <c r="H70" s="358"/>
      <c r="I70" s="553"/>
      <c r="J70" s="358"/>
      <c r="K70" s="553"/>
      <c r="L70" s="358"/>
      <c r="M70" s="553"/>
      <c r="N70" s="358"/>
      <c r="O70" s="553"/>
      <c r="P70" s="358"/>
      <c r="Q70" s="553"/>
      <c r="R70" s="358"/>
      <c r="S70" s="553"/>
      <c r="T70" s="358"/>
      <c r="U70" s="553"/>
      <c r="V70" s="358"/>
      <c r="W70" s="553"/>
      <c r="X70" s="358"/>
      <c r="Y70" s="553"/>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row>
    <row r="71" spans="1:52">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c r="AV71" s="358"/>
      <c r="AW71" s="358"/>
      <c r="AX71" s="358"/>
      <c r="AY71" s="358"/>
      <c r="AZ71" s="358"/>
    </row>
    <row r="72" spans="1:52">
      <c r="A72" s="358"/>
      <c r="B72" s="358"/>
      <c r="C72" s="553"/>
      <c r="D72" s="358"/>
      <c r="E72" s="553"/>
      <c r="F72" s="358"/>
      <c r="G72" s="553"/>
      <c r="H72" s="358"/>
      <c r="I72" s="553"/>
      <c r="J72" s="358"/>
      <c r="K72" s="553"/>
      <c r="L72" s="358"/>
      <c r="M72" s="553"/>
      <c r="N72" s="358"/>
      <c r="O72" s="553"/>
      <c r="P72" s="358"/>
      <c r="Q72" s="553"/>
      <c r="R72" s="358"/>
      <c r="S72" s="553"/>
      <c r="T72" s="358"/>
      <c r="U72" s="553"/>
      <c r="V72" s="358"/>
      <c r="W72" s="553"/>
      <c r="X72" s="358"/>
      <c r="Y72" s="553"/>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row>
    <row r="73" spans="1:52">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row>
    <row r="74" spans="1:52">
      <c r="A74" s="358"/>
      <c r="B74" s="358"/>
      <c r="C74" s="553"/>
      <c r="D74" s="358"/>
      <c r="E74" s="553"/>
      <c r="F74" s="358"/>
      <c r="G74" s="553"/>
      <c r="H74" s="358"/>
      <c r="I74" s="553"/>
      <c r="J74" s="358"/>
      <c r="K74" s="553"/>
      <c r="L74" s="358"/>
      <c r="M74" s="553"/>
      <c r="N74" s="358"/>
      <c r="O74" s="553"/>
      <c r="P74" s="358"/>
      <c r="Q74" s="553"/>
      <c r="R74" s="358"/>
      <c r="S74" s="553"/>
      <c r="T74" s="358"/>
      <c r="U74" s="553"/>
      <c r="V74" s="358"/>
      <c r="W74" s="553"/>
      <c r="X74" s="358"/>
      <c r="Y74" s="553"/>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row>
    <row r="75" spans="1:52">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row>
    <row r="76" spans="1:52">
      <c r="A76" s="358"/>
      <c r="B76" s="358"/>
      <c r="C76" s="553"/>
      <c r="D76" s="358"/>
      <c r="E76" s="553"/>
      <c r="F76" s="358"/>
      <c r="G76" s="553"/>
      <c r="H76" s="358"/>
      <c r="I76" s="553"/>
      <c r="J76" s="358"/>
      <c r="K76" s="553"/>
      <c r="L76" s="358"/>
      <c r="M76" s="553"/>
      <c r="N76" s="358"/>
      <c r="O76" s="553"/>
      <c r="P76" s="358"/>
      <c r="Q76" s="553"/>
      <c r="R76" s="358"/>
      <c r="S76" s="553"/>
      <c r="T76" s="358"/>
      <c r="U76" s="553"/>
      <c r="V76" s="358"/>
      <c r="W76" s="553"/>
      <c r="X76" s="358"/>
      <c r="Y76" s="553"/>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row>
    <row r="77" spans="1:52">
      <c r="A77" s="35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row>
    <row r="78" spans="1:52">
      <c r="A78" s="358"/>
      <c r="B78" s="358"/>
      <c r="C78" s="553"/>
      <c r="D78" s="358"/>
      <c r="E78" s="553"/>
      <c r="F78" s="358"/>
      <c r="G78" s="553"/>
      <c r="H78" s="358"/>
      <c r="I78" s="553"/>
      <c r="J78" s="358"/>
      <c r="K78" s="553"/>
      <c r="L78" s="358"/>
      <c r="M78" s="553"/>
      <c r="N78" s="358"/>
      <c r="O78" s="553"/>
      <c r="P78" s="358"/>
      <c r="Q78" s="553"/>
      <c r="R78" s="358"/>
      <c r="S78" s="553"/>
      <c r="T78" s="358"/>
      <c r="U78" s="553"/>
      <c r="V78" s="358"/>
      <c r="W78" s="553"/>
      <c r="X78" s="358"/>
      <c r="Y78" s="553"/>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row>
    <row r="79" spans="1:52">
      <c r="A79" s="35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58"/>
      <c r="AO79" s="358"/>
      <c r="AP79" s="358"/>
      <c r="AQ79" s="358"/>
      <c r="AR79" s="358"/>
      <c r="AS79" s="358"/>
      <c r="AT79" s="358"/>
      <c r="AU79" s="358"/>
      <c r="AV79" s="358"/>
      <c r="AW79" s="358"/>
      <c r="AX79" s="358"/>
      <c r="AY79" s="358"/>
      <c r="AZ79" s="358"/>
    </row>
    <row r="80" spans="1:52">
      <c r="A80" s="358"/>
      <c r="B80" s="358"/>
      <c r="C80" s="553"/>
      <c r="D80" s="358"/>
      <c r="E80" s="553"/>
      <c r="F80" s="358"/>
      <c r="G80" s="553"/>
      <c r="H80" s="358"/>
      <c r="I80" s="553"/>
      <c r="J80" s="358"/>
      <c r="K80" s="553"/>
      <c r="L80" s="358"/>
      <c r="M80" s="553"/>
      <c r="N80" s="358"/>
      <c r="O80" s="553"/>
      <c r="P80" s="358"/>
      <c r="Q80" s="553"/>
      <c r="R80" s="358"/>
      <c r="S80" s="553"/>
      <c r="T80" s="358"/>
      <c r="U80" s="553"/>
      <c r="V80" s="358"/>
      <c r="W80" s="553"/>
      <c r="X80" s="358"/>
      <c r="Y80" s="553"/>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row>
    <row r="81" spans="1:52">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row>
    <row r="82" spans="1:52">
      <c r="A82" s="358"/>
      <c r="B82" s="358"/>
      <c r="C82" s="553"/>
      <c r="D82" s="358"/>
      <c r="E82" s="553"/>
      <c r="F82" s="358"/>
      <c r="G82" s="553"/>
      <c r="H82" s="358"/>
      <c r="I82" s="553"/>
      <c r="J82" s="358"/>
      <c r="K82" s="553"/>
      <c r="L82" s="358"/>
      <c r="M82" s="553"/>
      <c r="N82" s="358"/>
      <c r="O82" s="553"/>
      <c r="P82" s="358"/>
      <c r="Q82" s="553"/>
      <c r="R82" s="358"/>
      <c r="S82" s="553"/>
      <c r="T82" s="358"/>
      <c r="U82" s="553"/>
      <c r="V82" s="358"/>
      <c r="W82" s="553"/>
      <c r="X82" s="358"/>
      <c r="Y82" s="553"/>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row>
    <row r="83" spans="1:52">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row>
    <row r="84" spans="1:52">
      <c r="A84" s="358"/>
      <c r="B84" s="358"/>
      <c r="C84" s="553"/>
      <c r="D84" s="358"/>
      <c r="E84" s="553"/>
      <c r="F84" s="358"/>
      <c r="G84" s="553"/>
      <c r="H84" s="358"/>
      <c r="I84" s="553"/>
      <c r="J84" s="358"/>
      <c r="K84" s="553"/>
      <c r="L84" s="358"/>
      <c r="M84" s="553"/>
      <c r="N84" s="358"/>
      <c r="O84" s="553"/>
      <c r="P84" s="358"/>
      <c r="Q84" s="553"/>
      <c r="R84" s="358"/>
      <c r="S84" s="553"/>
      <c r="T84" s="358"/>
      <c r="U84" s="553"/>
      <c r="V84" s="358"/>
      <c r="W84" s="553"/>
      <c r="X84" s="358"/>
      <c r="Y84" s="553"/>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row>
    <row r="85" spans="1:52">
      <c r="A85" s="35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row>
    <row r="86" spans="1:52">
      <c r="A86" s="358"/>
      <c r="B86" s="358"/>
      <c r="C86" s="553"/>
      <c r="D86" s="358"/>
      <c r="E86" s="553"/>
      <c r="F86" s="358"/>
      <c r="G86" s="553"/>
      <c r="H86" s="358"/>
      <c r="I86" s="553"/>
      <c r="J86" s="358"/>
      <c r="K86" s="553"/>
      <c r="L86" s="358"/>
      <c r="M86" s="553"/>
      <c r="N86" s="358"/>
      <c r="O86" s="553"/>
      <c r="P86" s="358"/>
      <c r="Q86" s="553"/>
      <c r="R86" s="358"/>
      <c r="S86" s="553"/>
      <c r="T86" s="358"/>
      <c r="U86" s="553"/>
      <c r="V86" s="358"/>
      <c r="W86" s="553"/>
      <c r="X86" s="358"/>
      <c r="Y86" s="553"/>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8"/>
      <c r="AY86" s="358"/>
      <c r="AZ86" s="358"/>
    </row>
    <row r="87" spans="1:52">
      <c r="A87" s="35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c r="AS87" s="358"/>
      <c r="AT87" s="358"/>
      <c r="AU87" s="358"/>
      <c r="AV87" s="358"/>
      <c r="AW87" s="358"/>
      <c r="AX87" s="358"/>
      <c r="AY87" s="358"/>
      <c r="AZ87" s="358"/>
    </row>
    <row r="88" spans="1:52">
      <c r="A88" s="358"/>
      <c r="B88" s="358"/>
      <c r="C88" s="553"/>
      <c r="D88" s="358"/>
      <c r="E88" s="553"/>
      <c r="F88" s="358"/>
      <c r="G88" s="553"/>
      <c r="H88" s="358"/>
      <c r="I88" s="553"/>
      <c r="J88" s="358"/>
      <c r="K88" s="553"/>
      <c r="L88" s="358"/>
      <c r="M88" s="553"/>
      <c r="N88" s="358"/>
      <c r="O88" s="553"/>
      <c r="P88" s="358"/>
      <c r="Q88" s="553"/>
      <c r="R88" s="358"/>
      <c r="S88" s="553"/>
      <c r="T88" s="358"/>
      <c r="U88" s="553"/>
      <c r="V88" s="358"/>
      <c r="W88" s="553"/>
      <c r="X88" s="358"/>
      <c r="Y88" s="553"/>
      <c r="Z88" s="358"/>
      <c r="AA88" s="358"/>
      <c r="AB88" s="358"/>
      <c r="AC88" s="358"/>
      <c r="AD88" s="358"/>
      <c r="AE88" s="358"/>
      <c r="AF88" s="358"/>
      <c r="AG88" s="358"/>
      <c r="AH88" s="358"/>
      <c r="AI88" s="358"/>
      <c r="AJ88" s="358"/>
      <c r="AK88" s="358"/>
      <c r="AL88" s="358"/>
      <c r="AM88" s="358"/>
      <c r="AN88" s="358"/>
      <c r="AO88" s="358"/>
      <c r="AP88" s="358"/>
      <c r="AQ88" s="358"/>
      <c r="AR88" s="358"/>
      <c r="AS88" s="358"/>
      <c r="AT88" s="358"/>
      <c r="AU88" s="358"/>
      <c r="AV88" s="358"/>
      <c r="AW88" s="358"/>
      <c r="AX88" s="358"/>
      <c r="AY88" s="358"/>
      <c r="AZ88" s="358"/>
    </row>
    <row r="89" spans="1:52">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58"/>
      <c r="AN89" s="358"/>
      <c r="AO89" s="358"/>
      <c r="AP89" s="358"/>
      <c r="AQ89" s="358"/>
      <c r="AR89" s="358"/>
      <c r="AS89" s="358"/>
      <c r="AT89" s="358"/>
      <c r="AU89" s="358"/>
      <c r="AV89" s="358"/>
      <c r="AW89" s="358"/>
      <c r="AX89" s="358"/>
      <c r="AY89" s="358"/>
      <c r="AZ89" s="358"/>
    </row>
    <row r="90" spans="1:52">
      <c r="A90" s="358"/>
      <c r="B90" s="358"/>
      <c r="C90" s="553"/>
      <c r="D90" s="358"/>
      <c r="E90" s="553"/>
      <c r="F90" s="358"/>
      <c r="G90" s="553"/>
      <c r="H90" s="358"/>
      <c r="I90" s="553"/>
      <c r="J90" s="358"/>
      <c r="K90" s="553"/>
      <c r="L90" s="358"/>
      <c r="M90" s="553"/>
      <c r="N90" s="358"/>
      <c r="O90" s="553"/>
      <c r="P90" s="358"/>
      <c r="Q90" s="553"/>
      <c r="R90" s="358"/>
      <c r="S90" s="553"/>
      <c r="T90" s="358"/>
      <c r="U90" s="553"/>
      <c r="V90" s="358"/>
      <c r="W90" s="553"/>
      <c r="X90" s="358"/>
      <c r="Y90" s="553"/>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row>
    <row r="91" spans="1:52">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c r="AS91" s="358"/>
      <c r="AT91" s="358"/>
      <c r="AU91" s="358"/>
      <c r="AV91" s="358"/>
      <c r="AW91" s="358"/>
      <c r="AX91" s="358"/>
      <c r="AY91" s="358"/>
      <c r="AZ91" s="358"/>
    </row>
    <row r="92" spans="1:52">
      <c r="A92" s="358"/>
      <c r="B92" s="358"/>
      <c r="C92" s="553"/>
      <c r="D92" s="358"/>
      <c r="E92" s="553"/>
      <c r="F92" s="358"/>
      <c r="G92" s="553"/>
      <c r="H92" s="358"/>
      <c r="I92" s="553"/>
      <c r="J92" s="358"/>
      <c r="K92" s="553"/>
      <c r="L92" s="358"/>
      <c r="M92" s="553"/>
      <c r="N92" s="358"/>
      <c r="O92" s="553"/>
      <c r="P92" s="358"/>
      <c r="Q92" s="553"/>
      <c r="R92" s="358"/>
      <c r="S92" s="553"/>
      <c r="T92" s="358"/>
      <c r="U92" s="553"/>
      <c r="V92" s="358"/>
      <c r="W92" s="553"/>
      <c r="X92" s="358"/>
      <c r="Y92" s="553"/>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row>
    <row r="93" spans="1:52">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58"/>
      <c r="AN93" s="358"/>
      <c r="AO93" s="358"/>
      <c r="AP93" s="358"/>
      <c r="AQ93" s="358"/>
      <c r="AR93" s="358"/>
      <c r="AS93" s="358"/>
      <c r="AT93" s="358"/>
      <c r="AU93" s="358"/>
      <c r="AV93" s="358"/>
      <c r="AW93" s="358"/>
      <c r="AX93" s="358"/>
      <c r="AY93" s="358"/>
      <c r="AZ93" s="358"/>
    </row>
    <row r="94" spans="1:52">
      <c r="A94" s="358"/>
      <c r="B94" s="358"/>
      <c r="C94" s="553"/>
      <c r="D94" s="358"/>
      <c r="E94" s="553"/>
      <c r="F94" s="358"/>
      <c r="G94" s="553"/>
      <c r="H94" s="358"/>
      <c r="I94" s="553"/>
      <c r="J94" s="358"/>
      <c r="K94" s="553"/>
      <c r="L94" s="358"/>
      <c r="M94" s="553"/>
      <c r="N94" s="358"/>
      <c r="O94" s="553"/>
      <c r="P94" s="358"/>
      <c r="Q94" s="553"/>
      <c r="R94" s="358"/>
      <c r="S94" s="553"/>
      <c r="T94" s="358"/>
      <c r="U94" s="553"/>
      <c r="V94" s="358"/>
      <c r="W94" s="553"/>
      <c r="X94" s="358"/>
      <c r="Y94" s="553"/>
      <c r="Z94" s="358"/>
      <c r="AA94" s="358"/>
      <c r="AB94" s="358"/>
      <c r="AC94" s="358"/>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row>
    <row r="95" spans="1:52">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c r="AS95" s="358"/>
      <c r="AT95" s="358"/>
      <c r="AU95" s="358"/>
      <c r="AV95" s="358"/>
      <c r="AW95" s="358"/>
      <c r="AX95" s="358"/>
      <c r="AY95" s="358"/>
      <c r="AZ95" s="358"/>
    </row>
    <row r="96" spans="1:52">
      <c r="A96" s="358"/>
      <c r="B96" s="358"/>
      <c r="C96" s="553"/>
      <c r="D96" s="358"/>
      <c r="E96" s="553"/>
      <c r="F96" s="358"/>
      <c r="G96" s="553"/>
      <c r="H96" s="358"/>
      <c r="I96" s="553"/>
      <c r="J96" s="358"/>
      <c r="K96" s="553"/>
      <c r="L96" s="358"/>
      <c r="M96" s="553"/>
      <c r="N96" s="358"/>
      <c r="O96" s="553"/>
      <c r="P96" s="358"/>
      <c r="Q96" s="553"/>
      <c r="R96" s="358"/>
      <c r="S96" s="553"/>
      <c r="T96" s="358"/>
      <c r="U96" s="553"/>
      <c r="V96" s="358"/>
      <c r="W96" s="553"/>
      <c r="X96" s="358"/>
      <c r="Y96" s="553"/>
      <c r="Z96" s="358"/>
      <c r="AA96" s="358"/>
      <c r="AB96" s="358"/>
      <c r="AC96" s="358"/>
      <c r="AD96" s="358"/>
      <c r="AE96" s="358"/>
      <c r="AF96" s="358"/>
      <c r="AG96" s="358"/>
      <c r="AH96" s="358"/>
      <c r="AI96" s="358"/>
      <c r="AJ96" s="358"/>
      <c r="AK96" s="358"/>
      <c r="AL96" s="358"/>
      <c r="AM96" s="358"/>
      <c r="AN96" s="358"/>
      <c r="AO96" s="358"/>
      <c r="AP96" s="358"/>
      <c r="AQ96" s="358"/>
      <c r="AR96" s="358"/>
      <c r="AS96" s="358"/>
      <c r="AT96" s="358"/>
      <c r="AU96" s="358"/>
      <c r="AV96" s="358"/>
      <c r="AW96" s="358"/>
      <c r="AX96" s="358"/>
      <c r="AY96" s="358"/>
      <c r="AZ96" s="358"/>
    </row>
    <row r="97" spans="1:52">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row>
    <row r="98" spans="1:52">
      <c r="A98" s="358"/>
      <c r="B98" s="358"/>
      <c r="C98" s="553"/>
      <c r="D98" s="358"/>
      <c r="E98" s="553"/>
      <c r="F98" s="358"/>
      <c r="G98" s="553"/>
      <c r="H98" s="358"/>
      <c r="I98" s="553"/>
      <c r="J98" s="358"/>
      <c r="K98" s="553"/>
      <c r="L98" s="358"/>
      <c r="M98" s="553"/>
      <c r="N98" s="358"/>
      <c r="O98" s="553"/>
      <c r="P98" s="358"/>
      <c r="Q98" s="553"/>
      <c r="R98" s="358"/>
      <c r="S98" s="553"/>
      <c r="T98" s="358"/>
      <c r="U98" s="553"/>
      <c r="V98" s="358"/>
      <c r="W98" s="553"/>
      <c r="X98" s="358"/>
      <c r="Y98" s="553"/>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row>
    <row r="99" spans="1:52">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row>
    <row r="100" spans="1:52">
      <c r="A100" s="358"/>
      <c r="B100" s="358"/>
      <c r="C100" s="358"/>
      <c r="D100" s="358"/>
      <c r="E100" s="553"/>
      <c r="F100" s="358"/>
      <c r="G100" s="553"/>
      <c r="H100" s="358"/>
      <c r="I100" s="553"/>
      <c r="J100" s="358"/>
      <c r="K100" s="553"/>
      <c r="L100" s="358"/>
      <c r="M100" s="553"/>
      <c r="N100" s="358"/>
      <c r="O100" s="553"/>
      <c r="P100" s="358"/>
      <c r="Q100" s="553"/>
      <c r="R100" s="358"/>
      <c r="S100" s="553"/>
      <c r="T100" s="358"/>
      <c r="U100" s="553"/>
      <c r="V100" s="358"/>
      <c r="W100" s="553"/>
      <c r="X100" s="358"/>
      <c r="Y100" s="553"/>
      <c r="Z100" s="358"/>
      <c r="AA100" s="358"/>
      <c r="AB100" s="358"/>
      <c r="AC100" s="358"/>
      <c r="AD100" s="358"/>
      <c r="AE100" s="358"/>
      <c r="AF100" s="358"/>
      <c r="AG100" s="358"/>
      <c r="AH100" s="358"/>
      <c r="AI100" s="358"/>
      <c r="AJ100" s="358"/>
      <c r="AK100" s="358"/>
      <c r="AL100" s="358"/>
      <c r="AM100" s="358"/>
      <c r="AN100" s="358"/>
      <c r="AO100" s="358"/>
      <c r="AP100" s="358"/>
      <c r="AQ100" s="358"/>
      <c r="AR100" s="358"/>
      <c r="AS100" s="358"/>
      <c r="AT100" s="358"/>
      <c r="AU100" s="358"/>
      <c r="AV100" s="358"/>
      <c r="AW100" s="358"/>
      <c r="AX100" s="358"/>
      <c r="AY100" s="358"/>
      <c r="AZ100" s="358"/>
    </row>
  </sheetData>
  <sheetProtection sheet="1" objects="1" scenarios="1" selectLockedCells="1" selectUnlockedCell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C99"/>
  </sheetPr>
  <dimension ref="A1:AZ100"/>
  <sheetViews>
    <sheetView zoomScale="80" zoomScaleNormal="80" workbookViewId="0"/>
  </sheetViews>
  <sheetFormatPr defaultRowHeight="14.4"/>
  <sheetData>
    <row r="1" spans="1:52">
      <c r="A1" s="553"/>
      <c r="B1" s="358"/>
      <c r="C1" s="553"/>
      <c r="D1" s="358"/>
      <c r="E1" s="553"/>
      <c r="F1" s="358"/>
      <c r="G1" s="553"/>
      <c r="H1" s="358"/>
      <c r="I1" s="553"/>
      <c r="J1" s="358"/>
      <c r="K1" s="553"/>
      <c r="L1" s="358"/>
      <c r="M1" s="553"/>
      <c r="N1" s="358"/>
      <c r="O1" s="553"/>
      <c r="P1" s="358"/>
      <c r="Q1" s="553"/>
      <c r="R1" s="358"/>
      <c r="S1" s="553"/>
      <c r="T1" s="358"/>
      <c r="U1" s="553"/>
      <c r="V1" s="358"/>
      <c r="W1" s="553"/>
      <c r="X1" s="358"/>
      <c r="Y1" s="553"/>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row>
    <row r="2" spans="1:52">
      <c r="A2" s="358"/>
      <c r="B2" s="358"/>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row>
    <row r="3" spans="1:52">
      <c r="A3" s="553"/>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row>
    <row r="4" spans="1:52">
      <c r="A4" s="358"/>
      <c r="B4" s="358"/>
      <c r="C4" s="553"/>
      <c r="D4" s="358"/>
      <c r="E4" s="553"/>
      <c r="F4" s="358"/>
      <c r="G4" s="553"/>
      <c r="H4" s="358"/>
      <c r="I4" s="553"/>
      <c r="J4" s="358"/>
      <c r="K4" s="553"/>
      <c r="L4" s="358"/>
      <c r="M4" s="553"/>
      <c r="N4" s="358"/>
      <c r="O4" s="553"/>
      <c r="P4" s="358"/>
      <c r="Q4" s="553"/>
      <c r="R4" s="358"/>
      <c r="S4" s="553"/>
      <c r="T4" s="358"/>
      <c r="U4" s="553"/>
      <c r="V4" s="358"/>
      <c r="W4" s="553"/>
      <c r="X4" s="358"/>
      <c r="Y4" s="553"/>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row>
    <row r="5" spans="1:52">
      <c r="A5" s="553"/>
      <c r="B5" s="358"/>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row>
    <row r="6" spans="1:52">
      <c r="A6" s="358"/>
      <c r="B6" s="358"/>
      <c r="C6" s="358"/>
      <c r="D6" s="358"/>
      <c r="E6" s="358"/>
      <c r="F6" s="358"/>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c r="AT6" s="358"/>
      <c r="AU6" s="358"/>
      <c r="AV6" s="358"/>
      <c r="AW6" s="358"/>
      <c r="AX6" s="358"/>
      <c r="AY6" s="358"/>
      <c r="AZ6" s="358"/>
    </row>
    <row r="7" spans="1:52">
      <c r="A7" s="553"/>
      <c r="B7" s="358"/>
      <c r="C7" s="553"/>
      <c r="D7" s="358"/>
      <c r="E7" s="553"/>
      <c r="F7" s="358"/>
      <c r="G7" s="553"/>
      <c r="H7" s="358"/>
      <c r="I7" s="553"/>
      <c r="J7" s="358"/>
      <c r="K7" s="553"/>
      <c r="L7" s="358"/>
      <c r="M7" s="553"/>
      <c r="N7" s="358"/>
      <c r="O7" s="553"/>
      <c r="P7" s="358"/>
      <c r="Q7" s="553"/>
      <c r="R7" s="358"/>
      <c r="S7" s="553"/>
      <c r="T7" s="358"/>
      <c r="U7" s="553"/>
      <c r="V7" s="358"/>
      <c r="W7" s="553"/>
      <c r="X7" s="358"/>
      <c r="Y7" s="553"/>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358"/>
      <c r="AZ7" s="358"/>
    </row>
    <row r="8" spans="1:52">
      <c r="A8" s="358"/>
      <c r="B8" s="358"/>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58"/>
      <c r="AV8" s="358"/>
      <c r="AW8" s="358"/>
      <c r="AX8" s="358"/>
      <c r="AY8" s="358"/>
      <c r="AZ8" s="358"/>
    </row>
    <row r="9" spans="1:52">
      <c r="A9" s="553"/>
      <c r="B9" s="358"/>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c r="AT9" s="358"/>
      <c r="AU9" s="358"/>
      <c r="AV9" s="358"/>
      <c r="AW9" s="358"/>
      <c r="AX9" s="358"/>
      <c r="AY9" s="358"/>
      <c r="AZ9" s="358"/>
    </row>
    <row r="10" spans="1:52">
      <c r="A10" s="358"/>
      <c r="B10" s="358"/>
      <c r="C10" s="553"/>
      <c r="D10" s="358"/>
      <c r="E10" s="553"/>
      <c r="F10" s="358"/>
      <c r="G10" s="553"/>
      <c r="H10" s="358"/>
      <c r="I10" s="553"/>
      <c r="J10" s="358"/>
      <c r="K10" s="553"/>
      <c r="L10" s="358"/>
      <c r="M10" s="553"/>
      <c r="N10" s="358"/>
      <c r="O10" s="553"/>
      <c r="P10" s="358"/>
      <c r="Q10" s="553"/>
      <c r="R10" s="358"/>
      <c r="S10" s="553"/>
      <c r="T10" s="358"/>
      <c r="U10" s="553"/>
      <c r="V10" s="358"/>
      <c r="W10" s="553"/>
      <c r="X10" s="358"/>
      <c r="Y10" s="553"/>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row>
    <row r="11" spans="1:52">
      <c r="A11" s="553"/>
      <c r="B11" s="358"/>
      <c r="C11" s="358"/>
      <c r="D11" s="358"/>
      <c r="E11" s="358"/>
      <c r="F11" s="358"/>
      <c r="G11" s="358"/>
      <c r="H11" s="358"/>
      <c r="I11" s="358"/>
      <c r="J11" s="358"/>
      <c r="K11" s="358"/>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row>
    <row r="12" spans="1:52">
      <c r="A12" s="358"/>
      <c r="B12" s="358"/>
      <c r="C12" s="358"/>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358"/>
    </row>
    <row r="13" spans="1:52">
      <c r="A13" s="553"/>
      <c r="B13" s="358"/>
      <c r="C13" s="553"/>
      <c r="D13" s="358"/>
      <c r="E13" s="553"/>
      <c r="F13" s="358"/>
      <c r="G13" s="553"/>
      <c r="H13" s="358"/>
      <c r="I13" s="553"/>
      <c r="J13" s="358"/>
      <c r="K13" s="553"/>
      <c r="L13" s="358"/>
      <c r="M13" s="553"/>
      <c r="N13" s="358"/>
      <c r="O13" s="553"/>
      <c r="P13" s="358"/>
      <c r="Q13" s="553"/>
      <c r="R13" s="358"/>
      <c r="S13" s="553"/>
      <c r="T13" s="358"/>
      <c r="U13" s="553"/>
      <c r="V13" s="358"/>
      <c r="W13" s="553"/>
      <c r="X13" s="358"/>
      <c r="Y13" s="553"/>
      <c r="Z13" s="358"/>
      <c r="AA13" s="358"/>
      <c r="AB13" s="358"/>
      <c r="AC13" s="358"/>
      <c r="AD13" s="358"/>
      <c r="AE13" s="358"/>
      <c r="AF13" s="358"/>
      <c r="AG13" s="358"/>
      <c r="AH13" s="358"/>
      <c r="AI13" s="358"/>
      <c r="AJ13" s="358"/>
      <c r="AK13" s="358"/>
      <c r="AL13" s="358"/>
      <c r="AM13" s="358"/>
      <c r="AN13" s="358"/>
      <c r="AO13" s="358"/>
      <c r="AP13" s="358"/>
      <c r="AQ13" s="358"/>
      <c r="AR13" s="358"/>
      <c r="AS13" s="358"/>
      <c r="AT13" s="358"/>
      <c r="AU13" s="358"/>
      <c r="AV13" s="358"/>
      <c r="AW13" s="358"/>
      <c r="AX13" s="358"/>
      <c r="AY13" s="358"/>
      <c r="AZ13" s="358"/>
    </row>
    <row r="14" spans="1:52">
      <c r="A14" s="358"/>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row>
    <row r="15" spans="1:52">
      <c r="A15" s="553"/>
      <c r="B15" s="358"/>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row>
    <row r="16" spans="1:52">
      <c r="A16" s="358"/>
      <c r="B16" s="358"/>
      <c r="C16" s="553"/>
      <c r="D16" s="358"/>
      <c r="E16" s="553"/>
      <c r="F16" s="358"/>
      <c r="G16" s="553"/>
      <c r="H16" s="358"/>
      <c r="I16" s="553"/>
      <c r="J16" s="358"/>
      <c r="K16" s="553"/>
      <c r="L16" s="358"/>
      <c r="M16" s="553"/>
      <c r="N16" s="358"/>
      <c r="O16" s="553"/>
      <c r="P16" s="358"/>
      <c r="Q16" s="553"/>
      <c r="R16" s="358"/>
      <c r="S16" s="553"/>
      <c r="T16" s="358"/>
      <c r="U16" s="553"/>
      <c r="V16" s="358"/>
      <c r="W16" s="553"/>
      <c r="X16" s="358"/>
      <c r="Y16" s="553"/>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358"/>
    </row>
    <row r="17" spans="1:52">
      <c r="A17" s="553"/>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358"/>
      <c r="AZ17" s="358"/>
    </row>
    <row r="18" spans="1:52">
      <c r="A18" s="358"/>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358"/>
      <c r="AZ18" s="358"/>
    </row>
    <row r="19" spans="1:52">
      <c r="A19" s="553"/>
      <c r="B19" s="358"/>
      <c r="C19" s="553"/>
      <c r="D19" s="358"/>
      <c r="E19" s="553"/>
      <c r="F19" s="358"/>
      <c r="G19" s="553"/>
      <c r="H19" s="358"/>
      <c r="I19" s="553"/>
      <c r="J19" s="358"/>
      <c r="K19" s="553"/>
      <c r="L19" s="358"/>
      <c r="M19" s="553"/>
      <c r="N19" s="358"/>
      <c r="O19" s="553"/>
      <c r="P19" s="358"/>
      <c r="Q19" s="553"/>
      <c r="R19" s="358"/>
      <c r="S19" s="553"/>
      <c r="T19" s="358"/>
      <c r="U19" s="553"/>
      <c r="V19" s="358"/>
      <c r="W19" s="553"/>
      <c r="X19" s="358"/>
      <c r="Y19" s="553"/>
      <c r="Z19" s="358"/>
      <c r="AA19" s="358"/>
      <c r="AB19" s="358"/>
      <c r="AC19" s="358"/>
      <c r="AD19" s="358"/>
      <c r="AE19" s="358"/>
      <c r="AF19" s="358"/>
      <c r="AG19" s="358"/>
      <c r="AH19" s="358"/>
      <c r="AI19" s="358"/>
      <c r="AJ19" s="358"/>
      <c r="AK19" s="358"/>
      <c r="AL19" s="358"/>
      <c r="AM19" s="358"/>
      <c r="AN19" s="358"/>
      <c r="AO19" s="358"/>
      <c r="AP19" s="358"/>
      <c r="AQ19" s="358"/>
      <c r="AR19" s="358"/>
      <c r="AS19" s="358"/>
      <c r="AT19" s="358"/>
      <c r="AU19" s="358"/>
      <c r="AV19" s="358"/>
      <c r="AW19" s="358"/>
      <c r="AX19" s="358"/>
      <c r="AY19" s="358"/>
      <c r="AZ19" s="358"/>
    </row>
    <row r="20" spans="1:52">
      <c r="A20" s="358"/>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358"/>
      <c r="AS20" s="358"/>
      <c r="AT20" s="358"/>
      <c r="AU20" s="358"/>
      <c r="AV20" s="358"/>
      <c r="AW20" s="358"/>
      <c r="AX20" s="358"/>
      <c r="AY20" s="358"/>
      <c r="AZ20" s="358"/>
    </row>
    <row r="21" spans="1:52">
      <c r="A21" s="553"/>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row>
    <row r="22" spans="1:52">
      <c r="A22" s="358"/>
      <c r="B22" s="358"/>
      <c r="C22" s="553"/>
      <c r="D22" s="358"/>
      <c r="E22" s="553"/>
      <c r="F22" s="358"/>
      <c r="G22" s="553"/>
      <c r="H22" s="358"/>
      <c r="I22" s="553"/>
      <c r="J22" s="358"/>
      <c r="K22" s="553"/>
      <c r="L22" s="358"/>
      <c r="M22" s="553"/>
      <c r="N22" s="358"/>
      <c r="O22" s="553"/>
      <c r="P22" s="358"/>
      <c r="Q22" s="553"/>
      <c r="R22" s="358"/>
      <c r="S22" s="553"/>
      <c r="T22" s="358"/>
      <c r="U22" s="553"/>
      <c r="V22" s="358"/>
      <c r="W22" s="553"/>
      <c r="X22" s="358"/>
      <c r="Y22" s="553"/>
      <c r="Z22" s="358"/>
      <c r="AA22" s="358"/>
      <c r="AB22" s="358"/>
      <c r="AC22" s="358"/>
      <c r="AD22" s="358"/>
      <c r="AE22" s="358"/>
      <c r="AF22" s="358"/>
      <c r="AG22" s="358"/>
      <c r="AH22" s="358"/>
      <c r="AI22" s="358"/>
      <c r="AJ22" s="358"/>
      <c r="AK22" s="358"/>
      <c r="AL22" s="358"/>
      <c r="AM22" s="358"/>
      <c r="AN22" s="358"/>
      <c r="AO22" s="358"/>
      <c r="AP22" s="358"/>
      <c r="AQ22" s="358"/>
      <c r="AR22" s="358"/>
      <c r="AS22" s="358"/>
      <c r="AT22" s="358"/>
      <c r="AU22" s="358"/>
      <c r="AV22" s="358"/>
      <c r="AW22" s="358"/>
      <c r="AX22" s="358"/>
      <c r="AY22" s="358"/>
      <c r="AZ22" s="358"/>
    </row>
    <row r="23" spans="1:52">
      <c r="A23" s="553"/>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row>
    <row r="24" spans="1:52">
      <c r="A24" s="358"/>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row>
    <row r="25" spans="1:52">
      <c r="A25" s="553"/>
      <c r="B25" s="358"/>
      <c r="C25" s="553"/>
      <c r="D25" s="358"/>
      <c r="E25" s="553"/>
      <c r="F25" s="358"/>
      <c r="G25" s="553"/>
      <c r="H25" s="358"/>
      <c r="I25" s="553"/>
      <c r="J25" s="358"/>
      <c r="K25" s="553"/>
      <c r="L25" s="358"/>
      <c r="M25" s="553"/>
      <c r="N25" s="358"/>
      <c r="O25" s="553"/>
      <c r="P25" s="358"/>
      <c r="Q25" s="553"/>
      <c r="R25" s="358"/>
      <c r="S25" s="553"/>
      <c r="T25" s="358"/>
      <c r="U25" s="553"/>
      <c r="V25" s="358"/>
      <c r="W25" s="553"/>
      <c r="X25" s="358"/>
      <c r="Y25" s="553"/>
      <c r="Z25" s="358"/>
      <c r="AA25" s="358"/>
      <c r="AB25" s="358"/>
      <c r="AC25" s="358"/>
      <c r="AD25" s="358"/>
      <c r="AE25" s="358"/>
      <c r="AF25" s="358"/>
      <c r="AG25" s="358"/>
      <c r="AH25" s="358"/>
      <c r="AI25" s="358"/>
      <c r="AJ25" s="358"/>
      <c r="AK25" s="358"/>
      <c r="AL25" s="358"/>
      <c r="AM25" s="358"/>
      <c r="AN25" s="358"/>
      <c r="AO25" s="358"/>
      <c r="AP25" s="358"/>
      <c r="AQ25" s="358"/>
      <c r="AR25" s="358"/>
      <c r="AS25" s="358"/>
      <c r="AT25" s="358"/>
      <c r="AU25" s="358"/>
      <c r="AV25" s="358"/>
      <c r="AW25" s="358"/>
      <c r="AX25" s="358"/>
      <c r="AY25" s="358"/>
      <c r="AZ25" s="358"/>
    </row>
    <row r="26" spans="1:52">
      <c r="A26" s="358"/>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c r="AH26" s="358"/>
      <c r="AI26" s="358"/>
      <c r="AJ26" s="358"/>
      <c r="AK26" s="358"/>
      <c r="AL26" s="358"/>
      <c r="AM26" s="358"/>
      <c r="AN26" s="358"/>
      <c r="AO26" s="358"/>
      <c r="AP26" s="358"/>
      <c r="AQ26" s="358"/>
      <c r="AR26" s="358"/>
      <c r="AS26" s="358"/>
      <c r="AT26" s="358"/>
      <c r="AU26" s="358"/>
      <c r="AV26" s="358"/>
      <c r="AW26" s="358"/>
      <c r="AX26" s="358"/>
      <c r="AY26" s="358"/>
      <c r="AZ26" s="358"/>
    </row>
    <row r="27" spans="1:52">
      <c r="A27" s="553"/>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358"/>
      <c r="AZ27" s="358"/>
    </row>
    <row r="28" spans="1:52">
      <c r="A28" s="358"/>
      <c r="B28" s="358"/>
      <c r="C28" s="553"/>
      <c r="D28" s="358"/>
      <c r="E28" s="553"/>
      <c r="F28" s="358"/>
      <c r="G28" s="553"/>
      <c r="H28" s="358"/>
      <c r="I28" s="553"/>
      <c r="J28" s="358"/>
      <c r="K28" s="553"/>
      <c r="L28" s="358"/>
      <c r="M28" s="553"/>
      <c r="N28" s="358"/>
      <c r="O28" s="553"/>
      <c r="P28" s="358"/>
      <c r="Q28" s="553"/>
      <c r="R28" s="358"/>
      <c r="S28" s="553"/>
      <c r="T28" s="358"/>
      <c r="U28" s="553"/>
      <c r="V28" s="358"/>
      <c r="W28" s="553"/>
      <c r="X28" s="358"/>
      <c r="Y28" s="553"/>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358"/>
      <c r="AZ28" s="358"/>
    </row>
    <row r="29" spans="1:52">
      <c r="A29" s="553"/>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row>
    <row r="30" spans="1:52">
      <c r="A30" s="358"/>
      <c r="B30" s="358"/>
      <c r="C30" s="553"/>
      <c r="D30" s="358"/>
      <c r="E30" s="553"/>
      <c r="F30" s="358"/>
      <c r="G30" s="553"/>
      <c r="H30" s="358"/>
      <c r="I30" s="553"/>
      <c r="J30" s="358"/>
      <c r="K30" s="553"/>
      <c r="L30" s="358"/>
      <c r="M30" s="553"/>
      <c r="N30" s="358"/>
      <c r="O30" s="553"/>
      <c r="P30" s="358"/>
      <c r="Q30" s="553"/>
      <c r="R30" s="358"/>
      <c r="S30" s="553"/>
      <c r="T30" s="358"/>
      <c r="U30" s="553"/>
      <c r="V30" s="358"/>
      <c r="W30" s="553"/>
      <c r="X30" s="358"/>
      <c r="Y30" s="553"/>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row>
    <row r="31" spans="1:52">
      <c r="A31" s="553"/>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row>
    <row r="32" spans="1:52">
      <c r="A32" s="358"/>
      <c r="B32" s="358"/>
      <c r="C32" s="553"/>
      <c r="D32" s="358"/>
      <c r="E32" s="553"/>
      <c r="F32" s="358"/>
      <c r="G32" s="553"/>
      <c r="H32" s="358"/>
      <c r="I32" s="553"/>
      <c r="J32" s="358"/>
      <c r="K32" s="553"/>
      <c r="L32" s="358"/>
      <c r="M32" s="553"/>
      <c r="N32" s="358"/>
      <c r="O32" s="553"/>
      <c r="P32" s="358"/>
      <c r="Q32" s="553"/>
      <c r="R32" s="358"/>
      <c r="S32" s="553"/>
      <c r="T32" s="358"/>
      <c r="U32" s="553"/>
      <c r="V32" s="358"/>
      <c r="W32" s="553"/>
      <c r="X32" s="358"/>
      <c r="Y32" s="553"/>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row>
    <row r="33" spans="1:52">
      <c r="A33" s="553"/>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c r="AH33" s="358"/>
      <c r="AI33" s="358"/>
      <c r="AJ33" s="358"/>
      <c r="AK33" s="358"/>
      <c r="AL33" s="358"/>
      <c r="AM33" s="358"/>
      <c r="AN33" s="358"/>
      <c r="AO33" s="358"/>
      <c r="AP33" s="358"/>
      <c r="AQ33" s="358"/>
      <c r="AR33" s="358"/>
      <c r="AS33" s="358"/>
      <c r="AT33" s="358"/>
      <c r="AU33" s="358"/>
      <c r="AV33" s="358"/>
      <c r="AW33" s="358"/>
      <c r="AX33" s="358"/>
      <c r="AY33" s="358"/>
      <c r="AZ33" s="358"/>
    </row>
    <row r="34" spans="1:52">
      <c r="A34" s="358"/>
      <c r="B34" s="358"/>
      <c r="C34" s="553"/>
      <c r="D34" s="358"/>
      <c r="E34" s="553"/>
      <c r="F34" s="358"/>
      <c r="G34" s="553"/>
      <c r="H34" s="358"/>
      <c r="I34" s="553"/>
      <c r="J34" s="358"/>
      <c r="K34" s="553"/>
      <c r="L34" s="358"/>
      <c r="M34" s="553"/>
      <c r="N34" s="358"/>
      <c r="O34" s="553"/>
      <c r="P34" s="358"/>
      <c r="Q34" s="553"/>
      <c r="R34" s="358"/>
      <c r="S34" s="553"/>
      <c r="T34" s="358"/>
      <c r="U34" s="553"/>
      <c r="V34" s="358"/>
      <c r="W34" s="553"/>
      <c r="X34" s="358"/>
      <c r="Y34" s="553"/>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row>
    <row r="35" spans="1:52">
      <c r="A35" s="553"/>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c r="AI35" s="358"/>
      <c r="AJ35" s="358"/>
      <c r="AK35" s="358"/>
      <c r="AL35" s="358"/>
      <c r="AM35" s="358"/>
      <c r="AN35" s="358"/>
      <c r="AO35" s="358"/>
      <c r="AP35" s="358"/>
      <c r="AQ35" s="358"/>
      <c r="AR35" s="358"/>
      <c r="AS35" s="358"/>
      <c r="AT35" s="358"/>
      <c r="AU35" s="358"/>
      <c r="AV35" s="358"/>
      <c r="AW35" s="358"/>
      <c r="AX35" s="358"/>
      <c r="AY35" s="358"/>
      <c r="AZ35" s="358"/>
    </row>
    <row r="36" spans="1:52">
      <c r="A36" s="358"/>
      <c r="B36" s="358"/>
      <c r="C36" s="553"/>
      <c r="D36" s="358"/>
      <c r="E36" s="553"/>
      <c r="F36" s="358"/>
      <c r="G36" s="553"/>
      <c r="H36" s="358"/>
      <c r="I36" s="553"/>
      <c r="J36" s="358"/>
      <c r="K36" s="553"/>
      <c r="L36" s="358"/>
      <c r="M36" s="553"/>
      <c r="N36" s="358"/>
      <c r="O36" s="553"/>
      <c r="P36" s="358"/>
      <c r="Q36" s="553"/>
      <c r="R36" s="358"/>
      <c r="S36" s="553"/>
      <c r="T36" s="358"/>
      <c r="U36" s="553"/>
      <c r="V36" s="358"/>
      <c r="W36" s="553"/>
      <c r="X36" s="358"/>
      <c r="Y36" s="553"/>
      <c r="Z36" s="358"/>
      <c r="AA36" s="358"/>
      <c r="AB36" s="358"/>
      <c r="AC36" s="358"/>
      <c r="AD36" s="358"/>
      <c r="AE36" s="358"/>
      <c r="AF36" s="358"/>
      <c r="AG36" s="358"/>
      <c r="AH36" s="358"/>
      <c r="AI36" s="358"/>
      <c r="AJ36" s="358"/>
      <c r="AK36" s="358"/>
      <c r="AL36" s="358"/>
      <c r="AM36" s="358"/>
      <c r="AN36" s="358"/>
      <c r="AO36" s="358"/>
      <c r="AP36" s="358"/>
      <c r="AQ36" s="358"/>
      <c r="AR36" s="358"/>
      <c r="AS36" s="358"/>
      <c r="AT36" s="358"/>
      <c r="AU36" s="358"/>
      <c r="AV36" s="358"/>
      <c r="AW36" s="358"/>
      <c r="AX36" s="358"/>
      <c r="AY36" s="358"/>
      <c r="AZ36" s="358"/>
    </row>
    <row r="37" spans="1:52">
      <c r="A37" s="553"/>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358"/>
      <c r="AZ37" s="358"/>
    </row>
    <row r="38" spans="1:52">
      <c r="A38" s="358"/>
      <c r="B38" s="358"/>
      <c r="C38" s="553"/>
      <c r="D38" s="358"/>
      <c r="E38" s="553"/>
      <c r="F38" s="358"/>
      <c r="G38" s="553"/>
      <c r="H38" s="358"/>
      <c r="I38" s="553"/>
      <c r="J38" s="358"/>
      <c r="K38" s="553"/>
      <c r="L38" s="358"/>
      <c r="M38" s="553"/>
      <c r="N38" s="358"/>
      <c r="O38" s="553"/>
      <c r="P38" s="358"/>
      <c r="Q38" s="553"/>
      <c r="R38" s="358"/>
      <c r="S38" s="553"/>
      <c r="T38" s="358"/>
      <c r="U38" s="553"/>
      <c r="V38" s="358"/>
      <c r="W38" s="553"/>
      <c r="X38" s="358"/>
      <c r="Y38" s="553"/>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358"/>
    </row>
    <row r="39" spans="1:52">
      <c r="A39" s="358"/>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c r="AH39" s="358"/>
      <c r="AI39" s="358"/>
      <c r="AJ39" s="358"/>
      <c r="AK39" s="358"/>
      <c r="AL39" s="358"/>
      <c r="AM39" s="358"/>
      <c r="AN39" s="358"/>
      <c r="AO39" s="358"/>
      <c r="AP39" s="358"/>
      <c r="AQ39" s="358"/>
      <c r="AR39" s="358"/>
      <c r="AS39" s="358"/>
      <c r="AT39" s="358"/>
      <c r="AU39" s="358"/>
      <c r="AV39" s="358"/>
      <c r="AW39" s="358"/>
      <c r="AX39" s="358"/>
      <c r="AY39" s="358"/>
      <c r="AZ39" s="358"/>
    </row>
    <row r="40" spans="1:52">
      <c r="A40" s="358"/>
      <c r="B40" s="358"/>
      <c r="C40" s="553"/>
      <c r="D40" s="358"/>
      <c r="E40" s="553"/>
      <c r="F40" s="358"/>
      <c r="G40" s="553"/>
      <c r="H40" s="358"/>
      <c r="I40" s="553"/>
      <c r="J40" s="358"/>
      <c r="K40" s="553"/>
      <c r="L40" s="358"/>
      <c r="M40" s="553"/>
      <c r="N40" s="358"/>
      <c r="O40" s="553"/>
      <c r="P40" s="358"/>
      <c r="Q40" s="553"/>
      <c r="R40" s="358"/>
      <c r="S40" s="553"/>
      <c r="T40" s="358"/>
      <c r="U40" s="553"/>
      <c r="V40" s="358"/>
      <c r="W40" s="553"/>
      <c r="X40" s="358"/>
      <c r="Y40" s="553"/>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358"/>
      <c r="AZ40" s="358"/>
    </row>
    <row r="41" spans="1:52">
      <c r="A41" s="358"/>
      <c r="B41" s="358"/>
      <c r="C41" s="358"/>
      <c r="D41" s="358"/>
      <c r="E41" s="358"/>
      <c r="F41" s="35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358"/>
      <c r="AG41" s="358"/>
      <c r="AH41" s="358"/>
      <c r="AI41" s="358"/>
      <c r="AJ41" s="358"/>
      <c r="AK41" s="358"/>
      <c r="AL41" s="358"/>
      <c r="AM41" s="358"/>
      <c r="AN41" s="358"/>
      <c r="AO41" s="358"/>
      <c r="AP41" s="358"/>
      <c r="AQ41" s="358"/>
      <c r="AR41" s="358"/>
      <c r="AS41" s="358"/>
      <c r="AT41" s="358"/>
      <c r="AU41" s="358"/>
      <c r="AV41" s="358"/>
      <c r="AW41" s="358"/>
      <c r="AX41" s="358"/>
      <c r="AY41" s="358"/>
      <c r="AZ41" s="358"/>
    </row>
    <row r="42" spans="1:52">
      <c r="A42" s="358"/>
      <c r="B42" s="358"/>
      <c r="C42" s="553"/>
      <c r="D42" s="358"/>
      <c r="E42" s="553"/>
      <c r="F42" s="358"/>
      <c r="G42" s="553"/>
      <c r="H42" s="358"/>
      <c r="I42" s="553"/>
      <c r="J42" s="358"/>
      <c r="K42" s="553"/>
      <c r="L42" s="358"/>
      <c r="M42" s="553"/>
      <c r="N42" s="358"/>
      <c r="O42" s="553"/>
      <c r="P42" s="358"/>
      <c r="Q42" s="553"/>
      <c r="R42" s="358"/>
      <c r="S42" s="553"/>
      <c r="T42" s="358"/>
      <c r="U42" s="553"/>
      <c r="V42" s="358"/>
      <c r="W42" s="553"/>
      <c r="X42" s="358"/>
      <c r="Y42" s="553"/>
      <c r="Z42" s="358"/>
      <c r="AA42" s="358"/>
      <c r="AB42" s="358"/>
      <c r="AC42" s="358"/>
      <c r="AD42" s="358"/>
      <c r="AE42" s="358"/>
      <c r="AF42" s="358"/>
      <c r="AG42" s="358"/>
      <c r="AH42" s="358"/>
      <c r="AI42" s="358"/>
      <c r="AJ42" s="358"/>
      <c r="AK42" s="358"/>
      <c r="AL42" s="358"/>
      <c r="AM42" s="358"/>
      <c r="AN42" s="358"/>
      <c r="AO42" s="358"/>
      <c r="AP42" s="358"/>
      <c r="AQ42" s="358"/>
      <c r="AR42" s="358"/>
      <c r="AS42" s="358"/>
      <c r="AT42" s="358"/>
      <c r="AU42" s="358"/>
      <c r="AV42" s="358"/>
      <c r="AW42" s="358"/>
      <c r="AX42" s="358"/>
      <c r="AY42" s="358"/>
      <c r="AZ42" s="358"/>
    </row>
    <row r="43" spans="1:52">
      <c r="A43" s="358"/>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row>
    <row r="44" spans="1:52">
      <c r="A44" s="358"/>
      <c r="B44" s="358"/>
      <c r="C44" s="553"/>
      <c r="D44" s="358"/>
      <c r="E44" s="553"/>
      <c r="F44" s="358"/>
      <c r="G44" s="553"/>
      <c r="H44" s="358"/>
      <c r="I44" s="553"/>
      <c r="J44" s="358"/>
      <c r="K44" s="553"/>
      <c r="L44" s="358"/>
      <c r="M44" s="553"/>
      <c r="N44" s="358"/>
      <c r="O44" s="553"/>
      <c r="P44" s="358"/>
      <c r="Q44" s="553"/>
      <c r="R44" s="358"/>
      <c r="S44" s="553"/>
      <c r="T44" s="358"/>
      <c r="U44" s="553"/>
      <c r="V44" s="358"/>
      <c r="W44" s="553"/>
      <c r="X44" s="358"/>
      <c r="Y44" s="553"/>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row>
    <row r="45" spans="1:52">
      <c r="A45" s="358"/>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358"/>
    </row>
    <row r="46" spans="1:52">
      <c r="A46" s="358"/>
      <c r="B46" s="358"/>
      <c r="C46" s="553"/>
      <c r="D46" s="358"/>
      <c r="E46" s="553"/>
      <c r="F46" s="358"/>
      <c r="G46" s="553"/>
      <c r="H46" s="358"/>
      <c r="I46" s="553"/>
      <c r="J46" s="358"/>
      <c r="K46" s="553"/>
      <c r="L46" s="358"/>
      <c r="M46" s="553"/>
      <c r="N46" s="358"/>
      <c r="O46" s="553"/>
      <c r="P46" s="358"/>
      <c r="Q46" s="553"/>
      <c r="R46" s="358"/>
      <c r="S46" s="553"/>
      <c r="T46" s="358"/>
      <c r="U46" s="553"/>
      <c r="V46" s="358"/>
      <c r="W46" s="553"/>
      <c r="X46" s="358"/>
      <c r="Y46" s="553"/>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358"/>
    </row>
    <row r="47" spans="1:52">
      <c r="A47" s="358"/>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358"/>
    </row>
    <row r="48" spans="1:52">
      <c r="A48" s="358"/>
      <c r="B48" s="358"/>
      <c r="C48" s="553"/>
      <c r="D48" s="358"/>
      <c r="E48" s="553"/>
      <c r="F48" s="358"/>
      <c r="G48" s="553"/>
      <c r="H48" s="358"/>
      <c r="I48" s="553"/>
      <c r="J48" s="358"/>
      <c r="K48" s="553"/>
      <c r="L48" s="358"/>
      <c r="M48" s="553"/>
      <c r="N48" s="358"/>
      <c r="O48" s="553"/>
      <c r="P48" s="358"/>
      <c r="Q48" s="553"/>
      <c r="R48" s="358"/>
      <c r="S48" s="553"/>
      <c r="T48" s="358"/>
      <c r="U48" s="553"/>
      <c r="V48" s="358"/>
      <c r="W48" s="553"/>
      <c r="X48" s="358"/>
      <c r="Y48" s="553"/>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row>
    <row r="49" spans="1:52">
      <c r="A49" s="358"/>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row>
    <row r="50" spans="1:52">
      <c r="A50" s="358"/>
      <c r="B50" s="358"/>
      <c r="C50" s="553"/>
      <c r="D50" s="358"/>
      <c r="E50" s="553"/>
      <c r="F50" s="358"/>
      <c r="G50" s="553"/>
      <c r="H50" s="358"/>
      <c r="I50" s="553"/>
      <c r="J50" s="358"/>
      <c r="K50" s="553"/>
      <c r="L50" s="358"/>
      <c r="M50" s="553"/>
      <c r="N50" s="358"/>
      <c r="O50" s="553"/>
      <c r="P50" s="358"/>
      <c r="Q50" s="553"/>
      <c r="R50" s="358"/>
      <c r="S50" s="553"/>
      <c r="T50" s="358"/>
      <c r="U50" s="553"/>
      <c r="V50" s="358"/>
      <c r="W50" s="553"/>
      <c r="X50" s="358"/>
      <c r="Y50" s="553"/>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row>
    <row r="51" spans="1:52">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row>
    <row r="52" spans="1:52">
      <c r="A52" s="358"/>
      <c r="B52" s="358"/>
      <c r="C52" s="553"/>
      <c r="D52" s="358"/>
      <c r="E52" s="553"/>
      <c r="F52" s="358"/>
      <c r="G52" s="553"/>
      <c r="H52" s="358"/>
      <c r="I52" s="553"/>
      <c r="J52" s="358"/>
      <c r="K52" s="553"/>
      <c r="L52" s="358"/>
      <c r="M52" s="553"/>
      <c r="N52" s="358"/>
      <c r="O52" s="553"/>
      <c r="P52" s="358"/>
      <c r="Q52" s="553"/>
      <c r="R52" s="358"/>
      <c r="S52" s="553"/>
      <c r="T52" s="358"/>
      <c r="U52" s="553"/>
      <c r="V52" s="358"/>
      <c r="W52" s="553"/>
      <c r="X52" s="358"/>
      <c r="Y52" s="553"/>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row>
    <row r="53" spans="1:52">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row>
    <row r="54" spans="1:52">
      <c r="A54" s="358"/>
      <c r="B54" s="358"/>
      <c r="C54" s="553"/>
      <c r="D54" s="358"/>
      <c r="E54" s="553"/>
      <c r="F54" s="358"/>
      <c r="G54" s="553"/>
      <c r="H54" s="358"/>
      <c r="I54" s="553"/>
      <c r="J54" s="358"/>
      <c r="K54" s="553"/>
      <c r="L54" s="358"/>
      <c r="M54" s="553"/>
      <c r="N54" s="358"/>
      <c r="O54" s="553"/>
      <c r="P54" s="358"/>
      <c r="Q54" s="553"/>
      <c r="R54" s="358"/>
      <c r="S54" s="553"/>
      <c r="T54" s="358"/>
      <c r="U54" s="553"/>
      <c r="V54" s="358"/>
      <c r="W54" s="553"/>
      <c r="X54" s="358"/>
      <c r="Y54" s="553"/>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c r="AV54" s="358"/>
      <c r="AW54" s="358"/>
      <c r="AX54" s="358"/>
      <c r="AY54" s="358"/>
      <c r="AZ54" s="358"/>
    </row>
    <row r="55" spans="1:52">
      <c r="A55" s="358"/>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358"/>
    </row>
    <row r="56" spans="1:52">
      <c r="A56" s="358"/>
      <c r="B56" s="358"/>
      <c r="C56" s="553"/>
      <c r="D56" s="358"/>
      <c r="E56" s="553"/>
      <c r="F56" s="358"/>
      <c r="G56" s="553"/>
      <c r="H56" s="358"/>
      <c r="I56" s="553"/>
      <c r="J56" s="358"/>
      <c r="K56" s="553"/>
      <c r="L56" s="358"/>
      <c r="M56" s="553"/>
      <c r="N56" s="358"/>
      <c r="O56" s="553"/>
      <c r="P56" s="358"/>
      <c r="Q56" s="553"/>
      <c r="R56" s="358"/>
      <c r="S56" s="553"/>
      <c r="T56" s="358"/>
      <c r="U56" s="553"/>
      <c r="V56" s="358"/>
      <c r="W56" s="553"/>
      <c r="X56" s="358"/>
      <c r="Y56" s="553"/>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row>
    <row r="57" spans="1:52">
      <c r="A57" s="358"/>
      <c r="B57" s="358"/>
      <c r="C57" s="358"/>
      <c r="D57" s="358"/>
      <c r="E57" s="358"/>
      <c r="F57" s="358"/>
      <c r="G57" s="358"/>
      <c r="H57" s="358"/>
      <c r="I57" s="358"/>
      <c r="J57" s="358"/>
      <c r="K57" s="358"/>
      <c r="L57" s="358"/>
      <c r="M57" s="358"/>
      <c r="N57" s="358"/>
      <c r="O57" s="358"/>
      <c r="P57" s="358"/>
      <c r="Q57" s="358"/>
      <c r="R57" s="358"/>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c r="AV57" s="358"/>
      <c r="AW57" s="358"/>
      <c r="AX57" s="358"/>
      <c r="AY57" s="358"/>
      <c r="AZ57" s="358"/>
    </row>
    <row r="58" spans="1:52">
      <c r="A58" s="358"/>
      <c r="B58" s="358"/>
      <c r="C58" s="553"/>
      <c r="D58" s="358"/>
      <c r="E58" s="553"/>
      <c r="F58" s="358"/>
      <c r="G58" s="553"/>
      <c r="H58" s="358"/>
      <c r="I58" s="553"/>
      <c r="J58" s="358"/>
      <c r="K58" s="553"/>
      <c r="L58" s="358"/>
      <c r="M58" s="553"/>
      <c r="N58" s="358"/>
      <c r="O58" s="553"/>
      <c r="P58" s="358"/>
      <c r="Q58" s="553"/>
      <c r="R58" s="358"/>
      <c r="S58" s="553"/>
      <c r="T58" s="358"/>
      <c r="U58" s="553"/>
      <c r="V58" s="358"/>
      <c r="W58" s="553"/>
      <c r="X58" s="358"/>
      <c r="Y58" s="553"/>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row>
    <row r="59" spans="1:52">
      <c r="A59" s="35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58"/>
    </row>
    <row r="60" spans="1:52">
      <c r="A60" s="358"/>
      <c r="B60" s="358"/>
      <c r="C60" s="553"/>
      <c r="D60" s="358"/>
      <c r="E60" s="553"/>
      <c r="F60" s="358"/>
      <c r="G60" s="553"/>
      <c r="H60" s="358"/>
      <c r="I60" s="553"/>
      <c r="J60" s="358"/>
      <c r="K60" s="553"/>
      <c r="L60" s="358"/>
      <c r="M60" s="553"/>
      <c r="N60" s="358"/>
      <c r="O60" s="553"/>
      <c r="P60" s="358"/>
      <c r="Q60" s="553"/>
      <c r="R60" s="358"/>
      <c r="S60" s="553"/>
      <c r="T60" s="358"/>
      <c r="U60" s="553"/>
      <c r="V60" s="358"/>
      <c r="W60" s="553"/>
      <c r="X60" s="358"/>
      <c r="Y60" s="553"/>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58"/>
      <c r="AZ60" s="358"/>
    </row>
    <row r="61" spans="1:52">
      <c r="A61" s="358"/>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row>
    <row r="62" spans="1:52">
      <c r="A62" s="358"/>
      <c r="B62" s="358"/>
      <c r="C62" s="553"/>
      <c r="D62" s="358"/>
      <c r="E62" s="553"/>
      <c r="F62" s="358"/>
      <c r="G62" s="553"/>
      <c r="H62" s="358"/>
      <c r="I62" s="553"/>
      <c r="J62" s="358"/>
      <c r="K62" s="553"/>
      <c r="L62" s="358"/>
      <c r="M62" s="553"/>
      <c r="N62" s="358"/>
      <c r="O62" s="553"/>
      <c r="P62" s="358"/>
      <c r="Q62" s="553"/>
      <c r="R62" s="358"/>
      <c r="S62" s="553"/>
      <c r="T62" s="358"/>
      <c r="U62" s="553"/>
      <c r="V62" s="358"/>
      <c r="W62" s="553"/>
      <c r="X62" s="358"/>
      <c r="Y62" s="553"/>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58"/>
      <c r="AZ62" s="358"/>
    </row>
    <row r="63" spans="1:52">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c r="AV63" s="358"/>
      <c r="AW63" s="358"/>
      <c r="AX63" s="358"/>
      <c r="AY63" s="358"/>
      <c r="AZ63" s="358"/>
    </row>
    <row r="64" spans="1:52">
      <c r="A64" s="358"/>
      <c r="B64" s="358"/>
      <c r="C64" s="553"/>
      <c r="D64" s="358"/>
      <c r="E64" s="553"/>
      <c r="F64" s="358"/>
      <c r="G64" s="553"/>
      <c r="H64" s="358"/>
      <c r="I64" s="553"/>
      <c r="J64" s="358"/>
      <c r="K64" s="553"/>
      <c r="L64" s="358"/>
      <c r="M64" s="553"/>
      <c r="N64" s="358"/>
      <c r="O64" s="553"/>
      <c r="P64" s="358"/>
      <c r="Q64" s="553"/>
      <c r="R64" s="358"/>
      <c r="S64" s="553"/>
      <c r="T64" s="358"/>
      <c r="U64" s="553"/>
      <c r="V64" s="358"/>
      <c r="W64" s="553"/>
      <c r="X64" s="358"/>
      <c r="Y64" s="553"/>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row>
    <row r="65" spans="1:52">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row>
    <row r="66" spans="1:52">
      <c r="A66" s="358"/>
      <c r="B66" s="358"/>
      <c r="C66" s="553"/>
      <c r="D66" s="358"/>
      <c r="E66" s="553"/>
      <c r="F66" s="358"/>
      <c r="G66" s="553"/>
      <c r="H66" s="358"/>
      <c r="I66" s="553"/>
      <c r="J66" s="358"/>
      <c r="K66" s="553"/>
      <c r="L66" s="358"/>
      <c r="M66" s="553"/>
      <c r="N66" s="358"/>
      <c r="O66" s="553"/>
      <c r="P66" s="358"/>
      <c r="Q66" s="553"/>
      <c r="R66" s="358"/>
      <c r="S66" s="553"/>
      <c r="T66" s="358"/>
      <c r="U66" s="553"/>
      <c r="V66" s="358"/>
      <c r="W66" s="553"/>
      <c r="X66" s="358"/>
      <c r="Y66" s="553"/>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row>
    <row r="67" spans="1:52">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row>
    <row r="68" spans="1:52">
      <c r="A68" s="358"/>
      <c r="B68" s="358"/>
      <c r="C68" s="553"/>
      <c r="D68" s="358"/>
      <c r="E68" s="553"/>
      <c r="F68" s="358"/>
      <c r="G68" s="553"/>
      <c r="H68" s="358"/>
      <c r="I68" s="553"/>
      <c r="J68" s="358"/>
      <c r="K68" s="553"/>
      <c r="L68" s="358"/>
      <c r="M68" s="553"/>
      <c r="N68" s="358"/>
      <c r="O68" s="553"/>
      <c r="P68" s="358"/>
      <c r="Q68" s="553"/>
      <c r="R68" s="358"/>
      <c r="S68" s="553"/>
      <c r="T68" s="358"/>
      <c r="U68" s="553"/>
      <c r="V68" s="358"/>
      <c r="W68" s="553"/>
      <c r="X68" s="358"/>
      <c r="Y68" s="553"/>
      <c r="Z68" s="358"/>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row>
    <row r="69" spans="1:52">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row>
    <row r="70" spans="1:52">
      <c r="A70" s="358"/>
      <c r="B70" s="358"/>
      <c r="C70" s="553"/>
      <c r="D70" s="358"/>
      <c r="E70" s="553"/>
      <c r="F70" s="358"/>
      <c r="G70" s="553"/>
      <c r="H70" s="358"/>
      <c r="I70" s="553"/>
      <c r="J70" s="358"/>
      <c r="K70" s="553"/>
      <c r="L70" s="358"/>
      <c r="M70" s="553"/>
      <c r="N70" s="358"/>
      <c r="O70" s="553"/>
      <c r="P70" s="358"/>
      <c r="Q70" s="553"/>
      <c r="R70" s="358"/>
      <c r="S70" s="553"/>
      <c r="T70" s="358"/>
      <c r="U70" s="553"/>
      <c r="V70" s="358"/>
      <c r="W70" s="553"/>
      <c r="X70" s="358"/>
      <c r="Y70" s="553"/>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row>
    <row r="71" spans="1:52">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c r="AV71" s="358"/>
      <c r="AW71" s="358"/>
      <c r="AX71" s="358"/>
      <c r="AY71" s="358"/>
      <c r="AZ71" s="358"/>
    </row>
    <row r="72" spans="1:52">
      <c r="A72" s="358"/>
      <c r="B72" s="358"/>
      <c r="C72" s="553"/>
      <c r="D72" s="358"/>
      <c r="E72" s="553"/>
      <c r="F72" s="358"/>
      <c r="G72" s="553"/>
      <c r="H72" s="358"/>
      <c r="I72" s="553"/>
      <c r="J72" s="358"/>
      <c r="K72" s="553"/>
      <c r="L72" s="358"/>
      <c r="M72" s="553"/>
      <c r="N72" s="358"/>
      <c r="O72" s="553"/>
      <c r="P72" s="358"/>
      <c r="Q72" s="553"/>
      <c r="R72" s="358"/>
      <c r="S72" s="553"/>
      <c r="T72" s="358"/>
      <c r="U72" s="553"/>
      <c r="V72" s="358"/>
      <c r="W72" s="553"/>
      <c r="X72" s="358"/>
      <c r="Y72" s="553"/>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row>
    <row r="73" spans="1:52">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row>
    <row r="74" spans="1:52">
      <c r="A74" s="358"/>
      <c r="B74" s="358"/>
      <c r="C74" s="553"/>
      <c r="D74" s="358"/>
      <c r="E74" s="553"/>
      <c r="F74" s="358"/>
      <c r="G74" s="553"/>
      <c r="H74" s="358"/>
      <c r="I74" s="553"/>
      <c r="J74" s="358"/>
      <c r="K74" s="553"/>
      <c r="L74" s="358"/>
      <c r="M74" s="553"/>
      <c r="N74" s="358"/>
      <c r="O74" s="553"/>
      <c r="P74" s="358"/>
      <c r="Q74" s="553"/>
      <c r="R74" s="358"/>
      <c r="S74" s="553"/>
      <c r="T74" s="358"/>
      <c r="U74" s="553"/>
      <c r="V74" s="358"/>
      <c r="W74" s="553"/>
      <c r="X74" s="358"/>
      <c r="Y74" s="553"/>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row>
    <row r="75" spans="1:52">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row>
    <row r="76" spans="1:52">
      <c r="A76" s="358"/>
      <c r="B76" s="358"/>
      <c r="C76" s="553"/>
      <c r="D76" s="358"/>
      <c r="E76" s="553"/>
      <c r="F76" s="358"/>
      <c r="G76" s="553"/>
      <c r="H76" s="358"/>
      <c r="I76" s="553"/>
      <c r="J76" s="358"/>
      <c r="K76" s="553"/>
      <c r="L76" s="358"/>
      <c r="M76" s="553"/>
      <c r="N76" s="358"/>
      <c r="O76" s="553"/>
      <c r="P76" s="358"/>
      <c r="Q76" s="553"/>
      <c r="R76" s="358"/>
      <c r="S76" s="553"/>
      <c r="T76" s="358"/>
      <c r="U76" s="553"/>
      <c r="V76" s="358"/>
      <c r="W76" s="553"/>
      <c r="X76" s="358"/>
      <c r="Y76" s="553"/>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row>
    <row r="77" spans="1:52">
      <c r="A77" s="35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row>
    <row r="78" spans="1:52">
      <c r="A78" s="358"/>
      <c r="B78" s="358"/>
      <c r="C78" s="553"/>
      <c r="D78" s="358"/>
      <c r="E78" s="553"/>
      <c r="F78" s="358"/>
      <c r="G78" s="553"/>
      <c r="H78" s="358"/>
      <c r="I78" s="553"/>
      <c r="J78" s="358"/>
      <c r="K78" s="553"/>
      <c r="L78" s="358"/>
      <c r="M78" s="553"/>
      <c r="N78" s="358"/>
      <c r="O78" s="553"/>
      <c r="P78" s="358"/>
      <c r="Q78" s="553"/>
      <c r="R78" s="358"/>
      <c r="S78" s="553"/>
      <c r="T78" s="358"/>
      <c r="U78" s="553"/>
      <c r="V78" s="358"/>
      <c r="W78" s="553"/>
      <c r="X78" s="358"/>
      <c r="Y78" s="553"/>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row>
    <row r="79" spans="1:52">
      <c r="A79" s="35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58"/>
      <c r="AO79" s="358"/>
      <c r="AP79" s="358"/>
      <c r="AQ79" s="358"/>
      <c r="AR79" s="358"/>
      <c r="AS79" s="358"/>
      <c r="AT79" s="358"/>
      <c r="AU79" s="358"/>
      <c r="AV79" s="358"/>
      <c r="AW79" s="358"/>
      <c r="AX79" s="358"/>
      <c r="AY79" s="358"/>
      <c r="AZ79" s="358"/>
    </row>
    <row r="80" spans="1:52">
      <c r="A80" s="358"/>
      <c r="B80" s="358"/>
      <c r="C80" s="553"/>
      <c r="D80" s="358"/>
      <c r="E80" s="553"/>
      <c r="F80" s="358"/>
      <c r="G80" s="553"/>
      <c r="H80" s="358"/>
      <c r="I80" s="553"/>
      <c r="J80" s="358"/>
      <c r="K80" s="553"/>
      <c r="L80" s="358"/>
      <c r="M80" s="553"/>
      <c r="N80" s="358"/>
      <c r="O80" s="553"/>
      <c r="P80" s="358"/>
      <c r="Q80" s="553"/>
      <c r="R80" s="358"/>
      <c r="S80" s="553"/>
      <c r="T80" s="358"/>
      <c r="U80" s="553"/>
      <c r="V80" s="358"/>
      <c r="W80" s="553"/>
      <c r="X80" s="358"/>
      <c r="Y80" s="553"/>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row>
    <row r="81" spans="1:52">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row>
    <row r="82" spans="1:52">
      <c r="A82" s="358"/>
      <c r="B82" s="358"/>
      <c r="C82" s="553"/>
      <c r="D82" s="358"/>
      <c r="E82" s="553"/>
      <c r="F82" s="358"/>
      <c r="G82" s="553"/>
      <c r="H82" s="358"/>
      <c r="I82" s="553"/>
      <c r="J82" s="358"/>
      <c r="K82" s="553"/>
      <c r="L82" s="358"/>
      <c r="M82" s="553"/>
      <c r="N82" s="358"/>
      <c r="O82" s="553"/>
      <c r="P82" s="358"/>
      <c r="Q82" s="553"/>
      <c r="R82" s="358"/>
      <c r="S82" s="553"/>
      <c r="T82" s="358"/>
      <c r="U82" s="553"/>
      <c r="V82" s="358"/>
      <c r="W82" s="553"/>
      <c r="X82" s="358"/>
      <c r="Y82" s="553"/>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row>
    <row r="83" spans="1:52">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row>
    <row r="84" spans="1:52">
      <c r="A84" s="358"/>
      <c r="B84" s="358"/>
      <c r="C84" s="553"/>
      <c r="D84" s="358"/>
      <c r="E84" s="553"/>
      <c r="F84" s="358"/>
      <c r="G84" s="553"/>
      <c r="H84" s="358"/>
      <c r="I84" s="553"/>
      <c r="J84" s="358"/>
      <c r="K84" s="553"/>
      <c r="L84" s="358"/>
      <c r="M84" s="553"/>
      <c r="N84" s="358"/>
      <c r="O84" s="553"/>
      <c r="P84" s="358"/>
      <c r="Q84" s="553"/>
      <c r="R84" s="358"/>
      <c r="S84" s="553"/>
      <c r="T84" s="358"/>
      <c r="U84" s="553"/>
      <c r="V84" s="358"/>
      <c r="W84" s="553"/>
      <c r="X84" s="358"/>
      <c r="Y84" s="553"/>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row>
    <row r="85" spans="1:52">
      <c r="A85" s="35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row>
    <row r="86" spans="1:52">
      <c r="A86" s="358"/>
      <c r="B86" s="358"/>
      <c r="C86" s="553"/>
      <c r="D86" s="358"/>
      <c r="E86" s="553"/>
      <c r="F86" s="358"/>
      <c r="G86" s="553"/>
      <c r="H86" s="358"/>
      <c r="I86" s="553"/>
      <c r="J86" s="358"/>
      <c r="K86" s="553"/>
      <c r="L86" s="358"/>
      <c r="M86" s="553"/>
      <c r="N86" s="358"/>
      <c r="O86" s="553"/>
      <c r="P86" s="358"/>
      <c r="Q86" s="553"/>
      <c r="R86" s="358"/>
      <c r="S86" s="553"/>
      <c r="T86" s="358"/>
      <c r="U86" s="553"/>
      <c r="V86" s="358"/>
      <c r="W86" s="553"/>
      <c r="X86" s="358"/>
      <c r="Y86" s="553"/>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8"/>
      <c r="AY86" s="358"/>
      <c r="AZ86" s="358"/>
    </row>
    <row r="87" spans="1:52">
      <c r="A87" s="35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c r="AS87" s="358"/>
      <c r="AT87" s="358"/>
      <c r="AU87" s="358"/>
      <c r="AV87" s="358"/>
      <c r="AW87" s="358"/>
      <c r="AX87" s="358"/>
      <c r="AY87" s="358"/>
      <c r="AZ87" s="358"/>
    </row>
    <row r="88" spans="1:52">
      <c r="A88" s="358"/>
      <c r="B88" s="358"/>
      <c r="C88" s="553"/>
      <c r="D88" s="358"/>
      <c r="E88" s="553"/>
      <c r="F88" s="358"/>
      <c r="G88" s="553"/>
      <c r="H88" s="358"/>
      <c r="I88" s="553"/>
      <c r="J88" s="358"/>
      <c r="K88" s="553"/>
      <c r="L88" s="358"/>
      <c r="M88" s="553"/>
      <c r="N88" s="358"/>
      <c r="O88" s="553"/>
      <c r="P88" s="358"/>
      <c r="Q88" s="553"/>
      <c r="R88" s="358"/>
      <c r="S88" s="553"/>
      <c r="T88" s="358"/>
      <c r="U88" s="553"/>
      <c r="V88" s="358"/>
      <c r="W88" s="553"/>
      <c r="X88" s="358"/>
      <c r="Y88" s="553"/>
      <c r="Z88" s="358"/>
      <c r="AA88" s="358"/>
      <c r="AB88" s="358"/>
      <c r="AC88" s="358"/>
      <c r="AD88" s="358"/>
      <c r="AE88" s="358"/>
      <c r="AF88" s="358"/>
      <c r="AG88" s="358"/>
      <c r="AH88" s="358"/>
      <c r="AI88" s="358"/>
      <c r="AJ88" s="358"/>
      <c r="AK88" s="358"/>
      <c r="AL88" s="358"/>
      <c r="AM88" s="358"/>
      <c r="AN88" s="358"/>
      <c r="AO88" s="358"/>
      <c r="AP88" s="358"/>
      <c r="AQ88" s="358"/>
      <c r="AR88" s="358"/>
      <c r="AS88" s="358"/>
      <c r="AT88" s="358"/>
      <c r="AU88" s="358"/>
      <c r="AV88" s="358"/>
      <c r="AW88" s="358"/>
      <c r="AX88" s="358"/>
      <c r="AY88" s="358"/>
      <c r="AZ88" s="358"/>
    </row>
    <row r="89" spans="1:52">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58"/>
      <c r="AN89" s="358"/>
      <c r="AO89" s="358"/>
      <c r="AP89" s="358"/>
      <c r="AQ89" s="358"/>
      <c r="AR89" s="358"/>
      <c r="AS89" s="358"/>
      <c r="AT89" s="358"/>
      <c r="AU89" s="358"/>
      <c r="AV89" s="358"/>
      <c r="AW89" s="358"/>
      <c r="AX89" s="358"/>
      <c r="AY89" s="358"/>
      <c r="AZ89" s="358"/>
    </row>
    <row r="90" spans="1:52">
      <c r="A90" s="358"/>
      <c r="B90" s="358"/>
      <c r="C90" s="553"/>
      <c r="D90" s="358"/>
      <c r="E90" s="553"/>
      <c r="F90" s="358"/>
      <c r="G90" s="553"/>
      <c r="H90" s="358"/>
      <c r="I90" s="553"/>
      <c r="J90" s="358"/>
      <c r="K90" s="553"/>
      <c r="L90" s="358"/>
      <c r="M90" s="553"/>
      <c r="N90" s="358"/>
      <c r="O90" s="553"/>
      <c r="P90" s="358"/>
      <c r="Q90" s="553"/>
      <c r="R90" s="358"/>
      <c r="S90" s="553"/>
      <c r="T90" s="358"/>
      <c r="U90" s="553"/>
      <c r="V90" s="358"/>
      <c r="W90" s="553"/>
      <c r="X90" s="358"/>
      <c r="Y90" s="553"/>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row>
    <row r="91" spans="1:52">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c r="AS91" s="358"/>
      <c r="AT91" s="358"/>
      <c r="AU91" s="358"/>
      <c r="AV91" s="358"/>
      <c r="AW91" s="358"/>
      <c r="AX91" s="358"/>
      <c r="AY91" s="358"/>
      <c r="AZ91" s="358"/>
    </row>
    <row r="92" spans="1:52">
      <c r="A92" s="358"/>
      <c r="B92" s="358"/>
      <c r="C92" s="553"/>
      <c r="D92" s="358"/>
      <c r="E92" s="553"/>
      <c r="F92" s="358"/>
      <c r="G92" s="553"/>
      <c r="H92" s="358"/>
      <c r="I92" s="553"/>
      <c r="J92" s="358"/>
      <c r="K92" s="553"/>
      <c r="L92" s="358"/>
      <c r="M92" s="553"/>
      <c r="N92" s="358"/>
      <c r="O92" s="553"/>
      <c r="P92" s="358"/>
      <c r="Q92" s="553"/>
      <c r="R92" s="358"/>
      <c r="S92" s="553"/>
      <c r="T92" s="358"/>
      <c r="U92" s="553"/>
      <c r="V92" s="358"/>
      <c r="W92" s="553"/>
      <c r="X92" s="358"/>
      <c r="Y92" s="553"/>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row>
    <row r="93" spans="1:52">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58"/>
      <c r="AN93" s="358"/>
      <c r="AO93" s="358"/>
      <c r="AP93" s="358"/>
      <c r="AQ93" s="358"/>
      <c r="AR93" s="358"/>
      <c r="AS93" s="358"/>
      <c r="AT93" s="358"/>
      <c r="AU93" s="358"/>
      <c r="AV93" s="358"/>
      <c r="AW93" s="358"/>
      <c r="AX93" s="358"/>
      <c r="AY93" s="358"/>
      <c r="AZ93" s="358"/>
    </row>
    <row r="94" spans="1:52">
      <c r="A94" s="358"/>
      <c r="B94" s="358"/>
      <c r="C94" s="553"/>
      <c r="D94" s="358"/>
      <c r="E94" s="553"/>
      <c r="F94" s="358"/>
      <c r="G94" s="553"/>
      <c r="H94" s="358"/>
      <c r="I94" s="553"/>
      <c r="J94" s="358"/>
      <c r="K94" s="553"/>
      <c r="L94" s="358"/>
      <c r="M94" s="553"/>
      <c r="N94" s="358"/>
      <c r="O94" s="553"/>
      <c r="P94" s="358"/>
      <c r="Q94" s="553"/>
      <c r="R94" s="358"/>
      <c r="S94" s="553"/>
      <c r="T94" s="358"/>
      <c r="U94" s="553"/>
      <c r="V94" s="358"/>
      <c r="W94" s="553"/>
      <c r="X94" s="358"/>
      <c r="Y94" s="553"/>
      <c r="Z94" s="358"/>
      <c r="AA94" s="358"/>
      <c r="AB94" s="358"/>
      <c r="AC94" s="358"/>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row>
    <row r="95" spans="1:52">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c r="AS95" s="358"/>
      <c r="AT95" s="358"/>
      <c r="AU95" s="358"/>
      <c r="AV95" s="358"/>
      <c r="AW95" s="358"/>
      <c r="AX95" s="358"/>
      <c r="AY95" s="358"/>
      <c r="AZ95" s="358"/>
    </row>
    <row r="96" spans="1:52">
      <c r="A96" s="358"/>
      <c r="B96" s="358"/>
      <c r="C96" s="553"/>
      <c r="D96" s="358"/>
      <c r="E96" s="553"/>
      <c r="F96" s="358"/>
      <c r="G96" s="553"/>
      <c r="H96" s="358"/>
      <c r="I96" s="553"/>
      <c r="J96" s="358"/>
      <c r="K96" s="553"/>
      <c r="L96" s="358"/>
      <c r="M96" s="553"/>
      <c r="N96" s="358"/>
      <c r="O96" s="553"/>
      <c r="P96" s="358"/>
      <c r="Q96" s="553"/>
      <c r="R96" s="358"/>
      <c r="S96" s="553"/>
      <c r="T96" s="358"/>
      <c r="U96" s="553"/>
      <c r="V96" s="358"/>
      <c r="W96" s="553"/>
      <c r="X96" s="358"/>
      <c r="Y96" s="553"/>
      <c r="Z96" s="358"/>
      <c r="AA96" s="358"/>
      <c r="AB96" s="358"/>
      <c r="AC96" s="358"/>
      <c r="AD96" s="358"/>
      <c r="AE96" s="358"/>
      <c r="AF96" s="358"/>
      <c r="AG96" s="358"/>
      <c r="AH96" s="358"/>
      <c r="AI96" s="358"/>
      <c r="AJ96" s="358"/>
      <c r="AK96" s="358"/>
      <c r="AL96" s="358"/>
      <c r="AM96" s="358"/>
      <c r="AN96" s="358"/>
      <c r="AO96" s="358"/>
      <c r="AP96" s="358"/>
      <c r="AQ96" s="358"/>
      <c r="AR96" s="358"/>
      <c r="AS96" s="358"/>
      <c r="AT96" s="358"/>
      <c r="AU96" s="358"/>
      <c r="AV96" s="358"/>
      <c r="AW96" s="358"/>
      <c r="AX96" s="358"/>
      <c r="AY96" s="358"/>
      <c r="AZ96" s="358"/>
    </row>
    <row r="97" spans="1:52">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row>
    <row r="98" spans="1:52">
      <c r="A98" s="358"/>
      <c r="B98" s="358"/>
      <c r="C98" s="553"/>
      <c r="D98" s="358"/>
      <c r="E98" s="553"/>
      <c r="F98" s="358"/>
      <c r="G98" s="553"/>
      <c r="H98" s="358"/>
      <c r="I98" s="553"/>
      <c r="J98" s="358"/>
      <c r="K98" s="553"/>
      <c r="L98" s="358"/>
      <c r="M98" s="553"/>
      <c r="N98" s="358"/>
      <c r="O98" s="553"/>
      <c r="P98" s="358"/>
      <c r="Q98" s="553"/>
      <c r="R98" s="358"/>
      <c r="S98" s="553"/>
      <c r="T98" s="358"/>
      <c r="U98" s="553"/>
      <c r="V98" s="358"/>
      <c r="W98" s="553"/>
      <c r="X98" s="358"/>
      <c r="Y98" s="553"/>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row>
    <row r="99" spans="1:52">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row>
    <row r="100" spans="1:52">
      <c r="A100" s="358"/>
      <c r="B100" s="358"/>
      <c r="C100" s="358"/>
      <c r="D100" s="358"/>
      <c r="E100" s="553"/>
      <c r="F100" s="358"/>
      <c r="G100" s="553"/>
      <c r="H100" s="358"/>
      <c r="I100" s="553"/>
      <c r="J100" s="358"/>
      <c r="K100" s="553"/>
      <c r="L100" s="358"/>
      <c r="M100" s="553"/>
      <c r="N100" s="358"/>
      <c r="O100" s="553"/>
      <c r="P100" s="358"/>
      <c r="Q100" s="553"/>
      <c r="R100" s="358"/>
      <c r="S100" s="553"/>
      <c r="T100" s="358"/>
      <c r="U100" s="553"/>
      <c r="V100" s="358"/>
      <c r="W100" s="553"/>
      <c r="X100" s="358"/>
      <c r="Y100" s="553"/>
      <c r="Z100" s="358"/>
      <c r="AA100" s="358"/>
      <c r="AB100" s="358"/>
      <c r="AC100" s="358"/>
      <c r="AD100" s="358"/>
      <c r="AE100" s="358"/>
      <c r="AF100" s="358"/>
      <c r="AG100" s="358"/>
      <c r="AH100" s="358"/>
      <c r="AI100" s="358"/>
      <c r="AJ100" s="358"/>
      <c r="AK100" s="358"/>
      <c r="AL100" s="358"/>
      <c r="AM100" s="358"/>
      <c r="AN100" s="358"/>
      <c r="AO100" s="358"/>
      <c r="AP100" s="358"/>
      <c r="AQ100" s="358"/>
      <c r="AR100" s="358"/>
      <c r="AS100" s="358"/>
      <c r="AT100" s="358"/>
      <c r="AU100" s="358"/>
      <c r="AV100" s="358"/>
      <c r="AW100" s="358"/>
      <c r="AX100" s="358"/>
      <c r="AY100" s="358"/>
      <c r="AZ100" s="358"/>
    </row>
  </sheetData>
  <sheetProtection sheet="1" objects="1" scenarios="1" selectLockedCells="1" selectUnlockedCell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C99"/>
  </sheetPr>
  <dimension ref="A1:AZ100"/>
  <sheetViews>
    <sheetView zoomScale="90" zoomScaleNormal="90" workbookViewId="0"/>
  </sheetViews>
  <sheetFormatPr defaultRowHeight="14.4"/>
  <sheetData>
    <row r="1" spans="1:52">
      <c r="A1" s="553"/>
      <c r="B1" s="358"/>
      <c r="C1" s="553"/>
      <c r="D1" s="358"/>
      <c r="E1" s="553"/>
      <c r="F1" s="358"/>
      <c r="G1" s="553"/>
      <c r="H1" s="358"/>
      <c r="I1" s="553"/>
      <c r="J1" s="358"/>
      <c r="K1" s="553"/>
      <c r="L1" s="358"/>
      <c r="M1" s="553"/>
      <c r="N1" s="358"/>
      <c r="O1" s="553"/>
      <c r="P1" s="358"/>
      <c r="Q1" s="553"/>
      <c r="R1" s="358"/>
      <c r="S1" s="553"/>
      <c r="T1" s="358"/>
      <c r="U1" s="553"/>
      <c r="V1" s="358"/>
      <c r="W1" s="553"/>
      <c r="X1" s="358"/>
      <c r="Y1" s="553"/>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row>
    <row r="2" spans="1:52">
      <c r="A2" s="358"/>
      <c r="B2" s="358"/>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row>
    <row r="3" spans="1:52">
      <c r="A3" s="553"/>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row>
    <row r="4" spans="1:52">
      <c r="A4" s="358"/>
      <c r="B4" s="358"/>
      <c r="C4" s="553"/>
      <c r="D4" s="358"/>
      <c r="E4" s="553"/>
      <c r="F4" s="358"/>
      <c r="G4" s="553"/>
      <c r="H4" s="358"/>
      <c r="I4" s="553"/>
      <c r="J4" s="358"/>
      <c r="K4" s="553"/>
      <c r="L4" s="358"/>
      <c r="M4" s="553"/>
      <c r="N4" s="358"/>
      <c r="O4" s="553"/>
      <c r="P4" s="358"/>
      <c r="Q4" s="553"/>
      <c r="R4" s="358"/>
      <c r="S4" s="553"/>
      <c r="T4" s="358"/>
      <c r="U4" s="553"/>
      <c r="V4" s="358"/>
      <c r="W4" s="553"/>
      <c r="X4" s="358"/>
      <c r="Y4" s="553"/>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row>
    <row r="5" spans="1:52">
      <c r="A5" s="553"/>
      <c r="B5" s="358"/>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row>
    <row r="6" spans="1:52">
      <c r="A6" s="358"/>
      <c r="B6" s="358"/>
      <c r="C6" s="358"/>
      <c r="D6" s="358"/>
      <c r="E6" s="358"/>
      <c r="F6" s="358"/>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c r="AT6" s="358"/>
      <c r="AU6" s="358"/>
      <c r="AV6" s="358"/>
      <c r="AW6" s="358"/>
      <c r="AX6" s="358"/>
      <c r="AY6" s="358"/>
      <c r="AZ6" s="358"/>
    </row>
    <row r="7" spans="1:52">
      <c r="A7" s="553"/>
      <c r="B7" s="358"/>
      <c r="C7" s="553"/>
      <c r="D7" s="358"/>
      <c r="E7" s="553"/>
      <c r="F7" s="358"/>
      <c r="G7" s="553"/>
      <c r="H7" s="358"/>
      <c r="I7" s="553"/>
      <c r="J7" s="358"/>
      <c r="K7" s="553"/>
      <c r="L7" s="358"/>
      <c r="M7" s="553"/>
      <c r="N7" s="358"/>
      <c r="O7" s="553"/>
      <c r="P7" s="358"/>
      <c r="Q7" s="553"/>
      <c r="R7" s="358"/>
      <c r="S7" s="553"/>
      <c r="T7" s="358"/>
      <c r="U7" s="553"/>
      <c r="V7" s="358"/>
      <c r="W7" s="553"/>
      <c r="X7" s="358"/>
      <c r="Y7" s="553"/>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358"/>
      <c r="AZ7" s="358"/>
    </row>
    <row r="8" spans="1:52">
      <c r="A8" s="358"/>
      <c r="B8" s="358"/>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58"/>
      <c r="AV8" s="358"/>
      <c r="AW8" s="358"/>
      <c r="AX8" s="358"/>
      <c r="AY8" s="358"/>
      <c r="AZ8" s="358"/>
    </row>
    <row r="9" spans="1:52">
      <c r="A9" s="553"/>
      <c r="B9" s="358"/>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c r="AT9" s="358"/>
      <c r="AU9" s="358"/>
      <c r="AV9" s="358"/>
      <c r="AW9" s="358"/>
      <c r="AX9" s="358"/>
      <c r="AY9" s="358"/>
      <c r="AZ9" s="358"/>
    </row>
    <row r="10" spans="1:52">
      <c r="A10" s="358"/>
      <c r="B10" s="358"/>
      <c r="C10" s="553"/>
      <c r="D10" s="358"/>
      <c r="E10" s="553"/>
      <c r="F10" s="358"/>
      <c r="G10" s="553"/>
      <c r="H10" s="358"/>
      <c r="I10" s="553"/>
      <c r="J10" s="358"/>
      <c r="K10" s="553"/>
      <c r="L10" s="358"/>
      <c r="M10" s="553"/>
      <c r="N10" s="358"/>
      <c r="O10" s="553"/>
      <c r="P10" s="358"/>
      <c r="Q10" s="553"/>
      <c r="R10" s="358"/>
      <c r="S10" s="553"/>
      <c r="T10" s="358"/>
      <c r="U10" s="553"/>
      <c r="V10" s="358"/>
      <c r="W10" s="553"/>
      <c r="X10" s="358"/>
      <c r="Y10" s="553"/>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row>
    <row r="11" spans="1:52">
      <c r="A11" s="553"/>
      <c r="B11" s="358"/>
      <c r="C11" s="358"/>
      <c r="D11" s="358"/>
      <c r="E11" s="358"/>
      <c r="F11" s="358"/>
      <c r="G11" s="358"/>
      <c r="H11" s="358"/>
      <c r="I11" s="358"/>
      <c r="J11" s="358"/>
      <c r="K11" s="358"/>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row>
    <row r="12" spans="1:52">
      <c r="A12" s="358"/>
      <c r="B12" s="358"/>
      <c r="C12" s="358"/>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358"/>
    </row>
    <row r="13" spans="1:52">
      <c r="A13" s="553"/>
      <c r="B13" s="358"/>
      <c r="C13" s="553"/>
      <c r="D13" s="358"/>
      <c r="E13" s="553"/>
      <c r="F13" s="358"/>
      <c r="G13" s="553"/>
      <c r="H13" s="358"/>
      <c r="I13" s="553"/>
      <c r="J13" s="358"/>
      <c r="K13" s="553"/>
      <c r="L13" s="358"/>
      <c r="M13" s="553"/>
      <c r="N13" s="358"/>
      <c r="O13" s="553"/>
      <c r="P13" s="358"/>
      <c r="Q13" s="553"/>
      <c r="R13" s="358"/>
      <c r="S13" s="553"/>
      <c r="T13" s="358"/>
      <c r="U13" s="553"/>
      <c r="V13" s="358"/>
      <c r="W13" s="553"/>
      <c r="X13" s="358"/>
      <c r="Y13" s="553"/>
      <c r="Z13" s="358"/>
      <c r="AA13" s="358"/>
      <c r="AB13" s="358"/>
      <c r="AC13" s="358"/>
      <c r="AD13" s="358"/>
      <c r="AE13" s="358"/>
      <c r="AF13" s="358"/>
      <c r="AG13" s="358"/>
      <c r="AH13" s="358"/>
      <c r="AI13" s="358"/>
      <c r="AJ13" s="358"/>
      <c r="AK13" s="358"/>
      <c r="AL13" s="358"/>
      <c r="AM13" s="358"/>
      <c r="AN13" s="358"/>
      <c r="AO13" s="358"/>
      <c r="AP13" s="358"/>
      <c r="AQ13" s="358"/>
      <c r="AR13" s="358"/>
      <c r="AS13" s="358"/>
      <c r="AT13" s="358"/>
      <c r="AU13" s="358"/>
      <c r="AV13" s="358"/>
      <c r="AW13" s="358"/>
      <c r="AX13" s="358"/>
      <c r="AY13" s="358"/>
      <c r="AZ13" s="358"/>
    </row>
    <row r="14" spans="1:52">
      <c r="A14" s="358"/>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row>
    <row r="15" spans="1:52">
      <c r="A15" s="553"/>
      <c r="B15" s="358"/>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row>
    <row r="16" spans="1:52">
      <c r="A16" s="358"/>
      <c r="B16" s="358"/>
      <c r="C16" s="553"/>
      <c r="D16" s="358"/>
      <c r="E16" s="553"/>
      <c r="F16" s="358"/>
      <c r="G16" s="553"/>
      <c r="H16" s="358"/>
      <c r="I16" s="553"/>
      <c r="J16" s="358"/>
      <c r="K16" s="553"/>
      <c r="L16" s="358"/>
      <c r="M16" s="553"/>
      <c r="N16" s="358"/>
      <c r="O16" s="553"/>
      <c r="P16" s="358"/>
      <c r="Q16" s="553"/>
      <c r="R16" s="358"/>
      <c r="S16" s="553"/>
      <c r="T16" s="358"/>
      <c r="U16" s="553"/>
      <c r="V16" s="358"/>
      <c r="W16" s="553"/>
      <c r="X16" s="358"/>
      <c r="Y16" s="553"/>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358"/>
    </row>
    <row r="17" spans="1:52">
      <c r="A17" s="553"/>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358"/>
      <c r="AZ17" s="358"/>
    </row>
    <row r="18" spans="1:52">
      <c r="A18" s="358"/>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358"/>
      <c r="AZ18" s="358"/>
    </row>
    <row r="19" spans="1:52">
      <c r="A19" s="553"/>
      <c r="B19" s="358"/>
      <c r="C19" s="553"/>
      <c r="D19" s="358"/>
      <c r="E19" s="553"/>
      <c r="F19" s="358"/>
      <c r="G19" s="553"/>
      <c r="H19" s="358"/>
      <c r="I19" s="553"/>
      <c r="J19" s="358"/>
      <c r="K19" s="553"/>
      <c r="L19" s="358"/>
      <c r="M19" s="553"/>
      <c r="N19" s="358"/>
      <c r="O19" s="553"/>
      <c r="P19" s="358"/>
      <c r="Q19" s="553"/>
      <c r="R19" s="358"/>
      <c r="S19" s="553"/>
      <c r="T19" s="358"/>
      <c r="U19" s="553"/>
      <c r="V19" s="358"/>
      <c r="W19" s="553"/>
      <c r="X19" s="358"/>
      <c r="Y19" s="553"/>
      <c r="Z19" s="358"/>
      <c r="AA19" s="358"/>
      <c r="AB19" s="358"/>
      <c r="AC19" s="358"/>
      <c r="AD19" s="358"/>
      <c r="AE19" s="358"/>
      <c r="AF19" s="358"/>
      <c r="AG19" s="358"/>
      <c r="AH19" s="358"/>
      <c r="AI19" s="358"/>
      <c r="AJ19" s="358"/>
      <c r="AK19" s="358"/>
      <c r="AL19" s="358"/>
      <c r="AM19" s="358"/>
      <c r="AN19" s="358"/>
      <c r="AO19" s="358"/>
      <c r="AP19" s="358"/>
      <c r="AQ19" s="358"/>
      <c r="AR19" s="358"/>
      <c r="AS19" s="358"/>
      <c r="AT19" s="358"/>
      <c r="AU19" s="358"/>
      <c r="AV19" s="358"/>
      <c r="AW19" s="358"/>
      <c r="AX19" s="358"/>
      <c r="AY19" s="358"/>
      <c r="AZ19" s="358"/>
    </row>
    <row r="20" spans="1:52">
      <c r="A20" s="358"/>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358"/>
      <c r="AS20" s="358"/>
      <c r="AT20" s="358"/>
      <c r="AU20" s="358"/>
      <c r="AV20" s="358"/>
      <c r="AW20" s="358"/>
      <c r="AX20" s="358"/>
      <c r="AY20" s="358"/>
      <c r="AZ20" s="358"/>
    </row>
    <row r="21" spans="1:52">
      <c r="A21" s="553"/>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row>
    <row r="22" spans="1:52">
      <c r="A22" s="358"/>
      <c r="B22" s="358"/>
      <c r="C22" s="553"/>
      <c r="D22" s="358"/>
      <c r="E22" s="553"/>
      <c r="F22" s="358"/>
      <c r="G22" s="553"/>
      <c r="H22" s="358"/>
      <c r="I22" s="553"/>
      <c r="J22" s="358"/>
      <c r="K22" s="553"/>
      <c r="L22" s="358"/>
      <c r="M22" s="553"/>
      <c r="N22" s="358"/>
      <c r="O22" s="553"/>
      <c r="P22" s="358"/>
      <c r="Q22" s="553"/>
      <c r="R22" s="358"/>
      <c r="S22" s="553"/>
      <c r="T22" s="358"/>
      <c r="U22" s="553"/>
      <c r="V22" s="358"/>
      <c r="W22" s="553"/>
      <c r="X22" s="358"/>
      <c r="Y22" s="553"/>
      <c r="Z22" s="358"/>
      <c r="AA22" s="358"/>
      <c r="AB22" s="358"/>
      <c r="AC22" s="358"/>
      <c r="AD22" s="358"/>
      <c r="AE22" s="358"/>
      <c r="AF22" s="358"/>
      <c r="AG22" s="358"/>
      <c r="AH22" s="358"/>
      <c r="AI22" s="358"/>
      <c r="AJ22" s="358"/>
      <c r="AK22" s="358"/>
      <c r="AL22" s="358"/>
      <c r="AM22" s="358"/>
      <c r="AN22" s="358"/>
      <c r="AO22" s="358"/>
      <c r="AP22" s="358"/>
      <c r="AQ22" s="358"/>
      <c r="AR22" s="358"/>
      <c r="AS22" s="358"/>
      <c r="AT22" s="358"/>
      <c r="AU22" s="358"/>
      <c r="AV22" s="358"/>
      <c r="AW22" s="358"/>
      <c r="AX22" s="358"/>
      <c r="AY22" s="358"/>
      <c r="AZ22" s="358"/>
    </row>
    <row r="23" spans="1:52">
      <c r="A23" s="553"/>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row>
    <row r="24" spans="1:52">
      <c r="A24" s="358"/>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row>
    <row r="25" spans="1:52">
      <c r="A25" s="553"/>
      <c r="B25" s="358"/>
      <c r="C25" s="553"/>
      <c r="D25" s="358"/>
      <c r="E25" s="553"/>
      <c r="F25" s="358"/>
      <c r="G25" s="553"/>
      <c r="H25" s="358"/>
      <c r="I25" s="553"/>
      <c r="J25" s="358"/>
      <c r="K25" s="553"/>
      <c r="L25" s="358"/>
      <c r="M25" s="553"/>
      <c r="N25" s="358"/>
      <c r="O25" s="553"/>
      <c r="P25" s="358"/>
      <c r="Q25" s="553"/>
      <c r="R25" s="358"/>
      <c r="S25" s="553"/>
      <c r="T25" s="358"/>
      <c r="U25" s="553"/>
      <c r="V25" s="358"/>
      <c r="W25" s="553"/>
      <c r="X25" s="358"/>
      <c r="Y25" s="553"/>
      <c r="Z25" s="358"/>
      <c r="AA25" s="358"/>
      <c r="AB25" s="358"/>
      <c r="AC25" s="358"/>
      <c r="AD25" s="358"/>
      <c r="AE25" s="358"/>
      <c r="AF25" s="358"/>
      <c r="AG25" s="358"/>
      <c r="AH25" s="358"/>
      <c r="AI25" s="358"/>
      <c r="AJ25" s="358"/>
      <c r="AK25" s="358"/>
      <c r="AL25" s="358"/>
      <c r="AM25" s="358"/>
      <c r="AN25" s="358"/>
      <c r="AO25" s="358"/>
      <c r="AP25" s="358"/>
      <c r="AQ25" s="358"/>
      <c r="AR25" s="358"/>
      <c r="AS25" s="358"/>
      <c r="AT25" s="358"/>
      <c r="AU25" s="358"/>
      <c r="AV25" s="358"/>
      <c r="AW25" s="358"/>
      <c r="AX25" s="358"/>
      <c r="AY25" s="358"/>
      <c r="AZ25" s="358"/>
    </row>
    <row r="26" spans="1:52">
      <c r="A26" s="358"/>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c r="AH26" s="358"/>
      <c r="AI26" s="358"/>
      <c r="AJ26" s="358"/>
      <c r="AK26" s="358"/>
      <c r="AL26" s="358"/>
      <c r="AM26" s="358"/>
      <c r="AN26" s="358"/>
      <c r="AO26" s="358"/>
      <c r="AP26" s="358"/>
      <c r="AQ26" s="358"/>
      <c r="AR26" s="358"/>
      <c r="AS26" s="358"/>
      <c r="AT26" s="358"/>
      <c r="AU26" s="358"/>
      <c r="AV26" s="358"/>
      <c r="AW26" s="358"/>
      <c r="AX26" s="358"/>
      <c r="AY26" s="358"/>
      <c r="AZ26" s="358"/>
    </row>
    <row r="27" spans="1:52">
      <c r="A27" s="553"/>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358"/>
      <c r="AZ27" s="358"/>
    </row>
    <row r="28" spans="1:52">
      <c r="A28" s="358"/>
      <c r="B28" s="358"/>
      <c r="C28" s="553"/>
      <c r="D28" s="358"/>
      <c r="E28" s="553"/>
      <c r="F28" s="358"/>
      <c r="G28" s="553"/>
      <c r="H28" s="358"/>
      <c r="I28" s="553"/>
      <c r="J28" s="358"/>
      <c r="K28" s="553"/>
      <c r="L28" s="358"/>
      <c r="M28" s="553"/>
      <c r="N28" s="358"/>
      <c r="O28" s="553"/>
      <c r="P28" s="358"/>
      <c r="Q28" s="553"/>
      <c r="R28" s="358"/>
      <c r="S28" s="553"/>
      <c r="T28" s="358"/>
      <c r="U28" s="553"/>
      <c r="V28" s="358"/>
      <c r="W28" s="553"/>
      <c r="X28" s="358"/>
      <c r="Y28" s="553"/>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358"/>
      <c r="AZ28" s="358"/>
    </row>
    <row r="29" spans="1:52">
      <c r="A29" s="553"/>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row>
    <row r="30" spans="1:52">
      <c r="A30" s="358"/>
      <c r="B30" s="358"/>
      <c r="C30" s="553"/>
      <c r="D30" s="358"/>
      <c r="E30" s="553"/>
      <c r="F30" s="358"/>
      <c r="G30" s="553"/>
      <c r="H30" s="358"/>
      <c r="I30" s="553"/>
      <c r="J30" s="358"/>
      <c r="K30" s="553"/>
      <c r="L30" s="358"/>
      <c r="M30" s="553"/>
      <c r="N30" s="358"/>
      <c r="O30" s="553"/>
      <c r="P30" s="358"/>
      <c r="Q30" s="553"/>
      <c r="R30" s="358"/>
      <c r="S30" s="553"/>
      <c r="T30" s="358"/>
      <c r="U30" s="553"/>
      <c r="V30" s="358"/>
      <c r="W30" s="553"/>
      <c r="X30" s="358"/>
      <c r="Y30" s="553"/>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row>
    <row r="31" spans="1:52">
      <c r="A31" s="553"/>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row>
    <row r="32" spans="1:52">
      <c r="A32" s="358"/>
      <c r="B32" s="358"/>
      <c r="C32" s="553"/>
      <c r="D32" s="358"/>
      <c r="E32" s="553"/>
      <c r="F32" s="358"/>
      <c r="G32" s="553"/>
      <c r="H32" s="358"/>
      <c r="I32" s="553"/>
      <c r="J32" s="358"/>
      <c r="K32" s="553"/>
      <c r="L32" s="358"/>
      <c r="M32" s="553"/>
      <c r="N32" s="358"/>
      <c r="O32" s="553"/>
      <c r="P32" s="358"/>
      <c r="Q32" s="553"/>
      <c r="R32" s="358"/>
      <c r="S32" s="553"/>
      <c r="T32" s="358"/>
      <c r="U32" s="553"/>
      <c r="V32" s="358"/>
      <c r="W32" s="553"/>
      <c r="X32" s="358"/>
      <c r="Y32" s="553"/>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row>
    <row r="33" spans="1:52">
      <c r="A33" s="553"/>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c r="AH33" s="358"/>
      <c r="AI33" s="358"/>
      <c r="AJ33" s="358"/>
      <c r="AK33" s="358"/>
      <c r="AL33" s="358"/>
      <c r="AM33" s="358"/>
      <c r="AN33" s="358"/>
      <c r="AO33" s="358"/>
      <c r="AP33" s="358"/>
      <c r="AQ33" s="358"/>
      <c r="AR33" s="358"/>
      <c r="AS33" s="358"/>
      <c r="AT33" s="358"/>
      <c r="AU33" s="358"/>
      <c r="AV33" s="358"/>
      <c r="AW33" s="358"/>
      <c r="AX33" s="358"/>
      <c r="AY33" s="358"/>
      <c r="AZ33" s="358"/>
    </row>
    <row r="34" spans="1:52">
      <c r="A34" s="358"/>
      <c r="B34" s="358"/>
      <c r="C34" s="553"/>
      <c r="D34" s="358"/>
      <c r="E34" s="553"/>
      <c r="F34" s="358"/>
      <c r="G34" s="553"/>
      <c r="H34" s="358"/>
      <c r="I34" s="553"/>
      <c r="J34" s="358"/>
      <c r="K34" s="553"/>
      <c r="L34" s="358"/>
      <c r="M34" s="553"/>
      <c r="N34" s="358"/>
      <c r="O34" s="553"/>
      <c r="P34" s="358"/>
      <c r="Q34" s="553"/>
      <c r="R34" s="358"/>
      <c r="S34" s="553"/>
      <c r="T34" s="358"/>
      <c r="U34" s="553"/>
      <c r="V34" s="358"/>
      <c r="W34" s="553"/>
      <c r="X34" s="358"/>
      <c r="Y34" s="553"/>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row>
    <row r="35" spans="1:52">
      <c r="A35" s="553"/>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c r="AI35" s="358"/>
      <c r="AJ35" s="358"/>
      <c r="AK35" s="358"/>
      <c r="AL35" s="358"/>
      <c r="AM35" s="358"/>
      <c r="AN35" s="358"/>
      <c r="AO35" s="358"/>
      <c r="AP35" s="358"/>
      <c r="AQ35" s="358"/>
      <c r="AR35" s="358"/>
      <c r="AS35" s="358"/>
      <c r="AT35" s="358"/>
      <c r="AU35" s="358"/>
      <c r="AV35" s="358"/>
      <c r="AW35" s="358"/>
      <c r="AX35" s="358"/>
      <c r="AY35" s="358"/>
      <c r="AZ35" s="358"/>
    </row>
    <row r="36" spans="1:52">
      <c r="A36" s="358"/>
      <c r="B36" s="358"/>
      <c r="C36" s="553"/>
      <c r="D36" s="358"/>
      <c r="E36" s="553"/>
      <c r="F36" s="358"/>
      <c r="G36" s="553"/>
      <c r="H36" s="358"/>
      <c r="I36" s="553"/>
      <c r="J36" s="358"/>
      <c r="K36" s="553"/>
      <c r="L36" s="358"/>
      <c r="M36" s="553"/>
      <c r="N36" s="358"/>
      <c r="O36" s="553"/>
      <c r="P36" s="358"/>
      <c r="Q36" s="553"/>
      <c r="R36" s="358"/>
      <c r="S36" s="553"/>
      <c r="T36" s="358"/>
      <c r="U36" s="553"/>
      <c r="V36" s="358"/>
      <c r="W36" s="553"/>
      <c r="X36" s="358"/>
      <c r="Y36" s="553"/>
      <c r="Z36" s="358"/>
      <c r="AA36" s="358"/>
      <c r="AB36" s="358"/>
      <c r="AC36" s="358"/>
      <c r="AD36" s="358"/>
      <c r="AE36" s="358"/>
      <c r="AF36" s="358"/>
      <c r="AG36" s="358"/>
      <c r="AH36" s="358"/>
      <c r="AI36" s="358"/>
      <c r="AJ36" s="358"/>
      <c r="AK36" s="358"/>
      <c r="AL36" s="358"/>
      <c r="AM36" s="358"/>
      <c r="AN36" s="358"/>
      <c r="AO36" s="358"/>
      <c r="AP36" s="358"/>
      <c r="AQ36" s="358"/>
      <c r="AR36" s="358"/>
      <c r="AS36" s="358"/>
      <c r="AT36" s="358"/>
      <c r="AU36" s="358"/>
      <c r="AV36" s="358"/>
      <c r="AW36" s="358"/>
      <c r="AX36" s="358"/>
      <c r="AY36" s="358"/>
      <c r="AZ36" s="358"/>
    </row>
    <row r="37" spans="1:52">
      <c r="A37" s="553"/>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358"/>
      <c r="AZ37" s="358"/>
    </row>
    <row r="38" spans="1:52">
      <c r="A38" s="358"/>
      <c r="B38" s="358"/>
      <c r="C38" s="553"/>
      <c r="D38" s="358"/>
      <c r="E38" s="553"/>
      <c r="F38" s="358"/>
      <c r="G38" s="553"/>
      <c r="H38" s="358"/>
      <c r="I38" s="553"/>
      <c r="J38" s="358"/>
      <c r="K38" s="553"/>
      <c r="L38" s="358"/>
      <c r="M38" s="553"/>
      <c r="N38" s="358"/>
      <c r="O38" s="553"/>
      <c r="P38" s="358"/>
      <c r="Q38" s="553"/>
      <c r="R38" s="358"/>
      <c r="S38" s="553"/>
      <c r="T38" s="358"/>
      <c r="U38" s="553"/>
      <c r="V38" s="358"/>
      <c r="W38" s="553"/>
      <c r="X38" s="358"/>
      <c r="Y38" s="553"/>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358"/>
    </row>
    <row r="39" spans="1:52">
      <c r="A39" s="358"/>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c r="AH39" s="358"/>
      <c r="AI39" s="358"/>
      <c r="AJ39" s="358"/>
      <c r="AK39" s="358"/>
      <c r="AL39" s="358"/>
      <c r="AM39" s="358"/>
      <c r="AN39" s="358"/>
      <c r="AO39" s="358"/>
      <c r="AP39" s="358"/>
      <c r="AQ39" s="358"/>
      <c r="AR39" s="358"/>
      <c r="AS39" s="358"/>
      <c r="AT39" s="358"/>
      <c r="AU39" s="358"/>
      <c r="AV39" s="358"/>
      <c r="AW39" s="358"/>
      <c r="AX39" s="358"/>
      <c r="AY39" s="358"/>
      <c r="AZ39" s="358"/>
    </row>
    <row r="40" spans="1:52">
      <c r="A40" s="358"/>
      <c r="B40" s="358"/>
      <c r="C40" s="553"/>
      <c r="D40" s="358"/>
      <c r="E40" s="553"/>
      <c r="F40" s="358"/>
      <c r="G40" s="553"/>
      <c r="H40" s="358"/>
      <c r="I40" s="553"/>
      <c r="J40" s="358"/>
      <c r="K40" s="553"/>
      <c r="L40" s="358"/>
      <c r="M40" s="553"/>
      <c r="N40" s="358"/>
      <c r="O40" s="553"/>
      <c r="P40" s="358"/>
      <c r="Q40" s="553"/>
      <c r="R40" s="358"/>
      <c r="S40" s="553"/>
      <c r="T40" s="358"/>
      <c r="U40" s="553"/>
      <c r="V40" s="358"/>
      <c r="W40" s="553"/>
      <c r="X40" s="358"/>
      <c r="Y40" s="553"/>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358"/>
      <c r="AZ40" s="358"/>
    </row>
    <row r="41" spans="1:52">
      <c r="A41" s="358"/>
      <c r="B41" s="358"/>
      <c r="C41" s="358"/>
      <c r="D41" s="358"/>
      <c r="E41" s="358"/>
      <c r="F41" s="35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358"/>
      <c r="AG41" s="358"/>
      <c r="AH41" s="358"/>
      <c r="AI41" s="358"/>
      <c r="AJ41" s="358"/>
      <c r="AK41" s="358"/>
      <c r="AL41" s="358"/>
      <c r="AM41" s="358"/>
      <c r="AN41" s="358"/>
      <c r="AO41" s="358"/>
      <c r="AP41" s="358"/>
      <c r="AQ41" s="358"/>
      <c r="AR41" s="358"/>
      <c r="AS41" s="358"/>
      <c r="AT41" s="358"/>
      <c r="AU41" s="358"/>
      <c r="AV41" s="358"/>
      <c r="AW41" s="358"/>
      <c r="AX41" s="358"/>
      <c r="AY41" s="358"/>
      <c r="AZ41" s="358"/>
    </row>
    <row r="42" spans="1:52">
      <c r="A42" s="358"/>
      <c r="B42" s="358"/>
      <c r="C42" s="553"/>
      <c r="D42" s="358"/>
      <c r="E42" s="553"/>
      <c r="F42" s="358"/>
      <c r="G42" s="553"/>
      <c r="H42" s="358"/>
      <c r="I42" s="553"/>
      <c r="J42" s="358"/>
      <c r="K42" s="553"/>
      <c r="L42" s="358"/>
      <c r="M42" s="553"/>
      <c r="N42" s="358"/>
      <c r="O42" s="553"/>
      <c r="P42" s="358"/>
      <c r="Q42" s="553"/>
      <c r="R42" s="358"/>
      <c r="S42" s="553"/>
      <c r="T42" s="358"/>
      <c r="U42" s="553"/>
      <c r="V42" s="358"/>
      <c r="W42" s="553"/>
      <c r="X42" s="358"/>
      <c r="Y42" s="553"/>
      <c r="Z42" s="358"/>
      <c r="AA42" s="358"/>
      <c r="AB42" s="358"/>
      <c r="AC42" s="358"/>
      <c r="AD42" s="358"/>
      <c r="AE42" s="358"/>
      <c r="AF42" s="358"/>
      <c r="AG42" s="358"/>
      <c r="AH42" s="358"/>
      <c r="AI42" s="358"/>
      <c r="AJ42" s="358"/>
      <c r="AK42" s="358"/>
      <c r="AL42" s="358"/>
      <c r="AM42" s="358"/>
      <c r="AN42" s="358"/>
      <c r="AO42" s="358"/>
      <c r="AP42" s="358"/>
      <c r="AQ42" s="358"/>
      <c r="AR42" s="358"/>
      <c r="AS42" s="358"/>
      <c r="AT42" s="358"/>
      <c r="AU42" s="358"/>
      <c r="AV42" s="358"/>
      <c r="AW42" s="358"/>
      <c r="AX42" s="358"/>
      <c r="AY42" s="358"/>
      <c r="AZ42" s="358"/>
    </row>
    <row r="43" spans="1:52">
      <c r="A43" s="358"/>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row>
    <row r="44" spans="1:52">
      <c r="A44" s="358"/>
      <c r="B44" s="358"/>
      <c r="C44" s="553"/>
      <c r="D44" s="358"/>
      <c r="E44" s="553"/>
      <c r="F44" s="358"/>
      <c r="G44" s="553"/>
      <c r="H44" s="358"/>
      <c r="I44" s="553"/>
      <c r="J44" s="358"/>
      <c r="K44" s="553"/>
      <c r="L44" s="358"/>
      <c r="M44" s="553"/>
      <c r="N44" s="358"/>
      <c r="O44" s="553"/>
      <c r="P44" s="358"/>
      <c r="Q44" s="553"/>
      <c r="R44" s="358"/>
      <c r="S44" s="553"/>
      <c r="T44" s="358"/>
      <c r="U44" s="553"/>
      <c r="V44" s="358"/>
      <c r="W44" s="553"/>
      <c r="X44" s="358"/>
      <c r="Y44" s="553"/>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row>
    <row r="45" spans="1:52">
      <c r="A45" s="358"/>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358"/>
    </row>
    <row r="46" spans="1:52">
      <c r="A46" s="358"/>
      <c r="B46" s="358"/>
      <c r="C46" s="553"/>
      <c r="D46" s="358"/>
      <c r="E46" s="553"/>
      <c r="F46" s="358"/>
      <c r="G46" s="553"/>
      <c r="H46" s="358"/>
      <c r="I46" s="553"/>
      <c r="J46" s="358"/>
      <c r="K46" s="553"/>
      <c r="L46" s="358"/>
      <c r="M46" s="553"/>
      <c r="N46" s="358"/>
      <c r="O46" s="553"/>
      <c r="P46" s="358"/>
      <c r="Q46" s="553"/>
      <c r="R46" s="358"/>
      <c r="S46" s="553"/>
      <c r="T46" s="358"/>
      <c r="U46" s="553"/>
      <c r="V46" s="358"/>
      <c r="W46" s="553"/>
      <c r="X46" s="358"/>
      <c r="Y46" s="553"/>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358"/>
    </row>
    <row r="47" spans="1:52">
      <c r="A47" s="358"/>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358"/>
    </row>
    <row r="48" spans="1:52">
      <c r="A48" s="358"/>
      <c r="B48" s="358"/>
      <c r="C48" s="553"/>
      <c r="D48" s="358"/>
      <c r="E48" s="553"/>
      <c r="F48" s="358"/>
      <c r="G48" s="553"/>
      <c r="H48" s="358"/>
      <c r="I48" s="553"/>
      <c r="J48" s="358"/>
      <c r="K48" s="553"/>
      <c r="L48" s="358"/>
      <c r="M48" s="553"/>
      <c r="N48" s="358"/>
      <c r="O48" s="553"/>
      <c r="P48" s="358"/>
      <c r="Q48" s="553"/>
      <c r="R48" s="358"/>
      <c r="S48" s="553"/>
      <c r="T48" s="358"/>
      <c r="U48" s="553"/>
      <c r="V48" s="358"/>
      <c r="W48" s="553"/>
      <c r="X48" s="358"/>
      <c r="Y48" s="553"/>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row>
    <row r="49" spans="1:52">
      <c r="A49" s="358"/>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row>
    <row r="50" spans="1:52">
      <c r="A50" s="358"/>
      <c r="B50" s="358"/>
      <c r="C50" s="553"/>
      <c r="D50" s="358"/>
      <c r="E50" s="553"/>
      <c r="F50" s="358"/>
      <c r="G50" s="553"/>
      <c r="H50" s="358"/>
      <c r="I50" s="553"/>
      <c r="J50" s="358"/>
      <c r="K50" s="553"/>
      <c r="L50" s="358"/>
      <c r="M50" s="553"/>
      <c r="N50" s="358"/>
      <c r="O50" s="553"/>
      <c r="P50" s="358"/>
      <c r="Q50" s="553"/>
      <c r="R50" s="358"/>
      <c r="S50" s="553"/>
      <c r="T50" s="358"/>
      <c r="U50" s="553"/>
      <c r="V50" s="358"/>
      <c r="W50" s="553"/>
      <c r="X50" s="358"/>
      <c r="Y50" s="553"/>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row>
    <row r="51" spans="1:52">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row>
    <row r="52" spans="1:52">
      <c r="A52" s="358"/>
      <c r="B52" s="358"/>
      <c r="C52" s="553"/>
      <c r="D52" s="358"/>
      <c r="E52" s="553"/>
      <c r="F52" s="358"/>
      <c r="G52" s="553"/>
      <c r="H52" s="358"/>
      <c r="I52" s="553"/>
      <c r="J52" s="358"/>
      <c r="K52" s="553"/>
      <c r="L52" s="358"/>
      <c r="M52" s="553"/>
      <c r="N52" s="358"/>
      <c r="O52" s="553"/>
      <c r="P52" s="358"/>
      <c r="Q52" s="553"/>
      <c r="R52" s="358"/>
      <c r="S52" s="553"/>
      <c r="T52" s="358"/>
      <c r="U52" s="553"/>
      <c r="V52" s="358"/>
      <c r="W52" s="553"/>
      <c r="X52" s="358"/>
      <c r="Y52" s="553"/>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row>
    <row r="53" spans="1:52">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row>
    <row r="54" spans="1:52">
      <c r="A54" s="358"/>
      <c r="B54" s="358"/>
      <c r="C54" s="553"/>
      <c r="D54" s="358"/>
      <c r="E54" s="553"/>
      <c r="F54" s="358"/>
      <c r="G54" s="553"/>
      <c r="H54" s="358"/>
      <c r="I54" s="553"/>
      <c r="J54" s="358"/>
      <c r="K54" s="553"/>
      <c r="L54" s="358"/>
      <c r="M54" s="553"/>
      <c r="N54" s="358"/>
      <c r="O54" s="553"/>
      <c r="P54" s="358"/>
      <c r="Q54" s="553"/>
      <c r="R54" s="358"/>
      <c r="S54" s="553"/>
      <c r="T54" s="358"/>
      <c r="U54" s="553"/>
      <c r="V54" s="358"/>
      <c r="W54" s="553"/>
      <c r="X54" s="358"/>
      <c r="Y54" s="553"/>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c r="AV54" s="358"/>
      <c r="AW54" s="358"/>
      <c r="AX54" s="358"/>
      <c r="AY54" s="358"/>
      <c r="AZ54" s="358"/>
    </row>
    <row r="55" spans="1:52">
      <c r="A55" s="358"/>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358"/>
    </row>
    <row r="56" spans="1:52">
      <c r="A56" s="358"/>
      <c r="B56" s="358"/>
      <c r="C56" s="553"/>
      <c r="D56" s="358"/>
      <c r="E56" s="553"/>
      <c r="F56" s="358"/>
      <c r="G56" s="553"/>
      <c r="H56" s="358"/>
      <c r="I56" s="553"/>
      <c r="J56" s="358"/>
      <c r="K56" s="553"/>
      <c r="L56" s="358"/>
      <c r="M56" s="553"/>
      <c r="N56" s="358"/>
      <c r="O56" s="553"/>
      <c r="P56" s="358"/>
      <c r="Q56" s="553"/>
      <c r="R56" s="358"/>
      <c r="S56" s="553"/>
      <c r="T56" s="358"/>
      <c r="U56" s="553"/>
      <c r="V56" s="358"/>
      <c r="W56" s="553"/>
      <c r="X56" s="358"/>
      <c r="Y56" s="553"/>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row>
    <row r="57" spans="1:52">
      <c r="A57" s="358"/>
      <c r="B57" s="358"/>
      <c r="C57" s="358"/>
      <c r="D57" s="358"/>
      <c r="E57" s="358"/>
      <c r="F57" s="358"/>
      <c r="G57" s="358"/>
      <c r="H57" s="358"/>
      <c r="I57" s="358"/>
      <c r="J57" s="358"/>
      <c r="K57" s="358"/>
      <c r="L57" s="358"/>
      <c r="M57" s="358"/>
      <c r="N57" s="358"/>
      <c r="O57" s="358"/>
      <c r="P57" s="358"/>
      <c r="Q57" s="358"/>
      <c r="R57" s="358"/>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c r="AV57" s="358"/>
      <c r="AW57" s="358"/>
      <c r="AX57" s="358"/>
      <c r="AY57" s="358"/>
      <c r="AZ57" s="358"/>
    </row>
    <row r="58" spans="1:52">
      <c r="A58" s="358"/>
      <c r="B58" s="358"/>
      <c r="C58" s="553"/>
      <c r="D58" s="358"/>
      <c r="E58" s="553"/>
      <c r="F58" s="358"/>
      <c r="G58" s="553"/>
      <c r="H58" s="358"/>
      <c r="I58" s="553"/>
      <c r="J58" s="358"/>
      <c r="K58" s="553"/>
      <c r="L58" s="358"/>
      <c r="M58" s="553"/>
      <c r="N58" s="358"/>
      <c r="O58" s="553"/>
      <c r="P58" s="358"/>
      <c r="Q58" s="553"/>
      <c r="R58" s="358"/>
      <c r="S58" s="553"/>
      <c r="T58" s="358"/>
      <c r="U58" s="553"/>
      <c r="V58" s="358"/>
      <c r="W58" s="553"/>
      <c r="X58" s="358"/>
      <c r="Y58" s="553"/>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row>
    <row r="59" spans="1:52">
      <c r="A59" s="35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58"/>
    </row>
    <row r="60" spans="1:52">
      <c r="A60" s="358"/>
      <c r="B60" s="358"/>
      <c r="C60" s="553"/>
      <c r="D60" s="358"/>
      <c r="E60" s="553"/>
      <c r="F60" s="358"/>
      <c r="G60" s="553"/>
      <c r="H60" s="358"/>
      <c r="I60" s="553"/>
      <c r="J60" s="358"/>
      <c r="K60" s="553"/>
      <c r="L60" s="358"/>
      <c r="M60" s="553"/>
      <c r="N60" s="358"/>
      <c r="O60" s="553"/>
      <c r="P60" s="358"/>
      <c r="Q60" s="553"/>
      <c r="R60" s="358"/>
      <c r="S60" s="553"/>
      <c r="T60" s="358"/>
      <c r="U60" s="553"/>
      <c r="V60" s="358"/>
      <c r="W60" s="553"/>
      <c r="X60" s="358"/>
      <c r="Y60" s="553"/>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58"/>
      <c r="AZ60" s="358"/>
    </row>
    <row r="61" spans="1:52">
      <c r="A61" s="358"/>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row>
    <row r="62" spans="1:52">
      <c r="A62" s="358"/>
      <c r="B62" s="358"/>
      <c r="C62" s="553"/>
      <c r="D62" s="358"/>
      <c r="E62" s="553"/>
      <c r="F62" s="358"/>
      <c r="G62" s="553"/>
      <c r="H62" s="358"/>
      <c r="I62" s="553"/>
      <c r="J62" s="358"/>
      <c r="K62" s="553"/>
      <c r="L62" s="358"/>
      <c r="M62" s="553"/>
      <c r="N62" s="358"/>
      <c r="O62" s="553"/>
      <c r="P62" s="358"/>
      <c r="Q62" s="553"/>
      <c r="R62" s="358"/>
      <c r="S62" s="553"/>
      <c r="T62" s="358"/>
      <c r="U62" s="553"/>
      <c r="V62" s="358"/>
      <c r="W62" s="553"/>
      <c r="X62" s="358"/>
      <c r="Y62" s="553"/>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58"/>
      <c r="AZ62" s="358"/>
    </row>
    <row r="63" spans="1:52">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c r="AV63" s="358"/>
      <c r="AW63" s="358"/>
      <c r="AX63" s="358"/>
      <c r="AY63" s="358"/>
      <c r="AZ63" s="358"/>
    </row>
    <row r="64" spans="1:52">
      <c r="A64" s="358"/>
      <c r="B64" s="358"/>
      <c r="C64" s="553"/>
      <c r="D64" s="358"/>
      <c r="E64" s="553"/>
      <c r="F64" s="358"/>
      <c r="G64" s="553"/>
      <c r="H64" s="358"/>
      <c r="I64" s="553"/>
      <c r="J64" s="358"/>
      <c r="K64" s="553"/>
      <c r="L64" s="358"/>
      <c r="M64" s="553"/>
      <c r="N64" s="358"/>
      <c r="O64" s="553"/>
      <c r="P64" s="358"/>
      <c r="Q64" s="553"/>
      <c r="R64" s="358"/>
      <c r="S64" s="553"/>
      <c r="T64" s="358"/>
      <c r="U64" s="553"/>
      <c r="V64" s="358"/>
      <c r="W64" s="553"/>
      <c r="X64" s="358"/>
      <c r="Y64" s="553"/>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row>
    <row r="65" spans="1:52">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row>
    <row r="66" spans="1:52">
      <c r="A66" s="358"/>
      <c r="B66" s="358"/>
      <c r="C66" s="553"/>
      <c r="D66" s="358"/>
      <c r="E66" s="553"/>
      <c r="F66" s="358"/>
      <c r="G66" s="553"/>
      <c r="H66" s="358"/>
      <c r="I66" s="553"/>
      <c r="J66" s="358"/>
      <c r="K66" s="553"/>
      <c r="L66" s="358"/>
      <c r="M66" s="553"/>
      <c r="N66" s="358"/>
      <c r="O66" s="553"/>
      <c r="P66" s="358"/>
      <c r="Q66" s="553"/>
      <c r="R66" s="358"/>
      <c r="S66" s="553"/>
      <c r="T66" s="358"/>
      <c r="U66" s="553"/>
      <c r="V66" s="358"/>
      <c r="W66" s="553"/>
      <c r="X66" s="358"/>
      <c r="Y66" s="553"/>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row>
    <row r="67" spans="1:52">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row>
    <row r="68" spans="1:52">
      <c r="A68" s="358"/>
      <c r="B68" s="358"/>
      <c r="C68" s="553"/>
      <c r="D68" s="358"/>
      <c r="E68" s="553"/>
      <c r="F68" s="358"/>
      <c r="G68" s="553"/>
      <c r="H68" s="358"/>
      <c r="I68" s="553"/>
      <c r="J68" s="358"/>
      <c r="K68" s="553"/>
      <c r="L68" s="358"/>
      <c r="M68" s="553"/>
      <c r="N68" s="358"/>
      <c r="O68" s="553"/>
      <c r="P68" s="358"/>
      <c r="Q68" s="553"/>
      <c r="R68" s="358"/>
      <c r="S68" s="553"/>
      <c r="T68" s="358"/>
      <c r="U68" s="553"/>
      <c r="V68" s="358"/>
      <c r="W68" s="553"/>
      <c r="X68" s="358"/>
      <c r="Y68" s="553"/>
      <c r="Z68" s="358"/>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row>
    <row r="69" spans="1:52">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row>
    <row r="70" spans="1:52">
      <c r="A70" s="358"/>
      <c r="B70" s="358"/>
      <c r="C70" s="553"/>
      <c r="D70" s="358"/>
      <c r="E70" s="553"/>
      <c r="F70" s="358"/>
      <c r="G70" s="553"/>
      <c r="H70" s="358"/>
      <c r="I70" s="553"/>
      <c r="J70" s="358"/>
      <c r="K70" s="553"/>
      <c r="L70" s="358"/>
      <c r="M70" s="553"/>
      <c r="N70" s="358"/>
      <c r="O70" s="553"/>
      <c r="P70" s="358"/>
      <c r="Q70" s="553"/>
      <c r="R70" s="358"/>
      <c r="S70" s="553"/>
      <c r="T70" s="358"/>
      <c r="U70" s="553"/>
      <c r="V70" s="358"/>
      <c r="W70" s="553"/>
      <c r="X70" s="358"/>
      <c r="Y70" s="553"/>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row>
    <row r="71" spans="1:52">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c r="AV71" s="358"/>
      <c r="AW71" s="358"/>
      <c r="AX71" s="358"/>
      <c r="AY71" s="358"/>
      <c r="AZ71" s="358"/>
    </row>
    <row r="72" spans="1:52">
      <c r="A72" s="358"/>
      <c r="B72" s="358"/>
      <c r="C72" s="553"/>
      <c r="D72" s="358"/>
      <c r="E72" s="553"/>
      <c r="F72" s="358"/>
      <c r="G72" s="553"/>
      <c r="H72" s="358"/>
      <c r="I72" s="553"/>
      <c r="J72" s="358"/>
      <c r="K72" s="553"/>
      <c r="L72" s="358"/>
      <c r="M72" s="553"/>
      <c r="N72" s="358"/>
      <c r="O72" s="553"/>
      <c r="P72" s="358"/>
      <c r="Q72" s="553"/>
      <c r="R72" s="358"/>
      <c r="S72" s="553"/>
      <c r="T72" s="358"/>
      <c r="U72" s="553"/>
      <c r="V72" s="358"/>
      <c r="W72" s="553"/>
      <c r="X72" s="358"/>
      <c r="Y72" s="553"/>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row>
    <row r="73" spans="1:52">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row>
    <row r="74" spans="1:52">
      <c r="A74" s="358"/>
      <c r="B74" s="358"/>
      <c r="C74" s="553"/>
      <c r="D74" s="358"/>
      <c r="E74" s="553"/>
      <c r="F74" s="358"/>
      <c r="G74" s="553"/>
      <c r="H74" s="358"/>
      <c r="I74" s="553"/>
      <c r="J74" s="358"/>
      <c r="K74" s="553"/>
      <c r="L74" s="358"/>
      <c r="M74" s="553"/>
      <c r="N74" s="358"/>
      <c r="O74" s="553"/>
      <c r="P74" s="358"/>
      <c r="Q74" s="553"/>
      <c r="R74" s="358"/>
      <c r="S74" s="553"/>
      <c r="T74" s="358"/>
      <c r="U74" s="553"/>
      <c r="V74" s="358"/>
      <c r="W74" s="553"/>
      <c r="X74" s="358"/>
      <c r="Y74" s="553"/>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row>
    <row r="75" spans="1:52">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row>
    <row r="76" spans="1:52">
      <c r="A76" s="358"/>
      <c r="B76" s="358"/>
      <c r="C76" s="553"/>
      <c r="D76" s="358"/>
      <c r="E76" s="553"/>
      <c r="F76" s="358"/>
      <c r="G76" s="553"/>
      <c r="H76" s="358"/>
      <c r="I76" s="553"/>
      <c r="J76" s="358"/>
      <c r="K76" s="553"/>
      <c r="L76" s="358"/>
      <c r="M76" s="553"/>
      <c r="N76" s="358"/>
      <c r="O76" s="553"/>
      <c r="P76" s="358"/>
      <c r="Q76" s="553"/>
      <c r="R76" s="358"/>
      <c r="S76" s="553"/>
      <c r="T76" s="358"/>
      <c r="U76" s="553"/>
      <c r="V76" s="358"/>
      <c r="W76" s="553"/>
      <c r="X76" s="358"/>
      <c r="Y76" s="553"/>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row>
    <row r="77" spans="1:52">
      <c r="A77" s="35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row>
    <row r="78" spans="1:52">
      <c r="A78" s="358"/>
      <c r="B78" s="358"/>
      <c r="C78" s="553"/>
      <c r="D78" s="358"/>
      <c r="E78" s="553"/>
      <c r="F78" s="358"/>
      <c r="G78" s="553"/>
      <c r="H78" s="358"/>
      <c r="I78" s="553"/>
      <c r="J78" s="358"/>
      <c r="K78" s="553"/>
      <c r="L78" s="358"/>
      <c r="M78" s="553"/>
      <c r="N78" s="358"/>
      <c r="O78" s="553"/>
      <c r="P78" s="358"/>
      <c r="Q78" s="553"/>
      <c r="R78" s="358"/>
      <c r="S78" s="553"/>
      <c r="T78" s="358"/>
      <c r="U78" s="553"/>
      <c r="V78" s="358"/>
      <c r="W78" s="553"/>
      <c r="X78" s="358"/>
      <c r="Y78" s="553"/>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row>
    <row r="79" spans="1:52">
      <c r="A79" s="35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58"/>
      <c r="AO79" s="358"/>
      <c r="AP79" s="358"/>
      <c r="AQ79" s="358"/>
      <c r="AR79" s="358"/>
      <c r="AS79" s="358"/>
      <c r="AT79" s="358"/>
      <c r="AU79" s="358"/>
      <c r="AV79" s="358"/>
      <c r="AW79" s="358"/>
      <c r="AX79" s="358"/>
      <c r="AY79" s="358"/>
      <c r="AZ79" s="358"/>
    </row>
    <row r="80" spans="1:52">
      <c r="A80" s="358"/>
      <c r="B80" s="358"/>
      <c r="C80" s="553"/>
      <c r="D80" s="358"/>
      <c r="E80" s="553"/>
      <c r="F80" s="358"/>
      <c r="G80" s="553"/>
      <c r="H80" s="358"/>
      <c r="I80" s="553"/>
      <c r="J80" s="358"/>
      <c r="K80" s="553"/>
      <c r="L80" s="358"/>
      <c r="M80" s="553"/>
      <c r="N80" s="358"/>
      <c r="O80" s="553"/>
      <c r="P80" s="358"/>
      <c r="Q80" s="553"/>
      <c r="R80" s="358"/>
      <c r="S80" s="553"/>
      <c r="T80" s="358"/>
      <c r="U80" s="553"/>
      <c r="V80" s="358"/>
      <c r="W80" s="553"/>
      <c r="X80" s="358"/>
      <c r="Y80" s="553"/>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row>
    <row r="81" spans="1:52">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row>
    <row r="82" spans="1:52">
      <c r="A82" s="358"/>
      <c r="B82" s="358"/>
      <c r="C82" s="553"/>
      <c r="D82" s="358"/>
      <c r="E82" s="553"/>
      <c r="F82" s="358"/>
      <c r="G82" s="553"/>
      <c r="H82" s="358"/>
      <c r="I82" s="553"/>
      <c r="J82" s="358"/>
      <c r="K82" s="553"/>
      <c r="L82" s="358"/>
      <c r="M82" s="553"/>
      <c r="N82" s="358"/>
      <c r="O82" s="553"/>
      <c r="P82" s="358"/>
      <c r="Q82" s="553"/>
      <c r="R82" s="358"/>
      <c r="S82" s="553"/>
      <c r="T82" s="358"/>
      <c r="U82" s="553"/>
      <c r="V82" s="358"/>
      <c r="W82" s="553"/>
      <c r="X82" s="358"/>
      <c r="Y82" s="553"/>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row>
    <row r="83" spans="1:52">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row>
    <row r="84" spans="1:52">
      <c r="A84" s="358"/>
      <c r="B84" s="358"/>
      <c r="C84" s="553"/>
      <c r="D84" s="358"/>
      <c r="E84" s="553"/>
      <c r="F84" s="358"/>
      <c r="G84" s="553"/>
      <c r="H84" s="358"/>
      <c r="I84" s="553"/>
      <c r="J84" s="358"/>
      <c r="K84" s="553"/>
      <c r="L84" s="358"/>
      <c r="M84" s="553"/>
      <c r="N84" s="358"/>
      <c r="O84" s="553"/>
      <c r="P84" s="358"/>
      <c r="Q84" s="553"/>
      <c r="R84" s="358"/>
      <c r="S84" s="553"/>
      <c r="T84" s="358"/>
      <c r="U84" s="553"/>
      <c r="V84" s="358"/>
      <c r="W84" s="553"/>
      <c r="X84" s="358"/>
      <c r="Y84" s="553"/>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row>
    <row r="85" spans="1:52">
      <c r="A85" s="35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row>
    <row r="86" spans="1:52">
      <c r="A86" s="358"/>
      <c r="B86" s="358"/>
      <c r="C86" s="553"/>
      <c r="D86" s="358"/>
      <c r="E86" s="553"/>
      <c r="F86" s="358"/>
      <c r="G86" s="553"/>
      <c r="H86" s="358"/>
      <c r="I86" s="553"/>
      <c r="J86" s="358"/>
      <c r="K86" s="553"/>
      <c r="L86" s="358"/>
      <c r="M86" s="553"/>
      <c r="N86" s="358"/>
      <c r="O86" s="553"/>
      <c r="P86" s="358"/>
      <c r="Q86" s="553"/>
      <c r="R86" s="358"/>
      <c r="S86" s="553"/>
      <c r="T86" s="358"/>
      <c r="U86" s="553"/>
      <c r="V86" s="358"/>
      <c r="W86" s="553"/>
      <c r="X86" s="358"/>
      <c r="Y86" s="553"/>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8"/>
      <c r="AY86" s="358"/>
      <c r="AZ86" s="358"/>
    </row>
    <row r="87" spans="1:52">
      <c r="A87" s="35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c r="AS87" s="358"/>
      <c r="AT87" s="358"/>
      <c r="AU87" s="358"/>
      <c r="AV87" s="358"/>
      <c r="AW87" s="358"/>
      <c r="AX87" s="358"/>
      <c r="AY87" s="358"/>
      <c r="AZ87" s="358"/>
    </row>
    <row r="88" spans="1:52">
      <c r="A88" s="358"/>
      <c r="B88" s="358"/>
      <c r="C88" s="553"/>
      <c r="D88" s="358"/>
      <c r="E88" s="553"/>
      <c r="F88" s="358"/>
      <c r="G88" s="553"/>
      <c r="H88" s="358"/>
      <c r="I88" s="553"/>
      <c r="J88" s="358"/>
      <c r="K88" s="553"/>
      <c r="L88" s="358"/>
      <c r="M88" s="553"/>
      <c r="N88" s="358"/>
      <c r="O88" s="553"/>
      <c r="P88" s="358"/>
      <c r="Q88" s="553"/>
      <c r="R88" s="358"/>
      <c r="S88" s="553"/>
      <c r="T88" s="358"/>
      <c r="U88" s="553"/>
      <c r="V88" s="358"/>
      <c r="W88" s="553"/>
      <c r="X88" s="358"/>
      <c r="Y88" s="553"/>
      <c r="Z88" s="358"/>
      <c r="AA88" s="358"/>
      <c r="AB88" s="358"/>
      <c r="AC88" s="358"/>
      <c r="AD88" s="358"/>
      <c r="AE88" s="358"/>
      <c r="AF88" s="358"/>
      <c r="AG88" s="358"/>
      <c r="AH88" s="358"/>
      <c r="AI88" s="358"/>
      <c r="AJ88" s="358"/>
      <c r="AK88" s="358"/>
      <c r="AL88" s="358"/>
      <c r="AM88" s="358"/>
      <c r="AN88" s="358"/>
      <c r="AO88" s="358"/>
      <c r="AP88" s="358"/>
      <c r="AQ88" s="358"/>
      <c r="AR88" s="358"/>
      <c r="AS88" s="358"/>
      <c r="AT88" s="358"/>
      <c r="AU88" s="358"/>
      <c r="AV88" s="358"/>
      <c r="AW88" s="358"/>
      <c r="AX88" s="358"/>
      <c r="AY88" s="358"/>
      <c r="AZ88" s="358"/>
    </row>
    <row r="89" spans="1:52">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58"/>
      <c r="AN89" s="358"/>
      <c r="AO89" s="358"/>
      <c r="AP89" s="358"/>
      <c r="AQ89" s="358"/>
      <c r="AR89" s="358"/>
      <c r="AS89" s="358"/>
      <c r="AT89" s="358"/>
      <c r="AU89" s="358"/>
      <c r="AV89" s="358"/>
      <c r="AW89" s="358"/>
      <c r="AX89" s="358"/>
      <c r="AY89" s="358"/>
      <c r="AZ89" s="358"/>
    </row>
    <row r="90" spans="1:52">
      <c r="A90" s="358"/>
      <c r="B90" s="358"/>
      <c r="C90" s="553"/>
      <c r="D90" s="358"/>
      <c r="E90" s="553"/>
      <c r="F90" s="358"/>
      <c r="G90" s="553"/>
      <c r="H90" s="358"/>
      <c r="I90" s="553"/>
      <c r="J90" s="358"/>
      <c r="K90" s="553"/>
      <c r="L90" s="358"/>
      <c r="M90" s="553"/>
      <c r="N90" s="358"/>
      <c r="O90" s="553"/>
      <c r="P90" s="358"/>
      <c r="Q90" s="553"/>
      <c r="R90" s="358"/>
      <c r="S90" s="553"/>
      <c r="T90" s="358"/>
      <c r="U90" s="553"/>
      <c r="V90" s="358"/>
      <c r="W90" s="553"/>
      <c r="X90" s="358"/>
      <c r="Y90" s="553"/>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row>
    <row r="91" spans="1:52">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c r="AS91" s="358"/>
      <c r="AT91" s="358"/>
      <c r="AU91" s="358"/>
      <c r="AV91" s="358"/>
      <c r="AW91" s="358"/>
      <c r="AX91" s="358"/>
      <c r="AY91" s="358"/>
      <c r="AZ91" s="358"/>
    </row>
    <row r="92" spans="1:52">
      <c r="A92" s="358"/>
      <c r="B92" s="358"/>
      <c r="C92" s="553"/>
      <c r="D92" s="358"/>
      <c r="E92" s="553"/>
      <c r="F92" s="358"/>
      <c r="G92" s="553"/>
      <c r="H92" s="358"/>
      <c r="I92" s="553"/>
      <c r="J92" s="358"/>
      <c r="K92" s="553"/>
      <c r="L92" s="358"/>
      <c r="M92" s="553"/>
      <c r="N92" s="358"/>
      <c r="O92" s="553"/>
      <c r="P92" s="358"/>
      <c r="Q92" s="553"/>
      <c r="R92" s="358"/>
      <c r="S92" s="553"/>
      <c r="T92" s="358"/>
      <c r="U92" s="553"/>
      <c r="V92" s="358"/>
      <c r="W92" s="553"/>
      <c r="X92" s="358"/>
      <c r="Y92" s="553"/>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row>
    <row r="93" spans="1:52">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58"/>
      <c r="AN93" s="358"/>
      <c r="AO93" s="358"/>
      <c r="AP93" s="358"/>
      <c r="AQ93" s="358"/>
      <c r="AR93" s="358"/>
      <c r="AS93" s="358"/>
      <c r="AT93" s="358"/>
      <c r="AU93" s="358"/>
      <c r="AV93" s="358"/>
      <c r="AW93" s="358"/>
      <c r="AX93" s="358"/>
      <c r="AY93" s="358"/>
      <c r="AZ93" s="358"/>
    </row>
    <row r="94" spans="1:52">
      <c r="A94" s="358"/>
      <c r="B94" s="358"/>
      <c r="C94" s="553"/>
      <c r="D94" s="358"/>
      <c r="E94" s="553"/>
      <c r="F94" s="358"/>
      <c r="G94" s="553"/>
      <c r="H94" s="358"/>
      <c r="I94" s="553"/>
      <c r="J94" s="358"/>
      <c r="K94" s="553"/>
      <c r="L94" s="358"/>
      <c r="M94" s="553"/>
      <c r="N94" s="358"/>
      <c r="O94" s="553"/>
      <c r="P94" s="358"/>
      <c r="Q94" s="553"/>
      <c r="R94" s="358"/>
      <c r="S94" s="553"/>
      <c r="T94" s="358"/>
      <c r="U94" s="553"/>
      <c r="V94" s="358"/>
      <c r="W94" s="553"/>
      <c r="X94" s="358"/>
      <c r="Y94" s="553"/>
      <c r="Z94" s="358"/>
      <c r="AA94" s="358"/>
      <c r="AB94" s="358"/>
      <c r="AC94" s="358"/>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row>
    <row r="95" spans="1:52">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c r="AS95" s="358"/>
      <c r="AT95" s="358"/>
      <c r="AU95" s="358"/>
      <c r="AV95" s="358"/>
      <c r="AW95" s="358"/>
      <c r="AX95" s="358"/>
      <c r="AY95" s="358"/>
      <c r="AZ95" s="358"/>
    </row>
    <row r="96" spans="1:52">
      <c r="A96" s="358"/>
      <c r="B96" s="358"/>
      <c r="C96" s="553"/>
      <c r="D96" s="358"/>
      <c r="E96" s="553"/>
      <c r="F96" s="358"/>
      <c r="G96" s="553"/>
      <c r="H96" s="358"/>
      <c r="I96" s="553"/>
      <c r="J96" s="358"/>
      <c r="K96" s="553"/>
      <c r="L96" s="358"/>
      <c r="M96" s="553"/>
      <c r="N96" s="358"/>
      <c r="O96" s="553"/>
      <c r="P96" s="358"/>
      <c r="Q96" s="553"/>
      <c r="R96" s="358"/>
      <c r="S96" s="553"/>
      <c r="T96" s="358"/>
      <c r="U96" s="553"/>
      <c r="V96" s="358"/>
      <c r="W96" s="553"/>
      <c r="X96" s="358"/>
      <c r="Y96" s="553"/>
      <c r="Z96" s="358"/>
      <c r="AA96" s="358"/>
      <c r="AB96" s="358"/>
      <c r="AC96" s="358"/>
      <c r="AD96" s="358"/>
      <c r="AE96" s="358"/>
      <c r="AF96" s="358"/>
      <c r="AG96" s="358"/>
      <c r="AH96" s="358"/>
      <c r="AI96" s="358"/>
      <c r="AJ96" s="358"/>
      <c r="AK96" s="358"/>
      <c r="AL96" s="358"/>
      <c r="AM96" s="358"/>
      <c r="AN96" s="358"/>
      <c r="AO96" s="358"/>
      <c r="AP96" s="358"/>
      <c r="AQ96" s="358"/>
      <c r="AR96" s="358"/>
      <c r="AS96" s="358"/>
      <c r="AT96" s="358"/>
      <c r="AU96" s="358"/>
      <c r="AV96" s="358"/>
      <c r="AW96" s="358"/>
      <c r="AX96" s="358"/>
      <c r="AY96" s="358"/>
      <c r="AZ96" s="358"/>
    </row>
    <row r="97" spans="1:52">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row>
    <row r="98" spans="1:52">
      <c r="A98" s="358"/>
      <c r="B98" s="358"/>
      <c r="C98" s="553"/>
      <c r="D98" s="358"/>
      <c r="E98" s="553"/>
      <c r="F98" s="358"/>
      <c r="G98" s="553"/>
      <c r="H98" s="358"/>
      <c r="I98" s="553"/>
      <c r="J98" s="358"/>
      <c r="K98" s="553"/>
      <c r="L98" s="358"/>
      <c r="M98" s="553"/>
      <c r="N98" s="358"/>
      <c r="O98" s="553"/>
      <c r="P98" s="358"/>
      <c r="Q98" s="553"/>
      <c r="R98" s="358"/>
      <c r="S98" s="553"/>
      <c r="T98" s="358"/>
      <c r="U98" s="553"/>
      <c r="V98" s="358"/>
      <c r="W98" s="553"/>
      <c r="X98" s="358"/>
      <c r="Y98" s="553"/>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row>
    <row r="99" spans="1:52">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row>
    <row r="100" spans="1:52">
      <c r="A100" s="358"/>
      <c r="B100" s="358"/>
      <c r="C100" s="358"/>
      <c r="D100" s="358"/>
      <c r="E100" s="553"/>
      <c r="F100" s="358"/>
      <c r="G100" s="553"/>
      <c r="H100" s="358"/>
      <c r="I100" s="553"/>
      <c r="J100" s="358"/>
      <c r="K100" s="553"/>
      <c r="L100" s="358"/>
      <c r="M100" s="553"/>
      <c r="N100" s="358"/>
      <c r="O100" s="553"/>
      <c r="P100" s="358"/>
      <c r="Q100" s="553"/>
      <c r="R100" s="358"/>
      <c r="S100" s="553"/>
      <c r="T100" s="358"/>
      <c r="U100" s="553"/>
      <c r="V100" s="358"/>
      <c r="W100" s="553"/>
      <c r="X100" s="358"/>
      <c r="Y100" s="553"/>
      <c r="Z100" s="358"/>
      <c r="AA100" s="358"/>
      <c r="AB100" s="358"/>
      <c r="AC100" s="358"/>
      <c r="AD100" s="358"/>
      <c r="AE100" s="358"/>
      <c r="AF100" s="358"/>
      <c r="AG100" s="358"/>
      <c r="AH100" s="358"/>
      <c r="AI100" s="358"/>
      <c r="AJ100" s="358"/>
      <c r="AK100" s="358"/>
      <c r="AL100" s="358"/>
      <c r="AM100" s="358"/>
      <c r="AN100" s="358"/>
      <c r="AO100" s="358"/>
      <c r="AP100" s="358"/>
      <c r="AQ100" s="358"/>
      <c r="AR100" s="358"/>
      <c r="AS100" s="358"/>
      <c r="AT100" s="358"/>
      <c r="AU100" s="358"/>
      <c r="AV100" s="358"/>
      <c r="AW100" s="358"/>
      <c r="AX100" s="358"/>
      <c r="AY100" s="358"/>
      <c r="AZ100" s="358"/>
    </row>
  </sheetData>
  <sheetProtection sheet="1" objects="1" scenarios="1" selectLockedCells="1" selectUnlockedCell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C99"/>
  </sheetPr>
  <dimension ref="A1:AZ100"/>
  <sheetViews>
    <sheetView zoomScale="90" zoomScaleNormal="90" workbookViewId="0"/>
  </sheetViews>
  <sheetFormatPr defaultRowHeight="14.4"/>
  <sheetData>
    <row r="1" spans="1:52">
      <c r="A1" s="553"/>
      <c r="B1" s="358"/>
      <c r="C1" s="553"/>
      <c r="D1" s="358"/>
      <c r="E1" s="553"/>
      <c r="F1" s="358"/>
      <c r="G1" s="553"/>
      <c r="H1" s="358"/>
      <c r="I1" s="553"/>
      <c r="J1" s="358"/>
      <c r="K1" s="553"/>
      <c r="L1" s="358"/>
      <c r="M1" s="553"/>
      <c r="N1" s="358"/>
      <c r="O1" s="553"/>
      <c r="P1" s="358"/>
      <c r="Q1" s="553"/>
      <c r="R1" s="358"/>
      <c r="S1" s="553"/>
      <c r="T1" s="358"/>
      <c r="U1" s="553"/>
      <c r="V1" s="358"/>
      <c r="W1" s="553"/>
      <c r="X1" s="358"/>
      <c r="Y1" s="553"/>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row>
    <row r="2" spans="1:52">
      <c r="A2" s="358"/>
      <c r="B2" s="358"/>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row>
    <row r="3" spans="1:52">
      <c r="A3" s="553"/>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row>
    <row r="4" spans="1:52">
      <c r="A4" s="358"/>
      <c r="B4" s="358"/>
      <c r="C4" s="553"/>
      <c r="D4" s="358"/>
      <c r="E4" s="553"/>
      <c r="F4" s="358"/>
      <c r="G4" s="553"/>
      <c r="H4" s="358"/>
      <c r="I4" s="553"/>
      <c r="J4" s="358"/>
      <c r="K4" s="553"/>
      <c r="L4" s="358"/>
      <c r="M4" s="553"/>
      <c r="N4" s="358"/>
      <c r="O4" s="553"/>
      <c r="P4" s="358"/>
      <c r="Q4" s="553"/>
      <c r="R4" s="358"/>
      <c r="S4" s="553"/>
      <c r="T4" s="358"/>
      <c r="U4" s="553"/>
      <c r="V4" s="358"/>
      <c r="W4" s="553"/>
      <c r="X4" s="358"/>
      <c r="Y4" s="553"/>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row>
    <row r="5" spans="1:52">
      <c r="A5" s="553"/>
      <c r="B5" s="358"/>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row>
    <row r="6" spans="1:52">
      <c r="A6" s="358"/>
      <c r="B6" s="358"/>
      <c r="C6" s="358"/>
      <c r="D6" s="358"/>
      <c r="E6" s="358"/>
      <c r="F6" s="358"/>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c r="AT6" s="358"/>
      <c r="AU6" s="358"/>
      <c r="AV6" s="358"/>
      <c r="AW6" s="358"/>
      <c r="AX6" s="358"/>
      <c r="AY6" s="358"/>
      <c r="AZ6" s="358"/>
    </row>
    <row r="7" spans="1:52">
      <c r="A7" s="553"/>
      <c r="B7" s="358"/>
      <c r="C7" s="553"/>
      <c r="D7" s="358"/>
      <c r="E7" s="553"/>
      <c r="F7" s="358"/>
      <c r="G7" s="553"/>
      <c r="H7" s="358"/>
      <c r="I7" s="553"/>
      <c r="J7" s="358"/>
      <c r="K7" s="553"/>
      <c r="L7" s="358"/>
      <c r="M7" s="553"/>
      <c r="N7" s="358"/>
      <c r="O7" s="553"/>
      <c r="P7" s="358"/>
      <c r="Q7" s="553"/>
      <c r="R7" s="358"/>
      <c r="S7" s="553"/>
      <c r="T7" s="358"/>
      <c r="U7" s="553"/>
      <c r="V7" s="358"/>
      <c r="W7" s="553"/>
      <c r="X7" s="358"/>
      <c r="Y7" s="553"/>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358"/>
      <c r="AZ7" s="358"/>
    </row>
    <row r="8" spans="1:52">
      <c r="A8" s="358"/>
      <c r="B8" s="358"/>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58"/>
      <c r="AV8" s="358"/>
      <c r="AW8" s="358"/>
      <c r="AX8" s="358"/>
      <c r="AY8" s="358"/>
      <c r="AZ8" s="358"/>
    </row>
    <row r="9" spans="1:52">
      <c r="A9" s="553"/>
      <c r="B9" s="358"/>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c r="AT9" s="358"/>
      <c r="AU9" s="358"/>
      <c r="AV9" s="358"/>
      <c r="AW9" s="358"/>
      <c r="AX9" s="358"/>
      <c r="AY9" s="358"/>
      <c r="AZ9" s="358"/>
    </row>
    <row r="10" spans="1:52">
      <c r="A10" s="358"/>
      <c r="B10" s="358"/>
      <c r="C10" s="553"/>
      <c r="D10" s="358"/>
      <c r="E10" s="553"/>
      <c r="F10" s="358"/>
      <c r="G10" s="553"/>
      <c r="H10" s="358"/>
      <c r="I10" s="553"/>
      <c r="J10" s="358"/>
      <c r="K10" s="553"/>
      <c r="L10" s="358"/>
      <c r="M10" s="553"/>
      <c r="N10" s="358"/>
      <c r="O10" s="553"/>
      <c r="P10" s="358"/>
      <c r="Q10" s="553"/>
      <c r="R10" s="358"/>
      <c r="S10" s="553"/>
      <c r="T10" s="358"/>
      <c r="U10" s="553"/>
      <c r="V10" s="358"/>
      <c r="W10" s="553"/>
      <c r="X10" s="358"/>
      <c r="Y10" s="553"/>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row>
    <row r="11" spans="1:52">
      <c r="A11" s="553"/>
      <c r="B11" s="358"/>
      <c r="C11" s="358"/>
      <c r="D11" s="358"/>
      <c r="E11" s="358"/>
      <c r="F11" s="358"/>
      <c r="G11" s="358"/>
      <c r="H11" s="358"/>
      <c r="I11" s="358"/>
      <c r="J11" s="358"/>
      <c r="K11" s="358"/>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row>
    <row r="12" spans="1:52">
      <c r="A12" s="358"/>
      <c r="B12" s="358"/>
      <c r="C12" s="358"/>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358"/>
    </row>
    <row r="13" spans="1:52">
      <c r="A13" s="553"/>
      <c r="B13" s="358"/>
      <c r="C13" s="553"/>
      <c r="D13" s="358"/>
      <c r="E13" s="553"/>
      <c r="F13" s="358"/>
      <c r="G13" s="553"/>
      <c r="H13" s="358"/>
      <c r="I13" s="553"/>
      <c r="J13" s="358"/>
      <c r="K13" s="553"/>
      <c r="L13" s="358"/>
      <c r="M13" s="553"/>
      <c r="N13" s="358"/>
      <c r="O13" s="553"/>
      <c r="P13" s="358"/>
      <c r="Q13" s="553"/>
      <c r="R13" s="358"/>
      <c r="S13" s="553"/>
      <c r="T13" s="358"/>
      <c r="U13" s="553"/>
      <c r="V13" s="358"/>
      <c r="W13" s="553"/>
      <c r="X13" s="358"/>
      <c r="Y13" s="553"/>
      <c r="Z13" s="358"/>
      <c r="AA13" s="358"/>
      <c r="AB13" s="358"/>
      <c r="AC13" s="358"/>
      <c r="AD13" s="358"/>
      <c r="AE13" s="358"/>
      <c r="AF13" s="358"/>
      <c r="AG13" s="358"/>
      <c r="AH13" s="358"/>
      <c r="AI13" s="358"/>
      <c r="AJ13" s="358"/>
      <c r="AK13" s="358"/>
      <c r="AL13" s="358"/>
      <c r="AM13" s="358"/>
      <c r="AN13" s="358"/>
      <c r="AO13" s="358"/>
      <c r="AP13" s="358"/>
      <c r="AQ13" s="358"/>
      <c r="AR13" s="358"/>
      <c r="AS13" s="358"/>
      <c r="AT13" s="358"/>
      <c r="AU13" s="358"/>
      <c r="AV13" s="358"/>
      <c r="AW13" s="358"/>
      <c r="AX13" s="358"/>
      <c r="AY13" s="358"/>
      <c r="AZ13" s="358"/>
    </row>
    <row r="14" spans="1:52">
      <c r="A14" s="358"/>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row>
    <row r="15" spans="1:52">
      <c r="A15" s="553"/>
      <c r="B15" s="358"/>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row>
    <row r="16" spans="1:52">
      <c r="A16" s="358"/>
      <c r="B16" s="358"/>
      <c r="C16" s="553"/>
      <c r="D16" s="358"/>
      <c r="E16" s="553"/>
      <c r="F16" s="358"/>
      <c r="G16" s="553"/>
      <c r="H16" s="358"/>
      <c r="I16" s="553"/>
      <c r="J16" s="358"/>
      <c r="K16" s="553"/>
      <c r="L16" s="358"/>
      <c r="M16" s="553"/>
      <c r="N16" s="358"/>
      <c r="O16" s="553"/>
      <c r="P16" s="358"/>
      <c r="Q16" s="553"/>
      <c r="R16" s="358"/>
      <c r="S16" s="553"/>
      <c r="T16" s="358"/>
      <c r="U16" s="553"/>
      <c r="V16" s="358"/>
      <c r="W16" s="553"/>
      <c r="X16" s="358"/>
      <c r="Y16" s="553"/>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358"/>
    </row>
    <row r="17" spans="1:52">
      <c r="A17" s="553"/>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358"/>
      <c r="AZ17" s="358"/>
    </row>
    <row r="18" spans="1:52">
      <c r="A18" s="358"/>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358"/>
      <c r="AZ18" s="358"/>
    </row>
    <row r="19" spans="1:52">
      <c r="A19" s="553"/>
      <c r="B19" s="358"/>
      <c r="C19" s="553"/>
      <c r="D19" s="358"/>
      <c r="E19" s="553"/>
      <c r="F19" s="358"/>
      <c r="G19" s="553"/>
      <c r="H19" s="358"/>
      <c r="I19" s="553"/>
      <c r="J19" s="358"/>
      <c r="K19" s="553"/>
      <c r="L19" s="358"/>
      <c r="M19" s="553"/>
      <c r="N19" s="358"/>
      <c r="O19" s="553"/>
      <c r="P19" s="358"/>
      <c r="Q19" s="553"/>
      <c r="R19" s="358"/>
      <c r="S19" s="553"/>
      <c r="T19" s="358"/>
      <c r="U19" s="553"/>
      <c r="V19" s="358"/>
      <c r="W19" s="553"/>
      <c r="X19" s="358"/>
      <c r="Y19" s="553"/>
      <c r="Z19" s="358"/>
      <c r="AA19" s="358"/>
      <c r="AB19" s="358"/>
      <c r="AC19" s="358"/>
      <c r="AD19" s="358"/>
      <c r="AE19" s="358"/>
      <c r="AF19" s="358"/>
      <c r="AG19" s="358"/>
      <c r="AH19" s="358"/>
      <c r="AI19" s="358"/>
      <c r="AJ19" s="358"/>
      <c r="AK19" s="358"/>
      <c r="AL19" s="358"/>
      <c r="AM19" s="358"/>
      <c r="AN19" s="358"/>
      <c r="AO19" s="358"/>
      <c r="AP19" s="358"/>
      <c r="AQ19" s="358"/>
      <c r="AR19" s="358"/>
      <c r="AS19" s="358"/>
      <c r="AT19" s="358"/>
      <c r="AU19" s="358"/>
      <c r="AV19" s="358"/>
      <c r="AW19" s="358"/>
      <c r="AX19" s="358"/>
      <c r="AY19" s="358"/>
      <c r="AZ19" s="358"/>
    </row>
    <row r="20" spans="1:52">
      <c r="A20" s="358"/>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358"/>
      <c r="AS20" s="358"/>
      <c r="AT20" s="358"/>
      <c r="AU20" s="358"/>
      <c r="AV20" s="358"/>
      <c r="AW20" s="358"/>
      <c r="AX20" s="358"/>
      <c r="AY20" s="358"/>
      <c r="AZ20" s="358"/>
    </row>
    <row r="21" spans="1:52">
      <c r="A21" s="553"/>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row>
    <row r="22" spans="1:52">
      <c r="A22" s="358"/>
      <c r="B22" s="358"/>
      <c r="C22" s="553"/>
      <c r="D22" s="358"/>
      <c r="E22" s="553"/>
      <c r="F22" s="358"/>
      <c r="G22" s="553"/>
      <c r="H22" s="358"/>
      <c r="I22" s="553"/>
      <c r="J22" s="358"/>
      <c r="K22" s="553"/>
      <c r="L22" s="358"/>
      <c r="M22" s="553"/>
      <c r="N22" s="358"/>
      <c r="O22" s="553"/>
      <c r="P22" s="358"/>
      <c r="Q22" s="553"/>
      <c r="R22" s="358"/>
      <c r="S22" s="553"/>
      <c r="T22" s="358"/>
      <c r="U22" s="553"/>
      <c r="V22" s="358"/>
      <c r="W22" s="553"/>
      <c r="X22" s="358"/>
      <c r="Y22" s="553"/>
      <c r="Z22" s="358"/>
      <c r="AA22" s="358"/>
      <c r="AB22" s="358"/>
      <c r="AC22" s="358"/>
      <c r="AD22" s="358"/>
      <c r="AE22" s="358"/>
      <c r="AF22" s="358"/>
      <c r="AG22" s="358"/>
      <c r="AH22" s="358"/>
      <c r="AI22" s="358"/>
      <c r="AJ22" s="358"/>
      <c r="AK22" s="358"/>
      <c r="AL22" s="358"/>
      <c r="AM22" s="358"/>
      <c r="AN22" s="358"/>
      <c r="AO22" s="358"/>
      <c r="AP22" s="358"/>
      <c r="AQ22" s="358"/>
      <c r="AR22" s="358"/>
      <c r="AS22" s="358"/>
      <c r="AT22" s="358"/>
      <c r="AU22" s="358"/>
      <c r="AV22" s="358"/>
      <c r="AW22" s="358"/>
      <c r="AX22" s="358"/>
      <c r="AY22" s="358"/>
      <c r="AZ22" s="358"/>
    </row>
    <row r="23" spans="1:52">
      <c r="A23" s="553"/>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row>
    <row r="24" spans="1:52">
      <c r="A24" s="358"/>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row>
    <row r="25" spans="1:52">
      <c r="A25" s="553"/>
      <c r="B25" s="358"/>
      <c r="C25" s="553"/>
      <c r="D25" s="358"/>
      <c r="E25" s="553"/>
      <c r="F25" s="358"/>
      <c r="G25" s="553"/>
      <c r="H25" s="358"/>
      <c r="I25" s="553"/>
      <c r="J25" s="358"/>
      <c r="K25" s="553"/>
      <c r="L25" s="358"/>
      <c r="M25" s="553"/>
      <c r="N25" s="358"/>
      <c r="O25" s="553"/>
      <c r="P25" s="358"/>
      <c r="Q25" s="553"/>
      <c r="R25" s="358"/>
      <c r="S25" s="553"/>
      <c r="T25" s="358"/>
      <c r="U25" s="553"/>
      <c r="V25" s="358"/>
      <c r="W25" s="553"/>
      <c r="X25" s="358"/>
      <c r="Y25" s="553"/>
      <c r="Z25" s="358"/>
      <c r="AA25" s="358"/>
      <c r="AB25" s="358"/>
      <c r="AC25" s="358"/>
      <c r="AD25" s="358"/>
      <c r="AE25" s="358"/>
      <c r="AF25" s="358"/>
      <c r="AG25" s="358"/>
      <c r="AH25" s="358"/>
      <c r="AI25" s="358"/>
      <c r="AJ25" s="358"/>
      <c r="AK25" s="358"/>
      <c r="AL25" s="358"/>
      <c r="AM25" s="358"/>
      <c r="AN25" s="358"/>
      <c r="AO25" s="358"/>
      <c r="AP25" s="358"/>
      <c r="AQ25" s="358"/>
      <c r="AR25" s="358"/>
      <c r="AS25" s="358"/>
      <c r="AT25" s="358"/>
      <c r="AU25" s="358"/>
      <c r="AV25" s="358"/>
      <c r="AW25" s="358"/>
      <c r="AX25" s="358"/>
      <c r="AY25" s="358"/>
      <c r="AZ25" s="358"/>
    </row>
    <row r="26" spans="1:52">
      <c r="A26" s="358"/>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c r="AH26" s="358"/>
      <c r="AI26" s="358"/>
      <c r="AJ26" s="358"/>
      <c r="AK26" s="358"/>
      <c r="AL26" s="358"/>
      <c r="AM26" s="358"/>
      <c r="AN26" s="358"/>
      <c r="AO26" s="358"/>
      <c r="AP26" s="358"/>
      <c r="AQ26" s="358"/>
      <c r="AR26" s="358"/>
      <c r="AS26" s="358"/>
      <c r="AT26" s="358"/>
      <c r="AU26" s="358"/>
      <c r="AV26" s="358"/>
      <c r="AW26" s="358"/>
      <c r="AX26" s="358"/>
      <c r="AY26" s="358"/>
      <c r="AZ26" s="358"/>
    </row>
    <row r="27" spans="1:52">
      <c r="A27" s="553"/>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358"/>
      <c r="AZ27" s="358"/>
    </row>
    <row r="28" spans="1:52">
      <c r="A28" s="358"/>
      <c r="B28" s="358"/>
      <c r="C28" s="553"/>
      <c r="D28" s="358"/>
      <c r="E28" s="553"/>
      <c r="F28" s="358"/>
      <c r="G28" s="553"/>
      <c r="H28" s="358"/>
      <c r="I28" s="553"/>
      <c r="J28" s="358"/>
      <c r="K28" s="553"/>
      <c r="L28" s="358"/>
      <c r="M28" s="553"/>
      <c r="N28" s="358"/>
      <c r="O28" s="553"/>
      <c r="P28" s="358"/>
      <c r="Q28" s="553"/>
      <c r="R28" s="358"/>
      <c r="S28" s="553"/>
      <c r="T28" s="358"/>
      <c r="U28" s="553"/>
      <c r="V28" s="358"/>
      <c r="W28" s="553"/>
      <c r="X28" s="358"/>
      <c r="Y28" s="553"/>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358"/>
      <c r="AZ28" s="358"/>
    </row>
    <row r="29" spans="1:52">
      <c r="A29" s="553"/>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row>
    <row r="30" spans="1:52">
      <c r="A30" s="358"/>
      <c r="B30" s="358"/>
      <c r="C30" s="553"/>
      <c r="D30" s="358"/>
      <c r="E30" s="553"/>
      <c r="F30" s="358"/>
      <c r="G30" s="553"/>
      <c r="H30" s="358"/>
      <c r="I30" s="553"/>
      <c r="J30" s="358"/>
      <c r="K30" s="553"/>
      <c r="L30" s="358"/>
      <c r="M30" s="553"/>
      <c r="N30" s="358"/>
      <c r="O30" s="553"/>
      <c r="P30" s="358"/>
      <c r="Q30" s="553"/>
      <c r="R30" s="358"/>
      <c r="S30" s="553"/>
      <c r="T30" s="358"/>
      <c r="U30" s="553"/>
      <c r="V30" s="358"/>
      <c r="W30" s="553"/>
      <c r="X30" s="358"/>
      <c r="Y30" s="553"/>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row>
    <row r="31" spans="1:52">
      <c r="A31" s="553"/>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row>
    <row r="32" spans="1:52">
      <c r="A32" s="358"/>
      <c r="B32" s="358"/>
      <c r="C32" s="553"/>
      <c r="D32" s="358"/>
      <c r="E32" s="553"/>
      <c r="F32" s="358"/>
      <c r="G32" s="553"/>
      <c r="H32" s="358"/>
      <c r="I32" s="553"/>
      <c r="J32" s="358"/>
      <c r="K32" s="553"/>
      <c r="L32" s="358"/>
      <c r="M32" s="553"/>
      <c r="N32" s="358"/>
      <c r="O32" s="553"/>
      <c r="P32" s="358"/>
      <c r="Q32" s="553"/>
      <c r="R32" s="358"/>
      <c r="S32" s="553"/>
      <c r="T32" s="358"/>
      <c r="U32" s="553"/>
      <c r="V32" s="358"/>
      <c r="W32" s="553"/>
      <c r="X32" s="358"/>
      <c r="Y32" s="553"/>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row>
    <row r="33" spans="1:52">
      <c r="A33" s="553"/>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c r="AH33" s="358"/>
      <c r="AI33" s="358"/>
      <c r="AJ33" s="358"/>
      <c r="AK33" s="358"/>
      <c r="AL33" s="358"/>
      <c r="AM33" s="358"/>
      <c r="AN33" s="358"/>
      <c r="AO33" s="358"/>
      <c r="AP33" s="358"/>
      <c r="AQ33" s="358"/>
      <c r="AR33" s="358"/>
      <c r="AS33" s="358"/>
      <c r="AT33" s="358"/>
      <c r="AU33" s="358"/>
      <c r="AV33" s="358"/>
      <c r="AW33" s="358"/>
      <c r="AX33" s="358"/>
      <c r="AY33" s="358"/>
      <c r="AZ33" s="358"/>
    </row>
    <row r="34" spans="1:52">
      <c r="A34" s="358"/>
      <c r="B34" s="358"/>
      <c r="C34" s="553"/>
      <c r="D34" s="358"/>
      <c r="E34" s="553"/>
      <c r="F34" s="358"/>
      <c r="G34" s="553"/>
      <c r="H34" s="358"/>
      <c r="I34" s="553"/>
      <c r="J34" s="358"/>
      <c r="K34" s="553"/>
      <c r="L34" s="358"/>
      <c r="M34" s="553"/>
      <c r="N34" s="358"/>
      <c r="O34" s="553"/>
      <c r="P34" s="358"/>
      <c r="Q34" s="553"/>
      <c r="R34" s="358"/>
      <c r="S34" s="553"/>
      <c r="T34" s="358"/>
      <c r="U34" s="553"/>
      <c r="V34" s="358"/>
      <c r="W34" s="553"/>
      <c r="X34" s="358"/>
      <c r="Y34" s="553"/>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row>
    <row r="35" spans="1:52">
      <c r="A35" s="553"/>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c r="AI35" s="358"/>
      <c r="AJ35" s="358"/>
      <c r="AK35" s="358"/>
      <c r="AL35" s="358"/>
      <c r="AM35" s="358"/>
      <c r="AN35" s="358"/>
      <c r="AO35" s="358"/>
      <c r="AP35" s="358"/>
      <c r="AQ35" s="358"/>
      <c r="AR35" s="358"/>
      <c r="AS35" s="358"/>
      <c r="AT35" s="358"/>
      <c r="AU35" s="358"/>
      <c r="AV35" s="358"/>
      <c r="AW35" s="358"/>
      <c r="AX35" s="358"/>
      <c r="AY35" s="358"/>
      <c r="AZ35" s="358"/>
    </row>
    <row r="36" spans="1:52">
      <c r="A36" s="358"/>
      <c r="B36" s="358"/>
      <c r="C36" s="553"/>
      <c r="D36" s="358"/>
      <c r="E36" s="553"/>
      <c r="F36" s="358"/>
      <c r="G36" s="553"/>
      <c r="H36" s="358"/>
      <c r="I36" s="553"/>
      <c r="J36" s="358"/>
      <c r="K36" s="553"/>
      <c r="L36" s="358"/>
      <c r="M36" s="553"/>
      <c r="N36" s="358"/>
      <c r="O36" s="553"/>
      <c r="P36" s="358"/>
      <c r="Q36" s="553"/>
      <c r="R36" s="358"/>
      <c r="S36" s="553"/>
      <c r="T36" s="358"/>
      <c r="U36" s="553"/>
      <c r="V36" s="358"/>
      <c r="W36" s="553"/>
      <c r="X36" s="358"/>
      <c r="Y36" s="553"/>
      <c r="Z36" s="358"/>
      <c r="AA36" s="358"/>
      <c r="AB36" s="358"/>
      <c r="AC36" s="358"/>
      <c r="AD36" s="358"/>
      <c r="AE36" s="358"/>
      <c r="AF36" s="358"/>
      <c r="AG36" s="358"/>
      <c r="AH36" s="358"/>
      <c r="AI36" s="358"/>
      <c r="AJ36" s="358"/>
      <c r="AK36" s="358"/>
      <c r="AL36" s="358"/>
      <c r="AM36" s="358"/>
      <c r="AN36" s="358"/>
      <c r="AO36" s="358"/>
      <c r="AP36" s="358"/>
      <c r="AQ36" s="358"/>
      <c r="AR36" s="358"/>
      <c r="AS36" s="358"/>
      <c r="AT36" s="358"/>
      <c r="AU36" s="358"/>
      <c r="AV36" s="358"/>
      <c r="AW36" s="358"/>
      <c r="AX36" s="358"/>
      <c r="AY36" s="358"/>
      <c r="AZ36" s="358"/>
    </row>
    <row r="37" spans="1:52">
      <c r="A37" s="553"/>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358"/>
      <c r="AZ37" s="358"/>
    </row>
    <row r="38" spans="1:52">
      <c r="A38" s="358"/>
      <c r="B38" s="358"/>
      <c r="C38" s="553"/>
      <c r="D38" s="358"/>
      <c r="E38" s="553"/>
      <c r="F38" s="358"/>
      <c r="G38" s="553"/>
      <c r="H38" s="358"/>
      <c r="I38" s="553"/>
      <c r="J38" s="358"/>
      <c r="K38" s="553"/>
      <c r="L38" s="358"/>
      <c r="M38" s="553"/>
      <c r="N38" s="358"/>
      <c r="O38" s="553"/>
      <c r="P38" s="358"/>
      <c r="Q38" s="553"/>
      <c r="R38" s="358"/>
      <c r="S38" s="553"/>
      <c r="T38" s="358"/>
      <c r="U38" s="553"/>
      <c r="V38" s="358"/>
      <c r="W38" s="553"/>
      <c r="X38" s="358"/>
      <c r="Y38" s="553"/>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358"/>
    </row>
    <row r="39" spans="1:52">
      <c r="A39" s="358"/>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c r="AH39" s="358"/>
      <c r="AI39" s="358"/>
      <c r="AJ39" s="358"/>
      <c r="AK39" s="358"/>
      <c r="AL39" s="358"/>
      <c r="AM39" s="358"/>
      <c r="AN39" s="358"/>
      <c r="AO39" s="358"/>
      <c r="AP39" s="358"/>
      <c r="AQ39" s="358"/>
      <c r="AR39" s="358"/>
      <c r="AS39" s="358"/>
      <c r="AT39" s="358"/>
      <c r="AU39" s="358"/>
      <c r="AV39" s="358"/>
      <c r="AW39" s="358"/>
      <c r="AX39" s="358"/>
      <c r="AY39" s="358"/>
      <c r="AZ39" s="358"/>
    </row>
    <row r="40" spans="1:52">
      <c r="A40" s="358"/>
      <c r="B40" s="358"/>
      <c r="C40" s="553"/>
      <c r="D40" s="358"/>
      <c r="E40" s="553"/>
      <c r="F40" s="358"/>
      <c r="G40" s="553"/>
      <c r="H40" s="358"/>
      <c r="I40" s="553"/>
      <c r="J40" s="358"/>
      <c r="K40" s="553"/>
      <c r="L40" s="358"/>
      <c r="M40" s="553"/>
      <c r="N40" s="358"/>
      <c r="O40" s="553"/>
      <c r="P40" s="358"/>
      <c r="Q40" s="553"/>
      <c r="R40" s="358"/>
      <c r="S40" s="553"/>
      <c r="T40" s="358"/>
      <c r="U40" s="553"/>
      <c r="V40" s="358"/>
      <c r="W40" s="553"/>
      <c r="X40" s="358"/>
      <c r="Y40" s="553"/>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358"/>
      <c r="AZ40" s="358"/>
    </row>
    <row r="41" spans="1:52">
      <c r="A41" s="358"/>
      <c r="B41" s="358"/>
      <c r="C41" s="358"/>
      <c r="D41" s="358"/>
      <c r="E41" s="358"/>
      <c r="F41" s="35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358"/>
      <c r="AG41" s="358"/>
      <c r="AH41" s="358"/>
      <c r="AI41" s="358"/>
      <c r="AJ41" s="358"/>
      <c r="AK41" s="358"/>
      <c r="AL41" s="358"/>
      <c r="AM41" s="358"/>
      <c r="AN41" s="358"/>
      <c r="AO41" s="358"/>
      <c r="AP41" s="358"/>
      <c r="AQ41" s="358"/>
      <c r="AR41" s="358"/>
      <c r="AS41" s="358"/>
      <c r="AT41" s="358"/>
      <c r="AU41" s="358"/>
      <c r="AV41" s="358"/>
      <c r="AW41" s="358"/>
      <c r="AX41" s="358"/>
      <c r="AY41" s="358"/>
      <c r="AZ41" s="358"/>
    </row>
    <row r="42" spans="1:52">
      <c r="A42" s="358"/>
      <c r="B42" s="358"/>
      <c r="C42" s="553"/>
      <c r="D42" s="358"/>
      <c r="E42" s="553"/>
      <c r="F42" s="358"/>
      <c r="G42" s="553"/>
      <c r="H42" s="358"/>
      <c r="I42" s="553"/>
      <c r="J42" s="358"/>
      <c r="K42" s="553"/>
      <c r="L42" s="358"/>
      <c r="M42" s="553"/>
      <c r="N42" s="358"/>
      <c r="O42" s="553"/>
      <c r="P42" s="358"/>
      <c r="Q42" s="553"/>
      <c r="R42" s="358"/>
      <c r="S42" s="553"/>
      <c r="T42" s="358"/>
      <c r="U42" s="553"/>
      <c r="V42" s="358"/>
      <c r="W42" s="553"/>
      <c r="X42" s="358"/>
      <c r="Y42" s="553"/>
      <c r="Z42" s="358"/>
      <c r="AA42" s="358"/>
      <c r="AB42" s="358"/>
      <c r="AC42" s="358"/>
      <c r="AD42" s="358"/>
      <c r="AE42" s="358"/>
      <c r="AF42" s="358"/>
      <c r="AG42" s="358"/>
      <c r="AH42" s="358"/>
      <c r="AI42" s="358"/>
      <c r="AJ42" s="358"/>
      <c r="AK42" s="358"/>
      <c r="AL42" s="358"/>
      <c r="AM42" s="358"/>
      <c r="AN42" s="358"/>
      <c r="AO42" s="358"/>
      <c r="AP42" s="358"/>
      <c r="AQ42" s="358"/>
      <c r="AR42" s="358"/>
      <c r="AS42" s="358"/>
      <c r="AT42" s="358"/>
      <c r="AU42" s="358"/>
      <c r="AV42" s="358"/>
      <c r="AW42" s="358"/>
      <c r="AX42" s="358"/>
      <c r="AY42" s="358"/>
      <c r="AZ42" s="358"/>
    </row>
    <row r="43" spans="1:52">
      <c r="A43" s="358"/>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row>
    <row r="44" spans="1:52">
      <c r="A44" s="358"/>
      <c r="B44" s="358"/>
      <c r="C44" s="553"/>
      <c r="D44" s="358"/>
      <c r="E44" s="553"/>
      <c r="F44" s="358"/>
      <c r="G44" s="553"/>
      <c r="H44" s="358"/>
      <c r="I44" s="553"/>
      <c r="J44" s="358"/>
      <c r="K44" s="553"/>
      <c r="L44" s="358"/>
      <c r="M44" s="553"/>
      <c r="N44" s="358"/>
      <c r="O44" s="553"/>
      <c r="P44" s="358"/>
      <c r="Q44" s="553"/>
      <c r="R44" s="358"/>
      <c r="S44" s="553"/>
      <c r="T44" s="358"/>
      <c r="U44" s="553"/>
      <c r="V44" s="358"/>
      <c r="W44" s="553"/>
      <c r="X44" s="358"/>
      <c r="Y44" s="553"/>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row>
    <row r="45" spans="1:52">
      <c r="A45" s="358"/>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358"/>
    </row>
    <row r="46" spans="1:52">
      <c r="A46" s="358"/>
      <c r="B46" s="358"/>
      <c r="C46" s="553"/>
      <c r="D46" s="358"/>
      <c r="E46" s="553"/>
      <c r="F46" s="358"/>
      <c r="G46" s="553"/>
      <c r="H46" s="358"/>
      <c r="I46" s="553"/>
      <c r="J46" s="358"/>
      <c r="K46" s="553"/>
      <c r="L46" s="358"/>
      <c r="M46" s="553"/>
      <c r="N46" s="358"/>
      <c r="O46" s="553"/>
      <c r="P46" s="358"/>
      <c r="Q46" s="553"/>
      <c r="R46" s="358"/>
      <c r="S46" s="553"/>
      <c r="T46" s="358"/>
      <c r="U46" s="553"/>
      <c r="V46" s="358"/>
      <c r="W46" s="553"/>
      <c r="X46" s="358"/>
      <c r="Y46" s="553"/>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358"/>
    </row>
    <row r="47" spans="1:52">
      <c r="A47" s="358"/>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358"/>
    </row>
    <row r="48" spans="1:52">
      <c r="A48" s="358"/>
      <c r="B48" s="358"/>
      <c r="C48" s="553"/>
      <c r="D48" s="358"/>
      <c r="E48" s="553"/>
      <c r="F48" s="358"/>
      <c r="G48" s="553"/>
      <c r="H48" s="358"/>
      <c r="I48" s="553"/>
      <c r="J48" s="358"/>
      <c r="K48" s="553"/>
      <c r="L48" s="358"/>
      <c r="M48" s="553"/>
      <c r="N48" s="358"/>
      <c r="O48" s="553"/>
      <c r="P48" s="358"/>
      <c r="Q48" s="553"/>
      <c r="R48" s="358"/>
      <c r="S48" s="553"/>
      <c r="T48" s="358"/>
      <c r="U48" s="553"/>
      <c r="V48" s="358"/>
      <c r="W48" s="553"/>
      <c r="X48" s="358"/>
      <c r="Y48" s="553"/>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row>
    <row r="49" spans="1:52">
      <c r="A49" s="358"/>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row>
    <row r="50" spans="1:52">
      <c r="A50" s="358"/>
      <c r="B50" s="358"/>
      <c r="C50" s="553"/>
      <c r="D50" s="358"/>
      <c r="E50" s="553"/>
      <c r="F50" s="358"/>
      <c r="G50" s="553"/>
      <c r="H50" s="358"/>
      <c r="I50" s="553"/>
      <c r="J50" s="358"/>
      <c r="K50" s="553"/>
      <c r="L50" s="358"/>
      <c r="M50" s="553"/>
      <c r="N50" s="358"/>
      <c r="O50" s="553"/>
      <c r="P50" s="358"/>
      <c r="Q50" s="553"/>
      <c r="R50" s="358"/>
      <c r="S50" s="553"/>
      <c r="T50" s="358"/>
      <c r="U50" s="553"/>
      <c r="V50" s="358"/>
      <c r="W50" s="553"/>
      <c r="X50" s="358"/>
      <c r="Y50" s="553"/>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row>
    <row r="51" spans="1:52">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row>
    <row r="52" spans="1:52">
      <c r="A52" s="358"/>
      <c r="B52" s="358"/>
      <c r="C52" s="553"/>
      <c r="D52" s="358"/>
      <c r="E52" s="553"/>
      <c r="F52" s="358"/>
      <c r="G52" s="553"/>
      <c r="H52" s="358"/>
      <c r="I52" s="553"/>
      <c r="J52" s="358"/>
      <c r="K52" s="553"/>
      <c r="L52" s="358"/>
      <c r="M52" s="553"/>
      <c r="N52" s="358"/>
      <c r="O52" s="553"/>
      <c r="P52" s="358"/>
      <c r="Q52" s="553"/>
      <c r="R52" s="358"/>
      <c r="S52" s="553"/>
      <c r="T52" s="358"/>
      <c r="U52" s="553"/>
      <c r="V52" s="358"/>
      <c r="W52" s="553"/>
      <c r="X52" s="358"/>
      <c r="Y52" s="553"/>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row>
    <row r="53" spans="1:52">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row>
    <row r="54" spans="1:52">
      <c r="A54" s="358"/>
      <c r="B54" s="358"/>
      <c r="C54" s="553"/>
      <c r="D54" s="358"/>
      <c r="E54" s="553"/>
      <c r="F54" s="358"/>
      <c r="G54" s="553"/>
      <c r="H54" s="358"/>
      <c r="I54" s="553"/>
      <c r="J54" s="358"/>
      <c r="K54" s="553"/>
      <c r="L54" s="358"/>
      <c r="M54" s="553"/>
      <c r="N54" s="358"/>
      <c r="O54" s="553"/>
      <c r="P54" s="358"/>
      <c r="Q54" s="553"/>
      <c r="R54" s="358"/>
      <c r="S54" s="553"/>
      <c r="T54" s="358"/>
      <c r="U54" s="553"/>
      <c r="V54" s="358"/>
      <c r="W54" s="553"/>
      <c r="X54" s="358"/>
      <c r="Y54" s="553"/>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c r="AV54" s="358"/>
      <c r="AW54" s="358"/>
      <c r="AX54" s="358"/>
      <c r="AY54" s="358"/>
      <c r="AZ54" s="358"/>
    </row>
    <row r="55" spans="1:52">
      <c r="A55" s="358"/>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358"/>
    </row>
    <row r="56" spans="1:52">
      <c r="A56" s="358"/>
      <c r="B56" s="358"/>
      <c r="C56" s="553"/>
      <c r="D56" s="358"/>
      <c r="E56" s="553"/>
      <c r="F56" s="358"/>
      <c r="G56" s="553"/>
      <c r="H56" s="358"/>
      <c r="I56" s="553"/>
      <c r="J56" s="358"/>
      <c r="K56" s="553"/>
      <c r="L56" s="358"/>
      <c r="M56" s="553"/>
      <c r="N56" s="358"/>
      <c r="O56" s="553"/>
      <c r="P56" s="358"/>
      <c r="Q56" s="553"/>
      <c r="R56" s="358"/>
      <c r="S56" s="553"/>
      <c r="T56" s="358"/>
      <c r="U56" s="553"/>
      <c r="V56" s="358"/>
      <c r="W56" s="553"/>
      <c r="X56" s="358"/>
      <c r="Y56" s="553"/>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row>
    <row r="57" spans="1:52">
      <c r="A57" s="358"/>
      <c r="B57" s="358"/>
      <c r="C57" s="358"/>
      <c r="D57" s="358"/>
      <c r="E57" s="358"/>
      <c r="F57" s="358"/>
      <c r="G57" s="358"/>
      <c r="H57" s="358"/>
      <c r="I57" s="358"/>
      <c r="J57" s="358"/>
      <c r="K57" s="358"/>
      <c r="L57" s="358"/>
      <c r="M57" s="358"/>
      <c r="N57" s="358"/>
      <c r="O57" s="358"/>
      <c r="P57" s="358"/>
      <c r="Q57" s="358"/>
      <c r="R57" s="358"/>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c r="AV57" s="358"/>
      <c r="AW57" s="358"/>
      <c r="AX57" s="358"/>
      <c r="AY57" s="358"/>
      <c r="AZ57" s="358"/>
    </row>
    <row r="58" spans="1:52">
      <c r="A58" s="358"/>
      <c r="B58" s="358"/>
      <c r="C58" s="553"/>
      <c r="D58" s="358"/>
      <c r="E58" s="553"/>
      <c r="F58" s="358"/>
      <c r="G58" s="553"/>
      <c r="H58" s="358"/>
      <c r="I58" s="553"/>
      <c r="J58" s="358"/>
      <c r="K58" s="553"/>
      <c r="L58" s="358"/>
      <c r="M58" s="553"/>
      <c r="N58" s="358"/>
      <c r="O58" s="553"/>
      <c r="P58" s="358"/>
      <c r="Q58" s="553"/>
      <c r="R58" s="358"/>
      <c r="S58" s="553"/>
      <c r="T58" s="358"/>
      <c r="U58" s="553"/>
      <c r="V58" s="358"/>
      <c r="W58" s="553"/>
      <c r="X58" s="358"/>
      <c r="Y58" s="553"/>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row>
    <row r="59" spans="1:52">
      <c r="A59" s="35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58"/>
    </row>
    <row r="60" spans="1:52">
      <c r="A60" s="358"/>
      <c r="B60" s="358"/>
      <c r="C60" s="553"/>
      <c r="D60" s="358"/>
      <c r="E60" s="553"/>
      <c r="F60" s="358"/>
      <c r="G60" s="553"/>
      <c r="H60" s="358"/>
      <c r="I60" s="553"/>
      <c r="J60" s="358"/>
      <c r="K60" s="553"/>
      <c r="L60" s="358"/>
      <c r="M60" s="553"/>
      <c r="N60" s="358"/>
      <c r="O60" s="553"/>
      <c r="P60" s="358"/>
      <c r="Q60" s="553"/>
      <c r="R60" s="358"/>
      <c r="S60" s="553"/>
      <c r="T60" s="358"/>
      <c r="U60" s="553"/>
      <c r="V60" s="358"/>
      <c r="W60" s="553"/>
      <c r="X60" s="358"/>
      <c r="Y60" s="553"/>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58"/>
      <c r="AZ60" s="358"/>
    </row>
    <row r="61" spans="1:52">
      <c r="A61" s="358"/>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row>
    <row r="62" spans="1:52">
      <c r="A62" s="358"/>
      <c r="B62" s="358"/>
      <c r="C62" s="553"/>
      <c r="D62" s="358"/>
      <c r="E62" s="553"/>
      <c r="F62" s="358"/>
      <c r="G62" s="553"/>
      <c r="H62" s="358"/>
      <c r="I62" s="553"/>
      <c r="J62" s="358"/>
      <c r="K62" s="553"/>
      <c r="L62" s="358"/>
      <c r="M62" s="553"/>
      <c r="N62" s="358"/>
      <c r="O62" s="553"/>
      <c r="P62" s="358"/>
      <c r="Q62" s="553"/>
      <c r="R62" s="358"/>
      <c r="S62" s="553"/>
      <c r="T62" s="358"/>
      <c r="U62" s="553"/>
      <c r="V62" s="358"/>
      <c r="W62" s="553"/>
      <c r="X62" s="358"/>
      <c r="Y62" s="553"/>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58"/>
      <c r="AZ62" s="358"/>
    </row>
    <row r="63" spans="1:52">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c r="AV63" s="358"/>
      <c r="AW63" s="358"/>
      <c r="AX63" s="358"/>
      <c r="AY63" s="358"/>
      <c r="AZ63" s="358"/>
    </row>
    <row r="64" spans="1:52">
      <c r="A64" s="358"/>
      <c r="B64" s="358"/>
      <c r="C64" s="553"/>
      <c r="D64" s="358"/>
      <c r="E64" s="553"/>
      <c r="F64" s="358"/>
      <c r="G64" s="553"/>
      <c r="H64" s="358"/>
      <c r="I64" s="553"/>
      <c r="J64" s="358"/>
      <c r="K64" s="553"/>
      <c r="L64" s="358"/>
      <c r="M64" s="553"/>
      <c r="N64" s="358"/>
      <c r="O64" s="553"/>
      <c r="P64" s="358"/>
      <c r="Q64" s="553"/>
      <c r="R64" s="358"/>
      <c r="S64" s="553"/>
      <c r="T64" s="358"/>
      <c r="U64" s="553"/>
      <c r="V64" s="358"/>
      <c r="W64" s="553"/>
      <c r="X64" s="358"/>
      <c r="Y64" s="553"/>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row>
    <row r="65" spans="1:52">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row>
    <row r="66" spans="1:52">
      <c r="A66" s="358"/>
      <c r="B66" s="358"/>
      <c r="C66" s="553"/>
      <c r="D66" s="358"/>
      <c r="E66" s="553"/>
      <c r="F66" s="358"/>
      <c r="G66" s="553"/>
      <c r="H66" s="358"/>
      <c r="I66" s="553"/>
      <c r="J66" s="358"/>
      <c r="K66" s="553"/>
      <c r="L66" s="358"/>
      <c r="M66" s="553"/>
      <c r="N66" s="358"/>
      <c r="O66" s="553"/>
      <c r="P66" s="358"/>
      <c r="Q66" s="553"/>
      <c r="R66" s="358"/>
      <c r="S66" s="553"/>
      <c r="T66" s="358"/>
      <c r="U66" s="553"/>
      <c r="V66" s="358"/>
      <c r="W66" s="553"/>
      <c r="X66" s="358"/>
      <c r="Y66" s="553"/>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row>
    <row r="67" spans="1:52">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row>
    <row r="68" spans="1:52">
      <c r="A68" s="358"/>
      <c r="B68" s="358"/>
      <c r="C68" s="553"/>
      <c r="D68" s="358"/>
      <c r="E68" s="553"/>
      <c r="F68" s="358"/>
      <c r="G68" s="553"/>
      <c r="H68" s="358"/>
      <c r="I68" s="553"/>
      <c r="J68" s="358"/>
      <c r="K68" s="553"/>
      <c r="L68" s="358"/>
      <c r="M68" s="553"/>
      <c r="N68" s="358"/>
      <c r="O68" s="553"/>
      <c r="P68" s="358"/>
      <c r="Q68" s="553"/>
      <c r="R68" s="358"/>
      <c r="S68" s="553"/>
      <c r="T68" s="358"/>
      <c r="U68" s="553"/>
      <c r="V68" s="358"/>
      <c r="W68" s="553"/>
      <c r="X68" s="358"/>
      <c r="Y68" s="553"/>
      <c r="Z68" s="358"/>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row>
    <row r="69" spans="1:52">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row>
    <row r="70" spans="1:52">
      <c r="A70" s="358"/>
      <c r="B70" s="358"/>
      <c r="C70" s="553"/>
      <c r="D70" s="358"/>
      <c r="E70" s="553"/>
      <c r="F70" s="358"/>
      <c r="G70" s="553"/>
      <c r="H70" s="358"/>
      <c r="I70" s="553"/>
      <c r="J70" s="358"/>
      <c r="K70" s="553"/>
      <c r="L70" s="358"/>
      <c r="M70" s="553"/>
      <c r="N70" s="358"/>
      <c r="O70" s="553"/>
      <c r="P70" s="358"/>
      <c r="Q70" s="553"/>
      <c r="R70" s="358"/>
      <c r="S70" s="553"/>
      <c r="T70" s="358"/>
      <c r="U70" s="553"/>
      <c r="V70" s="358"/>
      <c r="W70" s="553"/>
      <c r="X70" s="358"/>
      <c r="Y70" s="553"/>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row>
    <row r="71" spans="1:52">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c r="AV71" s="358"/>
      <c r="AW71" s="358"/>
      <c r="AX71" s="358"/>
      <c r="AY71" s="358"/>
      <c r="AZ71" s="358"/>
    </row>
    <row r="72" spans="1:52">
      <c r="A72" s="358"/>
      <c r="B72" s="358"/>
      <c r="C72" s="553"/>
      <c r="D72" s="358"/>
      <c r="E72" s="553"/>
      <c r="F72" s="358"/>
      <c r="G72" s="553"/>
      <c r="H72" s="358"/>
      <c r="I72" s="553"/>
      <c r="J72" s="358"/>
      <c r="K72" s="553"/>
      <c r="L72" s="358"/>
      <c r="M72" s="553"/>
      <c r="N72" s="358"/>
      <c r="O72" s="553"/>
      <c r="P72" s="358"/>
      <c r="Q72" s="553"/>
      <c r="R72" s="358"/>
      <c r="S72" s="553"/>
      <c r="T72" s="358"/>
      <c r="U72" s="553"/>
      <c r="V72" s="358"/>
      <c r="W72" s="553"/>
      <c r="X72" s="358"/>
      <c r="Y72" s="553"/>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row>
    <row r="73" spans="1:52">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row>
    <row r="74" spans="1:52">
      <c r="A74" s="358"/>
      <c r="B74" s="358"/>
      <c r="C74" s="553"/>
      <c r="D74" s="358"/>
      <c r="E74" s="553"/>
      <c r="F74" s="358"/>
      <c r="G74" s="553"/>
      <c r="H74" s="358"/>
      <c r="I74" s="553"/>
      <c r="J74" s="358"/>
      <c r="K74" s="553"/>
      <c r="L74" s="358"/>
      <c r="M74" s="553"/>
      <c r="N74" s="358"/>
      <c r="O74" s="553"/>
      <c r="P74" s="358"/>
      <c r="Q74" s="553"/>
      <c r="R74" s="358"/>
      <c r="S74" s="553"/>
      <c r="T74" s="358"/>
      <c r="U74" s="553"/>
      <c r="V74" s="358"/>
      <c r="W74" s="553"/>
      <c r="X74" s="358"/>
      <c r="Y74" s="553"/>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row>
    <row r="75" spans="1:52">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row>
    <row r="76" spans="1:52">
      <c r="A76" s="358"/>
      <c r="B76" s="358"/>
      <c r="C76" s="553"/>
      <c r="D76" s="358"/>
      <c r="E76" s="553"/>
      <c r="F76" s="358"/>
      <c r="G76" s="553"/>
      <c r="H76" s="358"/>
      <c r="I76" s="553"/>
      <c r="J76" s="358"/>
      <c r="K76" s="553"/>
      <c r="L76" s="358"/>
      <c r="M76" s="553"/>
      <c r="N76" s="358"/>
      <c r="O76" s="553"/>
      <c r="P76" s="358"/>
      <c r="Q76" s="553"/>
      <c r="R76" s="358"/>
      <c r="S76" s="553"/>
      <c r="T76" s="358"/>
      <c r="U76" s="553"/>
      <c r="V76" s="358"/>
      <c r="W76" s="553"/>
      <c r="X76" s="358"/>
      <c r="Y76" s="553"/>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row>
    <row r="77" spans="1:52">
      <c r="A77" s="35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row>
    <row r="78" spans="1:52">
      <c r="A78" s="358"/>
      <c r="B78" s="358"/>
      <c r="C78" s="553"/>
      <c r="D78" s="358"/>
      <c r="E78" s="553"/>
      <c r="F78" s="358"/>
      <c r="G78" s="553"/>
      <c r="H78" s="358"/>
      <c r="I78" s="553"/>
      <c r="J78" s="358"/>
      <c r="K78" s="553"/>
      <c r="L78" s="358"/>
      <c r="M78" s="553"/>
      <c r="N78" s="358"/>
      <c r="O78" s="553"/>
      <c r="P78" s="358"/>
      <c r="Q78" s="553"/>
      <c r="R78" s="358"/>
      <c r="S78" s="553"/>
      <c r="T78" s="358"/>
      <c r="U78" s="553"/>
      <c r="V78" s="358"/>
      <c r="W78" s="553"/>
      <c r="X78" s="358"/>
      <c r="Y78" s="553"/>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row>
    <row r="79" spans="1:52">
      <c r="A79" s="35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58"/>
      <c r="AO79" s="358"/>
      <c r="AP79" s="358"/>
      <c r="AQ79" s="358"/>
      <c r="AR79" s="358"/>
      <c r="AS79" s="358"/>
      <c r="AT79" s="358"/>
      <c r="AU79" s="358"/>
      <c r="AV79" s="358"/>
      <c r="AW79" s="358"/>
      <c r="AX79" s="358"/>
      <c r="AY79" s="358"/>
      <c r="AZ79" s="358"/>
    </row>
    <row r="80" spans="1:52">
      <c r="A80" s="358"/>
      <c r="B80" s="358"/>
      <c r="C80" s="553"/>
      <c r="D80" s="358"/>
      <c r="E80" s="553"/>
      <c r="F80" s="358"/>
      <c r="G80" s="553"/>
      <c r="H80" s="358"/>
      <c r="I80" s="553"/>
      <c r="J80" s="358"/>
      <c r="K80" s="553"/>
      <c r="L80" s="358"/>
      <c r="M80" s="553"/>
      <c r="N80" s="358"/>
      <c r="O80" s="553"/>
      <c r="P80" s="358"/>
      <c r="Q80" s="553"/>
      <c r="R80" s="358"/>
      <c r="S80" s="553"/>
      <c r="T80" s="358"/>
      <c r="U80" s="553"/>
      <c r="V80" s="358"/>
      <c r="W80" s="553"/>
      <c r="X80" s="358"/>
      <c r="Y80" s="553"/>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row>
    <row r="81" spans="1:52">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row>
    <row r="82" spans="1:52">
      <c r="A82" s="358"/>
      <c r="B82" s="358"/>
      <c r="C82" s="553"/>
      <c r="D82" s="358"/>
      <c r="E82" s="553"/>
      <c r="F82" s="358"/>
      <c r="G82" s="553"/>
      <c r="H82" s="358"/>
      <c r="I82" s="553"/>
      <c r="J82" s="358"/>
      <c r="K82" s="553"/>
      <c r="L82" s="358"/>
      <c r="M82" s="553"/>
      <c r="N82" s="358"/>
      <c r="O82" s="553"/>
      <c r="P82" s="358"/>
      <c r="Q82" s="553"/>
      <c r="R82" s="358"/>
      <c r="S82" s="553"/>
      <c r="T82" s="358"/>
      <c r="U82" s="553"/>
      <c r="V82" s="358"/>
      <c r="W82" s="553"/>
      <c r="X82" s="358"/>
      <c r="Y82" s="553"/>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row>
    <row r="83" spans="1:52">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row>
    <row r="84" spans="1:52">
      <c r="A84" s="358"/>
      <c r="B84" s="358"/>
      <c r="C84" s="553"/>
      <c r="D84" s="358"/>
      <c r="E84" s="553"/>
      <c r="F84" s="358"/>
      <c r="G84" s="553"/>
      <c r="H84" s="358"/>
      <c r="I84" s="553"/>
      <c r="J84" s="358"/>
      <c r="K84" s="553"/>
      <c r="L84" s="358"/>
      <c r="M84" s="553"/>
      <c r="N84" s="358"/>
      <c r="O84" s="553"/>
      <c r="P84" s="358"/>
      <c r="Q84" s="553"/>
      <c r="R84" s="358"/>
      <c r="S84" s="553"/>
      <c r="T84" s="358"/>
      <c r="U84" s="553"/>
      <c r="V84" s="358"/>
      <c r="W84" s="553"/>
      <c r="X84" s="358"/>
      <c r="Y84" s="553"/>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row>
    <row r="85" spans="1:52">
      <c r="A85" s="35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row>
    <row r="86" spans="1:52">
      <c r="A86" s="358"/>
      <c r="B86" s="358"/>
      <c r="C86" s="553"/>
      <c r="D86" s="358"/>
      <c r="E86" s="553"/>
      <c r="F86" s="358"/>
      <c r="G86" s="553"/>
      <c r="H86" s="358"/>
      <c r="I86" s="553"/>
      <c r="J86" s="358"/>
      <c r="K86" s="553"/>
      <c r="L86" s="358"/>
      <c r="M86" s="553"/>
      <c r="N86" s="358"/>
      <c r="O86" s="553"/>
      <c r="P86" s="358"/>
      <c r="Q86" s="553"/>
      <c r="R86" s="358"/>
      <c r="S86" s="553"/>
      <c r="T86" s="358"/>
      <c r="U86" s="553"/>
      <c r="V86" s="358"/>
      <c r="W86" s="553"/>
      <c r="X86" s="358"/>
      <c r="Y86" s="553"/>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8"/>
      <c r="AY86" s="358"/>
      <c r="AZ86" s="358"/>
    </row>
    <row r="87" spans="1:52">
      <c r="A87" s="35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c r="AS87" s="358"/>
      <c r="AT87" s="358"/>
      <c r="AU87" s="358"/>
      <c r="AV87" s="358"/>
      <c r="AW87" s="358"/>
      <c r="AX87" s="358"/>
      <c r="AY87" s="358"/>
      <c r="AZ87" s="358"/>
    </row>
    <row r="88" spans="1:52">
      <c r="A88" s="358"/>
      <c r="B88" s="358"/>
      <c r="C88" s="553"/>
      <c r="D88" s="358"/>
      <c r="E88" s="553"/>
      <c r="F88" s="358"/>
      <c r="G88" s="553"/>
      <c r="H88" s="358"/>
      <c r="I88" s="553"/>
      <c r="J88" s="358"/>
      <c r="K88" s="553"/>
      <c r="L88" s="358"/>
      <c r="M88" s="553"/>
      <c r="N88" s="358"/>
      <c r="O88" s="553"/>
      <c r="P88" s="358"/>
      <c r="Q88" s="553"/>
      <c r="R88" s="358"/>
      <c r="S88" s="553"/>
      <c r="T88" s="358"/>
      <c r="U88" s="553"/>
      <c r="V88" s="358"/>
      <c r="W88" s="553"/>
      <c r="X88" s="358"/>
      <c r="Y88" s="553"/>
      <c r="Z88" s="358"/>
      <c r="AA88" s="358"/>
      <c r="AB88" s="358"/>
      <c r="AC88" s="358"/>
      <c r="AD88" s="358"/>
      <c r="AE88" s="358"/>
      <c r="AF88" s="358"/>
      <c r="AG88" s="358"/>
      <c r="AH88" s="358"/>
      <c r="AI88" s="358"/>
      <c r="AJ88" s="358"/>
      <c r="AK88" s="358"/>
      <c r="AL88" s="358"/>
      <c r="AM88" s="358"/>
      <c r="AN88" s="358"/>
      <c r="AO88" s="358"/>
      <c r="AP88" s="358"/>
      <c r="AQ88" s="358"/>
      <c r="AR88" s="358"/>
      <c r="AS88" s="358"/>
      <c r="AT88" s="358"/>
      <c r="AU88" s="358"/>
      <c r="AV88" s="358"/>
      <c r="AW88" s="358"/>
      <c r="AX88" s="358"/>
      <c r="AY88" s="358"/>
      <c r="AZ88" s="358"/>
    </row>
    <row r="89" spans="1:52">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58"/>
      <c r="AN89" s="358"/>
      <c r="AO89" s="358"/>
      <c r="AP89" s="358"/>
      <c r="AQ89" s="358"/>
      <c r="AR89" s="358"/>
      <c r="AS89" s="358"/>
      <c r="AT89" s="358"/>
      <c r="AU89" s="358"/>
      <c r="AV89" s="358"/>
      <c r="AW89" s="358"/>
      <c r="AX89" s="358"/>
      <c r="AY89" s="358"/>
      <c r="AZ89" s="358"/>
    </row>
    <row r="90" spans="1:52">
      <c r="A90" s="358"/>
      <c r="B90" s="358"/>
      <c r="C90" s="553"/>
      <c r="D90" s="358"/>
      <c r="E90" s="553"/>
      <c r="F90" s="358"/>
      <c r="G90" s="553"/>
      <c r="H90" s="358"/>
      <c r="I90" s="553"/>
      <c r="J90" s="358"/>
      <c r="K90" s="553"/>
      <c r="L90" s="358"/>
      <c r="M90" s="553"/>
      <c r="N90" s="358"/>
      <c r="O90" s="553"/>
      <c r="P90" s="358"/>
      <c r="Q90" s="553"/>
      <c r="R90" s="358"/>
      <c r="S90" s="553"/>
      <c r="T90" s="358"/>
      <c r="U90" s="553"/>
      <c r="V90" s="358"/>
      <c r="W90" s="553"/>
      <c r="X90" s="358"/>
      <c r="Y90" s="553"/>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row>
    <row r="91" spans="1:52">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c r="AS91" s="358"/>
      <c r="AT91" s="358"/>
      <c r="AU91" s="358"/>
      <c r="AV91" s="358"/>
      <c r="AW91" s="358"/>
      <c r="AX91" s="358"/>
      <c r="AY91" s="358"/>
      <c r="AZ91" s="358"/>
    </row>
    <row r="92" spans="1:52">
      <c r="A92" s="358"/>
      <c r="B92" s="358"/>
      <c r="C92" s="553"/>
      <c r="D92" s="358"/>
      <c r="E92" s="553"/>
      <c r="F92" s="358"/>
      <c r="G92" s="553"/>
      <c r="H92" s="358"/>
      <c r="I92" s="553"/>
      <c r="J92" s="358"/>
      <c r="K92" s="553"/>
      <c r="L92" s="358"/>
      <c r="M92" s="553"/>
      <c r="N92" s="358"/>
      <c r="O92" s="553"/>
      <c r="P92" s="358"/>
      <c r="Q92" s="553"/>
      <c r="R92" s="358"/>
      <c r="S92" s="553"/>
      <c r="T92" s="358"/>
      <c r="U92" s="553"/>
      <c r="V92" s="358"/>
      <c r="W92" s="553"/>
      <c r="X92" s="358"/>
      <c r="Y92" s="553"/>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row>
    <row r="93" spans="1:52">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58"/>
      <c r="AN93" s="358"/>
      <c r="AO93" s="358"/>
      <c r="AP93" s="358"/>
      <c r="AQ93" s="358"/>
      <c r="AR93" s="358"/>
      <c r="AS93" s="358"/>
      <c r="AT93" s="358"/>
      <c r="AU93" s="358"/>
      <c r="AV93" s="358"/>
      <c r="AW93" s="358"/>
      <c r="AX93" s="358"/>
      <c r="AY93" s="358"/>
      <c r="AZ93" s="358"/>
    </row>
    <row r="94" spans="1:52">
      <c r="A94" s="358"/>
      <c r="B94" s="358"/>
      <c r="C94" s="553"/>
      <c r="D94" s="358"/>
      <c r="E94" s="553"/>
      <c r="F94" s="358"/>
      <c r="G94" s="553"/>
      <c r="H94" s="358"/>
      <c r="I94" s="553"/>
      <c r="J94" s="358"/>
      <c r="K94" s="553"/>
      <c r="L94" s="358"/>
      <c r="M94" s="553"/>
      <c r="N94" s="358"/>
      <c r="O94" s="553"/>
      <c r="P94" s="358"/>
      <c r="Q94" s="553"/>
      <c r="R94" s="358"/>
      <c r="S94" s="553"/>
      <c r="T94" s="358"/>
      <c r="U94" s="553"/>
      <c r="V94" s="358"/>
      <c r="W94" s="553"/>
      <c r="X94" s="358"/>
      <c r="Y94" s="553"/>
      <c r="Z94" s="358"/>
      <c r="AA94" s="358"/>
      <c r="AB94" s="358"/>
      <c r="AC94" s="358"/>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row>
    <row r="95" spans="1:52">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c r="AS95" s="358"/>
      <c r="AT95" s="358"/>
      <c r="AU95" s="358"/>
      <c r="AV95" s="358"/>
      <c r="AW95" s="358"/>
      <c r="AX95" s="358"/>
      <c r="AY95" s="358"/>
      <c r="AZ95" s="358"/>
    </row>
    <row r="96" spans="1:52">
      <c r="A96" s="358"/>
      <c r="B96" s="358"/>
      <c r="C96" s="553"/>
      <c r="D96" s="358"/>
      <c r="E96" s="553"/>
      <c r="F96" s="358"/>
      <c r="G96" s="553"/>
      <c r="H96" s="358"/>
      <c r="I96" s="553"/>
      <c r="J96" s="358"/>
      <c r="K96" s="553"/>
      <c r="L96" s="358"/>
      <c r="M96" s="553"/>
      <c r="N96" s="358"/>
      <c r="O96" s="553"/>
      <c r="P96" s="358"/>
      <c r="Q96" s="553"/>
      <c r="R96" s="358"/>
      <c r="S96" s="553"/>
      <c r="T96" s="358"/>
      <c r="U96" s="553"/>
      <c r="V96" s="358"/>
      <c r="W96" s="553"/>
      <c r="X96" s="358"/>
      <c r="Y96" s="553"/>
      <c r="Z96" s="358"/>
      <c r="AA96" s="358"/>
      <c r="AB96" s="358"/>
      <c r="AC96" s="358"/>
      <c r="AD96" s="358"/>
      <c r="AE96" s="358"/>
      <c r="AF96" s="358"/>
      <c r="AG96" s="358"/>
      <c r="AH96" s="358"/>
      <c r="AI96" s="358"/>
      <c r="AJ96" s="358"/>
      <c r="AK96" s="358"/>
      <c r="AL96" s="358"/>
      <c r="AM96" s="358"/>
      <c r="AN96" s="358"/>
      <c r="AO96" s="358"/>
      <c r="AP96" s="358"/>
      <c r="AQ96" s="358"/>
      <c r="AR96" s="358"/>
      <c r="AS96" s="358"/>
      <c r="AT96" s="358"/>
      <c r="AU96" s="358"/>
      <c r="AV96" s="358"/>
      <c r="AW96" s="358"/>
      <c r="AX96" s="358"/>
      <c r="AY96" s="358"/>
      <c r="AZ96" s="358"/>
    </row>
    <row r="97" spans="1:52">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row>
    <row r="98" spans="1:52">
      <c r="A98" s="358"/>
      <c r="B98" s="358"/>
      <c r="C98" s="553"/>
      <c r="D98" s="358"/>
      <c r="E98" s="553"/>
      <c r="F98" s="358"/>
      <c r="G98" s="553"/>
      <c r="H98" s="358"/>
      <c r="I98" s="553"/>
      <c r="J98" s="358"/>
      <c r="K98" s="553"/>
      <c r="L98" s="358"/>
      <c r="M98" s="553"/>
      <c r="N98" s="358"/>
      <c r="O98" s="553"/>
      <c r="P98" s="358"/>
      <c r="Q98" s="553"/>
      <c r="R98" s="358"/>
      <c r="S98" s="553"/>
      <c r="T98" s="358"/>
      <c r="U98" s="553"/>
      <c r="V98" s="358"/>
      <c r="W98" s="553"/>
      <c r="X98" s="358"/>
      <c r="Y98" s="553"/>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row>
    <row r="99" spans="1:52">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row>
    <row r="100" spans="1:52">
      <c r="A100" s="358"/>
      <c r="B100" s="358"/>
      <c r="C100" s="358"/>
      <c r="D100" s="358"/>
      <c r="E100" s="553"/>
      <c r="F100" s="358"/>
      <c r="G100" s="553"/>
      <c r="H100" s="358"/>
      <c r="I100" s="553"/>
      <c r="J100" s="358"/>
      <c r="K100" s="553"/>
      <c r="L100" s="358"/>
      <c r="M100" s="553"/>
      <c r="N100" s="358"/>
      <c r="O100" s="553"/>
      <c r="P100" s="358"/>
      <c r="Q100" s="553"/>
      <c r="R100" s="358"/>
      <c r="S100" s="553"/>
      <c r="T100" s="358"/>
      <c r="U100" s="553"/>
      <c r="V100" s="358"/>
      <c r="W100" s="553"/>
      <c r="X100" s="358"/>
      <c r="Y100" s="553"/>
      <c r="Z100" s="358"/>
      <c r="AA100" s="358"/>
      <c r="AB100" s="358"/>
      <c r="AC100" s="358"/>
      <c r="AD100" s="358"/>
      <c r="AE100" s="358"/>
      <c r="AF100" s="358"/>
      <c r="AG100" s="358"/>
      <c r="AH100" s="358"/>
      <c r="AI100" s="358"/>
      <c r="AJ100" s="358"/>
      <c r="AK100" s="358"/>
      <c r="AL100" s="358"/>
      <c r="AM100" s="358"/>
      <c r="AN100" s="358"/>
      <c r="AO100" s="358"/>
      <c r="AP100" s="358"/>
      <c r="AQ100" s="358"/>
      <c r="AR100" s="358"/>
      <c r="AS100" s="358"/>
      <c r="AT100" s="358"/>
      <c r="AU100" s="358"/>
      <c r="AV100" s="358"/>
      <c r="AW100" s="358"/>
      <c r="AX100" s="358"/>
      <c r="AY100" s="358"/>
      <c r="AZ100" s="358"/>
    </row>
  </sheetData>
  <sheetProtection sheet="1" objects="1" scenarios="1" selectLockedCells="1" selectUnlockedCells="1"/>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C99"/>
  </sheetPr>
  <dimension ref="A1:AZ100"/>
  <sheetViews>
    <sheetView zoomScale="90" zoomScaleNormal="90" workbookViewId="0"/>
  </sheetViews>
  <sheetFormatPr defaultRowHeight="14.4"/>
  <sheetData>
    <row r="1" spans="1:52">
      <c r="A1" s="553"/>
      <c r="B1" s="358"/>
      <c r="C1" s="553"/>
      <c r="D1" s="358"/>
      <c r="E1" s="553"/>
      <c r="F1" s="358"/>
      <c r="G1" s="553"/>
      <c r="H1" s="358"/>
      <c r="I1" s="553"/>
      <c r="J1" s="358"/>
      <c r="K1" s="553"/>
      <c r="L1" s="358"/>
      <c r="M1" s="553"/>
      <c r="N1" s="358"/>
      <c r="O1" s="553"/>
      <c r="P1" s="358"/>
      <c r="Q1" s="553"/>
      <c r="R1" s="358"/>
      <c r="S1" s="553"/>
      <c r="T1" s="358"/>
      <c r="U1" s="553"/>
      <c r="V1" s="358"/>
      <c r="W1" s="553"/>
      <c r="X1" s="358"/>
      <c r="Y1" s="553"/>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row>
    <row r="2" spans="1:52">
      <c r="A2" s="358"/>
      <c r="B2" s="358"/>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row>
    <row r="3" spans="1:52">
      <c r="A3" s="553"/>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row>
    <row r="4" spans="1:52">
      <c r="A4" s="358"/>
      <c r="B4" s="358"/>
      <c r="C4" s="553"/>
      <c r="D4" s="358"/>
      <c r="E4" s="553"/>
      <c r="F4" s="358"/>
      <c r="G4" s="553"/>
      <c r="H4" s="358"/>
      <c r="I4" s="553"/>
      <c r="J4" s="358"/>
      <c r="K4" s="553"/>
      <c r="L4" s="358"/>
      <c r="M4" s="553"/>
      <c r="N4" s="358"/>
      <c r="O4" s="553"/>
      <c r="P4" s="358"/>
      <c r="Q4" s="553"/>
      <c r="R4" s="358"/>
      <c r="S4" s="553"/>
      <c r="T4" s="358"/>
      <c r="U4" s="553"/>
      <c r="V4" s="358"/>
      <c r="W4" s="553"/>
      <c r="X4" s="358"/>
      <c r="Y4" s="553"/>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row>
    <row r="5" spans="1:52">
      <c r="A5" s="553"/>
      <c r="B5" s="358"/>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row>
    <row r="6" spans="1:52">
      <c r="A6" s="358"/>
      <c r="B6" s="358"/>
      <c r="C6" s="358"/>
      <c r="D6" s="358"/>
      <c r="E6" s="358"/>
      <c r="F6" s="358"/>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c r="AT6" s="358"/>
      <c r="AU6" s="358"/>
      <c r="AV6" s="358"/>
      <c r="AW6" s="358"/>
      <c r="AX6" s="358"/>
      <c r="AY6" s="358"/>
      <c r="AZ6" s="358"/>
    </row>
    <row r="7" spans="1:52">
      <c r="A7" s="553"/>
      <c r="B7" s="358"/>
      <c r="C7" s="553"/>
      <c r="D7" s="358"/>
      <c r="E7" s="553"/>
      <c r="F7" s="358"/>
      <c r="G7" s="553"/>
      <c r="H7" s="358"/>
      <c r="I7" s="553"/>
      <c r="J7" s="358"/>
      <c r="K7" s="553"/>
      <c r="L7" s="358"/>
      <c r="M7" s="553"/>
      <c r="N7" s="358"/>
      <c r="O7" s="553"/>
      <c r="P7" s="358"/>
      <c r="Q7" s="553"/>
      <c r="R7" s="358"/>
      <c r="S7" s="553"/>
      <c r="T7" s="358"/>
      <c r="U7" s="553"/>
      <c r="V7" s="358"/>
      <c r="W7" s="553"/>
      <c r="X7" s="358"/>
      <c r="Y7" s="553"/>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358"/>
      <c r="AZ7" s="358"/>
    </row>
    <row r="8" spans="1:52">
      <c r="A8" s="358"/>
      <c r="B8" s="358"/>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58"/>
      <c r="AV8" s="358"/>
      <c r="AW8" s="358"/>
      <c r="AX8" s="358"/>
      <c r="AY8" s="358"/>
      <c r="AZ8" s="358"/>
    </row>
    <row r="9" spans="1:52">
      <c r="A9" s="553"/>
      <c r="B9" s="358"/>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c r="AT9" s="358"/>
      <c r="AU9" s="358"/>
      <c r="AV9" s="358"/>
      <c r="AW9" s="358"/>
      <c r="AX9" s="358"/>
      <c r="AY9" s="358"/>
      <c r="AZ9" s="358"/>
    </row>
    <row r="10" spans="1:52">
      <c r="A10" s="358"/>
      <c r="B10" s="358"/>
      <c r="C10" s="553"/>
      <c r="D10" s="358"/>
      <c r="E10" s="553"/>
      <c r="F10" s="358"/>
      <c r="G10" s="553"/>
      <c r="H10" s="358"/>
      <c r="I10" s="553"/>
      <c r="J10" s="358"/>
      <c r="K10" s="553"/>
      <c r="L10" s="358"/>
      <c r="M10" s="553"/>
      <c r="N10" s="358"/>
      <c r="O10" s="553"/>
      <c r="P10" s="358"/>
      <c r="Q10" s="553"/>
      <c r="R10" s="358"/>
      <c r="S10" s="553"/>
      <c r="T10" s="358"/>
      <c r="U10" s="553"/>
      <c r="V10" s="358"/>
      <c r="W10" s="553"/>
      <c r="X10" s="358"/>
      <c r="Y10" s="553"/>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row>
    <row r="11" spans="1:52">
      <c r="A11" s="553"/>
      <c r="B11" s="358"/>
      <c r="C11" s="358"/>
      <c r="D11" s="358"/>
      <c r="E11" s="358"/>
      <c r="F11" s="358"/>
      <c r="G11" s="358"/>
      <c r="H11" s="358"/>
      <c r="I11" s="358"/>
      <c r="J11" s="358"/>
      <c r="K11" s="358"/>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row>
    <row r="12" spans="1:52">
      <c r="A12" s="358"/>
      <c r="B12" s="358"/>
      <c r="C12" s="358"/>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358"/>
    </row>
    <row r="13" spans="1:52">
      <c r="A13" s="553"/>
      <c r="B13" s="358"/>
      <c r="C13" s="553"/>
      <c r="D13" s="358"/>
      <c r="E13" s="553"/>
      <c r="F13" s="358"/>
      <c r="G13" s="553"/>
      <c r="H13" s="358"/>
      <c r="I13" s="553"/>
      <c r="J13" s="358"/>
      <c r="K13" s="553"/>
      <c r="L13" s="358"/>
      <c r="M13" s="553"/>
      <c r="N13" s="358"/>
      <c r="O13" s="553"/>
      <c r="P13" s="358"/>
      <c r="Q13" s="553"/>
      <c r="R13" s="358"/>
      <c r="S13" s="553"/>
      <c r="T13" s="358"/>
      <c r="U13" s="553"/>
      <c r="V13" s="358"/>
      <c r="W13" s="553"/>
      <c r="X13" s="358"/>
      <c r="Y13" s="553"/>
      <c r="Z13" s="358"/>
      <c r="AA13" s="358"/>
      <c r="AB13" s="358"/>
      <c r="AC13" s="358"/>
      <c r="AD13" s="358"/>
      <c r="AE13" s="358"/>
      <c r="AF13" s="358"/>
      <c r="AG13" s="358"/>
      <c r="AH13" s="358"/>
      <c r="AI13" s="358"/>
      <c r="AJ13" s="358"/>
      <c r="AK13" s="358"/>
      <c r="AL13" s="358"/>
      <c r="AM13" s="358"/>
      <c r="AN13" s="358"/>
      <c r="AO13" s="358"/>
      <c r="AP13" s="358"/>
      <c r="AQ13" s="358"/>
      <c r="AR13" s="358"/>
      <c r="AS13" s="358"/>
      <c r="AT13" s="358"/>
      <c r="AU13" s="358"/>
      <c r="AV13" s="358"/>
      <c r="AW13" s="358"/>
      <c r="AX13" s="358"/>
      <c r="AY13" s="358"/>
      <c r="AZ13" s="358"/>
    </row>
    <row r="14" spans="1:52">
      <c r="A14" s="358"/>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row>
    <row r="15" spans="1:52">
      <c r="A15" s="553"/>
      <c r="B15" s="358"/>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row>
    <row r="16" spans="1:52">
      <c r="A16" s="358"/>
      <c r="B16" s="358"/>
      <c r="C16" s="553"/>
      <c r="D16" s="358"/>
      <c r="E16" s="553"/>
      <c r="F16" s="358"/>
      <c r="G16" s="553"/>
      <c r="H16" s="358"/>
      <c r="I16" s="553"/>
      <c r="J16" s="358"/>
      <c r="K16" s="553"/>
      <c r="L16" s="358"/>
      <c r="M16" s="553"/>
      <c r="N16" s="358"/>
      <c r="O16" s="553"/>
      <c r="P16" s="358"/>
      <c r="Q16" s="553"/>
      <c r="R16" s="358"/>
      <c r="S16" s="553"/>
      <c r="T16" s="358"/>
      <c r="U16" s="553"/>
      <c r="V16" s="358"/>
      <c r="W16" s="553"/>
      <c r="X16" s="358"/>
      <c r="Y16" s="553"/>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358"/>
    </row>
    <row r="17" spans="1:52">
      <c r="A17" s="553"/>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358"/>
      <c r="AZ17" s="358"/>
    </row>
    <row r="18" spans="1:52">
      <c r="A18" s="358"/>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358"/>
      <c r="AZ18" s="358"/>
    </row>
    <row r="19" spans="1:52">
      <c r="A19" s="553"/>
      <c r="B19" s="358"/>
      <c r="C19" s="553"/>
      <c r="D19" s="358"/>
      <c r="E19" s="553"/>
      <c r="F19" s="358"/>
      <c r="G19" s="553"/>
      <c r="H19" s="358"/>
      <c r="I19" s="553"/>
      <c r="J19" s="358"/>
      <c r="K19" s="553"/>
      <c r="L19" s="358"/>
      <c r="M19" s="553"/>
      <c r="N19" s="358"/>
      <c r="O19" s="553"/>
      <c r="P19" s="358"/>
      <c r="Q19" s="553"/>
      <c r="R19" s="358"/>
      <c r="S19" s="553"/>
      <c r="T19" s="358"/>
      <c r="U19" s="553"/>
      <c r="V19" s="358"/>
      <c r="W19" s="553"/>
      <c r="X19" s="358"/>
      <c r="Y19" s="553"/>
      <c r="Z19" s="358"/>
      <c r="AA19" s="358"/>
      <c r="AB19" s="358"/>
      <c r="AC19" s="358"/>
      <c r="AD19" s="358"/>
      <c r="AE19" s="358"/>
      <c r="AF19" s="358"/>
      <c r="AG19" s="358"/>
      <c r="AH19" s="358"/>
      <c r="AI19" s="358"/>
      <c r="AJ19" s="358"/>
      <c r="AK19" s="358"/>
      <c r="AL19" s="358"/>
      <c r="AM19" s="358"/>
      <c r="AN19" s="358"/>
      <c r="AO19" s="358"/>
      <c r="AP19" s="358"/>
      <c r="AQ19" s="358"/>
      <c r="AR19" s="358"/>
      <c r="AS19" s="358"/>
      <c r="AT19" s="358"/>
      <c r="AU19" s="358"/>
      <c r="AV19" s="358"/>
      <c r="AW19" s="358"/>
      <c r="AX19" s="358"/>
      <c r="AY19" s="358"/>
      <c r="AZ19" s="358"/>
    </row>
    <row r="20" spans="1:52">
      <c r="A20" s="358"/>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358"/>
      <c r="AS20" s="358"/>
      <c r="AT20" s="358"/>
      <c r="AU20" s="358"/>
      <c r="AV20" s="358"/>
      <c r="AW20" s="358"/>
      <c r="AX20" s="358"/>
      <c r="AY20" s="358"/>
      <c r="AZ20" s="358"/>
    </row>
    <row r="21" spans="1:52">
      <c r="A21" s="553"/>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row>
    <row r="22" spans="1:52">
      <c r="A22" s="358"/>
      <c r="B22" s="358"/>
      <c r="C22" s="553"/>
      <c r="D22" s="358"/>
      <c r="E22" s="553"/>
      <c r="F22" s="358"/>
      <c r="G22" s="553"/>
      <c r="H22" s="358"/>
      <c r="I22" s="553"/>
      <c r="J22" s="358"/>
      <c r="K22" s="553"/>
      <c r="L22" s="358"/>
      <c r="M22" s="553"/>
      <c r="N22" s="358"/>
      <c r="O22" s="553"/>
      <c r="P22" s="358"/>
      <c r="Q22" s="553"/>
      <c r="R22" s="358"/>
      <c r="S22" s="553"/>
      <c r="T22" s="358"/>
      <c r="U22" s="553"/>
      <c r="V22" s="358"/>
      <c r="W22" s="553"/>
      <c r="X22" s="358"/>
      <c r="Y22" s="553"/>
      <c r="Z22" s="358"/>
      <c r="AA22" s="358"/>
      <c r="AB22" s="358"/>
      <c r="AC22" s="358"/>
      <c r="AD22" s="358"/>
      <c r="AE22" s="358"/>
      <c r="AF22" s="358"/>
      <c r="AG22" s="358"/>
      <c r="AH22" s="358"/>
      <c r="AI22" s="358"/>
      <c r="AJ22" s="358"/>
      <c r="AK22" s="358"/>
      <c r="AL22" s="358"/>
      <c r="AM22" s="358"/>
      <c r="AN22" s="358"/>
      <c r="AO22" s="358"/>
      <c r="AP22" s="358"/>
      <c r="AQ22" s="358"/>
      <c r="AR22" s="358"/>
      <c r="AS22" s="358"/>
      <c r="AT22" s="358"/>
      <c r="AU22" s="358"/>
      <c r="AV22" s="358"/>
      <c r="AW22" s="358"/>
      <c r="AX22" s="358"/>
      <c r="AY22" s="358"/>
      <c r="AZ22" s="358"/>
    </row>
    <row r="23" spans="1:52">
      <c r="A23" s="553"/>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row>
    <row r="24" spans="1:52">
      <c r="A24" s="358"/>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row>
    <row r="25" spans="1:52">
      <c r="A25" s="553"/>
      <c r="B25" s="358"/>
      <c r="C25" s="553"/>
      <c r="D25" s="358"/>
      <c r="E25" s="553"/>
      <c r="F25" s="358"/>
      <c r="G25" s="553"/>
      <c r="H25" s="358"/>
      <c r="I25" s="553"/>
      <c r="J25" s="358"/>
      <c r="K25" s="553"/>
      <c r="L25" s="358"/>
      <c r="M25" s="553"/>
      <c r="N25" s="358"/>
      <c r="O25" s="553"/>
      <c r="P25" s="358"/>
      <c r="Q25" s="553"/>
      <c r="R25" s="358"/>
      <c r="S25" s="553"/>
      <c r="T25" s="358"/>
      <c r="U25" s="553"/>
      <c r="V25" s="358"/>
      <c r="W25" s="553"/>
      <c r="X25" s="358"/>
      <c r="Y25" s="553"/>
      <c r="Z25" s="358"/>
      <c r="AA25" s="358"/>
      <c r="AB25" s="358"/>
      <c r="AC25" s="358"/>
      <c r="AD25" s="358"/>
      <c r="AE25" s="358"/>
      <c r="AF25" s="358"/>
      <c r="AG25" s="358"/>
      <c r="AH25" s="358"/>
      <c r="AI25" s="358"/>
      <c r="AJ25" s="358"/>
      <c r="AK25" s="358"/>
      <c r="AL25" s="358"/>
      <c r="AM25" s="358"/>
      <c r="AN25" s="358"/>
      <c r="AO25" s="358"/>
      <c r="AP25" s="358"/>
      <c r="AQ25" s="358"/>
      <c r="AR25" s="358"/>
      <c r="AS25" s="358"/>
      <c r="AT25" s="358"/>
      <c r="AU25" s="358"/>
      <c r="AV25" s="358"/>
      <c r="AW25" s="358"/>
      <c r="AX25" s="358"/>
      <c r="AY25" s="358"/>
      <c r="AZ25" s="358"/>
    </row>
    <row r="26" spans="1:52">
      <c r="A26" s="358"/>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c r="AH26" s="358"/>
      <c r="AI26" s="358"/>
      <c r="AJ26" s="358"/>
      <c r="AK26" s="358"/>
      <c r="AL26" s="358"/>
      <c r="AM26" s="358"/>
      <c r="AN26" s="358"/>
      <c r="AO26" s="358"/>
      <c r="AP26" s="358"/>
      <c r="AQ26" s="358"/>
      <c r="AR26" s="358"/>
      <c r="AS26" s="358"/>
      <c r="AT26" s="358"/>
      <c r="AU26" s="358"/>
      <c r="AV26" s="358"/>
      <c r="AW26" s="358"/>
      <c r="AX26" s="358"/>
      <c r="AY26" s="358"/>
      <c r="AZ26" s="358"/>
    </row>
    <row r="27" spans="1:52">
      <c r="A27" s="553"/>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358"/>
      <c r="AZ27" s="358"/>
    </row>
    <row r="28" spans="1:52">
      <c r="A28" s="358"/>
      <c r="B28" s="358"/>
      <c r="C28" s="553"/>
      <c r="D28" s="358"/>
      <c r="E28" s="553"/>
      <c r="F28" s="358"/>
      <c r="G28" s="553"/>
      <c r="H28" s="358"/>
      <c r="I28" s="553"/>
      <c r="J28" s="358"/>
      <c r="K28" s="553"/>
      <c r="L28" s="358"/>
      <c r="M28" s="553"/>
      <c r="N28" s="358"/>
      <c r="O28" s="553"/>
      <c r="P28" s="358"/>
      <c r="Q28" s="553"/>
      <c r="R28" s="358"/>
      <c r="S28" s="553"/>
      <c r="T28" s="358"/>
      <c r="U28" s="553"/>
      <c r="V28" s="358"/>
      <c r="W28" s="553"/>
      <c r="X28" s="358"/>
      <c r="Y28" s="553"/>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358"/>
      <c r="AZ28" s="358"/>
    </row>
    <row r="29" spans="1:52">
      <c r="A29" s="553"/>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row>
    <row r="30" spans="1:52">
      <c r="A30" s="358"/>
      <c r="B30" s="358"/>
      <c r="C30" s="553"/>
      <c r="D30" s="358"/>
      <c r="E30" s="553"/>
      <c r="F30" s="358"/>
      <c r="G30" s="553"/>
      <c r="H30" s="358"/>
      <c r="I30" s="553"/>
      <c r="J30" s="358"/>
      <c r="K30" s="553"/>
      <c r="L30" s="358"/>
      <c r="M30" s="553"/>
      <c r="N30" s="358"/>
      <c r="O30" s="553"/>
      <c r="P30" s="358"/>
      <c r="Q30" s="553"/>
      <c r="R30" s="358"/>
      <c r="S30" s="553"/>
      <c r="T30" s="358"/>
      <c r="U30" s="553"/>
      <c r="V30" s="358"/>
      <c r="W30" s="553"/>
      <c r="X30" s="358"/>
      <c r="Y30" s="553"/>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row>
    <row r="31" spans="1:52">
      <c r="A31" s="553"/>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row>
    <row r="32" spans="1:52">
      <c r="A32" s="358"/>
      <c r="B32" s="358"/>
      <c r="C32" s="553"/>
      <c r="D32" s="358"/>
      <c r="E32" s="553"/>
      <c r="F32" s="358"/>
      <c r="G32" s="553"/>
      <c r="H32" s="358"/>
      <c r="I32" s="553"/>
      <c r="J32" s="358"/>
      <c r="K32" s="553"/>
      <c r="L32" s="358"/>
      <c r="M32" s="553"/>
      <c r="N32" s="358"/>
      <c r="O32" s="553"/>
      <c r="P32" s="358"/>
      <c r="Q32" s="553"/>
      <c r="R32" s="358"/>
      <c r="S32" s="553"/>
      <c r="T32" s="358"/>
      <c r="U32" s="553"/>
      <c r="V32" s="358"/>
      <c r="W32" s="553"/>
      <c r="X32" s="358"/>
      <c r="Y32" s="553"/>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row>
    <row r="33" spans="1:52">
      <c r="A33" s="553"/>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c r="AH33" s="358"/>
      <c r="AI33" s="358"/>
      <c r="AJ33" s="358"/>
      <c r="AK33" s="358"/>
      <c r="AL33" s="358"/>
      <c r="AM33" s="358"/>
      <c r="AN33" s="358"/>
      <c r="AO33" s="358"/>
      <c r="AP33" s="358"/>
      <c r="AQ33" s="358"/>
      <c r="AR33" s="358"/>
      <c r="AS33" s="358"/>
      <c r="AT33" s="358"/>
      <c r="AU33" s="358"/>
      <c r="AV33" s="358"/>
      <c r="AW33" s="358"/>
      <c r="AX33" s="358"/>
      <c r="AY33" s="358"/>
      <c r="AZ33" s="358"/>
    </row>
    <row r="34" spans="1:52">
      <c r="A34" s="358"/>
      <c r="B34" s="358"/>
      <c r="C34" s="553"/>
      <c r="D34" s="358"/>
      <c r="E34" s="553"/>
      <c r="F34" s="358"/>
      <c r="G34" s="553"/>
      <c r="H34" s="358"/>
      <c r="I34" s="553"/>
      <c r="J34" s="358"/>
      <c r="K34" s="553"/>
      <c r="L34" s="358"/>
      <c r="M34" s="553"/>
      <c r="N34" s="358"/>
      <c r="O34" s="553"/>
      <c r="P34" s="358"/>
      <c r="Q34" s="553"/>
      <c r="R34" s="358"/>
      <c r="S34" s="553"/>
      <c r="T34" s="358"/>
      <c r="U34" s="553"/>
      <c r="V34" s="358"/>
      <c r="W34" s="553"/>
      <c r="X34" s="358"/>
      <c r="Y34" s="553"/>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row>
    <row r="35" spans="1:52">
      <c r="A35" s="553"/>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c r="AI35" s="358"/>
      <c r="AJ35" s="358"/>
      <c r="AK35" s="358"/>
      <c r="AL35" s="358"/>
      <c r="AM35" s="358"/>
      <c r="AN35" s="358"/>
      <c r="AO35" s="358"/>
      <c r="AP35" s="358"/>
      <c r="AQ35" s="358"/>
      <c r="AR35" s="358"/>
      <c r="AS35" s="358"/>
      <c r="AT35" s="358"/>
      <c r="AU35" s="358"/>
      <c r="AV35" s="358"/>
      <c r="AW35" s="358"/>
      <c r="AX35" s="358"/>
      <c r="AY35" s="358"/>
      <c r="AZ35" s="358"/>
    </row>
    <row r="36" spans="1:52">
      <c r="A36" s="358"/>
      <c r="B36" s="358"/>
      <c r="C36" s="553"/>
      <c r="D36" s="358"/>
      <c r="E36" s="553"/>
      <c r="F36" s="358"/>
      <c r="G36" s="553"/>
      <c r="H36" s="358"/>
      <c r="I36" s="553"/>
      <c r="J36" s="358"/>
      <c r="K36" s="553"/>
      <c r="L36" s="358"/>
      <c r="M36" s="553"/>
      <c r="N36" s="358"/>
      <c r="O36" s="553"/>
      <c r="P36" s="358"/>
      <c r="Q36" s="553"/>
      <c r="R36" s="358"/>
      <c r="S36" s="553"/>
      <c r="T36" s="358"/>
      <c r="U36" s="553"/>
      <c r="V36" s="358"/>
      <c r="W36" s="553"/>
      <c r="X36" s="358"/>
      <c r="Y36" s="553"/>
      <c r="Z36" s="358"/>
      <c r="AA36" s="358"/>
      <c r="AB36" s="358"/>
      <c r="AC36" s="358"/>
      <c r="AD36" s="358"/>
      <c r="AE36" s="358"/>
      <c r="AF36" s="358"/>
      <c r="AG36" s="358"/>
      <c r="AH36" s="358"/>
      <c r="AI36" s="358"/>
      <c r="AJ36" s="358"/>
      <c r="AK36" s="358"/>
      <c r="AL36" s="358"/>
      <c r="AM36" s="358"/>
      <c r="AN36" s="358"/>
      <c r="AO36" s="358"/>
      <c r="AP36" s="358"/>
      <c r="AQ36" s="358"/>
      <c r="AR36" s="358"/>
      <c r="AS36" s="358"/>
      <c r="AT36" s="358"/>
      <c r="AU36" s="358"/>
      <c r="AV36" s="358"/>
      <c r="AW36" s="358"/>
      <c r="AX36" s="358"/>
      <c r="AY36" s="358"/>
      <c r="AZ36" s="358"/>
    </row>
    <row r="37" spans="1:52">
      <c r="A37" s="553"/>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358"/>
      <c r="AZ37" s="358"/>
    </row>
    <row r="38" spans="1:52">
      <c r="A38" s="358"/>
      <c r="B38" s="358"/>
      <c r="C38" s="553"/>
      <c r="D38" s="358"/>
      <c r="E38" s="553"/>
      <c r="F38" s="358"/>
      <c r="G38" s="553"/>
      <c r="H38" s="358"/>
      <c r="I38" s="553"/>
      <c r="J38" s="358"/>
      <c r="K38" s="553"/>
      <c r="L38" s="358"/>
      <c r="M38" s="553"/>
      <c r="N38" s="358"/>
      <c r="O38" s="553"/>
      <c r="P38" s="358"/>
      <c r="Q38" s="553"/>
      <c r="R38" s="358"/>
      <c r="S38" s="553"/>
      <c r="T38" s="358"/>
      <c r="U38" s="553"/>
      <c r="V38" s="358"/>
      <c r="W38" s="553"/>
      <c r="X38" s="358"/>
      <c r="Y38" s="553"/>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358"/>
    </row>
    <row r="39" spans="1:52">
      <c r="A39" s="358"/>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c r="AH39" s="358"/>
      <c r="AI39" s="358"/>
      <c r="AJ39" s="358"/>
      <c r="AK39" s="358"/>
      <c r="AL39" s="358"/>
      <c r="AM39" s="358"/>
      <c r="AN39" s="358"/>
      <c r="AO39" s="358"/>
      <c r="AP39" s="358"/>
      <c r="AQ39" s="358"/>
      <c r="AR39" s="358"/>
      <c r="AS39" s="358"/>
      <c r="AT39" s="358"/>
      <c r="AU39" s="358"/>
      <c r="AV39" s="358"/>
      <c r="AW39" s="358"/>
      <c r="AX39" s="358"/>
      <c r="AY39" s="358"/>
      <c r="AZ39" s="358"/>
    </row>
    <row r="40" spans="1:52">
      <c r="A40" s="358"/>
      <c r="B40" s="358"/>
      <c r="C40" s="553"/>
      <c r="D40" s="358"/>
      <c r="E40" s="553"/>
      <c r="F40" s="358"/>
      <c r="G40" s="553"/>
      <c r="H40" s="358"/>
      <c r="I40" s="553"/>
      <c r="J40" s="358"/>
      <c r="K40" s="553"/>
      <c r="L40" s="358"/>
      <c r="M40" s="553"/>
      <c r="N40" s="358"/>
      <c r="O40" s="553"/>
      <c r="P40" s="358"/>
      <c r="Q40" s="553"/>
      <c r="R40" s="358"/>
      <c r="S40" s="553"/>
      <c r="T40" s="358"/>
      <c r="U40" s="553"/>
      <c r="V40" s="358"/>
      <c r="W40" s="553"/>
      <c r="X40" s="358"/>
      <c r="Y40" s="553"/>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358"/>
      <c r="AZ40" s="358"/>
    </row>
    <row r="41" spans="1:52">
      <c r="A41" s="358"/>
      <c r="B41" s="358"/>
      <c r="C41" s="358"/>
      <c r="D41" s="358"/>
      <c r="E41" s="358"/>
      <c r="F41" s="35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358"/>
      <c r="AG41" s="358"/>
      <c r="AH41" s="358"/>
      <c r="AI41" s="358"/>
      <c r="AJ41" s="358"/>
      <c r="AK41" s="358"/>
      <c r="AL41" s="358"/>
      <c r="AM41" s="358"/>
      <c r="AN41" s="358"/>
      <c r="AO41" s="358"/>
      <c r="AP41" s="358"/>
      <c r="AQ41" s="358"/>
      <c r="AR41" s="358"/>
      <c r="AS41" s="358"/>
      <c r="AT41" s="358"/>
      <c r="AU41" s="358"/>
      <c r="AV41" s="358"/>
      <c r="AW41" s="358"/>
      <c r="AX41" s="358"/>
      <c r="AY41" s="358"/>
      <c r="AZ41" s="358"/>
    </row>
    <row r="42" spans="1:52">
      <c r="A42" s="358"/>
      <c r="B42" s="358"/>
      <c r="C42" s="553"/>
      <c r="D42" s="358"/>
      <c r="E42" s="553"/>
      <c r="F42" s="358"/>
      <c r="G42" s="553"/>
      <c r="H42" s="358"/>
      <c r="I42" s="553"/>
      <c r="J42" s="358"/>
      <c r="K42" s="553"/>
      <c r="L42" s="358"/>
      <c r="M42" s="553"/>
      <c r="N42" s="358"/>
      <c r="O42" s="553"/>
      <c r="P42" s="358"/>
      <c r="Q42" s="553"/>
      <c r="R42" s="358"/>
      <c r="S42" s="553"/>
      <c r="T42" s="358"/>
      <c r="U42" s="553"/>
      <c r="V42" s="358"/>
      <c r="W42" s="553"/>
      <c r="X42" s="358"/>
      <c r="Y42" s="553"/>
      <c r="Z42" s="358"/>
      <c r="AA42" s="358"/>
      <c r="AB42" s="358"/>
      <c r="AC42" s="358"/>
      <c r="AD42" s="358"/>
      <c r="AE42" s="358"/>
      <c r="AF42" s="358"/>
      <c r="AG42" s="358"/>
      <c r="AH42" s="358"/>
      <c r="AI42" s="358"/>
      <c r="AJ42" s="358"/>
      <c r="AK42" s="358"/>
      <c r="AL42" s="358"/>
      <c r="AM42" s="358"/>
      <c r="AN42" s="358"/>
      <c r="AO42" s="358"/>
      <c r="AP42" s="358"/>
      <c r="AQ42" s="358"/>
      <c r="AR42" s="358"/>
      <c r="AS42" s="358"/>
      <c r="AT42" s="358"/>
      <c r="AU42" s="358"/>
      <c r="AV42" s="358"/>
      <c r="AW42" s="358"/>
      <c r="AX42" s="358"/>
      <c r="AY42" s="358"/>
      <c r="AZ42" s="358"/>
    </row>
    <row r="43" spans="1:52">
      <c r="A43" s="358"/>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row>
    <row r="44" spans="1:52">
      <c r="A44" s="358"/>
      <c r="B44" s="358"/>
      <c r="C44" s="553"/>
      <c r="D44" s="358"/>
      <c r="E44" s="553"/>
      <c r="F44" s="358"/>
      <c r="G44" s="553"/>
      <c r="H44" s="358"/>
      <c r="I44" s="553"/>
      <c r="J44" s="358"/>
      <c r="K44" s="553"/>
      <c r="L44" s="358"/>
      <c r="M44" s="553"/>
      <c r="N44" s="358"/>
      <c r="O44" s="553"/>
      <c r="P44" s="358"/>
      <c r="Q44" s="553"/>
      <c r="R44" s="358"/>
      <c r="S44" s="553"/>
      <c r="T44" s="358"/>
      <c r="U44" s="553"/>
      <c r="V44" s="358"/>
      <c r="W44" s="553"/>
      <c r="X44" s="358"/>
      <c r="Y44" s="553"/>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row>
    <row r="45" spans="1:52">
      <c r="A45" s="358"/>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358"/>
    </row>
    <row r="46" spans="1:52">
      <c r="A46" s="358"/>
      <c r="B46" s="358"/>
      <c r="C46" s="553"/>
      <c r="D46" s="358"/>
      <c r="E46" s="553"/>
      <c r="F46" s="358"/>
      <c r="G46" s="553"/>
      <c r="H46" s="358"/>
      <c r="I46" s="553"/>
      <c r="J46" s="358"/>
      <c r="K46" s="553"/>
      <c r="L46" s="358"/>
      <c r="M46" s="553"/>
      <c r="N46" s="358"/>
      <c r="O46" s="553"/>
      <c r="P46" s="358"/>
      <c r="Q46" s="553"/>
      <c r="R46" s="358"/>
      <c r="S46" s="553"/>
      <c r="T46" s="358"/>
      <c r="U46" s="553"/>
      <c r="V46" s="358"/>
      <c r="W46" s="553"/>
      <c r="X46" s="358"/>
      <c r="Y46" s="553"/>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358"/>
    </row>
    <row r="47" spans="1:52">
      <c r="A47" s="358"/>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358"/>
    </row>
    <row r="48" spans="1:52">
      <c r="A48" s="358"/>
      <c r="B48" s="358"/>
      <c r="C48" s="553"/>
      <c r="D48" s="358"/>
      <c r="E48" s="553"/>
      <c r="F48" s="358"/>
      <c r="G48" s="553"/>
      <c r="H48" s="358"/>
      <c r="I48" s="553"/>
      <c r="J48" s="358"/>
      <c r="K48" s="553"/>
      <c r="L48" s="358"/>
      <c r="M48" s="553"/>
      <c r="N48" s="358"/>
      <c r="O48" s="553"/>
      <c r="P48" s="358"/>
      <c r="Q48" s="553"/>
      <c r="R48" s="358"/>
      <c r="S48" s="553"/>
      <c r="T48" s="358"/>
      <c r="U48" s="553"/>
      <c r="V48" s="358"/>
      <c r="W48" s="553"/>
      <c r="X48" s="358"/>
      <c r="Y48" s="553"/>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row>
    <row r="49" spans="1:52">
      <c r="A49" s="358"/>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row>
    <row r="50" spans="1:52">
      <c r="A50" s="358"/>
      <c r="B50" s="358"/>
      <c r="C50" s="553"/>
      <c r="D50" s="358"/>
      <c r="E50" s="553"/>
      <c r="F50" s="358"/>
      <c r="G50" s="553"/>
      <c r="H50" s="358"/>
      <c r="I50" s="553"/>
      <c r="J50" s="358"/>
      <c r="K50" s="553"/>
      <c r="L50" s="358"/>
      <c r="M50" s="553"/>
      <c r="N50" s="358"/>
      <c r="O50" s="553"/>
      <c r="P50" s="358"/>
      <c r="Q50" s="553"/>
      <c r="R50" s="358"/>
      <c r="S50" s="553"/>
      <c r="T50" s="358"/>
      <c r="U50" s="553"/>
      <c r="V50" s="358"/>
      <c r="W50" s="553"/>
      <c r="X50" s="358"/>
      <c r="Y50" s="553"/>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row>
    <row r="51" spans="1:52">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row>
    <row r="52" spans="1:52">
      <c r="A52" s="358"/>
      <c r="B52" s="358"/>
      <c r="C52" s="553"/>
      <c r="D52" s="358"/>
      <c r="E52" s="553"/>
      <c r="F52" s="358"/>
      <c r="G52" s="553"/>
      <c r="H52" s="358"/>
      <c r="I52" s="553"/>
      <c r="J52" s="358"/>
      <c r="K52" s="553"/>
      <c r="L52" s="358"/>
      <c r="M52" s="553"/>
      <c r="N52" s="358"/>
      <c r="O52" s="553"/>
      <c r="P52" s="358"/>
      <c r="Q52" s="553"/>
      <c r="R52" s="358"/>
      <c r="S52" s="553"/>
      <c r="T52" s="358"/>
      <c r="U52" s="553"/>
      <c r="V52" s="358"/>
      <c r="W52" s="553"/>
      <c r="X52" s="358"/>
      <c r="Y52" s="553"/>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row>
    <row r="53" spans="1:52">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row>
    <row r="54" spans="1:52">
      <c r="A54" s="358"/>
      <c r="B54" s="358"/>
      <c r="C54" s="553"/>
      <c r="D54" s="358"/>
      <c r="E54" s="553"/>
      <c r="F54" s="358"/>
      <c r="G54" s="553"/>
      <c r="H54" s="358"/>
      <c r="I54" s="553"/>
      <c r="J54" s="358"/>
      <c r="K54" s="553"/>
      <c r="L54" s="358"/>
      <c r="M54" s="553"/>
      <c r="N54" s="358"/>
      <c r="O54" s="553"/>
      <c r="P54" s="358"/>
      <c r="Q54" s="553"/>
      <c r="R54" s="358"/>
      <c r="S54" s="553"/>
      <c r="T54" s="358"/>
      <c r="U54" s="553"/>
      <c r="V54" s="358"/>
      <c r="W54" s="553"/>
      <c r="X54" s="358"/>
      <c r="Y54" s="553"/>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c r="AV54" s="358"/>
      <c r="AW54" s="358"/>
      <c r="AX54" s="358"/>
      <c r="AY54" s="358"/>
      <c r="AZ54" s="358"/>
    </row>
    <row r="55" spans="1:52">
      <c r="A55" s="358"/>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358"/>
    </row>
    <row r="56" spans="1:52">
      <c r="A56" s="358"/>
      <c r="B56" s="358"/>
      <c r="C56" s="553"/>
      <c r="D56" s="358"/>
      <c r="E56" s="553"/>
      <c r="F56" s="358"/>
      <c r="G56" s="553"/>
      <c r="H56" s="358"/>
      <c r="I56" s="553"/>
      <c r="J56" s="358"/>
      <c r="K56" s="553"/>
      <c r="L56" s="358"/>
      <c r="M56" s="553"/>
      <c r="N56" s="358"/>
      <c r="O56" s="553"/>
      <c r="P56" s="358"/>
      <c r="Q56" s="553"/>
      <c r="R56" s="358"/>
      <c r="S56" s="553"/>
      <c r="T56" s="358"/>
      <c r="U56" s="553"/>
      <c r="V56" s="358"/>
      <c r="W56" s="553"/>
      <c r="X56" s="358"/>
      <c r="Y56" s="553"/>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row>
    <row r="57" spans="1:52">
      <c r="A57" s="358"/>
      <c r="B57" s="358"/>
      <c r="C57" s="358"/>
      <c r="D57" s="358"/>
      <c r="E57" s="358"/>
      <c r="F57" s="358"/>
      <c r="G57" s="358"/>
      <c r="H57" s="358"/>
      <c r="I57" s="358"/>
      <c r="J57" s="358"/>
      <c r="K57" s="358"/>
      <c r="L57" s="358"/>
      <c r="M57" s="358"/>
      <c r="N57" s="358"/>
      <c r="O57" s="358"/>
      <c r="P57" s="358"/>
      <c r="Q57" s="358"/>
      <c r="R57" s="358"/>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c r="AV57" s="358"/>
      <c r="AW57" s="358"/>
      <c r="AX57" s="358"/>
      <c r="AY57" s="358"/>
      <c r="AZ57" s="358"/>
    </row>
    <row r="58" spans="1:52">
      <c r="A58" s="358"/>
      <c r="B58" s="358"/>
      <c r="C58" s="553"/>
      <c r="D58" s="358"/>
      <c r="E58" s="553"/>
      <c r="F58" s="358"/>
      <c r="G58" s="553"/>
      <c r="H58" s="358"/>
      <c r="I58" s="553"/>
      <c r="J58" s="358"/>
      <c r="K58" s="553"/>
      <c r="L58" s="358"/>
      <c r="M58" s="553"/>
      <c r="N58" s="358"/>
      <c r="O58" s="553"/>
      <c r="P58" s="358"/>
      <c r="Q58" s="553"/>
      <c r="R58" s="358"/>
      <c r="S58" s="553"/>
      <c r="T58" s="358"/>
      <c r="U58" s="553"/>
      <c r="V58" s="358"/>
      <c r="W58" s="553"/>
      <c r="X58" s="358"/>
      <c r="Y58" s="553"/>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row>
    <row r="59" spans="1:52">
      <c r="A59" s="35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58"/>
    </row>
    <row r="60" spans="1:52">
      <c r="A60" s="358"/>
      <c r="B60" s="358"/>
      <c r="C60" s="553"/>
      <c r="D60" s="358"/>
      <c r="E60" s="553"/>
      <c r="F60" s="358"/>
      <c r="G60" s="553"/>
      <c r="H60" s="358"/>
      <c r="I60" s="553"/>
      <c r="J60" s="358"/>
      <c r="K60" s="553"/>
      <c r="L60" s="358"/>
      <c r="M60" s="553"/>
      <c r="N60" s="358"/>
      <c r="O60" s="553"/>
      <c r="P60" s="358"/>
      <c r="Q60" s="553"/>
      <c r="R60" s="358"/>
      <c r="S60" s="553"/>
      <c r="T60" s="358"/>
      <c r="U60" s="553"/>
      <c r="V60" s="358"/>
      <c r="W60" s="553"/>
      <c r="X60" s="358"/>
      <c r="Y60" s="553"/>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58"/>
      <c r="AZ60" s="358"/>
    </row>
    <row r="61" spans="1:52">
      <c r="A61" s="358"/>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row>
    <row r="62" spans="1:52">
      <c r="A62" s="358"/>
      <c r="B62" s="358"/>
      <c r="C62" s="553"/>
      <c r="D62" s="358"/>
      <c r="E62" s="553"/>
      <c r="F62" s="358"/>
      <c r="G62" s="553"/>
      <c r="H62" s="358"/>
      <c r="I62" s="553"/>
      <c r="J62" s="358"/>
      <c r="K62" s="553"/>
      <c r="L62" s="358"/>
      <c r="M62" s="553"/>
      <c r="N62" s="358"/>
      <c r="O62" s="553"/>
      <c r="P62" s="358"/>
      <c r="Q62" s="553"/>
      <c r="R62" s="358"/>
      <c r="S62" s="553"/>
      <c r="T62" s="358"/>
      <c r="U62" s="553"/>
      <c r="V62" s="358"/>
      <c r="W62" s="553"/>
      <c r="X62" s="358"/>
      <c r="Y62" s="553"/>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58"/>
      <c r="AZ62" s="358"/>
    </row>
    <row r="63" spans="1:52">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c r="AV63" s="358"/>
      <c r="AW63" s="358"/>
      <c r="AX63" s="358"/>
      <c r="AY63" s="358"/>
      <c r="AZ63" s="358"/>
    </row>
    <row r="64" spans="1:52">
      <c r="A64" s="358"/>
      <c r="B64" s="358"/>
      <c r="C64" s="553"/>
      <c r="D64" s="358"/>
      <c r="E64" s="553"/>
      <c r="F64" s="358"/>
      <c r="G64" s="553"/>
      <c r="H64" s="358"/>
      <c r="I64" s="553"/>
      <c r="J64" s="358"/>
      <c r="K64" s="553"/>
      <c r="L64" s="358"/>
      <c r="M64" s="553"/>
      <c r="N64" s="358"/>
      <c r="O64" s="553"/>
      <c r="P64" s="358"/>
      <c r="Q64" s="553"/>
      <c r="R64" s="358"/>
      <c r="S64" s="553"/>
      <c r="T64" s="358"/>
      <c r="U64" s="553"/>
      <c r="V64" s="358"/>
      <c r="W64" s="553"/>
      <c r="X64" s="358"/>
      <c r="Y64" s="553"/>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row>
    <row r="65" spans="1:52">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row>
    <row r="66" spans="1:52">
      <c r="A66" s="358"/>
      <c r="B66" s="358"/>
      <c r="C66" s="553"/>
      <c r="D66" s="358"/>
      <c r="E66" s="553"/>
      <c r="F66" s="358"/>
      <c r="G66" s="553"/>
      <c r="H66" s="358"/>
      <c r="I66" s="553"/>
      <c r="J66" s="358"/>
      <c r="K66" s="553"/>
      <c r="L66" s="358"/>
      <c r="M66" s="553"/>
      <c r="N66" s="358"/>
      <c r="O66" s="553"/>
      <c r="P66" s="358"/>
      <c r="Q66" s="553"/>
      <c r="R66" s="358"/>
      <c r="S66" s="553"/>
      <c r="T66" s="358"/>
      <c r="U66" s="553"/>
      <c r="V66" s="358"/>
      <c r="W66" s="553"/>
      <c r="X66" s="358"/>
      <c r="Y66" s="553"/>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row>
    <row r="67" spans="1:52">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row>
    <row r="68" spans="1:52">
      <c r="A68" s="358"/>
      <c r="B68" s="358"/>
      <c r="C68" s="553"/>
      <c r="D68" s="358"/>
      <c r="E68" s="553"/>
      <c r="F68" s="358"/>
      <c r="G68" s="553"/>
      <c r="H68" s="358"/>
      <c r="I68" s="553"/>
      <c r="J68" s="358"/>
      <c r="K68" s="553"/>
      <c r="L68" s="358"/>
      <c r="M68" s="553"/>
      <c r="N68" s="358"/>
      <c r="O68" s="553"/>
      <c r="P68" s="358"/>
      <c r="Q68" s="553"/>
      <c r="R68" s="358"/>
      <c r="S68" s="553"/>
      <c r="T68" s="358"/>
      <c r="U68" s="553"/>
      <c r="V68" s="358"/>
      <c r="W68" s="553"/>
      <c r="X68" s="358"/>
      <c r="Y68" s="553"/>
      <c r="Z68" s="358"/>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row>
    <row r="69" spans="1:52">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row>
    <row r="70" spans="1:52">
      <c r="A70" s="358"/>
      <c r="B70" s="358"/>
      <c r="C70" s="553"/>
      <c r="D70" s="358"/>
      <c r="E70" s="553"/>
      <c r="F70" s="358"/>
      <c r="G70" s="553"/>
      <c r="H70" s="358"/>
      <c r="I70" s="553"/>
      <c r="J70" s="358"/>
      <c r="K70" s="553"/>
      <c r="L70" s="358"/>
      <c r="M70" s="553"/>
      <c r="N70" s="358"/>
      <c r="O70" s="553"/>
      <c r="P70" s="358"/>
      <c r="Q70" s="553"/>
      <c r="R70" s="358"/>
      <c r="S70" s="553"/>
      <c r="T70" s="358"/>
      <c r="U70" s="553"/>
      <c r="V70" s="358"/>
      <c r="W70" s="553"/>
      <c r="X70" s="358"/>
      <c r="Y70" s="553"/>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row>
    <row r="71" spans="1:52">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c r="AV71" s="358"/>
      <c r="AW71" s="358"/>
      <c r="AX71" s="358"/>
      <c r="AY71" s="358"/>
      <c r="AZ71" s="358"/>
    </row>
    <row r="72" spans="1:52">
      <c r="A72" s="358"/>
      <c r="B72" s="358"/>
      <c r="C72" s="553"/>
      <c r="D72" s="358"/>
      <c r="E72" s="553"/>
      <c r="F72" s="358"/>
      <c r="G72" s="553"/>
      <c r="H72" s="358"/>
      <c r="I72" s="553"/>
      <c r="J72" s="358"/>
      <c r="K72" s="553"/>
      <c r="L72" s="358"/>
      <c r="M72" s="553"/>
      <c r="N72" s="358"/>
      <c r="O72" s="553"/>
      <c r="P72" s="358"/>
      <c r="Q72" s="553"/>
      <c r="R72" s="358"/>
      <c r="S72" s="553"/>
      <c r="T72" s="358"/>
      <c r="U72" s="553"/>
      <c r="V72" s="358"/>
      <c r="W72" s="553"/>
      <c r="X72" s="358"/>
      <c r="Y72" s="553"/>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row>
    <row r="73" spans="1:52">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row>
    <row r="74" spans="1:52">
      <c r="A74" s="358"/>
      <c r="B74" s="358"/>
      <c r="C74" s="553"/>
      <c r="D74" s="358"/>
      <c r="E74" s="553"/>
      <c r="F74" s="358"/>
      <c r="G74" s="553"/>
      <c r="H74" s="358"/>
      <c r="I74" s="553"/>
      <c r="J74" s="358"/>
      <c r="K74" s="553"/>
      <c r="L74" s="358"/>
      <c r="M74" s="553"/>
      <c r="N74" s="358"/>
      <c r="O74" s="553"/>
      <c r="P74" s="358"/>
      <c r="Q74" s="553"/>
      <c r="R74" s="358"/>
      <c r="S74" s="553"/>
      <c r="T74" s="358"/>
      <c r="U74" s="553"/>
      <c r="V74" s="358"/>
      <c r="W74" s="553"/>
      <c r="X74" s="358"/>
      <c r="Y74" s="553"/>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row>
    <row r="75" spans="1:52">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row>
    <row r="76" spans="1:52">
      <c r="A76" s="358"/>
      <c r="B76" s="358"/>
      <c r="C76" s="553"/>
      <c r="D76" s="358"/>
      <c r="E76" s="553"/>
      <c r="F76" s="358"/>
      <c r="G76" s="553"/>
      <c r="H76" s="358"/>
      <c r="I76" s="553"/>
      <c r="J76" s="358"/>
      <c r="K76" s="553"/>
      <c r="L76" s="358"/>
      <c r="M76" s="553"/>
      <c r="N76" s="358"/>
      <c r="O76" s="553"/>
      <c r="P76" s="358"/>
      <c r="Q76" s="553"/>
      <c r="R76" s="358"/>
      <c r="S76" s="553"/>
      <c r="T76" s="358"/>
      <c r="U76" s="553"/>
      <c r="V76" s="358"/>
      <c r="W76" s="553"/>
      <c r="X76" s="358"/>
      <c r="Y76" s="553"/>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row>
    <row r="77" spans="1:52">
      <c r="A77" s="35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row>
    <row r="78" spans="1:52">
      <c r="A78" s="358"/>
      <c r="B78" s="358"/>
      <c r="C78" s="553"/>
      <c r="D78" s="358"/>
      <c r="E78" s="553"/>
      <c r="F78" s="358"/>
      <c r="G78" s="553"/>
      <c r="H78" s="358"/>
      <c r="I78" s="553"/>
      <c r="J78" s="358"/>
      <c r="K78" s="553"/>
      <c r="L78" s="358"/>
      <c r="M78" s="553"/>
      <c r="N78" s="358"/>
      <c r="O78" s="553"/>
      <c r="P78" s="358"/>
      <c r="Q78" s="553"/>
      <c r="R78" s="358"/>
      <c r="S78" s="553"/>
      <c r="T78" s="358"/>
      <c r="U78" s="553"/>
      <c r="V78" s="358"/>
      <c r="W78" s="553"/>
      <c r="X78" s="358"/>
      <c r="Y78" s="553"/>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row>
    <row r="79" spans="1:52">
      <c r="A79" s="35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58"/>
      <c r="AO79" s="358"/>
      <c r="AP79" s="358"/>
      <c r="AQ79" s="358"/>
      <c r="AR79" s="358"/>
      <c r="AS79" s="358"/>
      <c r="AT79" s="358"/>
      <c r="AU79" s="358"/>
      <c r="AV79" s="358"/>
      <c r="AW79" s="358"/>
      <c r="AX79" s="358"/>
      <c r="AY79" s="358"/>
      <c r="AZ79" s="358"/>
    </row>
    <row r="80" spans="1:52">
      <c r="A80" s="358"/>
      <c r="B80" s="358"/>
      <c r="C80" s="553"/>
      <c r="D80" s="358"/>
      <c r="E80" s="553"/>
      <c r="F80" s="358"/>
      <c r="G80" s="553"/>
      <c r="H80" s="358"/>
      <c r="I80" s="553"/>
      <c r="J80" s="358"/>
      <c r="K80" s="553"/>
      <c r="L80" s="358"/>
      <c r="M80" s="553"/>
      <c r="N80" s="358"/>
      <c r="O80" s="553"/>
      <c r="P80" s="358"/>
      <c r="Q80" s="553"/>
      <c r="R80" s="358"/>
      <c r="S80" s="553"/>
      <c r="T80" s="358"/>
      <c r="U80" s="553"/>
      <c r="V80" s="358"/>
      <c r="W80" s="553"/>
      <c r="X80" s="358"/>
      <c r="Y80" s="553"/>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row>
    <row r="81" spans="1:52">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row>
    <row r="82" spans="1:52">
      <c r="A82" s="358"/>
      <c r="B82" s="358"/>
      <c r="C82" s="553"/>
      <c r="D82" s="358"/>
      <c r="E82" s="553"/>
      <c r="F82" s="358"/>
      <c r="G82" s="553"/>
      <c r="H82" s="358"/>
      <c r="I82" s="553"/>
      <c r="J82" s="358"/>
      <c r="K82" s="553"/>
      <c r="L82" s="358"/>
      <c r="M82" s="553"/>
      <c r="N82" s="358"/>
      <c r="O82" s="553"/>
      <c r="P82" s="358"/>
      <c r="Q82" s="553"/>
      <c r="R82" s="358"/>
      <c r="S82" s="553"/>
      <c r="T82" s="358"/>
      <c r="U82" s="553"/>
      <c r="V82" s="358"/>
      <c r="W82" s="553"/>
      <c r="X82" s="358"/>
      <c r="Y82" s="553"/>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row>
    <row r="83" spans="1:52">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row>
    <row r="84" spans="1:52">
      <c r="A84" s="358"/>
      <c r="B84" s="358"/>
      <c r="C84" s="553"/>
      <c r="D84" s="358"/>
      <c r="E84" s="553"/>
      <c r="F84" s="358"/>
      <c r="G84" s="553"/>
      <c r="H84" s="358"/>
      <c r="I84" s="553"/>
      <c r="J84" s="358"/>
      <c r="K84" s="553"/>
      <c r="L84" s="358"/>
      <c r="M84" s="553"/>
      <c r="N84" s="358"/>
      <c r="O84" s="553"/>
      <c r="P84" s="358"/>
      <c r="Q84" s="553"/>
      <c r="R84" s="358"/>
      <c r="S84" s="553"/>
      <c r="T84" s="358"/>
      <c r="U84" s="553"/>
      <c r="V84" s="358"/>
      <c r="W84" s="553"/>
      <c r="X84" s="358"/>
      <c r="Y84" s="553"/>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row>
    <row r="85" spans="1:52">
      <c r="A85" s="35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row>
    <row r="86" spans="1:52">
      <c r="A86" s="358"/>
      <c r="B86" s="358"/>
      <c r="C86" s="553"/>
      <c r="D86" s="358"/>
      <c r="E86" s="553"/>
      <c r="F86" s="358"/>
      <c r="G86" s="553"/>
      <c r="H86" s="358"/>
      <c r="I86" s="553"/>
      <c r="J86" s="358"/>
      <c r="K86" s="553"/>
      <c r="L86" s="358"/>
      <c r="M86" s="553"/>
      <c r="N86" s="358"/>
      <c r="O86" s="553"/>
      <c r="P86" s="358"/>
      <c r="Q86" s="553"/>
      <c r="R86" s="358"/>
      <c r="S86" s="553"/>
      <c r="T86" s="358"/>
      <c r="U86" s="553"/>
      <c r="V86" s="358"/>
      <c r="W86" s="553"/>
      <c r="X86" s="358"/>
      <c r="Y86" s="553"/>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8"/>
      <c r="AY86" s="358"/>
      <c r="AZ86" s="358"/>
    </row>
    <row r="87" spans="1:52">
      <c r="A87" s="35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c r="AS87" s="358"/>
      <c r="AT87" s="358"/>
      <c r="AU87" s="358"/>
      <c r="AV87" s="358"/>
      <c r="AW87" s="358"/>
      <c r="AX87" s="358"/>
      <c r="AY87" s="358"/>
      <c r="AZ87" s="358"/>
    </row>
    <row r="88" spans="1:52">
      <c r="A88" s="358"/>
      <c r="B88" s="358"/>
      <c r="C88" s="553"/>
      <c r="D88" s="358"/>
      <c r="E88" s="553"/>
      <c r="F88" s="358"/>
      <c r="G88" s="553"/>
      <c r="H88" s="358"/>
      <c r="I88" s="553"/>
      <c r="J88" s="358"/>
      <c r="K88" s="553"/>
      <c r="L88" s="358"/>
      <c r="M88" s="553"/>
      <c r="N88" s="358"/>
      <c r="O88" s="553"/>
      <c r="P88" s="358"/>
      <c r="Q88" s="553"/>
      <c r="R88" s="358"/>
      <c r="S88" s="553"/>
      <c r="T88" s="358"/>
      <c r="U88" s="553"/>
      <c r="V88" s="358"/>
      <c r="W88" s="553"/>
      <c r="X88" s="358"/>
      <c r="Y88" s="553"/>
      <c r="Z88" s="358"/>
      <c r="AA88" s="358"/>
      <c r="AB88" s="358"/>
      <c r="AC88" s="358"/>
      <c r="AD88" s="358"/>
      <c r="AE88" s="358"/>
      <c r="AF88" s="358"/>
      <c r="AG88" s="358"/>
      <c r="AH88" s="358"/>
      <c r="AI88" s="358"/>
      <c r="AJ88" s="358"/>
      <c r="AK88" s="358"/>
      <c r="AL88" s="358"/>
      <c r="AM88" s="358"/>
      <c r="AN88" s="358"/>
      <c r="AO88" s="358"/>
      <c r="AP88" s="358"/>
      <c r="AQ88" s="358"/>
      <c r="AR88" s="358"/>
      <c r="AS88" s="358"/>
      <c r="AT88" s="358"/>
      <c r="AU88" s="358"/>
      <c r="AV88" s="358"/>
      <c r="AW88" s="358"/>
      <c r="AX88" s="358"/>
      <c r="AY88" s="358"/>
      <c r="AZ88" s="358"/>
    </row>
    <row r="89" spans="1:52">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58"/>
      <c r="AN89" s="358"/>
      <c r="AO89" s="358"/>
      <c r="AP89" s="358"/>
      <c r="AQ89" s="358"/>
      <c r="AR89" s="358"/>
      <c r="AS89" s="358"/>
      <c r="AT89" s="358"/>
      <c r="AU89" s="358"/>
      <c r="AV89" s="358"/>
      <c r="AW89" s="358"/>
      <c r="AX89" s="358"/>
      <c r="AY89" s="358"/>
      <c r="AZ89" s="358"/>
    </row>
    <row r="90" spans="1:52">
      <c r="A90" s="358"/>
      <c r="B90" s="358"/>
      <c r="C90" s="553"/>
      <c r="D90" s="358"/>
      <c r="E90" s="553"/>
      <c r="F90" s="358"/>
      <c r="G90" s="553"/>
      <c r="H90" s="358"/>
      <c r="I90" s="553"/>
      <c r="J90" s="358"/>
      <c r="K90" s="553"/>
      <c r="L90" s="358"/>
      <c r="M90" s="553"/>
      <c r="N90" s="358"/>
      <c r="O90" s="553"/>
      <c r="P90" s="358"/>
      <c r="Q90" s="553"/>
      <c r="R90" s="358"/>
      <c r="S90" s="553"/>
      <c r="T90" s="358"/>
      <c r="U90" s="553"/>
      <c r="V90" s="358"/>
      <c r="W90" s="553"/>
      <c r="X90" s="358"/>
      <c r="Y90" s="553"/>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row>
    <row r="91" spans="1:52">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c r="AS91" s="358"/>
      <c r="AT91" s="358"/>
      <c r="AU91" s="358"/>
      <c r="AV91" s="358"/>
      <c r="AW91" s="358"/>
      <c r="AX91" s="358"/>
      <c r="AY91" s="358"/>
      <c r="AZ91" s="358"/>
    </row>
    <row r="92" spans="1:52">
      <c r="A92" s="358"/>
      <c r="B92" s="358"/>
      <c r="C92" s="553"/>
      <c r="D92" s="358"/>
      <c r="E92" s="553"/>
      <c r="F92" s="358"/>
      <c r="G92" s="553"/>
      <c r="H92" s="358"/>
      <c r="I92" s="553"/>
      <c r="J92" s="358"/>
      <c r="K92" s="553"/>
      <c r="L92" s="358"/>
      <c r="M92" s="553"/>
      <c r="N92" s="358"/>
      <c r="O92" s="553"/>
      <c r="P92" s="358"/>
      <c r="Q92" s="553"/>
      <c r="R92" s="358"/>
      <c r="S92" s="553"/>
      <c r="T92" s="358"/>
      <c r="U92" s="553"/>
      <c r="V92" s="358"/>
      <c r="W92" s="553"/>
      <c r="X92" s="358"/>
      <c r="Y92" s="553"/>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row>
    <row r="93" spans="1:52">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58"/>
      <c r="AN93" s="358"/>
      <c r="AO93" s="358"/>
      <c r="AP93" s="358"/>
      <c r="AQ93" s="358"/>
      <c r="AR93" s="358"/>
      <c r="AS93" s="358"/>
      <c r="AT93" s="358"/>
      <c r="AU93" s="358"/>
      <c r="AV93" s="358"/>
      <c r="AW93" s="358"/>
      <c r="AX93" s="358"/>
      <c r="AY93" s="358"/>
      <c r="AZ93" s="358"/>
    </row>
    <row r="94" spans="1:52">
      <c r="A94" s="358"/>
      <c r="B94" s="358"/>
      <c r="C94" s="553"/>
      <c r="D94" s="358"/>
      <c r="E94" s="553"/>
      <c r="F94" s="358"/>
      <c r="G94" s="553"/>
      <c r="H94" s="358"/>
      <c r="I94" s="553"/>
      <c r="J94" s="358"/>
      <c r="K94" s="553"/>
      <c r="L94" s="358"/>
      <c r="M94" s="553"/>
      <c r="N94" s="358"/>
      <c r="O94" s="553"/>
      <c r="P94" s="358"/>
      <c r="Q94" s="553"/>
      <c r="R94" s="358"/>
      <c r="S94" s="553"/>
      <c r="T94" s="358"/>
      <c r="U94" s="553"/>
      <c r="V94" s="358"/>
      <c r="W94" s="553"/>
      <c r="X94" s="358"/>
      <c r="Y94" s="553"/>
      <c r="Z94" s="358"/>
      <c r="AA94" s="358"/>
      <c r="AB94" s="358"/>
      <c r="AC94" s="358"/>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row>
    <row r="95" spans="1:52">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c r="AS95" s="358"/>
      <c r="AT95" s="358"/>
      <c r="AU95" s="358"/>
      <c r="AV95" s="358"/>
      <c r="AW95" s="358"/>
      <c r="AX95" s="358"/>
      <c r="AY95" s="358"/>
      <c r="AZ95" s="358"/>
    </row>
    <row r="96" spans="1:52">
      <c r="A96" s="358"/>
      <c r="B96" s="358"/>
      <c r="C96" s="553"/>
      <c r="D96" s="358"/>
      <c r="E96" s="553"/>
      <c r="F96" s="358"/>
      <c r="G96" s="553"/>
      <c r="H96" s="358"/>
      <c r="I96" s="553"/>
      <c r="J96" s="358"/>
      <c r="K96" s="553"/>
      <c r="L96" s="358"/>
      <c r="M96" s="553"/>
      <c r="N96" s="358"/>
      <c r="O96" s="553"/>
      <c r="P96" s="358"/>
      <c r="Q96" s="553"/>
      <c r="R96" s="358"/>
      <c r="S96" s="553"/>
      <c r="T96" s="358"/>
      <c r="U96" s="553"/>
      <c r="V96" s="358"/>
      <c r="W96" s="553"/>
      <c r="X96" s="358"/>
      <c r="Y96" s="553"/>
      <c r="Z96" s="358"/>
      <c r="AA96" s="358"/>
      <c r="AB96" s="358"/>
      <c r="AC96" s="358"/>
      <c r="AD96" s="358"/>
      <c r="AE96" s="358"/>
      <c r="AF96" s="358"/>
      <c r="AG96" s="358"/>
      <c r="AH96" s="358"/>
      <c r="AI96" s="358"/>
      <c r="AJ96" s="358"/>
      <c r="AK96" s="358"/>
      <c r="AL96" s="358"/>
      <c r="AM96" s="358"/>
      <c r="AN96" s="358"/>
      <c r="AO96" s="358"/>
      <c r="AP96" s="358"/>
      <c r="AQ96" s="358"/>
      <c r="AR96" s="358"/>
      <c r="AS96" s="358"/>
      <c r="AT96" s="358"/>
      <c r="AU96" s="358"/>
      <c r="AV96" s="358"/>
      <c r="AW96" s="358"/>
      <c r="AX96" s="358"/>
      <c r="AY96" s="358"/>
      <c r="AZ96" s="358"/>
    </row>
    <row r="97" spans="1:52">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row>
    <row r="98" spans="1:52">
      <c r="A98" s="358"/>
      <c r="B98" s="358"/>
      <c r="C98" s="553"/>
      <c r="D98" s="358"/>
      <c r="E98" s="553"/>
      <c r="F98" s="358"/>
      <c r="G98" s="553"/>
      <c r="H98" s="358"/>
      <c r="I98" s="553"/>
      <c r="J98" s="358"/>
      <c r="K98" s="553"/>
      <c r="L98" s="358"/>
      <c r="M98" s="553"/>
      <c r="N98" s="358"/>
      <c r="O98" s="553"/>
      <c r="P98" s="358"/>
      <c r="Q98" s="553"/>
      <c r="R98" s="358"/>
      <c r="S98" s="553"/>
      <c r="T98" s="358"/>
      <c r="U98" s="553"/>
      <c r="V98" s="358"/>
      <c r="W98" s="553"/>
      <c r="X98" s="358"/>
      <c r="Y98" s="553"/>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row>
    <row r="99" spans="1:52">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row>
    <row r="100" spans="1:52">
      <c r="A100" s="358"/>
      <c r="B100" s="358"/>
      <c r="C100" s="358"/>
      <c r="D100" s="358"/>
      <c r="E100" s="553"/>
      <c r="F100" s="358"/>
      <c r="G100" s="553"/>
      <c r="H100" s="358"/>
      <c r="I100" s="553"/>
      <c r="J100" s="358"/>
      <c r="K100" s="553"/>
      <c r="L100" s="358"/>
      <c r="M100" s="553"/>
      <c r="N100" s="358"/>
      <c r="O100" s="553"/>
      <c r="P100" s="358"/>
      <c r="Q100" s="553"/>
      <c r="R100" s="358"/>
      <c r="S100" s="553"/>
      <c r="T100" s="358"/>
      <c r="U100" s="553"/>
      <c r="V100" s="358"/>
      <c r="W100" s="553"/>
      <c r="X100" s="358"/>
      <c r="Y100" s="553"/>
      <c r="Z100" s="358"/>
      <c r="AA100" s="358"/>
      <c r="AB100" s="358"/>
      <c r="AC100" s="358"/>
      <c r="AD100" s="358"/>
      <c r="AE100" s="358"/>
      <c r="AF100" s="358"/>
      <c r="AG100" s="358"/>
      <c r="AH100" s="358"/>
      <c r="AI100" s="358"/>
      <c r="AJ100" s="358"/>
      <c r="AK100" s="358"/>
      <c r="AL100" s="358"/>
      <c r="AM100" s="358"/>
      <c r="AN100" s="358"/>
      <c r="AO100" s="358"/>
      <c r="AP100" s="358"/>
      <c r="AQ100" s="358"/>
      <c r="AR100" s="358"/>
      <c r="AS100" s="358"/>
      <c r="AT100" s="358"/>
      <c r="AU100" s="358"/>
      <c r="AV100" s="358"/>
      <c r="AW100" s="358"/>
      <c r="AX100" s="358"/>
      <c r="AY100" s="358"/>
      <c r="AZ100" s="358"/>
    </row>
  </sheetData>
  <sheetProtection sheet="1" objects="1" scenarios="1" selectLockedCells="1" selectUnlockedCell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R102"/>
  <sheetViews>
    <sheetView workbookViewId="0">
      <selection activeCell="B110" sqref="B110"/>
    </sheetView>
  </sheetViews>
  <sheetFormatPr defaultRowHeight="13.2" outlineLevelRow="1"/>
  <cols>
    <col min="1" max="1" width="5.44140625" style="241" customWidth="1"/>
    <col min="2" max="2" width="133.6640625" style="243" customWidth="1"/>
    <col min="3" max="3" width="11.5546875" style="243" customWidth="1"/>
    <col min="4" max="256" width="9.33203125" style="243"/>
    <col min="257" max="257" width="5.44140625" style="243" customWidth="1"/>
    <col min="258" max="258" width="133.6640625" style="243" customWidth="1"/>
    <col min="259" max="259" width="11.5546875" style="243" customWidth="1"/>
    <col min="260" max="512" width="9.33203125" style="243"/>
    <col min="513" max="513" width="5.44140625" style="243" customWidth="1"/>
    <col min="514" max="514" width="133.6640625" style="243" customWidth="1"/>
    <col min="515" max="515" width="11.5546875" style="243" customWidth="1"/>
    <col min="516" max="768" width="9.33203125" style="243"/>
    <col min="769" max="769" width="5.44140625" style="243" customWidth="1"/>
    <col min="770" max="770" width="133.6640625" style="243" customWidth="1"/>
    <col min="771" max="771" width="11.5546875" style="243" customWidth="1"/>
    <col min="772" max="1024" width="9.33203125" style="243"/>
    <col min="1025" max="1025" width="5.44140625" style="243" customWidth="1"/>
    <col min="1026" max="1026" width="133.6640625" style="243" customWidth="1"/>
    <col min="1027" max="1027" width="11.5546875" style="243" customWidth="1"/>
    <col min="1028" max="1280" width="9.33203125" style="243"/>
    <col min="1281" max="1281" width="5.44140625" style="243" customWidth="1"/>
    <col min="1282" max="1282" width="133.6640625" style="243" customWidth="1"/>
    <col min="1283" max="1283" width="11.5546875" style="243" customWidth="1"/>
    <col min="1284" max="1536" width="9.33203125" style="243"/>
    <col min="1537" max="1537" width="5.44140625" style="243" customWidth="1"/>
    <col min="1538" max="1538" width="133.6640625" style="243" customWidth="1"/>
    <col min="1539" max="1539" width="11.5546875" style="243" customWidth="1"/>
    <col min="1540" max="1792" width="9.33203125" style="243"/>
    <col min="1793" max="1793" width="5.44140625" style="243" customWidth="1"/>
    <col min="1794" max="1794" width="133.6640625" style="243" customWidth="1"/>
    <col min="1795" max="1795" width="11.5546875" style="243" customWidth="1"/>
    <col min="1796" max="2048" width="9.33203125" style="243"/>
    <col min="2049" max="2049" width="5.44140625" style="243" customWidth="1"/>
    <col min="2050" max="2050" width="133.6640625" style="243" customWidth="1"/>
    <col min="2051" max="2051" width="11.5546875" style="243" customWidth="1"/>
    <col min="2052" max="2304" width="9.33203125" style="243"/>
    <col min="2305" max="2305" width="5.44140625" style="243" customWidth="1"/>
    <col min="2306" max="2306" width="133.6640625" style="243" customWidth="1"/>
    <col min="2307" max="2307" width="11.5546875" style="243" customWidth="1"/>
    <col min="2308" max="2560" width="9.33203125" style="243"/>
    <col min="2561" max="2561" width="5.44140625" style="243" customWidth="1"/>
    <col min="2562" max="2562" width="133.6640625" style="243" customWidth="1"/>
    <col min="2563" max="2563" width="11.5546875" style="243" customWidth="1"/>
    <col min="2564" max="2816" width="9.33203125" style="243"/>
    <col min="2817" max="2817" width="5.44140625" style="243" customWidth="1"/>
    <col min="2818" max="2818" width="133.6640625" style="243" customWidth="1"/>
    <col min="2819" max="2819" width="11.5546875" style="243" customWidth="1"/>
    <col min="2820" max="3072" width="9.33203125" style="243"/>
    <col min="3073" max="3073" width="5.44140625" style="243" customWidth="1"/>
    <col min="3074" max="3074" width="133.6640625" style="243" customWidth="1"/>
    <col min="3075" max="3075" width="11.5546875" style="243" customWidth="1"/>
    <col min="3076" max="3328" width="9.33203125" style="243"/>
    <col min="3329" max="3329" width="5.44140625" style="243" customWidth="1"/>
    <col min="3330" max="3330" width="133.6640625" style="243" customWidth="1"/>
    <col min="3331" max="3331" width="11.5546875" style="243" customWidth="1"/>
    <col min="3332" max="3584" width="9.33203125" style="243"/>
    <col min="3585" max="3585" width="5.44140625" style="243" customWidth="1"/>
    <col min="3586" max="3586" width="133.6640625" style="243" customWidth="1"/>
    <col min="3587" max="3587" width="11.5546875" style="243" customWidth="1"/>
    <col min="3588" max="3840" width="9.33203125" style="243"/>
    <col min="3841" max="3841" width="5.44140625" style="243" customWidth="1"/>
    <col min="3842" max="3842" width="133.6640625" style="243" customWidth="1"/>
    <col min="3843" max="3843" width="11.5546875" style="243" customWidth="1"/>
    <col min="3844" max="4096" width="9.33203125" style="243"/>
    <col min="4097" max="4097" width="5.44140625" style="243" customWidth="1"/>
    <col min="4098" max="4098" width="133.6640625" style="243" customWidth="1"/>
    <col min="4099" max="4099" width="11.5546875" style="243" customWidth="1"/>
    <col min="4100" max="4352" width="9.33203125" style="243"/>
    <col min="4353" max="4353" width="5.44140625" style="243" customWidth="1"/>
    <col min="4354" max="4354" width="133.6640625" style="243" customWidth="1"/>
    <col min="4355" max="4355" width="11.5546875" style="243" customWidth="1"/>
    <col min="4356" max="4608" width="9.33203125" style="243"/>
    <col min="4609" max="4609" width="5.44140625" style="243" customWidth="1"/>
    <col min="4610" max="4610" width="133.6640625" style="243" customWidth="1"/>
    <col min="4611" max="4611" width="11.5546875" style="243" customWidth="1"/>
    <col min="4612" max="4864" width="9.33203125" style="243"/>
    <col min="4865" max="4865" width="5.44140625" style="243" customWidth="1"/>
    <col min="4866" max="4866" width="133.6640625" style="243" customWidth="1"/>
    <col min="4867" max="4867" width="11.5546875" style="243" customWidth="1"/>
    <col min="4868" max="5120" width="9.33203125" style="243"/>
    <col min="5121" max="5121" width="5.44140625" style="243" customWidth="1"/>
    <col min="5122" max="5122" width="133.6640625" style="243" customWidth="1"/>
    <col min="5123" max="5123" width="11.5546875" style="243" customWidth="1"/>
    <col min="5124" max="5376" width="9.33203125" style="243"/>
    <col min="5377" max="5377" width="5.44140625" style="243" customWidth="1"/>
    <col min="5378" max="5378" width="133.6640625" style="243" customWidth="1"/>
    <col min="5379" max="5379" width="11.5546875" style="243" customWidth="1"/>
    <col min="5380" max="5632" width="9.33203125" style="243"/>
    <col min="5633" max="5633" width="5.44140625" style="243" customWidth="1"/>
    <col min="5634" max="5634" width="133.6640625" style="243" customWidth="1"/>
    <col min="5635" max="5635" width="11.5546875" style="243" customWidth="1"/>
    <col min="5636" max="5888" width="9.33203125" style="243"/>
    <col min="5889" max="5889" width="5.44140625" style="243" customWidth="1"/>
    <col min="5890" max="5890" width="133.6640625" style="243" customWidth="1"/>
    <col min="5891" max="5891" width="11.5546875" style="243" customWidth="1"/>
    <col min="5892" max="6144" width="9.33203125" style="243"/>
    <col min="6145" max="6145" width="5.44140625" style="243" customWidth="1"/>
    <col min="6146" max="6146" width="133.6640625" style="243" customWidth="1"/>
    <col min="6147" max="6147" width="11.5546875" style="243" customWidth="1"/>
    <col min="6148" max="6400" width="9.33203125" style="243"/>
    <col min="6401" max="6401" width="5.44140625" style="243" customWidth="1"/>
    <col min="6402" max="6402" width="133.6640625" style="243" customWidth="1"/>
    <col min="6403" max="6403" width="11.5546875" style="243" customWidth="1"/>
    <col min="6404" max="6656" width="9.33203125" style="243"/>
    <col min="6657" max="6657" width="5.44140625" style="243" customWidth="1"/>
    <col min="6658" max="6658" width="133.6640625" style="243" customWidth="1"/>
    <col min="6659" max="6659" width="11.5546875" style="243" customWidth="1"/>
    <col min="6660" max="6912" width="9.33203125" style="243"/>
    <col min="6913" max="6913" width="5.44140625" style="243" customWidth="1"/>
    <col min="6914" max="6914" width="133.6640625" style="243" customWidth="1"/>
    <col min="6915" max="6915" width="11.5546875" style="243" customWidth="1"/>
    <col min="6916" max="7168" width="9.33203125" style="243"/>
    <col min="7169" max="7169" width="5.44140625" style="243" customWidth="1"/>
    <col min="7170" max="7170" width="133.6640625" style="243" customWidth="1"/>
    <col min="7171" max="7171" width="11.5546875" style="243" customWidth="1"/>
    <col min="7172" max="7424" width="9.33203125" style="243"/>
    <col min="7425" max="7425" width="5.44140625" style="243" customWidth="1"/>
    <col min="7426" max="7426" width="133.6640625" style="243" customWidth="1"/>
    <col min="7427" max="7427" width="11.5546875" style="243" customWidth="1"/>
    <col min="7428" max="7680" width="9.33203125" style="243"/>
    <col min="7681" max="7681" width="5.44140625" style="243" customWidth="1"/>
    <col min="7682" max="7682" width="133.6640625" style="243" customWidth="1"/>
    <col min="7683" max="7683" width="11.5546875" style="243" customWidth="1"/>
    <col min="7684" max="7936" width="9.33203125" style="243"/>
    <col min="7937" max="7937" width="5.44140625" style="243" customWidth="1"/>
    <col min="7938" max="7938" width="133.6640625" style="243" customWidth="1"/>
    <col min="7939" max="7939" width="11.5546875" style="243" customWidth="1"/>
    <col min="7940" max="8192" width="9.33203125" style="243"/>
    <col min="8193" max="8193" width="5.44140625" style="243" customWidth="1"/>
    <col min="8194" max="8194" width="133.6640625" style="243" customWidth="1"/>
    <col min="8195" max="8195" width="11.5546875" style="243" customWidth="1"/>
    <col min="8196" max="8448" width="9.33203125" style="243"/>
    <col min="8449" max="8449" width="5.44140625" style="243" customWidth="1"/>
    <col min="8450" max="8450" width="133.6640625" style="243" customWidth="1"/>
    <col min="8451" max="8451" width="11.5546875" style="243" customWidth="1"/>
    <col min="8452" max="8704" width="9.33203125" style="243"/>
    <col min="8705" max="8705" width="5.44140625" style="243" customWidth="1"/>
    <col min="8706" max="8706" width="133.6640625" style="243" customWidth="1"/>
    <col min="8707" max="8707" width="11.5546875" style="243" customWidth="1"/>
    <col min="8708" max="8960" width="9.33203125" style="243"/>
    <col min="8961" max="8961" width="5.44140625" style="243" customWidth="1"/>
    <col min="8962" max="8962" width="133.6640625" style="243" customWidth="1"/>
    <col min="8963" max="8963" width="11.5546875" style="243" customWidth="1"/>
    <col min="8964" max="9216" width="9.33203125" style="243"/>
    <col min="9217" max="9217" width="5.44140625" style="243" customWidth="1"/>
    <col min="9218" max="9218" width="133.6640625" style="243" customWidth="1"/>
    <col min="9219" max="9219" width="11.5546875" style="243" customWidth="1"/>
    <col min="9220" max="9472" width="9.33203125" style="243"/>
    <col min="9473" max="9473" width="5.44140625" style="243" customWidth="1"/>
    <col min="9474" max="9474" width="133.6640625" style="243" customWidth="1"/>
    <col min="9475" max="9475" width="11.5546875" style="243" customWidth="1"/>
    <col min="9476" max="9728" width="9.33203125" style="243"/>
    <col min="9729" max="9729" width="5.44140625" style="243" customWidth="1"/>
    <col min="9730" max="9730" width="133.6640625" style="243" customWidth="1"/>
    <col min="9731" max="9731" width="11.5546875" style="243" customWidth="1"/>
    <col min="9732" max="9984" width="9.33203125" style="243"/>
    <col min="9985" max="9985" width="5.44140625" style="243" customWidth="1"/>
    <col min="9986" max="9986" width="133.6640625" style="243" customWidth="1"/>
    <col min="9987" max="9987" width="11.5546875" style="243" customWidth="1"/>
    <col min="9988" max="10240" width="9.33203125" style="243"/>
    <col min="10241" max="10241" width="5.44140625" style="243" customWidth="1"/>
    <col min="10242" max="10242" width="133.6640625" style="243" customWidth="1"/>
    <col min="10243" max="10243" width="11.5546875" style="243" customWidth="1"/>
    <col min="10244" max="10496" width="9.33203125" style="243"/>
    <col min="10497" max="10497" width="5.44140625" style="243" customWidth="1"/>
    <col min="10498" max="10498" width="133.6640625" style="243" customWidth="1"/>
    <col min="10499" max="10499" width="11.5546875" style="243" customWidth="1"/>
    <col min="10500" max="10752" width="9.33203125" style="243"/>
    <col min="10753" max="10753" width="5.44140625" style="243" customWidth="1"/>
    <col min="10754" max="10754" width="133.6640625" style="243" customWidth="1"/>
    <col min="10755" max="10755" width="11.5546875" style="243" customWidth="1"/>
    <col min="10756" max="11008" width="9.33203125" style="243"/>
    <col min="11009" max="11009" width="5.44140625" style="243" customWidth="1"/>
    <col min="11010" max="11010" width="133.6640625" style="243" customWidth="1"/>
    <col min="11011" max="11011" width="11.5546875" style="243" customWidth="1"/>
    <col min="11012" max="11264" width="9.33203125" style="243"/>
    <col min="11265" max="11265" width="5.44140625" style="243" customWidth="1"/>
    <col min="11266" max="11266" width="133.6640625" style="243" customWidth="1"/>
    <col min="11267" max="11267" width="11.5546875" style="243" customWidth="1"/>
    <col min="11268" max="11520" width="9.33203125" style="243"/>
    <col min="11521" max="11521" width="5.44140625" style="243" customWidth="1"/>
    <col min="11522" max="11522" width="133.6640625" style="243" customWidth="1"/>
    <col min="11523" max="11523" width="11.5546875" style="243" customWidth="1"/>
    <col min="11524" max="11776" width="9.33203125" style="243"/>
    <col min="11777" max="11777" width="5.44140625" style="243" customWidth="1"/>
    <col min="11778" max="11778" width="133.6640625" style="243" customWidth="1"/>
    <col min="11779" max="11779" width="11.5546875" style="243" customWidth="1"/>
    <col min="11780" max="12032" width="9.33203125" style="243"/>
    <col min="12033" max="12033" width="5.44140625" style="243" customWidth="1"/>
    <col min="12034" max="12034" width="133.6640625" style="243" customWidth="1"/>
    <col min="12035" max="12035" width="11.5546875" style="243" customWidth="1"/>
    <col min="12036" max="12288" width="9.33203125" style="243"/>
    <col min="12289" max="12289" width="5.44140625" style="243" customWidth="1"/>
    <col min="12290" max="12290" width="133.6640625" style="243" customWidth="1"/>
    <col min="12291" max="12291" width="11.5546875" style="243" customWidth="1"/>
    <col min="12292" max="12544" width="9.33203125" style="243"/>
    <col min="12545" max="12545" width="5.44140625" style="243" customWidth="1"/>
    <col min="12546" max="12546" width="133.6640625" style="243" customWidth="1"/>
    <col min="12547" max="12547" width="11.5546875" style="243" customWidth="1"/>
    <col min="12548" max="12800" width="9.33203125" style="243"/>
    <col min="12801" max="12801" width="5.44140625" style="243" customWidth="1"/>
    <col min="12802" max="12802" width="133.6640625" style="243" customWidth="1"/>
    <col min="12803" max="12803" width="11.5546875" style="243" customWidth="1"/>
    <col min="12804" max="13056" width="9.33203125" style="243"/>
    <col min="13057" max="13057" width="5.44140625" style="243" customWidth="1"/>
    <col min="13058" max="13058" width="133.6640625" style="243" customWidth="1"/>
    <col min="13059" max="13059" width="11.5546875" style="243" customWidth="1"/>
    <col min="13060" max="13312" width="9.33203125" style="243"/>
    <col min="13313" max="13313" width="5.44140625" style="243" customWidth="1"/>
    <col min="13314" max="13314" width="133.6640625" style="243" customWidth="1"/>
    <col min="13315" max="13315" width="11.5546875" style="243" customWidth="1"/>
    <col min="13316" max="13568" width="9.33203125" style="243"/>
    <col min="13569" max="13569" width="5.44140625" style="243" customWidth="1"/>
    <col min="13570" max="13570" width="133.6640625" style="243" customWidth="1"/>
    <col min="13571" max="13571" width="11.5546875" style="243" customWidth="1"/>
    <col min="13572" max="13824" width="9.33203125" style="243"/>
    <col min="13825" max="13825" width="5.44140625" style="243" customWidth="1"/>
    <col min="13826" max="13826" width="133.6640625" style="243" customWidth="1"/>
    <col min="13827" max="13827" width="11.5546875" style="243" customWidth="1"/>
    <col min="13828" max="14080" width="9.33203125" style="243"/>
    <col min="14081" max="14081" width="5.44140625" style="243" customWidth="1"/>
    <col min="14082" max="14082" width="133.6640625" style="243" customWidth="1"/>
    <col min="14083" max="14083" width="11.5546875" style="243" customWidth="1"/>
    <col min="14084" max="14336" width="9.33203125" style="243"/>
    <col min="14337" max="14337" width="5.44140625" style="243" customWidth="1"/>
    <col min="14338" max="14338" width="133.6640625" style="243" customWidth="1"/>
    <col min="14339" max="14339" width="11.5546875" style="243" customWidth="1"/>
    <col min="14340" max="14592" width="9.33203125" style="243"/>
    <col min="14593" max="14593" width="5.44140625" style="243" customWidth="1"/>
    <col min="14594" max="14594" width="133.6640625" style="243" customWidth="1"/>
    <col min="14595" max="14595" width="11.5546875" style="243" customWidth="1"/>
    <col min="14596" max="14848" width="9.33203125" style="243"/>
    <col min="14849" max="14849" width="5.44140625" style="243" customWidth="1"/>
    <col min="14850" max="14850" width="133.6640625" style="243" customWidth="1"/>
    <col min="14851" max="14851" width="11.5546875" style="243" customWidth="1"/>
    <col min="14852" max="15104" width="9.33203125" style="243"/>
    <col min="15105" max="15105" width="5.44140625" style="243" customWidth="1"/>
    <col min="15106" max="15106" width="133.6640625" style="243" customWidth="1"/>
    <col min="15107" max="15107" width="11.5546875" style="243" customWidth="1"/>
    <col min="15108" max="15360" width="9.33203125" style="243"/>
    <col min="15361" max="15361" width="5.44140625" style="243" customWidth="1"/>
    <col min="15362" max="15362" width="133.6640625" style="243" customWidth="1"/>
    <col min="15363" max="15363" width="11.5546875" style="243" customWidth="1"/>
    <col min="15364" max="15616" width="9.33203125" style="243"/>
    <col min="15617" max="15617" width="5.44140625" style="243" customWidth="1"/>
    <col min="15618" max="15618" width="133.6640625" style="243" customWidth="1"/>
    <col min="15619" max="15619" width="11.5546875" style="243" customWidth="1"/>
    <col min="15620" max="15872" width="9.33203125" style="243"/>
    <col min="15873" max="15873" width="5.44140625" style="243" customWidth="1"/>
    <col min="15874" max="15874" width="133.6640625" style="243" customWidth="1"/>
    <col min="15875" max="15875" width="11.5546875" style="243" customWidth="1"/>
    <col min="15876" max="16128" width="9.33203125" style="243"/>
    <col min="16129" max="16129" width="5.44140625" style="243" customWidth="1"/>
    <col min="16130" max="16130" width="133.6640625" style="243" customWidth="1"/>
    <col min="16131" max="16131" width="11.5546875" style="243" customWidth="1"/>
    <col min="16132" max="16384" width="9.33203125" style="243"/>
  </cols>
  <sheetData>
    <row r="1" spans="1:18">
      <c r="B1" s="242"/>
    </row>
    <row r="2" spans="1:18" ht="21">
      <c r="B2" s="244" t="s">
        <v>1701</v>
      </c>
    </row>
    <row r="3" spans="1:18">
      <c r="B3" s="245" t="s">
        <v>397</v>
      </c>
    </row>
    <row r="4" spans="1:18">
      <c r="B4" s="246" t="s">
        <v>398</v>
      </c>
    </row>
    <row r="5" spans="1:18" s="248" customFormat="1" ht="264.75" hidden="1" customHeight="1" outlineLevel="1">
      <c r="A5" s="247"/>
      <c r="B5" s="912" t="s">
        <v>1474</v>
      </c>
    </row>
    <row r="6" spans="1:18" s="253" customFormat="1" ht="30" customHeight="1" collapsed="1">
      <c r="A6" s="251"/>
      <c r="B6" s="252" t="s">
        <v>501</v>
      </c>
    </row>
    <row r="7" spans="1:18" s="250" customFormat="1" ht="20.399999999999999">
      <c r="A7" s="249"/>
      <c r="B7" s="254" t="s">
        <v>399</v>
      </c>
    </row>
    <row r="8" spans="1:18" s="250" customFormat="1" ht="24.75" customHeight="1">
      <c r="A8" s="249"/>
      <c r="B8" s="1035"/>
    </row>
    <row r="9" spans="1:18" s="257" customFormat="1" ht="20.399999999999999">
      <c r="A9" s="255"/>
      <c r="B9" s="256"/>
      <c r="C9" s="250"/>
      <c r="D9" s="250"/>
      <c r="E9" s="250"/>
      <c r="F9" s="250"/>
      <c r="G9" s="250"/>
      <c r="H9" s="250"/>
      <c r="I9" s="250"/>
      <c r="J9" s="250"/>
      <c r="K9" s="250"/>
      <c r="L9" s="250"/>
      <c r="M9" s="250"/>
      <c r="N9" s="250"/>
      <c r="O9" s="250"/>
      <c r="P9" s="250"/>
      <c r="Q9" s="250"/>
      <c r="R9" s="250"/>
    </row>
    <row r="10" spans="1:18" s="250" customFormat="1" ht="21">
      <c r="A10" s="249"/>
      <c r="B10" s="258" t="s">
        <v>400</v>
      </c>
    </row>
    <row r="11" spans="1:18">
      <c r="D11" s="269"/>
    </row>
    <row r="12" spans="1:18">
      <c r="B12" s="259" t="s">
        <v>401</v>
      </c>
    </row>
    <row r="13" spans="1:18" ht="78.75" hidden="1" customHeight="1" outlineLevel="1">
      <c r="B13" s="260" t="s">
        <v>422</v>
      </c>
      <c r="D13" s="269" t="s">
        <v>1487</v>
      </c>
    </row>
    <row r="14" spans="1:18" ht="91.5" hidden="1" customHeight="1" outlineLevel="1">
      <c r="B14" s="260" t="s">
        <v>1500</v>
      </c>
      <c r="D14" s="269" t="s">
        <v>1488</v>
      </c>
    </row>
    <row r="15" spans="1:18" ht="15" hidden="1" customHeight="1" outlineLevel="1">
      <c r="B15" s="260" t="s">
        <v>402</v>
      </c>
    </row>
    <row r="16" spans="1:18" ht="26.4" hidden="1" outlineLevel="1">
      <c r="B16" s="260" t="s">
        <v>403</v>
      </c>
    </row>
    <row r="17" spans="2:6" ht="54" hidden="1" customHeight="1" outlineLevel="1">
      <c r="B17" s="261" t="s">
        <v>404</v>
      </c>
    </row>
    <row r="18" spans="2:6" hidden="1" outlineLevel="1">
      <c r="B18" s="262"/>
    </row>
    <row r="19" spans="2:6" collapsed="1">
      <c r="B19" s="259" t="s">
        <v>405</v>
      </c>
    </row>
    <row r="20" spans="2:6" ht="132" hidden="1" outlineLevel="1">
      <c r="B20" s="260" t="s">
        <v>1871</v>
      </c>
      <c r="C20" s="270"/>
    </row>
    <row r="21" spans="2:6" ht="52.8" hidden="1" outlineLevel="1">
      <c r="B21" s="260" t="s">
        <v>1872</v>
      </c>
      <c r="C21" s="270"/>
      <c r="E21" s="269"/>
    </row>
    <row r="22" spans="2:6" ht="52.8" hidden="1" outlineLevel="1">
      <c r="B22" s="260" t="s">
        <v>1870</v>
      </c>
      <c r="C22" s="270"/>
      <c r="E22" s="269"/>
    </row>
    <row r="23" spans="2:6" ht="52.8" hidden="1" outlineLevel="1">
      <c r="B23" s="260" t="s">
        <v>1869</v>
      </c>
      <c r="C23" s="270"/>
      <c r="E23" s="269"/>
    </row>
    <row r="24" spans="2:6" ht="171.6" hidden="1" outlineLevel="1">
      <c r="B24" s="260" t="s">
        <v>1873</v>
      </c>
      <c r="C24" s="270"/>
      <c r="E24" s="269"/>
      <c r="F24" s="981"/>
    </row>
    <row r="25" spans="2:6" ht="132" hidden="1" outlineLevel="1">
      <c r="B25" s="260" t="s">
        <v>1849</v>
      </c>
      <c r="C25" s="270"/>
    </row>
    <row r="26" spans="2:6" ht="184.8" hidden="1" outlineLevel="1">
      <c r="B26" s="260" t="s">
        <v>1892</v>
      </c>
      <c r="C26" s="270"/>
    </row>
    <row r="27" spans="2:6" ht="79.2" hidden="1" outlineLevel="1">
      <c r="B27" s="260" t="s">
        <v>1866</v>
      </c>
      <c r="C27" s="270"/>
    </row>
    <row r="28" spans="2:6" ht="52.8" hidden="1" outlineLevel="1">
      <c r="B28" s="260" t="s">
        <v>1874</v>
      </c>
      <c r="C28" s="270"/>
    </row>
    <row r="29" spans="2:6" ht="66" hidden="1" outlineLevel="1">
      <c r="B29" s="260" t="s">
        <v>1875</v>
      </c>
      <c r="C29" s="270"/>
    </row>
    <row r="30" spans="2:6" ht="52.8" hidden="1" outlineLevel="1">
      <c r="B30" s="260" t="s">
        <v>1876</v>
      </c>
    </row>
    <row r="31" spans="2:6" ht="132" hidden="1" outlineLevel="1">
      <c r="B31" s="260" t="s">
        <v>1868</v>
      </c>
      <c r="C31" s="270"/>
    </row>
    <row r="32" spans="2:6" ht="39.6" hidden="1" outlineLevel="1">
      <c r="B32" s="260" t="s">
        <v>1867</v>
      </c>
      <c r="C32" s="270"/>
    </row>
    <row r="33" spans="2:4" ht="39.6" hidden="1" outlineLevel="1">
      <c r="B33" s="260" t="s">
        <v>489</v>
      </c>
    </row>
    <row r="34" spans="2:4" ht="117" hidden="1" customHeight="1" outlineLevel="1">
      <c r="B34" s="260" t="s">
        <v>1706</v>
      </c>
    </row>
    <row r="35" spans="2:4" ht="64.95" hidden="1" customHeight="1" outlineLevel="1">
      <c r="B35" s="260" t="s">
        <v>1516</v>
      </c>
    </row>
    <row r="36" spans="2:4" ht="52.8" hidden="1" outlineLevel="1">
      <c r="B36" s="260" t="s">
        <v>1877</v>
      </c>
    </row>
    <row r="37" spans="2:4" hidden="1" outlineLevel="1">
      <c r="B37" s="262"/>
    </row>
    <row r="38" spans="2:4" collapsed="1">
      <c r="B38" s="259" t="s">
        <v>406</v>
      </c>
    </row>
    <row r="39" spans="2:4" ht="39.6" hidden="1" outlineLevel="1">
      <c r="B39" s="1036" t="s">
        <v>1549</v>
      </c>
    </row>
    <row r="40" spans="2:4" ht="26.4" hidden="1" outlineLevel="1">
      <c r="B40" s="260" t="s">
        <v>1550</v>
      </c>
    </row>
    <row r="41" spans="2:4" hidden="1" outlineLevel="1">
      <c r="B41" s="1194" t="s">
        <v>1879</v>
      </c>
    </row>
    <row r="42" spans="2:4" ht="39.6" hidden="1" outlineLevel="1">
      <c r="B42" s="260" t="s">
        <v>1878</v>
      </c>
      <c r="D42" s="269" t="s">
        <v>1529</v>
      </c>
    </row>
    <row r="43" spans="2:4" ht="79.2" hidden="1" outlineLevel="1">
      <c r="B43" s="260" t="s">
        <v>1880</v>
      </c>
      <c r="D43" s="270" t="s">
        <v>1525</v>
      </c>
    </row>
    <row r="44" spans="2:4" hidden="1" outlineLevel="1">
      <c r="B44" s="260"/>
      <c r="D44" s="270"/>
    </row>
    <row r="45" spans="2:4" ht="132" hidden="1" outlineLevel="1">
      <c r="B45" s="260" t="s">
        <v>1891</v>
      </c>
      <c r="D45" s="270" t="s">
        <v>1526</v>
      </c>
    </row>
    <row r="46" spans="2:4" ht="39.450000000000003" hidden="1" customHeight="1" outlineLevel="1">
      <c r="B46" s="260" t="s">
        <v>1881</v>
      </c>
      <c r="D46" s="270"/>
    </row>
    <row r="47" spans="2:4" ht="52.8" hidden="1" outlineLevel="1">
      <c r="B47" s="260" t="s">
        <v>1882</v>
      </c>
      <c r="D47" s="270"/>
    </row>
    <row r="48" spans="2:4" ht="26.55" hidden="1" customHeight="1" outlineLevel="1">
      <c r="B48" s="260" t="s">
        <v>1888</v>
      </c>
      <c r="D48" s="270"/>
    </row>
    <row r="49" spans="2:4" ht="38.549999999999997" hidden="1" customHeight="1" outlineLevel="1">
      <c r="B49" s="260" t="s">
        <v>1890</v>
      </c>
      <c r="D49" s="270"/>
    </row>
    <row r="50" spans="2:4" ht="39.6" hidden="1" outlineLevel="1">
      <c r="B50" s="260" t="s">
        <v>1884</v>
      </c>
    </row>
    <row r="51" spans="2:4" ht="39.6" hidden="1" outlineLevel="1">
      <c r="B51" s="260" t="s">
        <v>1885</v>
      </c>
    </row>
    <row r="52" spans="2:4" ht="26.4" hidden="1" outlineLevel="1">
      <c r="B52" s="260" t="s">
        <v>1886</v>
      </c>
    </row>
    <row r="53" spans="2:4" ht="39.6" hidden="1" outlineLevel="1">
      <c r="B53" s="260" t="s">
        <v>1887</v>
      </c>
    </row>
    <row r="54" spans="2:4" ht="39.450000000000003" hidden="1" customHeight="1" outlineLevel="1">
      <c r="B54" s="260" t="s">
        <v>1889</v>
      </c>
    </row>
    <row r="55" spans="2:4" ht="52.8" hidden="1" outlineLevel="1">
      <c r="B55" s="260" t="s">
        <v>1883</v>
      </c>
    </row>
    <row r="56" spans="2:4" ht="102.75" hidden="1" customHeight="1" outlineLevel="1">
      <c r="B56" s="260" t="s">
        <v>423</v>
      </c>
    </row>
    <row r="57" spans="2:4" ht="52.8" hidden="1" outlineLevel="1">
      <c r="B57" s="260" t="s">
        <v>1899</v>
      </c>
    </row>
    <row r="58" spans="2:4" ht="26.4" hidden="1" outlineLevel="1">
      <c r="B58" s="260" t="s">
        <v>407</v>
      </c>
    </row>
    <row r="59" spans="2:4" ht="66" hidden="1" outlineLevel="1">
      <c r="B59" s="260" t="s">
        <v>424</v>
      </c>
    </row>
    <row r="60" spans="2:4" ht="39.6" hidden="1" outlineLevel="1">
      <c r="B60" s="260" t="s">
        <v>1517</v>
      </c>
    </row>
    <row r="61" spans="2:4" ht="26.4" hidden="1" outlineLevel="1">
      <c r="B61" s="260" t="s">
        <v>408</v>
      </c>
    </row>
    <row r="62" spans="2:4" ht="26.4" hidden="1" outlineLevel="1">
      <c r="B62" s="260" t="s">
        <v>409</v>
      </c>
    </row>
    <row r="63" spans="2:4" hidden="1" outlineLevel="1">
      <c r="B63" s="262"/>
    </row>
    <row r="64" spans="2:4" hidden="1" outlineLevel="1">
      <c r="B64" s="262"/>
    </row>
    <row r="65" spans="2:3" collapsed="1">
      <c r="B65" s="259" t="s">
        <v>410</v>
      </c>
    </row>
    <row r="66" spans="2:3" ht="90.75" hidden="1" customHeight="1" outlineLevel="1">
      <c r="B66" s="260" t="s">
        <v>1518</v>
      </c>
    </row>
    <row r="67" spans="2:3" ht="198" hidden="1" outlineLevel="1">
      <c r="B67" s="260" t="s">
        <v>1519</v>
      </c>
    </row>
    <row r="68" spans="2:3" ht="225" hidden="1" customHeight="1" outlineLevel="1">
      <c r="B68" s="260" t="s">
        <v>1520</v>
      </c>
    </row>
    <row r="69" spans="2:3" ht="191.25" hidden="1" customHeight="1" outlineLevel="1">
      <c r="B69" s="260" t="s">
        <v>1521</v>
      </c>
    </row>
    <row r="70" spans="2:3" ht="132" hidden="1" outlineLevel="1">
      <c r="B70" s="260" t="s">
        <v>425</v>
      </c>
    </row>
    <row r="71" spans="2:3" ht="92.4" hidden="1" outlineLevel="1">
      <c r="B71" s="260" t="s">
        <v>426</v>
      </c>
    </row>
    <row r="72" spans="2:3" hidden="1" outlineLevel="1">
      <c r="B72" s="262"/>
    </row>
    <row r="73" spans="2:3" collapsed="1">
      <c r="B73" s="259" t="s">
        <v>411</v>
      </c>
    </row>
    <row r="74" spans="2:3" ht="54" hidden="1" customHeight="1" outlineLevel="1">
      <c r="B74" s="260" t="s">
        <v>1613</v>
      </c>
      <c r="C74" s="983"/>
    </row>
    <row r="75" spans="2:3" ht="40.5" hidden="1" customHeight="1" outlineLevel="1">
      <c r="B75" s="260" t="s">
        <v>427</v>
      </c>
      <c r="C75" s="983"/>
    </row>
    <row r="76" spans="2:3" ht="127.95" hidden="1" customHeight="1" outlineLevel="1">
      <c r="B76" s="260" t="s">
        <v>1523</v>
      </c>
      <c r="C76" s="983" t="s">
        <v>1522</v>
      </c>
    </row>
    <row r="77" spans="2:3" ht="148.19999999999999" hidden="1" customHeight="1" outlineLevel="1">
      <c r="B77" s="260" t="s">
        <v>428</v>
      </c>
      <c r="C77" s="983"/>
    </row>
    <row r="78" spans="2:3" ht="77.400000000000006" hidden="1" customHeight="1" outlineLevel="1">
      <c r="B78" s="260" t="s">
        <v>429</v>
      </c>
      <c r="C78" s="983"/>
    </row>
    <row r="79" spans="2:3" ht="52.8" hidden="1" outlineLevel="1">
      <c r="B79" s="266" t="s">
        <v>412</v>
      </c>
      <c r="C79" s="983"/>
    </row>
    <row r="80" spans="2:3" hidden="1" outlineLevel="1"/>
    <row r="81" spans="2:2" collapsed="1">
      <c r="B81" s="259" t="s">
        <v>413</v>
      </c>
    </row>
    <row r="82" spans="2:2" hidden="1" outlineLevel="1"/>
    <row r="83" spans="2:2" hidden="1" outlineLevel="1">
      <c r="B83" s="267" t="s">
        <v>503</v>
      </c>
    </row>
    <row r="84" spans="2:2" ht="26.4" hidden="1" outlineLevel="1">
      <c r="B84" s="267" t="s">
        <v>576</v>
      </c>
    </row>
    <row r="85" spans="2:2" hidden="1" outlineLevel="1">
      <c r="B85" s="267" t="s">
        <v>577</v>
      </c>
    </row>
    <row r="86" spans="2:2" ht="26.4" hidden="1" outlineLevel="1">
      <c r="B86" s="267" t="s">
        <v>1116</v>
      </c>
    </row>
    <row r="87" spans="2:2" ht="92.4" hidden="1" outlineLevel="1">
      <c r="B87" s="267" t="s">
        <v>1524</v>
      </c>
    </row>
    <row r="88" spans="2:2" hidden="1" outlineLevel="1">
      <c r="B88" s="267"/>
    </row>
    <row r="89" spans="2:2" hidden="1" outlineLevel="1">
      <c r="B89" s="267"/>
    </row>
    <row r="90" spans="2:2" hidden="1" outlineLevel="1"/>
    <row r="91" spans="2:2" collapsed="1">
      <c r="B91" s="259" t="s">
        <v>414</v>
      </c>
    </row>
    <row r="92" spans="2:2" ht="256.5" hidden="1" customHeight="1" outlineLevel="1">
      <c r="B92" s="263" t="s">
        <v>415</v>
      </c>
    </row>
    <row r="93" spans="2:2" ht="52.8" hidden="1" outlineLevel="1">
      <c r="B93" s="263" t="s">
        <v>430</v>
      </c>
    </row>
    <row r="94" spans="2:2" ht="79.2" hidden="1" outlineLevel="1">
      <c r="B94" s="263" t="s">
        <v>416</v>
      </c>
    </row>
    <row r="95" spans="2:2" ht="79.2" hidden="1" outlineLevel="1">
      <c r="B95" s="263" t="s">
        <v>431</v>
      </c>
    </row>
    <row r="96" spans="2:2" ht="118.8" hidden="1" outlineLevel="1">
      <c r="B96" s="263" t="s">
        <v>432</v>
      </c>
    </row>
    <row r="97" spans="2:2" ht="184.8" hidden="1" outlineLevel="1">
      <c r="B97" s="264" t="s">
        <v>433</v>
      </c>
    </row>
    <row r="98" spans="2:2" ht="211.2" hidden="1" outlineLevel="1">
      <c r="B98" s="268" t="s">
        <v>491</v>
      </c>
    </row>
    <row r="99" spans="2:2" ht="66" hidden="1" outlineLevel="1">
      <c r="B99" s="269" t="s">
        <v>434</v>
      </c>
    </row>
    <row r="100" spans="2:2" ht="66" hidden="1" outlineLevel="1">
      <c r="B100" s="269" t="s">
        <v>435</v>
      </c>
    </row>
    <row r="101" spans="2:2" hidden="1" outlineLevel="1">
      <c r="B101" s="269"/>
    </row>
    <row r="102" spans="2:2" collapsed="1"/>
  </sheetData>
  <pageMargins left="0.45" right="0.41" top="0.96" bottom="0.62" header="0.52" footer="0.5"/>
  <pageSetup paperSize="9" scale="90" orientation="portrait" r:id="rId1"/>
  <headerFooter alignWithMargins="0">
    <oddHeader xml:space="preserve">&amp;CIntroduction to oil field integrated, probabilistic life-cycle model
</oddHeader>
    <oddFooter>&amp;Cpage &amp;P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C99"/>
  </sheetPr>
  <dimension ref="A1:AZ100"/>
  <sheetViews>
    <sheetView zoomScale="90" zoomScaleNormal="90" workbookViewId="0"/>
  </sheetViews>
  <sheetFormatPr defaultRowHeight="14.4"/>
  <sheetData>
    <row r="1" spans="1:52">
      <c r="A1" s="553"/>
      <c r="B1" s="358"/>
      <c r="C1" s="553"/>
      <c r="D1" s="358"/>
      <c r="E1" s="553"/>
      <c r="F1" s="358"/>
      <c r="G1" s="553"/>
      <c r="H1" s="358"/>
      <c r="I1" s="553"/>
      <c r="J1" s="358"/>
      <c r="K1" s="553"/>
      <c r="L1" s="358"/>
      <c r="M1" s="553"/>
      <c r="N1" s="358"/>
      <c r="O1" s="553"/>
      <c r="P1" s="358"/>
      <c r="Q1" s="553"/>
      <c r="R1" s="358"/>
      <c r="S1" s="553"/>
      <c r="T1" s="358"/>
      <c r="U1" s="553"/>
      <c r="V1" s="358"/>
      <c r="W1" s="553"/>
      <c r="X1" s="358"/>
      <c r="Y1" s="553"/>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row>
    <row r="2" spans="1:52">
      <c r="A2" s="358"/>
      <c r="B2" s="358"/>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row>
    <row r="3" spans="1:52">
      <c r="A3" s="553"/>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row>
    <row r="4" spans="1:52">
      <c r="A4" s="358"/>
      <c r="B4" s="358"/>
      <c r="C4" s="553"/>
      <c r="D4" s="358"/>
      <c r="E4" s="553"/>
      <c r="F4" s="358"/>
      <c r="G4" s="553"/>
      <c r="H4" s="358"/>
      <c r="I4" s="553"/>
      <c r="J4" s="358"/>
      <c r="K4" s="553"/>
      <c r="L4" s="358"/>
      <c r="M4" s="553"/>
      <c r="N4" s="358"/>
      <c r="O4" s="553"/>
      <c r="P4" s="358"/>
      <c r="Q4" s="553"/>
      <c r="R4" s="358"/>
      <c r="S4" s="553"/>
      <c r="T4" s="358"/>
      <c r="U4" s="553"/>
      <c r="V4" s="358"/>
      <c r="W4" s="553"/>
      <c r="X4" s="358"/>
      <c r="Y4" s="553"/>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row>
    <row r="5" spans="1:52">
      <c r="A5" s="553"/>
      <c r="B5" s="358"/>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row>
    <row r="6" spans="1:52">
      <c r="A6" s="358"/>
      <c r="B6" s="358"/>
      <c r="C6" s="358"/>
      <c r="D6" s="358"/>
      <c r="E6" s="358"/>
      <c r="F6" s="358"/>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c r="AT6" s="358"/>
      <c r="AU6" s="358"/>
      <c r="AV6" s="358"/>
      <c r="AW6" s="358"/>
      <c r="AX6" s="358"/>
      <c r="AY6" s="358"/>
      <c r="AZ6" s="358"/>
    </row>
    <row r="7" spans="1:52">
      <c r="A7" s="553"/>
      <c r="B7" s="358"/>
      <c r="C7" s="553"/>
      <c r="D7" s="358"/>
      <c r="E7" s="553"/>
      <c r="F7" s="358"/>
      <c r="G7" s="553"/>
      <c r="H7" s="358"/>
      <c r="I7" s="553"/>
      <c r="J7" s="358"/>
      <c r="K7" s="553"/>
      <c r="L7" s="358"/>
      <c r="M7" s="553"/>
      <c r="N7" s="358"/>
      <c r="O7" s="553"/>
      <c r="P7" s="358"/>
      <c r="Q7" s="553"/>
      <c r="R7" s="358"/>
      <c r="S7" s="553"/>
      <c r="T7" s="358"/>
      <c r="U7" s="553"/>
      <c r="V7" s="358"/>
      <c r="W7" s="553"/>
      <c r="X7" s="358"/>
      <c r="Y7" s="553"/>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358"/>
      <c r="AZ7" s="358"/>
    </row>
    <row r="8" spans="1:52">
      <c r="A8" s="358"/>
      <c r="B8" s="358"/>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58"/>
      <c r="AV8" s="358"/>
      <c r="AW8" s="358"/>
      <c r="AX8" s="358"/>
      <c r="AY8" s="358"/>
      <c r="AZ8" s="358"/>
    </row>
    <row r="9" spans="1:52">
      <c r="A9" s="553"/>
      <c r="B9" s="358"/>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c r="AT9" s="358"/>
      <c r="AU9" s="358"/>
      <c r="AV9" s="358"/>
      <c r="AW9" s="358"/>
      <c r="AX9" s="358"/>
      <c r="AY9" s="358"/>
      <c r="AZ9" s="358"/>
    </row>
    <row r="10" spans="1:52">
      <c r="A10" s="358"/>
      <c r="B10" s="358"/>
      <c r="C10" s="553"/>
      <c r="D10" s="358"/>
      <c r="E10" s="553"/>
      <c r="F10" s="358"/>
      <c r="G10" s="553"/>
      <c r="H10" s="358"/>
      <c r="I10" s="553"/>
      <c r="J10" s="358"/>
      <c r="K10" s="553"/>
      <c r="L10" s="358"/>
      <c r="M10" s="553"/>
      <c r="N10" s="358"/>
      <c r="O10" s="553"/>
      <c r="P10" s="358"/>
      <c r="Q10" s="553"/>
      <c r="R10" s="358"/>
      <c r="S10" s="553"/>
      <c r="T10" s="358"/>
      <c r="U10" s="553"/>
      <c r="V10" s="358"/>
      <c r="W10" s="553"/>
      <c r="X10" s="358"/>
      <c r="Y10" s="553"/>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row>
    <row r="11" spans="1:52">
      <c r="A11" s="553"/>
      <c r="B11" s="358"/>
      <c r="C11" s="358"/>
      <c r="D11" s="358"/>
      <c r="E11" s="358"/>
      <c r="F11" s="358"/>
      <c r="G11" s="358"/>
      <c r="H11" s="358"/>
      <c r="I11" s="358"/>
      <c r="J11" s="358"/>
      <c r="K11" s="358"/>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row>
    <row r="12" spans="1:52">
      <c r="A12" s="358"/>
      <c r="B12" s="358"/>
      <c r="C12" s="358"/>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358"/>
    </row>
    <row r="13" spans="1:52">
      <c r="A13" s="553"/>
      <c r="B13" s="358"/>
      <c r="C13" s="553"/>
      <c r="D13" s="358"/>
      <c r="E13" s="553"/>
      <c r="F13" s="358"/>
      <c r="G13" s="553"/>
      <c r="H13" s="358"/>
      <c r="I13" s="553"/>
      <c r="J13" s="358"/>
      <c r="K13" s="553"/>
      <c r="L13" s="358"/>
      <c r="M13" s="553"/>
      <c r="N13" s="358"/>
      <c r="O13" s="553"/>
      <c r="P13" s="358"/>
      <c r="Q13" s="553"/>
      <c r="R13" s="358"/>
      <c r="S13" s="553"/>
      <c r="T13" s="358"/>
      <c r="U13" s="553"/>
      <c r="V13" s="358"/>
      <c r="W13" s="553"/>
      <c r="X13" s="358"/>
      <c r="Y13" s="553"/>
      <c r="Z13" s="358"/>
      <c r="AA13" s="358"/>
      <c r="AB13" s="358"/>
      <c r="AC13" s="358"/>
      <c r="AD13" s="358"/>
      <c r="AE13" s="358"/>
      <c r="AF13" s="358"/>
      <c r="AG13" s="358"/>
      <c r="AH13" s="358"/>
      <c r="AI13" s="358"/>
      <c r="AJ13" s="358"/>
      <c r="AK13" s="358"/>
      <c r="AL13" s="358"/>
      <c r="AM13" s="358"/>
      <c r="AN13" s="358"/>
      <c r="AO13" s="358"/>
      <c r="AP13" s="358"/>
      <c r="AQ13" s="358"/>
      <c r="AR13" s="358"/>
      <c r="AS13" s="358"/>
      <c r="AT13" s="358"/>
      <c r="AU13" s="358"/>
      <c r="AV13" s="358"/>
      <c r="AW13" s="358"/>
      <c r="AX13" s="358"/>
      <c r="AY13" s="358"/>
      <c r="AZ13" s="358"/>
    </row>
    <row r="14" spans="1:52">
      <c r="A14" s="358"/>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row>
    <row r="15" spans="1:52">
      <c r="A15" s="553"/>
      <c r="B15" s="358"/>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row>
    <row r="16" spans="1:52">
      <c r="A16" s="358"/>
      <c r="B16" s="358"/>
      <c r="C16" s="553"/>
      <c r="D16" s="358"/>
      <c r="E16" s="553"/>
      <c r="F16" s="358"/>
      <c r="G16" s="553"/>
      <c r="H16" s="358"/>
      <c r="I16" s="553"/>
      <c r="J16" s="358"/>
      <c r="K16" s="553"/>
      <c r="L16" s="358"/>
      <c r="M16" s="553"/>
      <c r="N16" s="358"/>
      <c r="O16" s="553"/>
      <c r="P16" s="358"/>
      <c r="Q16" s="553"/>
      <c r="R16" s="358"/>
      <c r="S16" s="553"/>
      <c r="T16" s="358"/>
      <c r="U16" s="553"/>
      <c r="V16" s="358"/>
      <c r="W16" s="553"/>
      <c r="X16" s="358"/>
      <c r="Y16" s="553"/>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358"/>
    </row>
    <row r="17" spans="1:52">
      <c r="A17" s="553"/>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358"/>
      <c r="AZ17" s="358"/>
    </row>
    <row r="18" spans="1:52">
      <c r="A18" s="358"/>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358"/>
      <c r="AZ18" s="358"/>
    </row>
    <row r="19" spans="1:52">
      <c r="A19" s="553"/>
      <c r="B19" s="358"/>
      <c r="C19" s="553"/>
      <c r="D19" s="358"/>
      <c r="E19" s="553"/>
      <c r="F19" s="358"/>
      <c r="G19" s="553"/>
      <c r="H19" s="358"/>
      <c r="I19" s="553"/>
      <c r="J19" s="358"/>
      <c r="K19" s="553"/>
      <c r="L19" s="358"/>
      <c r="M19" s="553"/>
      <c r="N19" s="358"/>
      <c r="O19" s="553"/>
      <c r="P19" s="358"/>
      <c r="Q19" s="553"/>
      <c r="R19" s="358"/>
      <c r="S19" s="553"/>
      <c r="T19" s="358"/>
      <c r="U19" s="553"/>
      <c r="V19" s="358"/>
      <c r="W19" s="553"/>
      <c r="X19" s="358"/>
      <c r="Y19" s="553"/>
      <c r="Z19" s="358"/>
      <c r="AA19" s="358"/>
      <c r="AB19" s="358"/>
      <c r="AC19" s="358"/>
      <c r="AD19" s="358"/>
      <c r="AE19" s="358"/>
      <c r="AF19" s="358"/>
      <c r="AG19" s="358"/>
      <c r="AH19" s="358"/>
      <c r="AI19" s="358"/>
      <c r="AJ19" s="358"/>
      <c r="AK19" s="358"/>
      <c r="AL19" s="358"/>
      <c r="AM19" s="358"/>
      <c r="AN19" s="358"/>
      <c r="AO19" s="358"/>
      <c r="AP19" s="358"/>
      <c r="AQ19" s="358"/>
      <c r="AR19" s="358"/>
      <c r="AS19" s="358"/>
      <c r="AT19" s="358"/>
      <c r="AU19" s="358"/>
      <c r="AV19" s="358"/>
      <c r="AW19" s="358"/>
      <c r="AX19" s="358"/>
      <c r="AY19" s="358"/>
      <c r="AZ19" s="358"/>
    </row>
    <row r="20" spans="1:52">
      <c r="A20" s="358"/>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358"/>
      <c r="AS20" s="358"/>
      <c r="AT20" s="358"/>
      <c r="AU20" s="358"/>
      <c r="AV20" s="358"/>
      <c r="AW20" s="358"/>
      <c r="AX20" s="358"/>
      <c r="AY20" s="358"/>
      <c r="AZ20" s="358"/>
    </row>
    <row r="21" spans="1:52">
      <c r="A21" s="553"/>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row>
    <row r="22" spans="1:52">
      <c r="A22" s="358"/>
      <c r="B22" s="358"/>
      <c r="C22" s="553"/>
      <c r="D22" s="358"/>
      <c r="E22" s="553"/>
      <c r="F22" s="358"/>
      <c r="G22" s="553"/>
      <c r="H22" s="358"/>
      <c r="I22" s="553"/>
      <c r="J22" s="358"/>
      <c r="K22" s="553"/>
      <c r="L22" s="358"/>
      <c r="M22" s="553"/>
      <c r="N22" s="358"/>
      <c r="O22" s="553"/>
      <c r="P22" s="358"/>
      <c r="Q22" s="553"/>
      <c r="R22" s="358"/>
      <c r="S22" s="553"/>
      <c r="T22" s="358"/>
      <c r="U22" s="553"/>
      <c r="V22" s="358"/>
      <c r="W22" s="553"/>
      <c r="X22" s="358"/>
      <c r="Y22" s="553"/>
      <c r="Z22" s="358"/>
      <c r="AA22" s="358"/>
      <c r="AB22" s="358"/>
      <c r="AC22" s="358"/>
      <c r="AD22" s="358"/>
      <c r="AE22" s="358"/>
      <c r="AF22" s="358"/>
      <c r="AG22" s="358"/>
      <c r="AH22" s="358"/>
      <c r="AI22" s="358"/>
      <c r="AJ22" s="358"/>
      <c r="AK22" s="358"/>
      <c r="AL22" s="358"/>
      <c r="AM22" s="358"/>
      <c r="AN22" s="358"/>
      <c r="AO22" s="358"/>
      <c r="AP22" s="358"/>
      <c r="AQ22" s="358"/>
      <c r="AR22" s="358"/>
      <c r="AS22" s="358"/>
      <c r="AT22" s="358"/>
      <c r="AU22" s="358"/>
      <c r="AV22" s="358"/>
      <c r="AW22" s="358"/>
      <c r="AX22" s="358"/>
      <c r="AY22" s="358"/>
      <c r="AZ22" s="358"/>
    </row>
    <row r="23" spans="1:52">
      <c r="A23" s="553"/>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row>
    <row r="24" spans="1:52">
      <c r="A24" s="358"/>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row>
    <row r="25" spans="1:52">
      <c r="A25" s="553"/>
      <c r="B25" s="358"/>
      <c r="C25" s="553"/>
      <c r="D25" s="358"/>
      <c r="E25" s="553"/>
      <c r="F25" s="358"/>
      <c r="G25" s="553"/>
      <c r="H25" s="358"/>
      <c r="I25" s="553"/>
      <c r="J25" s="358"/>
      <c r="K25" s="553"/>
      <c r="L25" s="358"/>
      <c r="M25" s="553"/>
      <c r="N25" s="358"/>
      <c r="O25" s="553"/>
      <c r="P25" s="358"/>
      <c r="Q25" s="553"/>
      <c r="R25" s="358"/>
      <c r="S25" s="553"/>
      <c r="T25" s="358"/>
      <c r="U25" s="553"/>
      <c r="V25" s="358"/>
      <c r="W25" s="553"/>
      <c r="X25" s="358"/>
      <c r="Y25" s="553"/>
      <c r="Z25" s="358"/>
      <c r="AA25" s="358"/>
      <c r="AB25" s="358"/>
      <c r="AC25" s="358"/>
      <c r="AD25" s="358"/>
      <c r="AE25" s="358"/>
      <c r="AF25" s="358"/>
      <c r="AG25" s="358"/>
      <c r="AH25" s="358"/>
      <c r="AI25" s="358"/>
      <c r="AJ25" s="358"/>
      <c r="AK25" s="358"/>
      <c r="AL25" s="358"/>
      <c r="AM25" s="358"/>
      <c r="AN25" s="358"/>
      <c r="AO25" s="358"/>
      <c r="AP25" s="358"/>
      <c r="AQ25" s="358"/>
      <c r="AR25" s="358"/>
      <c r="AS25" s="358"/>
      <c r="AT25" s="358"/>
      <c r="AU25" s="358"/>
      <c r="AV25" s="358"/>
      <c r="AW25" s="358"/>
      <c r="AX25" s="358"/>
      <c r="AY25" s="358"/>
      <c r="AZ25" s="358"/>
    </row>
    <row r="26" spans="1:52">
      <c r="A26" s="358"/>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c r="AH26" s="358"/>
      <c r="AI26" s="358"/>
      <c r="AJ26" s="358"/>
      <c r="AK26" s="358"/>
      <c r="AL26" s="358"/>
      <c r="AM26" s="358"/>
      <c r="AN26" s="358"/>
      <c r="AO26" s="358"/>
      <c r="AP26" s="358"/>
      <c r="AQ26" s="358"/>
      <c r="AR26" s="358"/>
      <c r="AS26" s="358"/>
      <c r="AT26" s="358"/>
      <c r="AU26" s="358"/>
      <c r="AV26" s="358"/>
      <c r="AW26" s="358"/>
      <c r="AX26" s="358"/>
      <c r="AY26" s="358"/>
      <c r="AZ26" s="358"/>
    </row>
    <row r="27" spans="1:52">
      <c r="A27" s="553"/>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358"/>
      <c r="AZ27" s="358"/>
    </row>
    <row r="28" spans="1:52">
      <c r="A28" s="358"/>
      <c r="B28" s="358"/>
      <c r="C28" s="553"/>
      <c r="D28" s="358"/>
      <c r="E28" s="553"/>
      <c r="F28" s="358"/>
      <c r="G28" s="553"/>
      <c r="H28" s="358"/>
      <c r="I28" s="553"/>
      <c r="J28" s="358"/>
      <c r="K28" s="553"/>
      <c r="L28" s="358"/>
      <c r="M28" s="553"/>
      <c r="N28" s="358"/>
      <c r="O28" s="553"/>
      <c r="P28" s="358"/>
      <c r="Q28" s="553"/>
      <c r="R28" s="358"/>
      <c r="S28" s="553"/>
      <c r="T28" s="358"/>
      <c r="U28" s="553"/>
      <c r="V28" s="358"/>
      <c r="W28" s="553"/>
      <c r="X28" s="358"/>
      <c r="Y28" s="553"/>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358"/>
      <c r="AZ28" s="358"/>
    </row>
    <row r="29" spans="1:52">
      <c r="A29" s="553"/>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row>
    <row r="30" spans="1:52">
      <c r="A30" s="358"/>
      <c r="B30" s="358"/>
      <c r="C30" s="553"/>
      <c r="D30" s="358"/>
      <c r="E30" s="553"/>
      <c r="F30" s="358"/>
      <c r="G30" s="553"/>
      <c r="H30" s="358"/>
      <c r="I30" s="553"/>
      <c r="J30" s="358"/>
      <c r="K30" s="553"/>
      <c r="L30" s="358"/>
      <c r="M30" s="553"/>
      <c r="N30" s="358"/>
      <c r="O30" s="553"/>
      <c r="P30" s="358"/>
      <c r="Q30" s="553"/>
      <c r="R30" s="358"/>
      <c r="S30" s="553"/>
      <c r="T30" s="358"/>
      <c r="U30" s="553"/>
      <c r="V30" s="358"/>
      <c r="W30" s="553"/>
      <c r="X30" s="358"/>
      <c r="Y30" s="553"/>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row>
    <row r="31" spans="1:52">
      <c r="A31" s="553"/>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row>
    <row r="32" spans="1:52">
      <c r="A32" s="358"/>
      <c r="B32" s="358"/>
      <c r="C32" s="553"/>
      <c r="D32" s="358"/>
      <c r="E32" s="553"/>
      <c r="F32" s="358"/>
      <c r="G32" s="553"/>
      <c r="H32" s="358"/>
      <c r="I32" s="553"/>
      <c r="J32" s="358"/>
      <c r="K32" s="553"/>
      <c r="L32" s="358"/>
      <c r="M32" s="553"/>
      <c r="N32" s="358"/>
      <c r="O32" s="553"/>
      <c r="P32" s="358"/>
      <c r="Q32" s="553"/>
      <c r="R32" s="358"/>
      <c r="S32" s="553"/>
      <c r="T32" s="358"/>
      <c r="U32" s="553"/>
      <c r="V32" s="358"/>
      <c r="W32" s="553"/>
      <c r="X32" s="358"/>
      <c r="Y32" s="553"/>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row>
    <row r="33" spans="1:52">
      <c r="A33" s="553"/>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c r="AH33" s="358"/>
      <c r="AI33" s="358"/>
      <c r="AJ33" s="358"/>
      <c r="AK33" s="358"/>
      <c r="AL33" s="358"/>
      <c r="AM33" s="358"/>
      <c r="AN33" s="358"/>
      <c r="AO33" s="358"/>
      <c r="AP33" s="358"/>
      <c r="AQ33" s="358"/>
      <c r="AR33" s="358"/>
      <c r="AS33" s="358"/>
      <c r="AT33" s="358"/>
      <c r="AU33" s="358"/>
      <c r="AV33" s="358"/>
      <c r="AW33" s="358"/>
      <c r="AX33" s="358"/>
      <c r="AY33" s="358"/>
      <c r="AZ33" s="358"/>
    </row>
    <row r="34" spans="1:52">
      <c r="A34" s="358"/>
      <c r="B34" s="358"/>
      <c r="C34" s="553"/>
      <c r="D34" s="358"/>
      <c r="E34" s="553"/>
      <c r="F34" s="358"/>
      <c r="G34" s="553"/>
      <c r="H34" s="358"/>
      <c r="I34" s="553"/>
      <c r="J34" s="358"/>
      <c r="K34" s="553"/>
      <c r="L34" s="358"/>
      <c r="M34" s="553"/>
      <c r="N34" s="358"/>
      <c r="O34" s="553"/>
      <c r="P34" s="358"/>
      <c r="Q34" s="553"/>
      <c r="R34" s="358"/>
      <c r="S34" s="553"/>
      <c r="T34" s="358"/>
      <c r="U34" s="553"/>
      <c r="V34" s="358"/>
      <c r="W34" s="553"/>
      <c r="X34" s="358"/>
      <c r="Y34" s="553"/>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row>
    <row r="35" spans="1:52">
      <c r="A35" s="553"/>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c r="AI35" s="358"/>
      <c r="AJ35" s="358"/>
      <c r="AK35" s="358"/>
      <c r="AL35" s="358"/>
      <c r="AM35" s="358"/>
      <c r="AN35" s="358"/>
      <c r="AO35" s="358"/>
      <c r="AP35" s="358"/>
      <c r="AQ35" s="358"/>
      <c r="AR35" s="358"/>
      <c r="AS35" s="358"/>
      <c r="AT35" s="358"/>
      <c r="AU35" s="358"/>
      <c r="AV35" s="358"/>
      <c r="AW35" s="358"/>
      <c r="AX35" s="358"/>
      <c r="AY35" s="358"/>
      <c r="AZ35" s="358"/>
    </row>
    <row r="36" spans="1:52">
      <c r="A36" s="358"/>
      <c r="B36" s="358"/>
      <c r="C36" s="553"/>
      <c r="D36" s="358"/>
      <c r="E36" s="553"/>
      <c r="F36" s="358"/>
      <c r="G36" s="553"/>
      <c r="H36" s="358"/>
      <c r="I36" s="553"/>
      <c r="J36" s="358"/>
      <c r="K36" s="553"/>
      <c r="L36" s="358"/>
      <c r="M36" s="553"/>
      <c r="N36" s="358"/>
      <c r="O36" s="553"/>
      <c r="P36" s="358"/>
      <c r="Q36" s="553"/>
      <c r="R36" s="358"/>
      <c r="S36" s="553"/>
      <c r="T36" s="358"/>
      <c r="U36" s="553"/>
      <c r="V36" s="358"/>
      <c r="W36" s="553"/>
      <c r="X36" s="358"/>
      <c r="Y36" s="553"/>
      <c r="Z36" s="358"/>
      <c r="AA36" s="358"/>
      <c r="AB36" s="358"/>
      <c r="AC36" s="358"/>
      <c r="AD36" s="358"/>
      <c r="AE36" s="358"/>
      <c r="AF36" s="358"/>
      <c r="AG36" s="358"/>
      <c r="AH36" s="358"/>
      <c r="AI36" s="358"/>
      <c r="AJ36" s="358"/>
      <c r="AK36" s="358"/>
      <c r="AL36" s="358"/>
      <c r="AM36" s="358"/>
      <c r="AN36" s="358"/>
      <c r="AO36" s="358"/>
      <c r="AP36" s="358"/>
      <c r="AQ36" s="358"/>
      <c r="AR36" s="358"/>
      <c r="AS36" s="358"/>
      <c r="AT36" s="358"/>
      <c r="AU36" s="358"/>
      <c r="AV36" s="358"/>
      <c r="AW36" s="358"/>
      <c r="AX36" s="358"/>
      <c r="AY36" s="358"/>
      <c r="AZ36" s="358"/>
    </row>
    <row r="37" spans="1:52">
      <c r="A37" s="553"/>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358"/>
      <c r="AZ37" s="358"/>
    </row>
    <row r="38" spans="1:52">
      <c r="A38" s="358"/>
      <c r="B38" s="358"/>
      <c r="C38" s="553"/>
      <c r="D38" s="358"/>
      <c r="E38" s="553"/>
      <c r="F38" s="358"/>
      <c r="G38" s="553"/>
      <c r="H38" s="358"/>
      <c r="I38" s="553"/>
      <c r="J38" s="358"/>
      <c r="K38" s="553"/>
      <c r="L38" s="358"/>
      <c r="M38" s="553"/>
      <c r="N38" s="358"/>
      <c r="O38" s="553"/>
      <c r="P38" s="358"/>
      <c r="Q38" s="553"/>
      <c r="R38" s="358"/>
      <c r="S38" s="553"/>
      <c r="T38" s="358"/>
      <c r="U38" s="553"/>
      <c r="V38" s="358"/>
      <c r="W38" s="553"/>
      <c r="X38" s="358"/>
      <c r="Y38" s="553"/>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358"/>
    </row>
    <row r="39" spans="1:52">
      <c r="A39" s="358"/>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c r="AH39" s="358"/>
      <c r="AI39" s="358"/>
      <c r="AJ39" s="358"/>
      <c r="AK39" s="358"/>
      <c r="AL39" s="358"/>
      <c r="AM39" s="358"/>
      <c r="AN39" s="358"/>
      <c r="AO39" s="358"/>
      <c r="AP39" s="358"/>
      <c r="AQ39" s="358"/>
      <c r="AR39" s="358"/>
      <c r="AS39" s="358"/>
      <c r="AT39" s="358"/>
      <c r="AU39" s="358"/>
      <c r="AV39" s="358"/>
      <c r="AW39" s="358"/>
      <c r="AX39" s="358"/>
      <c r="AY39" s="358"/>
      <c r="AZ39" s="358"/>
    </row>
    <row r="40" spans="1:52">
      <c r="A40" s="358"/>
      <c r="B40" s="358"/>
      <c r="C40" s="553"/>
      <c r="D40" s="358"/>
      <c r="E40" s="553"/>
      <c r="F40" s="358"/>
      <c r="G40" s="553"/>
      <c r="H40" s="358"/>
      <c r="I40" s="553"/>
      <c r="J40" s="358"/>
      <c r="K40" s="553"/>
      <c r="L40" s="358"/>
      <c r="M40" s="553"/>
      <c r="N40" s="358"/>
      <c r="O40" s="553"/>
      <c r="P40" s="358"/>
      <c r="Q40" s="553"/>
      <c r="R40" s="358"/>
      <c r="S40" s="553"/>
      <c r="T40" s="358"/>
      <c r="U40" s="553"/>
      <c r="V40" s="358"/>
      <c r="W40" s="553"/>
      <c r="X40" s="358"/>
      <c r="Y40" s="553"/>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358"/>
      <c r="AZ40" s="358"/>
    </row>
    <row r="41" spans="1:52">
      <c r="A41" s="358"/>
      <c r="B41" s="358"/>
      <c r="C41" s="358"/>
      <c r="D41" s="358"/>
      <c r="E41" s="358"/>
      <c r="F41" s="35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358"/>
      <c r="AG41" s="358"/>
      <c r="AH41" s="358"/>
      <c r="AI41" s="358"/>
      <c r="AJ41" s="358"/>
      <c r="AK41" s="358"/>
      <c r="AL41" s="358"/>
      <c r="AM41" s="358"/>
      <c r="AN41" s="358"/>
      <c r="AO41" s="358"/>
      <c r="AP41" s="358"/>
      <c r="AQ41" s="358"/>
      <c r="AR41" s="358"/>
      <c r="AS41" s="358"/>
      <c r="AT41" s="358"/>
      <c r="AU41" s="358"/>
      <c r="AV41" s="358"/>
      <c r="AW41" s="358"/>
      <c r="AX41" s="358"/>
      <c r="AY41" s="358"/>
      <c r="AZ41" s="358"/>
    </row>
    <row r="42" spans="1:52">
      <c r="A42" s="358"/>
      <c r="B42" s="358"/>
      <c r="C42" s="553"/>
      <c r="D42" s="358"/>
      <c r="E42" s="553"/>
      <c r="F42" s="358"/>
      <c r="G42" s="553"/>
      <c r="H42" s="358"/>
      <c r="I42" s="553"/>
      <c r="J42" s="358"/>
      <c r="K42" s="553"/>
      <c r="L42" s="358"/>
      <c r="M42" s="553"/>
      <c r="N42" s="358"/>
      <c r="O42" s="553"/>
      <c r="P42" s="358"/>
      <c r="Q42" s="553"/>
      <c r="R42" s="358"/>
      <c r="S42" s="553"/>
      <c r="T42" s="358"/>
      <c r="U42" s="553"/>
      <c r="V42" s="358"/>
      <c r="W42" s="553"/>
      <c r="X42" s="358"/>
      <c r="Y42" s="553"/>
      <c r="Z42" s="358"/>
      <c r="AA42" s="358"/>
      <c r="AB42" s="358"/>
      <c r="AC42" s="358"/>
      <c r="AD42" s="358"/>
      <c r="AE42" s="358"/>
      <c r="AF42" s="358"/>
      <c r="AG42" s="358"/>
      <c r="AH42" s="358"/>
      <c r="AI42" s="358"/>
      <c r="AJ42" s="358"/>
      <c r="AK42" s="358"/>
      <c r="AL42" s="358"/>
      <c r="AM42" s="358"/>
      <c r="AN42" s="358"/>
      <c r="AO42" s="358"/>
      <c r="AP42" s="358"/>
      <c r="AQ42" s="358"/>
      <c r="AR42" s="358"/>
      <c r="AS42" s="358"/>
      <c r="AT42" s="358"/>
      <c r="AU42" s="358"/>
      <c r="AV42" s="358"/>
      <c r="AW42" s="358"/>
      <c r="AX42" s="358"/>
      <c r="AY42" s="358"/>
      <c r="AZ42" s="358"/>
    </row>
    <row r="43" spans="1:52">
      <c r="A43" s="358"/>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row>
    <row r="44" spans="1:52">
      <c r="A44" s="358"/>
      <c r="B44" s="358"/>
      <c r="C44" s="553"/>
      <c r="D44" s="358"/>
      <c r="E44" s="553"/>
      <c r="F44" s="358"/>
      <c r="G44" s="553"/>
      <c r="H44" s="358"/>
      <c r="I44" s="553"/>
      <c r="J44" s="358"/>
      <c r="K44" s="553"/>
      <c r="L44" s="358"/>
      <c r="M44" s="553"/>
      <c r="N44" s="358"/>
      <c r="O44" s="553"/>
      <c r="P44" s="358"/>
      <c r="Q44" s="553"/>
      <c r="R44" s="358"/>
      <c r="S44" s="553"/>
      <c r="T44" s="358"/>
      <c r="U44" s="553"/>
      <c r="V44" s="358"/>
      <c r="W44" s="553"/>
      <c r="X44" s="358"/>
      <c r="Y44" s="553"/>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row>
    <row r="45" spans="1:52">
      <c r="A45" s="358"/>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358"/>
    </row>
    <row r="46" spans="1:52">
      <c r="A46" s="358"/>
      <c r="B46" s="358"/>
      <c r="C46" s="553"/>
      <c r="D46" s="358"/>
      <c r="E46" s="553"/>
      <c r="F46" s="358"/>
      <c r="G46" s="553"/>
      <c r="H46" s="358"/>
      <c r="I46" s="553"/>
      <c r="J46" s="358"/>
      <c r="K46" s="553"/>
      <c r="L46" s="358"/>
      <c r="M46" s="553"/>
      <c r="N46" s="358"/>
      <c r="O46" s="553"/>
      <c r="P46" s="358"/>
      <c r="Q46" s="553"/>
      <c r="R46" s="358"/>
      <c r="S46" s="553"/>
      <c r="T46" s="358"/>
      <c r="U46" s="553"/>
      <c r="V46" s="358"/>
      <c r="W46" s="553"/>
      <c r="X46" s="358"/>
      <c r="Y46" s="553"/>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358"/>
    </row>
    <row r="47" spans="1:52">
      <c r="A47" s="358"/>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358"/>
    </row>
    <row r="48" spans="1:52">
      <c r="A48" s="358"/>
      <c r="B48" s="358"/>
      <c r="C48" s="553"/>
      <c r="D48" s="358"/>
      <c r="E48" s="553"/>
      <c r="F48" s="358"/>
      <c r="G48" s="553"/>
      <c r="H48" s="358"/>
      <c r="I48" s="553"/>
      <c r="J48" s="358"/>
      <c r="K48" s="553"/>
      <c r="L48" s="358"/>
      <c r="M48" s="553"/>
      <c r="N48" s="358"/>
      <c r="O48" s="553"/>
      <c r="P48" s="358"/>
      <c r="Q48" s="553"/>
      <c r="R48" s="358"/>
      <c r="S48" s="553"/>
      <c r="T48" s="358"/>
      <c r="U48" s="553"/>
      <c r="V48" s="358"/>
      <c r="W48" s="553"/>
      <c r="X48" s="358"/>
      <c r="Y48" s="553"/>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row>
    <row r="49" spans="1:52">
      <c r="A49" s="358"/>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row>
    <row r="50" spans="1:52">
      <c r="A50" s="358"/>
      <c r="B50" s="358"/>
      <c r="C50" s="553"/>
      <c r="D50" s="358"/>
      <c r="E50" s="553"/>
      <c r="F50" s="358"/>
      <c r="G50" s="553"/>
      <c r="H50" s="358"/>
      <c r="I50" s="553"/>
      <c r="J50" s="358"/>
      <c r="K50" s="553"/>
      <c r="L50" s="358"/>
      <c r="M50" s="553"/>
      <c r="N50" s="358"/>
      <c r="O50" s="553"/>
      <c r="P50" s="358"/>
      <c r="Q50" s="553"/>
      <c r="R50" s="358"/>
      <c r="S50" s="553"/>
      <c r="T50" s="358"/>
      <c r="U50" s="553"/>
      <c r="V50" s="358"/>
      <c r="W50" s="553"/>
      <c r="X50" s="358"/>
      <c r="Y50" s="553"/>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row>
    <row r="51" spans="1:52">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row>
    <row r="52" spans="1:52">
      <c r="A52" s="358"/>
      <c r="B52" s="358"/>
      <c r="C52" s="553"/>
      <c r="D52" s="358"/>
      <c r="E52" s="553"/>
      <c r="F52" s="358"/>
      <c r="G52" s="553"/>
      <c r="H52" s="358"/>
      <c r="I52" s="553"/>
      <c r="J52" s="358"/>
      <c r="K52" s="553"/>
      <c r="L52" s="358"/>
      <c r="M52" s="553"/>
      <c r="N52" s="358"/>
      <c r="O52" s="553"/>
      <c r="P52" s="358"/>
      <c r="Q52" s="553"/>
      <c r="R52" s="358"/>
      <c r="S52" s="553"/>
      <c r="T52" s="358"/>
      <c r="U52" s="553"/>
      <c r="V52" s="358"/>
      <c r="W52" s="553"/>
      <c r="X52" s="358"/>
      <c r="Y52" s="553"/>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row>
    <row r="53" spans="1:52">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row>
    <row r="54" spans="1:52">
      <c r="A54" s="358"/>
      <c r="B54" s="358"/>
      <c r="C54" s="553"/>
      <c r="D54" s="358"/>
      <c r="E54" s="553"/>
      <c r="F54" s="358"/>
      <c r="G54" s="553"/>
      <c r="H54" s="358"/>
      <c r="I54" s="553"/>
      <c r="J54" s="358"/>
      <c r="K54" s="553"/>
      <c r="L54" s="358"/>
      <c r="M54" s="553"/>
      <c r="N54" s="358"/>
      <c r="O54" s="553"/>
      <c r="P54" s="358"/>
      <c r="Q54" s="553"/>
      <c r="R54" s="358"/>
      <c r="S54" s="553"/>
      <c r="T54" s="358"/>
      <c r="U54" s="553"/>
      <c r="V54" s="358"/>
      <c r="W54" s="553"/>
      <c r="X54" s="358"/>
      <c r="Y54" s="553"/>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c r="AV54" s="358"/>
      <c r="AW54" s="358"/>
      <c r="AX54" s="358"/>
      <c r="AY54" s="358"/>
      <c r="AZ54" s="358"/>
    </row>
    <row r="55" spans="1:52">
      <c r="A55" s="358"/>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358"/>
    </row>
    <row r="56" spans="1:52">
      <c r="A56" s="358"/>
      <c r="B56" s="358"/>
      <c r="C56" s="553"/>
      <c r="D56" s="358"/>
      <c r="E56" s="553"/>
      <c r="F56" s="358"/>
      <c r="G56" s="553"/>
      <c r="H56" s="358"/>
      <c r="I56" s="553"/>
      <c r="J56" s="358"/>
      <c r="K56" s="553"/>
      <c r="L56" s="358"/>
      <c r="M56" s="553"/>
      <c r="N56" s="358"/>
      <c r="O56" s="553"/>
      <c r="P56" s="358"/>
      <c r="Q56" s="553"/>
      <c r="R56" s="358"/>
      <c r="S56" s="553"/>
      <c r="T56" s="358"/>
      <c r="U56" s="553"/>
      <c r="V56" s="358"/>
      <c r="W56" s="553"/>
      <c r="X56" s="358"/>
      <c r="Y56" s="553"/>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row>
    <row r="57" spans="1:52">
      <c r="A57" s="358"/>
      <c r="B57" s="358"/>
      <c r="C57" s="358"/>
      <c r="D57" s="358"/>
      <c r="E57" s="358"/>
      <c r="F57" s="358"/>
      <c r="G57" s="358"/>
      <c r="H57" s="358"/>
      <c r="I57" s="358"/>
      <c r="J57" s="358"/>
      <c r="K57" s="358"/>
      <c r="L57" s="358"/>
      <c r="M57" s="358"/>
      <c r="N57" s="358"/>
      <c r="O57" s="358"/>
      <c r="P57" s="358"/>
      <c r="Q57" s="358"/>
      <c r="R57" s="358"/>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c r="AV57" s="358"/>
      <c r="AW57" s="358"/>
      <c r="AX57" s="358"/>
      <c r="AY57" s="358"/>
      <c r="AZ57" s="358"/>
    </row>
    <row r="58" spans="1:52">
      <c r="A58" s="358"/>
      <c r="B58" s="358"/>
      <c r="C58" s="553"/>
      <c r="D58" s="358"/>
      <c r="E58" s="553"/>
      <c r="F58" s="358"/>
      <c r="G58" s="553"/>
      <c r="H58" s="358"/>
      <c r="I58" s="553"/>
      <c r="J58" s="358"/>
      <c r="K58" s="553"/>
      <c r="L58" s="358"/>
      <c r="M58" s="553"/>
      <c r="N58" s="358"/>
      <c r="O58" s="553"/>
      <c r="P58" s="358"/>
      <c r="Q58" s="553"/>
      <c r="R58" s="358"/>
      <c r="S58" s="553"/>
      <c r="T58" s="358"/>
      <c r="U58" s="553"/>
      <c r="V58" s="358"/>
      <c r="W58" s="553"/>
      <c r="X58" s="358"/>
      <c r="Y58" s="553"/>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row>
    <row r="59" spans="1:52">
      <c r="A59" s="35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58"/>
    </row>
    <row r="60" spans="1:52">
      <c r="A60" s="358"/>
      <c r="B60" s="358"/>
      <c r="C60" s="553"/>
      <c r="D60" s="358"/>
      <c r="E60" s="553"/>
      <c r="F60" s="358"/>
      <c r="G60" s="553"/>
      <c r="H60" s="358"/>
      <c r="I60" s="553"/>
      <c r="J60" s="358"/>
      <c r="K60" s="553"/>
      <c r="L60" s="358"/>
      <c r="M60" s="553"/>
      <c r="N60" s="358"/>
      <c r="O60" s="553"/>
      <c r="P60" s="358"/>
      <c r="Q60" s="553"/>
      <c r="R60" s="358"/>
      <c r="S60" s="553"/>
      <c r="T60" s="358"/>
      <c r="U60" s="553"/>
      <c r="V60" s="358"/>
      <c r="W60" s="553"/>
      <c r="X60" s="358"/>
      <c r="Y60" s="553"/>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58"/>
      <c r="AZ60" s="358"/>
    </row>
    <row r="61" spans="1:52">
      <c r="A61" s="358"/>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row>
    <row r="62" spans="1:52">
      <c r="A62" s="358"/>
      <c r="B62" s="358"/>
      <c r="C62" s="553"/>
      <c r="D62" s="358"/>
      <c r="E62" s="553"/>
      <c r="F62" s="358"/>
      <c r="G62" s="553"/>
      <c r="H62" s="358"/>
      <c r="I62" s="553"/>
      <c r="J62" s="358"/>
      <c r="K62" s="553"/>
      <c r="L62" s="358"/>
      <c r="M62" s="553"/>
      <c r="N62" s="358"/>
      <c r="O62" s="553"/>
      <c r="P62" s="358"/>
      <c r="Q62" s="553"/>
      <c r="R62" s="358"/>
      <c r="S62" s="553"/>
      <c r="T62" s="358"/>
      <c r="U62" s="553"/>
      <c r="V62" s="358"/>
      <c r="W62" s="553"/>
      <c r="X62" s="358"/>
      <c r="Y62" s="553"/>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58"/>
      <c r="AZ62" s="358"/>
    </row>
    <row r="63" spans="1:52">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c r="AV63" s="358"/>
      <c r="AW63" s="358"/>
      <c r="AX63" s="358"/>
      <c r="AY63" s="358"/>
      <c r="AZ63" s="358"/>
    </row>
    <row r="64" spans="1:52">
      <c r="A64" s="358"/>
      <c r="B64" s="358"/>
      <c r="C64" s="553"/>
      <c r="D64" s="358"/>
      <c r="E64" s="553"/>
      <c r="F64" s="358"/>
      <c r="G64" s="553"/>
      <c r="H64" s="358"/>
      <c r="I64" s="553"/>
      <c r="J64" s="358"/>
      <c r="K64" s="553"/>
      <c r="L64" s="358"/>
      <c r="M64" s="553"/>
      <c r="N64" s="358"/>
      <c r="O64" s="553"/>
      <c r="P64" s="358"/>
      <c r="Q64" s="553"/>
      <c r="R64" s="358"/>
      <c r="S64" s="553"/>
      <c r="T64" s="358"/>
      <c r="U64" s="553"/>
      <c r="V64" s="358"/>
      <c r="W64" s="553"/>
      <c r="X64" s="358"/>
      <c r="Y64" s="553"/>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row>
    <row r="65" spans="1:52">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row>
    <row r="66" spans="1:52">
      <c r="A66" s="358"/>
      <c r="B66" s="358"/>
      <c r="C66" s="553"/>
      <c r="D66" s="358"/>
      <c r="E66" s="553"/>
      <c r="F66" s="358"/>
      <c r="G66" s="553"/>
      <c r="H66" s="358"/>
      <c r="I66" s="553"/>
      <c r="J66" s="358"/>
      <c r="K66" s="553"/>
      <c r="L66" s="358"/>
      <c r="M66" s="553"/>
      <c r="N66" s="358"/>
      <c r="O66" s="553"/>
      <c r="P66" s="358"/>
      <c r="Q66" s="553"/>
      <c r="R66" s="358"/>
      <c r="S66" s="553"/>
      <c r="T66" s="358"/>
      <c r="U66" s="553"/>
      <c r="V66" s="358"/>
      <c r="W66" s="553"/>
      <c r="X66" s="358"/>
      <c r="Y66" s="553"/>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row>
    <row r="67" spans="1:52">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row>
    <row r="68" spans="1:52">
      <c r="A68" s="358"/>
      <c r="B68" s="358"/>
      <c r="C68" s="553"/>
      <c r="D68" s="358"/>
      <c r="E68" s="553"/>
      <c r="F68" s="358"/>
      <c r="G68" s="553"/>
      <c r="H68" s="358"/>
      <c r="I68" s="553"/>
      <c r="J68" s="358"/>
      <c r="K68" s="553"/>
      <c r="L68" s="358"/>
      <c r="M68" s="553"/>
      <c r="N68" s="358"/>
      <c r="O68" s="553"/>
      <c r="P68" s="358"/>
      <c r="Q68" s="553"/>
      <c r="R68" s="358"/>
      <c r="S68" s="553"/>
      <c r="T68" s="358"/>
      <c r="U68" s="553"/>
      <c r="V68" s="358"/>
      <c r="W68" s="553"/>
      <c r="X68" s="358"/>
      <c r="Y68" s="553"/>
      <c r="Z68" s="358"/>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row>
    <row r="69" spans="1:52">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row>
    <row r="70" spans="1:52">
      <c r="A70" s="358"/>
      <c r="B70" s="358"/>
      <c r="C70" s="553"/>
      <c r="D70" s="358"/>
      <c r="E70" s="553"/>
      <c r="F70" s="358"/>
      <c r="G70" s="553"/>
      <c r="H70" s="358"/>
      <c r="I70" s="553"/>
      <c r="J70" s="358"/>
      <c r="K70" s="553"/>
      <c r="L70" s="358"/>
      <c r="M70" s="553"/>
      <c r="N70" s="358"/>
      <c r="O70" s="553"/>
      <c r="P70" s="358"/>
      <c r="Q70" s="553"/>
      <c r="R70" s="358"/>
      <c r="S70" s="553"/>
      <c r="T70" s="358"/>
      <c r="U70" s="553"/>
      <c r="V70" s="358"/>
      <c r="W70" s="553"/>
      <c r="X70" s="358"/>
      <c r="Y70" s="553"/>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row>
    <row r="71" spans="1:52">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c r="AV71" s="358"/>
      <c r="AW71" s="358"/>
      <c r="AX71" s="358"/>
      <c r="AY71" s="358"/>
      <c r="AZ71" s="358"/>
    </row>
    <row r="72" spans="1:52">
      <c r="A72" s="358"/>
      <c r="B72" s="358"/>
      <c r="C72" s="553"/>
      <c r="D72" s="358"/>
      <c r="E72" s="553"/>
      <c r="F72" s="358"/>
      <c r="G72" s="553"/>
      <c r="H72" s="358"/>
      <c r="I72" s="553"/>
      <c r="J72" s="358"/>
      <c r="K72" s="553"/>
      <c r="L72" s="358"/>
      <c r="M72" s="553"/>
      <c r="N72" s="358"/>
      <c r="O72" s="553"/>
      <c r="P72" s="358"/>
      <c r="Q72" s="553"/>
      <c r="R72" s="358"/>
      <c r="S72" s="553"/>
      <c r="T72" s="358"/>
      <c r="U72" s="553"/>
      <c r="V72" s="358"/>
      <c r="W72" s="553"/>
      <c r="X72" s="358"/>
      <c r="Y72" s="553"/>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row>
    <row r="73" spans="1:52">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row>
    <row r="74" spans="1:52">
      <c r="A74" s="358"/>
      <c r="B74" s="358"/>
      <c r="C74" s="553"/>
      <c r="D74" s="358"/>
      <c r="E74" s="553"/>
      <c r="F74" s="358"/>
      <c r="G74" s="553"/>
      <c r="H74" s="358"/>
      <c r="I74" s="553"/>
      <c r="J74" s="358"/>
      <c r="K74" s="553"/>
      <c r="L74" s="358"/>
      <c r="M74" s="553"/>
      <c r="N74" s="358"/>
      <c r="O74" s="553"/>
      <c r="P74" s="358"/>
      <c r="Q74" s="553"/>
      <c r="R74" s="358"/>
      <c r="S74" s="553"/>
      <c r="T74" s="358"/>
      <c r="U74" s="553"/>
      <c r="V74" s="358"/>
      <c r="W74" s="553"/>
      <c r="X74" s="358"/>
      <c r="Y74" s="553"/>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row>
    <row r="75" spans="1:52">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row>
    <row r="76" spans="1:52">
      <c r="A76" s="358"/>
      <c r="B76" s="358"/>
      <c r="C76" s="553"/>
      <c r="D76" s="358"/>
      <c r="E76" s="553"/>
      <c r="F76" s="358"/>
      <c r="G76" s="553"/>
      <c r="H76" s="358"/>
      <c r="I76" s="553"/>
      <c r="J76" s="358"/>
      <c r="K76" s="553"/>
      <c r="L76" s="358"/>
      <c r="M76" s="553"/>
      <c r="N76" s="358"/>
      <c r="O76" s="553"/>
      <c r="P76" s="358"/>
      <c r="Q76" s="553"/>
      <c r="R76" s="358"/>
      <c r="S76" s="553"/>
      <c r="T76" s="358"/>
      <c r="U76" s="553"/>
      <c r="V76" s="358"/>
      <c r="W76" s="553"/>
      <c r="X76" s="358"/>
      <c r="Y76" s="553"/>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row>
    <row r="77" spans="1:52">
      <c r="A77" s="35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row>
    <row r="78" spans="1:52">
      <c r="A78" s="358"/>
      <c r="B78" s="358"/>
      <c r="C78" s="553"/>
      <c r="D78" s="358"/>
      <c r="E78" s="553"/>
      <c r="F78" s="358"/>
      <c r="G78" s="553"/>
      <c r="H78" s="358"/>
      <c r="I78" s="553"/>
      <c r="J78" s="358"/>
      <c r="K78" s="553"/>
      <c r="L78" s="358"/>
      <c r="M78" s="553"/>
      <c r="N78" s="358"/>
      <c r="O78" s="553"/>
      <c r="P78" s="358"/>
      <c r="Q78" s="553"/>
      <c r="R78" s="358"/>
      <c r="S78" s="553"/>
      <c r="T78" s="358"/>
      <c r="U78" s="553"/>
      <c r="V78" s="358"/>
      <c r="W78" s="553"/>
      <c r="X78" s="358"/>
      <c r="Y78" s="553"/>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row>
    <row r="79" spans="1:52">
      <c r="A79" s="35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58"/>
      <c r="AO79" s="358"/>
      <c r="AP79" s="358"/>
      <c r="AQ79" s="358"/>
      <c r="AR79" s="358"/>
      <c r="AS79" s="358"/>
      <c r="AT79" s="358"/>
      <c r="AU79" s="358"/>
      <c r="AV79" s="358"/>
      <c r="AW79" s="358"/>
      <c r="AX79" s="358"/>
      <c r="AY79" s="358"/>
      <c r="AZ79" s="358"/>
    </row>
    <row r="80" spans="1:52">
      <c r="A80" s="358"/>
      <c r="B80" s="358"/>
      <c r="C80" s="553"/>
      <c r="D80" s="358"/>
      <c r="E80" s="553"/>
      <c r="F80" s="358"/>
      <c r="G80" s="553"/>
      <c r="H80" s="358"/>
      <c r="I80" s="553"/>
      <c r="J80" s="358"/>
      <c r="K80" s="553"/>
      <c r="L80" s="358"/>
      <c r="M80" s="553"/>
      <c r="N80" s="358"/>
      <c r="O80" s="553"/>
      <c r="P80" s="358"/>
      <c r="Q80" s="553"/>
      <c r="R80" s="358"/>
      <c r="S80" s="553"/>
      <c r="T80" s="358"/>
      <c r="U80" s="553"/>
      <c r="V80" s="358"/>
      <c r="W80" s="553"/>
      <c r="X80" s="358"/>
      <c r="Y80" s="553"/>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row>
    <row r="81" spans="1:52">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row>
    <row r="82" spans="1:52">
      <c r="A82" s="358"/>
      <c r="B82" s="358"/>
      <c r="C82" s="553"/>
      <c r="D82" s="358"/>
      <c r="E82" s="553"/>
      <c r="F82" s="358"/>
      <c r="G82" s="553"/>
      <c r="H82" s="358"/>
      <c r="I82" s="553"/>
      <c r="J82" s="358"/>
      <c r="K82" s="553"/>
      <c r="L82" s="358"/>
      <c r="M82" s="553"/>
      <c r="N82" s="358"/>
      <c r="O82" s="553"/>
      <c r="P82" s="358"/>
      <c r="Q82" s="553"/>
      <c r="R82" s="358"/>
      <c r="S82" s="553"/>
      <c r="T82" s="358"/>
      <c r="U82" s="553"/>
      <c r="V82" s="358"/>
      <c r="W82" s="553"/>
      <c r="X82" s="358"/>
      <c r="Y82" s="553"/>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row>
    <row r="83" spans="1:52">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row>
    <row r="84" spans="1:52">
      <c r="A84" s="358"/>
      <c r="B84" s="358"/>
      <c r="C84" s="553"/>
      <c r="D84" s="358"/>
      <c r="E84" s="553"/>
      <c r="F84" s="358"/>
      <c r="G84" s="553"/>
      <c r="H84" s="358"/>
      <c r="I84" s="553"/>
      <c r="J84" s="358"/>
      <c r="K84" s="553"/>
      <c r="L84" s="358"/>
      <c r="M84" s="553"/>
      <c r="N84" s="358"/>
      <c r="O84" s="553"/>
      <c r="P84" s="358"/>
      <c r="Q84" s="553"/>
      <c r="R84" s="358"/>
      <c r="S84" s="553"/>
      <c r="T84" s="358"/>
      <c r="U84" s="553"/>
      <c r="V84" s="358"/>
      <c r="W84" s="553"/>
      <c r="X84" s="358"/>
      <c r="Y84" s="553"/>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row>
    <row r="85" spans="1:52">
      <c r="A85" s="35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row>
    <row r="86" spans="1:52">
      <c r="A86" s="358"/>
      <c r="B86" s="358"/>
      <c r="C86" s="553"/>
      <c r="D86" s="358"/>
      <c r="E86" s="553"/>
      <c r="F86" s="358"/>
      <c r="G86" s="553"/>
      <c r="H86" s="358"/>
      <c r="I86" s="553"/>
      <c r="J86" s="358"/>
      <c r="K86" s="553"/>
      <c r="L86" s="358"/>
      <c r="M86" s="553"/>
      <c r="N86" s="358"/>
      <c r="O86" s="553"/>
      <c r="P86" s="358"/>
      <c r="Q86" s="553"/>
      <c r="R86" s="358"/>
      <c r="S86" s="553"/>
      <c r="T86" s="358"/>
      <c r="U86" s="553"/>
      <c r="V86" s="358"/>
      <c r="W86" s="553"/>
      <c r="X86" s="358"/>
      <c r="Y86" s="553"/>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8"/>
      <c r="AY86" s="358"/>
      <c r="AZ86" s="358"/>
    </row>
    <row r="87" spans="1:52">
      <c r="A87" s="35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c r="AS87" s="358"/>
      <c r="AT87" s="358"/>
      <c r="AU87" s="358"/>
      <c r="AV87" s="358"/>
      <c r="AW87" s="358"/>
      <c r="AX87" s="358"/>
      <c r="AY87" s="358"/>
      <c r="AZ87" s="358"/>
    </row>
    <row r="88" spans="1:52">
      <c r="A88" s="358"/>
      <c r="B88" s="358"/>
      <c r="C88" s="553"/>
      <c r="D88" s="358"/>
      <c r="E88" s="553"/>
      <c r="F88" s="358"/>
      <c r="G88" s="553"/>
      <c r="H88" s="358"/>
      <c r="I88" s="553"/>
      <c r="J88" s="358"/>
      <c r="K88" s="553"/>
      <c r="L88" s="358"/>
      <c r="M88" s="553"/>
      <c r="N88" s="358"/>
      <c r="O88" s="553"/>
      <c r="P88" s="358"/>
      <c r="Q88" s="553"/>
      <c r="R88" s="358"/>
      <c r="S88" s="553"/>
      <c r="T88" s="358"/>
      <c r="U88" s="553"/>
      <c r="V88" s="358"/>
      <c r="W88" s="553"/>
      <c r="X88" s="358"/>
      <c r="Y88" s="553"/>
      <c r="Z88" s="358"/>
      <c r="AA88" s="358"/>
      <c r="AB88" s="358"/>
      <c r="AC88" s="358"/>
      <c r="AD88" s="358"/>
      <c r="AE88" s="358"/>
      <c r="AF88" s="358"/>
      <c r="AG88" s="358"/>
      <c r="AH88" s="358"/>
      <c r="AI88" s="358"/>
      <c r="AJ88" s="358"/>
      <c r="AK88" s="358"/>
      <c r="AL88" s="358"/>
      <c r="AM88" s="358"/>
      <c r="AN88" s="358"/>
      <c r="AO88" s="358"/>
      <c r="AP88" s="358"/>
      <c r="AQ88" s="358"/>
      <c r="AR88" s="358"/>
      <c r="AS88" s="358"/>
      <c r="AT88" s="358"/>
      <c r="AU88" s="358"/>
      <c r="AV88" s="358"/>
      <c r="AW88" s="358"/>
      <c r="AX88" s="358"/>
      <c r="AY88" s="358"/>
      <c r="AZ88" s="358"/>
    </row>
    <row r="89" spans="1:52">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58"/>
      <c r="AN89" s="358"/>
      <c r="AO89" s="358"/>
      <c r="AP89" s="358"/>
      <c r="AQ89" s="358"/>
      <c r="AR89" s="358"/>
      <c r="AS89" s="358"/>
      <c r="AT89" s="358"/>
      <c r="AU89" s="358"/>
      <c r="AV89" s="358"/>
      <c r="AW89" s="358"/>
      <c r="AX89" s="358"/>
      <c r="AY89" s="358"/>
      <c r="AZ89" s="358"/>
    </row>
    <row r="90" spans="1:52">
      <c r="A90" s="358"/>
      <c r="B90" s="358"/>
      <c r="C90" s="553"/>
      <c r="D90" s="358"/>
      <c r="E90" s="553"/>
      <c r="F90" s="358"/>
      <c r="G90" s="553"/>
      <c r="H90" s="358"/>
      <c r="I90" s="553"/>
      <c r="J90" s="358"/>
      <c r="K90" s="553"/>
      <c r="L90" s="358"/>
      <c r="M90" s="553"/>
      <c r="N90" s="358"/>
      <c r="O90" s="553"/>
      <c r="P90" s="358"/>
      <c r="Q90" s="553"/>
      <c r="R90" s="358"/>
      <c r="S90" s="553"/>
      <c r="T90" s="358"/>
      <c r="U90" s="553"/>
      <c r="V90" s="358"/>
      <c r="W90" s="553"/>
      <c r="X90" s="358"/>
      <c r="Y90" s="553"/>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row>
    <row r="91" spans="1:52">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c r="AS91" s="358"/>
      <c r="AT91" s="358"/>
      <c r="AU91" s="358"/>
      <c r="AV91" s="358"/>
      <c r="AW91" s="358"/>
      <c r="AX91" s="358"/>
      <c r="AY91" s="358"/>
      <c r="AZ91" s="358"/>
    </row>
    <row r="92" spans="1:52">
      <c r="A92" s="358"/>
      <c r="B92" s="358"/>
      <c r="C92" s="553"/>
      <c r="D92" s="358"/>
      <c r="E92" s="553"/>
      <c r="F92" s="358"/>
      <c r="G92" s="553"/>
      <c r="H92" s="358"/>
      <c r="I92" s="553"/>
      <c r="J92" s="358"/>
      <c r="K92" s="553"/>
      <c r="L92" s="358"/>
      <c r="M92" s="553"/>
      <c r="N92" s="358"/>
      <c r="O92" s="553"/>
      <c r="P92" s="358"/>
      <c r="Q92" s="553"/>
      <c r="R92" s="358"/>
      <c r="S92" s="553"/>
      <c r="T92" s="358"/>
      <c r="U92" s="553"/>
      <c r="V92" s="358"/>
      <c r="W92" s="553"/>
      <c r="X92" s="358"/>
      <c r="Y92" s="553"/>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row>
    <row r="93" spans="1:52">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58"/>
      <c r="AN93" s="358"/>
      <c r="AO93" s="358"/>
      <c r="AP93" s="358"/>
      <c r="AQ93" s="358"/>
      <c r="AR93" s="358"/>
      <c r="AS93" s="358"/>
      <c r="AT93" s="358"/>
      <c r="AU93" s="358"/>
      <c r="AV93" s="358"/>
      <c r="AW93" s="358"/>
      <c r="AX93" s="358"/>
      <c r="AY93" s="358"/>
      <c r="AZ93" s="358"/>
    </row>
    <row r="94" spans="1:52">
      <c r="A94" s="358"/>
      <c r="B94" s="358"/>
      <c r="C94" s="553"/>
      <c r="D94" s="358"/>
      <c r="E94" s="553"/>
      <c r="F94" s="358"/>
      <c r="G94" s="553"/>
      <c r="H94" s="358"/>
      <c r="I94" s="553"/>
      <c r="J94" s="358"/>
      <c r="K94" s="553"/>
      <c r="L94" s="358"/>
      <c r="M94" s="553"/>
      <c r="N94" s="358"/>
      <c r="O94" s="553"/>
      <c r="P94" s="358"/>
      <c r="Q94" s="553"/>
      <c r="R94" s="358"/>
      <c r="S94" s="553"/>
      <c r="T94" s="358"/>
      <c r="U94" s="553"/>
      <c r="V94" s="358"/>
      <c r="W94" s="553"/>
      <c r="X94" s="358"/>
      <c r="Y94" s="553"/>
      <c r="Z94" s="358"/>
      <c r="AA94" s="358"/>
      <c r="AB94" s="358"/>
      <c r="AC94" s="358"/>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row>
    <row r="95" spans="1:52">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c r="AS95" s="358"/>
      <c r="AT95" s="358"/>
      <c r="AU95" s="358"/>
      <c r="AV95" s="358"/>
      <c r="AW95" s="358"/>
      <c r="AX95" s="358"/>
      <c r="AY95" s="358"/>
      <c r="AZ95" s="358"/>
    </row>
    <row r="96" spans="1:52">
      <c r="A96" s="358"/>
      <c r="B96" s="358"/>
      <c r="C96" s="553"/>
      <c r="D96" s="358"/>
      <c r="E96" s="553"/>
      <c r="F96" s="358"/>
      <c r="G96" s="553"/>
      <c r="H96" s="358"/>
      <c r="I96" s="553"/>
      <c r="J96" s="358"/>
      <c r="K96" s="553"/>
      <c r="L96" s="358"/>
      <c r="M96" s="553"/>
      <c r="N96" s="358"/>
      <c r="O96" s="553"/>
      <c r="P96" s="358"/>
      <c r="Q96" s="553"/>
      <c r="R96" s="358"/>
      <c r="S96" s="553"/>
      <c r="T96" s="358"/>
      <c r="U96" s="553"/>
      <c r="V96" s="358"/>
      <c r="W96" s="553"/>
      <c r="X96" s="358"/>
      <c r="Y96" s="553"/>
      <c r="Z96" s="358"/>
      <c r="AA96" s="358"/>
      <c r="AB96" s="358"/>
      <c r="AC96" s="358"/>
      <c r="AD96" s="358"/>
      <c r="AE96" s="358"/>
      <c r="AF96" s="358"/>
      <c r="AG96" s="358"/>
      <c r="AH96" s="358"/>
      <c r="AI96" s="358"/>
      <c r="AJ96" s="358"/>
      <c r="AK96" s="358"/>
      <c r="AL96" s="358"/>
      <c r="AM96" s="358"/>
      <c r="AN96" s="358"/>
      <c r="AO96" s="358"/>
      <c r="AP96" s="358"/>
      <c r="AQ96" s="358"/>
      <c r="AR96" s="358"/>
      <c r="AS96" s="358"/>
      <c r="AT96" s="358"/>
      <c r="AU96" s="358"/>
      <c r="AV96" s="358"/>
      <c r="AW96" s="358"/>
      <c r="AX96" s="358"/>
      <c r="AY96" s="358"/>
      <c r="AZ96" s="358"/>
    </row>
    <row r="97" spans="1:52">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row>
    <row r="98" spans="1:52">
      <c r="A98" s="358"/>
      <c r="B98" s="358"/>
      <c r="C98" s="553"/>
      <c r="D98" s="358"/>
      <c r="E98" s="553"/>
      <c r="F98" s="358"/>
      <c r="G98" s="553"/>
      <c r="H98" s="358"/>
      <c r="I98" s="553"/>
      <c r="J98" s="358"/>
      <c r="K98" s="553"/>
      <c r="L98" s="358"/>
      <c r="M98" s="553"/>
      <c r="N98" s="358"/>
      <c r="O98" s="553"/>
      <c r="P98" s="358"/>
      <c r="Q98" s="553"/>
      <c r="R98" s="358"/>
      <c r="S98" s="553"/>
      <c r="T98" s="358"/>
      <c r="U98" s="553"/>
      <c r="V98" s="358"/>
      <c r="W98" s="553"/>
      <c r="X98" s="358"/>
      <c r="Y98" s="553"/>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row>
    <row r="99" spans="1:52">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row>
    <row r="100" spans="1:52">
      <c r="A100" s="358"/>
      <c r="B100" s="358"/>
      <c r="C100" s="358"/>
      <c r="D100" s="358"/>
      <c r="E100" s="553"/>
      <c r="F100" s="358"/>
      <c r="G100" s="553"/>
      <c r="H100" s="358"/>
      <c r="I100" s="553"/>
      <c r="J100" s="358"/>
      <c r="K100" s="553"/>
      <c r="L100" s="358"/>
      <c r="M100" s="553"/>
      <c r="N100" s="358"/>
      <c r="O100" s="553"/>
      <c r="P100" s="358"/>
      <c r="Q100" s="553"/>
      <c r="R100" s="358"/>
      <c r="S100" s="553"/>
      <c r="T100" s="358"/>
      <c r="U100" s="553"/>
      <c r="V100" s="358"/>
      <c r="W100" s="553"/>
      <c r="X100" s="358"/>
      <c r="Y100" s="553"/>
      <c r="Z100" s="358"/>
      <c r="AA100" s="358"/>
      <c r="AB100" s="358"/>
      <c r="AC100" s="358"/>
      <c r="AD100" s="358"/>
      <c r="AE100" s="358"/>
      <c r="AF100" s="358"/>
      <c r="AG100" s="358"/>
      <c r="AH100" s="358"/>
      <c r="AI100" s="358"/>
      <c r="AJ100" s="358"/>
      <c r="AK100" s="358"/>
      <c r="AL100" s="358"/>
      <c r="AM100" s="358"/>
      <c r="AN100" s="358"/>
      <c r="AO100" s="358"/>
      <c r="AP100" s="358"/>
      <c r="AQ100" s="358"/>
      <c r="AR100" s="358"/>
      <c r="AS100" s="358"/>
      <c r="AT100" s="358"/>
      <c r="AU100" s="358"/>
      <c r="AV100" s="358"/>
      <c r="AW100" s="358"/>
      <c r="AX100" s="358"/>
      <c r="AY100" s="358"/>
      <c r="AZ100" s="358"/>
    </row>
  </sheetData>
  <sheetProtection sheet="1" objects="1" scenarios="1" selectLockedCells="1" selectUnlockedCells="1"/>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CCFFCC"/>
  </sheetPr>
  <dimension ref="A1:AN240"/>
  <sheetViews>
    <sheetView topLeftCell="A28" zoomScale="80" zoomScaleNormal="80" workbookViewId="0">
      <pane xSplit="2" topLeftCell="C1" activePane="topRight" state="frozen"/>
      <selection activeCell="A19" sqref="A19"/>
      <selection pane="topRight" activeCell="B22" sqref="B22"/>
    </sheetView>
  </sheetViews>
  <sheetFormatPr defaultColWidth="9.33203125" defaultRowHeight="13.2"/>
  <cols>
    <col min="1" max="1" width="3.44140625" style="19" customWidth="1"/>
    <col min="2" max="2" width="39.5546875" style="26" customWidth="1"/>
    <col min="3" max="4" width="11.5546875" style="26" customWidth="1"/>
    <col min="5" max="11" width="12.5546875" style="26" customWidth="1"/>
    <col min="12" max="12" width="11.5546875" style="26" customWidth="1"/>
    <col min="13" max="16" width="13.44140625" style="26" customWidth="1"/>
    <col min="17" max="18" width="11.5546875" style="26" customWidth="1"/>
    <col min="19" max="19" width="16.33203125" style="26" customWidth="1"/>
    <col min="20" max="20" width="12.33203125" style="26" customWidth="1"/>
    <col min="21" max="21" width="12" style="26" customWidth="1"/>
    <col min="22" max="30" width="11.5546875" style="26" customWidth="1"/>
    <col min="31" max="32" width="12.6640625" style="26" customWidth="1"/>
    <col min="33" max="33" width="15.5546875" style="26" customWidth="1"/>
    <col min="34" max="34" width="13.33203125" style="26" customWidth="1"/>
    <col min="35" max="35" width="12" style="33" customWidth="1"/>
    <col min="36" max="36" width="9.33203125" style="26"/>
    <col min="37" max="37" width="13.5546875" style="26" customWidth="1"/>
    <col min="38" max="38" width="9.33203125" style="26"/>
    <col min="39" max="39" width="9.33203125" style="26" customWidth="1"/>
    <col min="40" max="16384" width="9.33203125" style="26"/>
  </cols>
  <sheetData>
    <row r="1" spans="1:40" s="19" customFormat="1" ht="22.8">
      <c r="B1" s="20" t="s">
        <v>194</v>
      </c>
      <c r="N1" s="94"/>
      <c r="AI1" s="21"/>
    </row>
    <row r="2" spans="1:40" s="23" customFormat="1">
      <c r="A2" s="19"/>
      <c r="B2" s="24"/>
      <c r="C2" s="19"/>
      <c r="D2" s="19"/>
      <c r="E2" s="19"/>
      <c r="F2" s="19"/>
      <c r="G2" s="19"/>
      <c r="H2" s="19"/>
      <c r="I2" s="19"/>
      <c r="J2" s="220" t="s">
        <v>319</v>
      </c>
      <c r="K2" s="220" t="s">
        <v>614</v>
      </c>
      <c r="L2" s="19"/>
      <c r="M2" s="19"/>
      <c r="N2" s="19"/>
      <c r="O2" s="19"/>
      <c r="P2" s="19"/>
      <c r="Q2" s="19"/>
      <c r="R2" s="19"/>
      <c r="S2" s="19"/>
      <c r="T2" s="19"/>
      <c r="U2" s="19"/>
      <c r="V2" s="19"/>
      <c r="W2" s="19"/>
      <c r="X2" s="19"/>
      <c r="Y2" s="19"/>
      <c r="Z2" s="21"/>
      <c r="AA2" s="21"/>
      <c r="AB2" s="21"/>
      <c r="AC2" s="19"/>
      <c r="AD2" s="21"/>
      <c r="AE2" s="21"/>
      <c r="AF2" s="19"/>
      <c r="AG2" s="21"/>
      <c r="AH2" s="19"/>
      <c r="AI2" s="21"/>
      <c r="AJ2" s="21"/>
      <c r="AK2" s="21"/>
      <c r="AL2" s="21"/>
      <c r="AM2" s="19"/>
      <c r="AN2" s="19"/>
    </row>
    <row r="3" spans="1:40" s="23" customFormat="1">
      <c r="A3" s="19"/>
      <c r="B3" s="68"/>
      <c r="D3" s="68"/>
      <c r="E3" s="19"/>
      <c r="F3" s="19"/>
      <c r="G3" s="19"/>
      <c r="H3" s="19"/>
      <c r="I3" s="220" t="s">
        <v>319</v>
      </c>
      <c r="J3" s="220" t="s">
        <v>323</v>
      </c>
      <c r="K3" s="220" t="s">
        <v>321</v>
      </c>
      <c r="L3" s="68"/>
      <c r="M3" s="68"/>
      <c r="N3" s="19"/>
      <c r="O3" s="19"/>
      <c r="P3" s="19"/>
      <c r="Q3" s="68"/>
      <c r="R3" s="68"/>
      <c r="S3" s="19"/>
      <c r="T3" s="68"/>
      <c r="U3" s="68"/>
      <c r="V3" s="68"/>
      <c r="W3" s="69"/>
      <c r="X3" s="68"/>
      <c r="Y3" s="68"/>
      <c r="Z3" s="19"/>
      <c r="AA3" s="19"/>
      <c r="AB3" s="19"/>
      <c r="AC3" s="19"/>
      <c r="AD3" s="19"/>
      <c r="AE3" s="21"/>
      <c r="AF3" s="21"/>
      <c r="AG3" s="19"/>
      <c r="AH3" s="21"/>
      <c r="AI3" s="21"/>
      <c r="AJ3" s="21"/>
      <c r="AK3" s="21"/>
      <c r="AL3" s="21"/>
      <c r="AM3" s="21"/>
      <c r="AN3" s="19"/>
    </row>
    <row r="4" spans="1:40" ht="13.8" thickBot="1">
      <c r="B4" s="25" t="s">
        <v>84</v>
      </c>
      <c r="C4" s="19"/>
      <c r="D4" s="19"/>
      <c r="E4" s="25" t="str">
        <f>'Project-definition'!E4</f>
        <v>Geological and flow variables</v>
      </c>
      <c r="F4" s="19"/>
      <c r="G4" s="19"/>
      <c r="H4" s="19"/>
      <c r="I4" s="220" t="s">
        <v>318</v>
      </c>
      <c r="J4" s="220" t="s">
        <v>320</v>
      </c>
      <c r="K4" s="220" t="s">
        <v>315</v>
      </c>
      <c r="L4" s="19"/>
      <c r="M4" s="25" t="str">
        <f>'Project-definition'!M4</f>
        <v>Production variables</v>
      </c>
      <c r="N4" s="19"/>
      <c r="O4" s="19"/>
      <c r="P4" s="19"/>
      <c r="Q4" s="19"/>
      <c r="R4" s="19"/>
      <c r="S4" s="25" t="str">
        <f>'Project-definition'!S4</f>
        <v>Phasing variables</v>
      </c>
      <c r="T4" s="19"/>
      <c r="U4" s="19"/>
      <c r="V4" s="19"/>
      <c r="W4" s="19"/>
      <c r="X4" s="25" t="str">
        <f>'Project-definition'!X4</f>
        <v>Economic variables</v>
      </c>
      <c r="Y4" s="19"/>
      <c r="Z4" s="137"/>
      <c r="AA4" s="132"/>
      <c r="AB4" s="19"/>
      <c r="AC4" s="25" t="str">
        <f>'Project-definition'!AC4</f>
        <v>Economic variables (cont'd)</v>
      </c>
      <c r="AD4" s="19"/>
      <c r="AE4" s="21"/>
      <c r="AF4" s="21"/>
      <c r="AG4" s="19"/>
      <c r="AH4" s="21"/>
      <c r="AI4" s="25" t="s">
        <v>1513</v>
      </c>
      <c r="AJ4" s="19"/>
      <c r="AK4" s="19"/>
      <c r="AL4" s="19"/>
      <c r="AM4" s="19"/>
      <c r="AN4" s="19"/>
    </row>
    <row r="5" spans="1:40">
      <c r="B5" s="98" t="s">
        <v>448</v>
      </c>
      <c r="C5" s="81"/>
      <c r="D5" s="19"/>
      <c r="E5" s="91" t="str">
        <f>'Project-definition'!E5</f>
        <v>Total area of reservoir (km2)</v>
      </c>
      <c r="F5" s="87"/>
      <c r="G5" s="87"/>
      <c r="H5" s="87"/>
      <c r="I5" s="868">
        <f>IF(K5=J5,'Project-definition'!I5,'Project-definition'!I5*10^6)</f>
        <v>24000000</v>
      </c>
      <c r="J5" s="520" t="s">
        <v>449</v>
      </c>
      <c r="K5" s="521" t="str">
        <f>'Project-definition'!J5</f>
        <v>km2</v>
      </c>
      <c r="L5" s="27"/>
      <c r="M5" s="91" t="str">
        <f>'Project-definition'!M5</f>
        <v>Select units for the loadtime per year:</v>
      </c>
      <c r="N5" s="87"/>
      <c r="O5" s="87"/>
      <c r="P5" s="87"/>
      <c r="Q5" s="292" t="str">
        <f>'Project-definition'!Q5</f>
        <v>Fraction</v>
      </c>
      <c r="R5" s="19"/>
      <c r="S5" s="91" t="str">
        <f>'Project-definition'!S5</f>
        <v>First year of evaluation</v>
      </c>
      <c r="T5" s="87"/>
      <c r="U5" s="87"/>
      <c r="V5" s="125">
        <f>'Project-definition'!V5</f>
        <v>2017</v>
      </c>
      <c r="W5" s="19"/>
      <c r="X5" s="151" t="str">
        <f>'Project-definition'!X5</f>
        <v>Variable water opex ($/m3 water)</v>
      </c>
      <c r="Y5" s="152"/>
      <c r="Z5" s="136"/>
      <c r="AA5" s="123">
        <f>'Project-definition'!AA5</f>
        <v>0.15</v>
      </c>
      <c r="AB5" s="19"/>
      <c r="AC5" s="530" t="str">
        <f>'Project-definition'!AC5</f>
        <v># Max well-slots per cluster</v>
      </c>
      <c r="AD5" s="531"/>
      <c r="AE5" s="532"/>
      <c r="AF5" s="87"/>
      <c r="AG5" s="125">
        <f>'Project-definition'!AG5</f>
        <v>5</v>
      </c>
      <c r="AH5" s="21"/>
      <c r="AI5" s="304" t="s">
        <v>1437</v>
      </c>
      <c r="AJ5" s="87"/>
      <c r="AK5" s="87"/>
      <c r="AL5" s="87"/>
      <c r="AM5" s="303">
        <f>'Steam Tables'!$AC$100</f>
        <v>5632.5</v>
      </c>
      <c r="AN5" s="19"/>
    </row>
    <row r="6" spans="1:40">
      <c r="B6" s="98" t="s">
        <v>89</v>
      </c>
      <c r="C6" s="29"/>
      <c r="D6" s="27"/>
      <c r="E6" s="89" t="str">
        <f>'Project-definition'!E6</f>
        <v>Formation thickness (m)</v>
      </c>
      <c r="F6" s="28"/>
      <c r="G6" s="28"/>
      <c r="H6" s="28"/>
      <c r="I6" s="516">
        <f>'Project-definition'!I6</f>
        <v>1500</v>
      </c>
      <c r="J6" s="28"/>
      <c r="K6" s="523"/>
      <c r="L6" s="27"/>
      <c r="M6" s="233"/>
      <c r="N6" s="28"/>
      <c r="O6" s="68"/>
      <c r="P6" s="827" t="str">
        <f>'Project-definition'!P6</f>
        <v>Loadtime per year, as a fraction</v>
      </c>
      <c r="Q6" s="305">
        <f>'Project-definition'!Q6</f>
        <v>0.95</v>
      </c>
      <c r="R6" s="19"/>
      <c r="S6" s="89" t="str">
        <f>'Project-definition'!S6</f>
        <v>COD (First year of production)</v>
      </c>
      <c r="T6" s="28"/>
      <c r="U6" s="28"/>
      <c r="V6" s="526">
        <f>'Project-definition'!V6</f>
        <v>2025</v>
      </c>
      <c r="W6" s="19"/>
      <c r="X6" s="149" t="str">
        <f>'Project-definition'!X6</f>
        <v>Royalty (% of electricity sales)</v>
      </c>
      <c r="Y6" s="137"/>
      <c r="Z6" s="132"/>
      <c r="AA6" s="130">
        <f>'Project-definition'!AA6</f>
        <v>2.5000000000000001E-2</v>
      </c>
      <c r="AB6" s="19"/>
      <c r="AC6" s="233"/>
      <c r="AD6" s="34"/>
      <c r="AE6" s="34"/>
      <c r="AF6" s="624" t="str">
        <f>'Project-definition'!AF6</f>
        <v>New well cluster capex if # well-slots exceeded ($ MM)</v>
      </c>
      <c r="AG6" s="126">
        <f>'Project-definition'!AG6</f>
        <v>2</v>
      </c>
      <c r="AH6" s="21"/>
      <c r="AI6" s="88" t="s">
        <v>1436</v>
      </c>
      <c r="AJ6" s="28"/>
      <c r="AK6" s="28"/>
      <c r="AL6" s="28"/>
      <c r="AM6" s="649">
        <f>'Steam Tables'!$U$73</f>
        <v>723.05</v>
      </c>
      <c r="AN6" s="19"/>
    </row>
    <row r="7" spans="1:40">
      <c r="B7" s="221" t="s">
        <v>383</v>
      </c>
      <c r="C7" s="231"/>
      <c r="D7" s="27"/>
      <c r="E7" s="89" t="str">
        <f>'Project-definition'!E7</f>
        <v>Reservoir rock porosity (%)</v>
      </c>
      <c r="F7" s="28"/>
      <c r="G7" s="28"/>
      <c r="H7" s="28"/>
      <c r="I7" s="519">
        <f>'Project-definition'!I7</f>
        <v>0.1</v>
      </c>
      <c r="J7" s="28"/>
      <c r="K7" s="523"/>
      <c r="L7" s="19"/>
      <c r="M7" s="89" t="str">
        <f>'Project-definition'!M7</f>
        <v>Select: successful explor. and appr. wells re-used as injectors?</v>
      </c>
      <c r="N7" s="28"/>
      <c r="O7" s="28"/>
      <c r="P7" s="28"/>
      <c r="Q7" s="126" t="str">
        <f>'Project-definition'!Q7</f>
        <v>Yes</v>
      </c>
      <c r="R7" s="19"/>
      <c r="S7" s="89" t="str">
        <f>'Project-definition'!S7</f>
        <v>Nr yrs from end of prod to abd (monitoring period)</v>
      </c>
      <c r="T7" s="28"/>
      <c r="U7" s="28"/>
      <c r="V7" s="302">
        <f>'Project-definition'!V7</f>
        <v>4</v>
      </c>
      <c r="W7" s="19"/>
      <c r="X7" s="233"/>
      <c r="Y7" s="137"/>
      <c r="Z7" s="622" t="str">
        <f>'Project-definition'!Z7</f>
        <v>Is royalty tax deductible?</v>
      </c>
      <c r="AA7" s="124" t="str">
        <f>'Project-definition'!AA7</f>
        <v>No</v>
      </c>
      <c r="AB7" s="19"/>
      <c r="AC7" s="89" t="str">
        <f>'Project-definition'!AC7</f>
        <v>Field shut-in: max. allowable # years in row @ NCF&lt;0</v>
      </c>
      <c r="AD7" s="28"/>
      <c r="AE7" s="28"/>
      <c r="AF7" s="28"/>
      <c r="AG7" s="126">
        <v>5</v>
      </c>
      <c r="AH7" s="21"/>
      <c r="AI7" s="88" t="s">
        <v>1435</v>
      </c>
      <c r="AJ7" s="28"/>
      <c r="AK7" s="28"/>
      <c r="AL7" s="28"/>
      <c r="AM7" s="565">
        <f>'Steam Tables'!$AC$73</f>
        <v>8.7999999999999998E-5</v>
      </c>
      <c r="AN7" s="19"/>
    </row>
    <row r="8" spans="1:40">
      <c r="B8" s="132"/>
      <c r="C8" s="137"/>
      <c r="D8" s="19"/>
      <c r="E8" s="89" t="str">
        <f>'Project-definition'!E8</f>
        <v>Rock density (kg/m3)</v>
      </c>
      <c r="F8" s="28"/>
      <c r="G8" s="28"/>
      <c r="H8" s="28"/>
      <c r="I8" s="516">
        <f>'Project-definition'!I8</f>
        <v>3000</v>
      </c>
      <c r="J8" s="28"/>
      <c r="K8" s="523"/>
      <c r="L8" s="19"/>
      <c r="M8" s="89" t="str">
        <f>'Project-definition'!M8</f>
        <v>Producer / Injector ratio</v>
      </c>
      <c r="N8" s="28"/>
      <c r="O8" s="28"/>
      <c r="P8" s="28"/>
      <c r="Q8" s="124">
        <f>'Project-definition'!Q8</f>
        <v>1</v>
      </c>
      <c r="R8" s="69"/>
      <c r="S8" s="89" t="str">
        <f>'Project-definition'!S8</f>
        <v>Workover rig capacity - max # wells/yr</v>
      </c>
      <c r="T8" s="28"/>
      <c r="U8" s="28"/>
      <c r="V8" s="126">
        <f>'Project-definition'!V8</f>
        <v>6</v>
      </c>
      <c r="W8" s="19"/>
      <c r="X8" s="149" t="str">
        <f>'Project-definition'!X8</f>
        <v>Corporate tax (% taxable income)</v>
      </c>
      <c r="Y8" s="137"/>
      <c r="Z8" s="132"/>
      <c r="AA8" s="130">
        <f>'Project-definition'!AA8</f>
        <v>0.25</v>
      </c>
      <c r="AB8" s="21"/>
      <c r="AC8" s="89" t="str">
        <f>'Project-definition'!AC8</f>
        <v>Monitoring opex after C/I until decommissioning ($ MM/yr)</v>
      </c>
      <c r="AD8" s="28"/>
      <c r="AE8" s="28"/>
      <c r="AF8" s="28"/>
      <c r="AG8" s="126">
        <f>'Project-definition'!AG8</f>
        <v>1</v>
      </c>
      <c r="AH8" s="19"/>
      <c r="AI8" s="88" t="s">
        <v>1432</v>
      </c>
      <c r="AJ8" s="28"/>
      <c r="AK8" s="28"/>
      <c r="AL8" s="28"/>
      <c r="AM8" s="888">
        <f>'Steam Tables'!$AC$38</f>
        <v>151.67804603364539</v>
      </c>
      <c r="AN8" s="19"/>
    </row>
    <row r="9" spans="1:40">
      <c r="B9" s="132"/>
      <c r="C9" s="137"/>
      <c r="D9" s="19"/>
      <c r="E9" s="89" t="str">
        <f>'Project-definition'!E9</f>
        <v>Rock specific heat (kJ/kg*C)</v>
      </c>
      <c r="F9" s="28"/>
      <c r="G9" s="28"/>
      <c r="H9" s="28"/>
      <c r="I9" s="516">
        <f>'Project-definition'!I9</f>
        <v>0.85</v>
      </c>
      <c r="J9" s="28"/>
      <c r="K9" s="523"/>
      <c r="L9" s="19"/>
      <c r="M9" s="89" t="str">
        <f>'Project-definition'!M9</f>
        <v>Completion interval of well, i.e. 'h' in kh/m-factor (m)</v>
      </c>
      <c r="N9" s="28"/>
      <c r="O9" s="28"/>
      <c r="P9" s="28"/>
      <c r="Q9" s="126">
        <f>'Project-definition'!Q9</f>
        <v>300</v>
      </c>
      <c r="R9" s="19"/>
      <c r="S9" s="89" t="str">
        <f>'Project-definition'!S9</f>
        <v>Workover duration (days)</v>
      </c>
      <c r="T9" s="28"/>
      <c r="U9" s="28"/>
      <c r="V9" s="302">
        <f>'Project-definition'!V9</f>
        <v>30</v>
      </c>
      <c r="W9" s="19"/>
      <c r="X9" s="149" t="str">
        <f>'Project-definition'!X9</f>
        <v>Select type of depreciation scheme:</v>
      </c>
      <c r="Y9" s="137"/>
      <c r="Z9" s="135"/>
      <c r="AA9" s="124" t="str">
        <f>'Project-definition'!AA9</f>
        <v>DDB</v>
      </c>
      <c r="AB9" s="21"/>
      <c r="AC9" s="149" t="str">
        <f>'Project-definition'!AC9</f>
        <v>Select field abandonment cost calculation:</v>
      </c>
      <c r="AD9" s="137"/>
      <c r="AE9" s="529"/>
      <c r="AF9" s="424"/>
      <c r="AG9" s="308" t="str">
        <f>'Project-definition'!AG9</f>
        <v>Percent</v>
      </c>
      <c r="AH9" s="27" t="str">
        <f>IF(AND(AG10&lt;0,AG11&lt;&gt;0),"&gt;0 !!","")</f>
        <v/>
      </c>
      <c r="AI9" s="88" t="s">
        <v>1431</v>
      </c>
      <c r="AJ9" s="28"/>
      <c r="AK9" s="28"/>
      <c r="AL9" s="28"/>
      <c r="AM9" s="888">
        <f>'Steam Tables'!$U$87</f>
        <v>915.05619764904623</v>
      </c>
      <c r="AN9" s="19"/>
    </row>
    <row r="10" spans="1:40" ht="13.8" thickBot="1">
      <c r="B10" s="132"/>
      <c r="C10" s="137"/>
      <c r="D10" s="19"/>
      <c r="E10" s="89" t="str">
        <f>'Project-definition'!E10</f>
        <v>Reservoir permeability (mD)</v>
      </c>
      <c r="F10" s="28"/>
      <c r="G10" s="78"/>
      <c r="H10" s="28"/>
      <c r="I10" s="517">
        <f>IF(K10=J10,'Project-definition'!I10,IF(K10="Darcy",'Project-definition'!I10*0.0000000000009869233,'Project-definition'!I10*9.869233E-16))</f>
        <v>9.8692330000000007E-15</v>
      </c>
      <c r="J10" s="232" t="s">
        <v>316</v>
      </c>
      <c r="K10" s="522" t="str">
        <f>'Project-definition'!J10</f>
        <v>mD</v>
      </c>
      <c r="L10" s="19"/>
      <c r="M10" s="88" t="str">
        <f>'Project-definition'!M10</f>
        <v>Pump e-consumption for injectors (kW)</v>
      </c>
      <c r="N10" s="28"/>
      <c r="O10" s="28"/>
      <c r="P10" s="28"/>
      <c r="Q10" s="302">
        <f>'Project-definition'!Q10</f>
        <v>1000</v>
      </c>
      <c r="R10" s="19"/>
      <c r="S10" s="89" t="str">
        <f>'Project-definition'!S10</f>
        <v>Avg prod. well W/O frequency (every n yrs)</v>
      </c>
      <c r="T10" s="28"/>
      <c r="U10" s="28"/>
      <c r="V10" s="126">
        <f>IF('Project-definition'!V10=0,1000,IF('Project-definition'!V10="",1000,'Project-definition'!V10))</f>
        <v>8</v>
      </c>
      <c r="W10" s="19"/>
      <c r="X10" s="149"/>
      <c r="Y10" s="137"/>
      <c r="Z10" s="622" t="str">
        <f>'Project-definition'!Z10</f>
        <v>Years to depreciate</v>
      </c>
      <c r="AA10" s="126">
        <f>'Project-definition'!AA10</f>
        <v>10</v>
      </c>
      <c r="AB10" s="21"/>
      <c r="AC10" s="89"/>
      <c r="AD10" s="28"/>
      <c r="AE10" s="28"/>
      <c r="AF10" s="624" t="str">
        <f>'Project-definition'!AF10</f>
        <v>Field abandonment cost ($ MM)</v>
      </c>
      <c r="AG10" s="124">
        <f>'Project-definition'!AG10</f>
        <v>100</v>
      </c>
      <c r="AI10" s="909" t="s">
        <v>1438</v>
      </c>
      <c r="AJ10" s="86"/>
      <c r="AK10" s="86"/>
      <c r="AL10" s="86"/>
      <c r="AM10" s="721">
        <f>'Steam Tables'!$AC$80</f>
        <v>1.8081854015626099E-4</v>
      </c>
      <c r="AN10" s="19"/>
    </row>
    <row r="11" spans="1:40" ht="13.8" thickBot="1">
      <c r="B11" s="142"/>
      <c r="C11" s="146"/>
      <c r="D11" s="19"/>
      <c r="E11" s="89" t="str">
        <f>'Project-definition'!E11</f>
        <v>Reservoir temperature (°C)</v>
      </c>
      <c r="F11" s="28"/>
      <c r="G11" s="28"/>
      <c r="H11" s="28"/>
      <c r="I11" s="516">
        <f>'Project-definition'!I11</f>
        <v>295</v>
      </c>
      <c r="J11" s="28"/>
      <c r="K11" s="523"/>
      <c r="L11" s="19"/>
      <c r="M11" s="89" t="str">
        <f>'Project-definition'!M11</f>
        <v>Select conversion efficiency (thermal to MWe) source:</v>
      </c>
      <c r="N11" s="28"/>
      <c r="O11" s="28"/>
      <c r="P11" s="28"/>
      <c r="Q11" s="222" t="str">
        <f>'Project-definition'!Q11</f>
        <v>Sarmiento</v>
      </c>
      <c r="R11" s="19"/>
      <c r="S11" s="90" t="str">
        <f>'Project-definition'!S11</f>
        <v>Avg inj. well W/O frequency (every n yrs)</v>
      </c>
      <c r="T11" s="86"/>
      <c r="U11" s="623"/>
      <c r="V11" s="127">
        <f>IF('Project-definition'!V11=0,1000,IF('Project-definition'!V11="",1000,'Project-definition'!V11))</f>
        <v>6</v>
      </c>
      <c r="X11" s="149"/>
      <c r="Y11" s="137"/>
      <c r="Z11" s="622" t="str">
        <f>'Project-definition'!Z11</f>
        <v>Salvage value of depreciated asset (%)</v>
      </c>
      <c r="AA11" s="130">
        <f>'Project-definition'!AA11</f>
        <v>0.1</v>
      </c>
      <c r="AB11" s="21"/>
      <c r="AC11" s="457"/>
      <c r="AD11" s="86"/>
      <c r="AE11" s="86"/>
      <c r="AF11" s="623" t="str">
        <f>'Project-definition'!AF11</f>
        <v>Field abandonment cost (% cum capex)</v>
      </c>
      <c r="AG11" s="456">
        <f>'Project-definition'!AG11</f>
        <v>0.12</v>
      </c>
      <c r="AH11" s="21"/>
      <c r="AI11" s="19"/>
      <c r="AJ11" s="19"/>
      <c r="AK11" s="19"/>
      <c r="AL11" s="19"/>
      <c r="AM11" s="19"/>
      <c r="AN11" s="19"/>
    </row>
    <row r="12" spans="1:40" ht="13.8" thickBot="1">
      <c r="B12" s="132"/>
      <c r="C12" s="19"/>
      <c r="D12" s="19"/>
      <c r="E12" s="89" t="str">
        <f>'Project-definition'!E12</f>
        <v>Reservoir pressure (Pa)</v>
      </c>
      <c r="F12" s="28"/>
      <c r="G12" s="78"/>
      <c r="H12" s="28"/>
      <c r="I12" s="517">
        <f>IF(K12=J12,'Project-definition'!I12,IF(K12="bar",'Project-definition'!I12*10^5,IF(K12="atm",'Project-definition'!I12*101325,'Project-definition'!I12*6894.76)))</f>
        <v>25000000</v>
      </c>
      <c r="J12" s="232" t="s">
        <v>317</v>
      </c>
      <c r="K12" s="522" t="str">
        <f>'Project-definition'!J12</f>
        <v>Pa</v>
      </c>
      <c r="L12" s="19"/>
      <c r="M12" s="89"/>
      <c r="N12" s="28"/>
      <c r="O12" s="28"/>
      <c r="P12" s="828" t="str">
        <f>'Project-definition'!P12</f>
        <v>If van Wees, enter efficiency relative to Carnot --&gt;</v>
      </c>
      <c r="Q12" s="128">
        <f>'Project-definition'!Q12</f>
        <v>0.6</v>
      </c>
      <c r="R12" s="69"/>
      <c r="S12" s="19"/>
      <c r="T12" s="19"/>
      <c r="U12" s="19"/>
      <c r="V12" s="19"/>
      <c r="W12" s="19"/>
      <c r="X12" s="149" t="str">
        <f>'Project-definition'!X12</f>
        <v>Capex multiplier</v>
      </c>
      <c r="Y12" s="137"/>
      <c r="Z12" s="132"/>
      <c r="AA12" s="124">
        <f>'Project-definition'!AA12</f>
        <v>1</v>
      </c>
      <c r="AB12" s="21"/>
      <c r="AC12" s="21"/>
      <c r="AD12" s="21"/>
      <c r="AE12" s="21"/>
      <c r="AF12" s="19"/>
      <c r="AG12" s="19"/>
      <c r="AH12" s="19"/>
      <c r="AI12" s="25" t="s">
        <v>1512</v>
      </c>
      <c r="AJ12" s="19"/>
      <c r="AK12" s="19"/>
      <c r="AL12" s="19"/>
      <c r="AM12" s="19"/>
      <c r="AN12" s="19"/>
    </row>
    <row r="13" spans="1:40" ht="13.8" thickBot="1">
      <c r="B13" s="132"/>
      <c r="C13" s="137"/>
      <c r="D13" s="19"/>
      <c r="E13" s="89" t="str">
        <f>'Project-definition'!E13</f>
        <v>Flowing bottomhole pressure, production well (Pa)</v>
      </c>
      <c r="F13" s="137"/>
      <c r="G13" s="28"/>
      <c r="H13" s="137"/>
      <c r="I13" s="517">
        <f>IF(K13=J13,'Project-definition'!I13,IF(K13="bar",'Project-definition'!I13*10^5,IF(K13="atm",'Project-definition'!I13*101325,'Project-definition'!I13*6894.76)))</f>
        <v>18000000</v>
      </c>
      <c r="J13" s="232" t="s">
        <v>317</v>
      </c>
      <c r="K13" s="522" t="str">
        <f>'Project-definition'!J13</f>
        <v>Pa</v>
      </c>
      <c r="L13" s="19"/>
      <c r="M13" s="89"/>
      <c r="N13" s="28"/>
      <c r="O13" s="28"/>
      <c r="P13" s="828" t="str">
        <f>'Project-definition'!P13</f>
        <v>User-defined conversion efficiency --&gt;</v>
      </c>
      <c r="Q13" s="222">
        <f>'Project-definition'!Q13</f>
        <v>0.25</v>
      </c>
      <c r="R13" s="19"/>
      <c r="S13" s="25" t="str">
        <f>'Project-definition'!S13</f>
        <v>Well-related costs</v>
      </c>
      <c r="T13" s="19"/>
      <c r="U13" s="19"/>
      <c r="V13" s="19"/>
      <c r="W13" s="19"/>
      <c r="X13" s="149" t="str">
        <f>'Project-definition'!X13</f>
        <v>Fixed opex multiplier</v>
      </c>
      <c r="Y13" s="137"/>
      <c r="Z13" s="135"/>
      <c r="AA13" s="124">
        <f>'Project-definition'!AA13</f>
        <v>1</v>
      </c>
      <c r="AB13" s="19"/>
      <c r="AC13" s="25" t="str">
        <f>'Project-definition'!AC13</f>
        <v>Surface facility variables</v>
      </c>
      <c r="AD13" s="21"/>
      <c r="AE13" s="19"/>
      <c r="AG13" s="21"/>
      <c r="AH13" s="19"/>
      <c r="AI13" s="304" t="s">
        <v>472</v>
      </c>
      <c r="AJ13" s="87"/>
      <c r="AK13" s="980"/>
      <c r="AL13" s="87"/>
      <c r="AM13" s="303">
        <f>'Calculated Variables'!E37</f>
        <v>8322</v>
      </c>
      <c r="AN13" s="19"/>
    </row>
    <row r="14" spans="1:40">
      <c r="B14" s="132"/>
      <c r="C14" s="137"/>
      <c r="D14" s="19"/>
      <c r="E14" s="89" t="str">
        <f>'Project-definition'!E14</f>
        <v>ΔP from bottomhole to tubing head, prod. well (Pa)</v>
      </c>
      <c r="F14" s="137"/>
      <c r="G14" s="28"/>
      <c r="H14" s="137"/>
      <c r="I14" s="517">
        <f>IF(K14=J14,'Project-definition'!I14,IF(K14="bar",'Project-definition'!I14*10^5,IF(K14="atm",'Project-definition'!I14*101325,'Project-definition'!I14*6894.76)))</f>
        <v>14500000</v>
      </c>
      <c r="J14" s="232" t="s">
        <v>317</v>
      </c>
      <c r="K14" s="522" t="str">
        <f>'Project-definition'!J14</f>
        <v>Pa</v>
      </c>
      <c r="L14" s="28"/>
      <c r="M14" s="89"/>
      <c r="N14" s="28"/>
      <c r="O14" s="28"/>
      <c r="P14" s="828" t="str">
        <f>'Project-definition'!P14</f>
        <v>Conversion efficiency value used --&gt;</v>
      </c>
      <c r="Q14" s="586">
        <f>IF($Q$11="Sarmiento",AM17,IF(Q11="Kujbus",AM15,IF(Q11="User-defined",Q13,AM16)))</f>
        <v>0.13949999999999999</v>
      </c>
      <c r="R14" s="19"/>
      <c r="S14" s="527" t="str">
        <f>'Project-definition'!S14</f>
        <v>Along hole depth of single well (m)</v>
      </c>
      <c r="T14" s="87"/>
      <c r="U14" s="87"/>
      <c r="V14" s="235">
        <f>'Project-definition'!V14</f>
        <v>3000</v>
      </c>
      <c r="W14" s="19"/>
      <c r="X14" s="149" t="str">
        <f>'Project-definition'!X14</f>
        <v>Select O&amp;M costs calculation method:</v>
      </c>
      <c r="Y14" s="137"/>
      <c r="Z14" s="132"/>
      <c r="AA14" s="147" t="str">
        <f>'Project-definition'!AA14</f>
        <v>Fraction</v>
      </c>
      <c r="AB14" s="19"/>
      <c r="AC14" s="530" t="str">
        <f>'Project-definition'!AC14</f>
        <v>Max flow through surface facility (m3/s)</v>
      </c>
      <c r="AD14" s="531"/>
      <c r="AE14" s="532"/>
      <c r="AF14" s="87"/>
      <c r="AG14" s="125">
        <f>'Project-definition'!AG14</f>
        <v>10</v>
      </c>
      <c r="AH14" s="19"/>
      <c r="AI14" s="88" t="s">
        <v>618</v>
      </c>
      <c r="AJ14" s="28"/>
      <c r="AK14" s="424"/>
      <c r="AL14" s="28"/>
      <c r="AM14" s="540">
        <f>'Calculated Variables'!E38</f>
        <v>720</v>
      </c>
      <c r="AN14" s="19"/>
    </row>
    <row r="15" spans="1:40">
      <c r="B15" s="132"/>
      <c r="C15" s="137"/>
      <c r="D15" s="28"/>
      <c r="E15" s="89" t="str">
        <f>'Project-definition'!E15</f>
        <v>ΔP from flashing chamber, if not a gas at tubing head (Pa)</v>
      </c>
      <c r="F15" s="137"/>
      <c r="G15" s="28"/>
      <c r="H15" s="137"/>
      <c r="I15" s="517">
        <f>IF(K15=J15,'Project-definition'!I15,IF(K15="bar",'Project-definition'!I15*10^5,IF(K15="atm",'Project-definition'!I15*101325,'Project-definition'!I15*6894.76)))</f>
        <v>1000000</v>
      </c>
      <c r="J15" s="232" t="s">
        <v>317</v>
      </c>
      <c r="K15" s="522" t="str">
        <f>'Project-definition'!J15</f>
        <v>Pa</v>
      </c>
      <c r="L15" s="28"/>
      <c r="M15" s="89" t="str">
        <f>'Project-definition'!M15</f>
        <v>Breakthrough volume before temperature decline (m3)</v>
      </c>
      <c r="N15" s="28"/>
      <c r="O15" s="28"/>
      <c r="P15" s="28"/>
      <c r="Q15" s="585">
        <f>'Project-definition'!Q15</f>
        <v>100000000</v>
      </c>
      <c r="R15" s="19"/>
      <c r="S15" s="818" t="str">
        <f>'Project-definition'!S15</f>
        <v>True vertical depth of well (m)</v>
      </c>
      <c r="T15" s="28"/>
      <c r="U15" s="28"/>
      <c r="V15" s="126">
        <f>'Project-definition'!V15</f>
        <v>2000</v>
      </c>
      <c r="W15" s="19"/>
      <c r="X15" s="149"/>
      <c r="Y15" s="137"/>
      <c r="Z15" s="622" t="str">
        <f>'Project-definition'!Z15</f>
        <v>O&amp;M yearly costs (fraction of capex)</v>
      </c>
      <c r="AA15" s="147">
        <f>'Project-definition'!AA15</f>
        <v>5.0000000000000001E-3</v>
      </c>
      <c r="AB15" s="21"/>
      <c r="AC15" s="89" t="str">
        <f>'Project-definition'!AC15</f>
        <v>Select turbine capex replacement method:</v>
      </c>
      <c r="AD15" s="28"/>
      <c r="AE15" s="28"/>
      <c r="AF15" s="169"/>
      <c r="AG15" s="124" t="str">
        <f>'Project-definition'!AG15</f>
        <v>Constant</v>
      </c>
      <c r="AH15" s="19"/>
      <c r="AI15" s="89" t="s">
        <v>1490</v>
      </c>
      <c r="AJ15" s="28"/>
      <c r="AK15" s="424"/>
      <c r="AL15" s="28"/>
      <c r="AM15" s="299">
        <f>'Calculated Variables'!E39</f>
        <v>0.238534</v>
      </c>
      <c r="AN15" s="19"/>
    </row>
    <row r="16" spans="1:40">
      <c r="B16" s="142"/>
      <c r="C16" s="146"/>
      <c r="D16" s="28"/>
      <c r="E16" s="89" t="str">
        <f>'Project-definition'!E16</f>
        <v>Pressure after turbine (Pa)</v>
      </c>
      <c r="F16" s="137"/>
      <c r="G16" s="28"/>
      <c r="H16" s="137"/>
      <c r="I16" s="517">
        <f>IF(K16=J16,'Project-definition'!I16,IF(K16="bar",'Project-definition'!I16*10^5,IF(K16="atm",'Project-definition'!I16*101325,'Project-definition'!I16*6894.76)))</f>
        <v>500000</v>
      </c>
      <c r="J16" s="232" t="s">
        <v>317</v>
      </c>
      <c r="K16" s="522" t="str">
        <f>'Project-definition'!J16</f>
        <v>Pa</v>
      </c>
      <c r="L16" s="19"/>
      <c r="M16" s="89" t="str">
        <f>'Project-definition'!M16</f>
        <v>Linear decline rate for temperature (°C/million m3)</v>
      </c>
      <c r="N16" s="28"/>
      <c r="O16" s="28"/>
      <c r="P16" s="28"/>
      <c r="Q16" s="718">
        <f>'Project-definition'!Q16</f>
        <v>0.4</v>
      </c>
      <c r="R16" s="19"/>
      <c r="S16" s="528" t="str">
        <f>'Project-definition'!S16</f>
        <v>Drill &amp; compl. cost per explor. well ($ MM)</v>
      </c>
      <c r="T16" s="28"/>
      <c r="U16" s="28"/>
      <c r="V16" s="124">
        <f>'Project-definition'!V16</f>
        <v>6</v>
      </c>
      <c r="W16" s="28"/>
      <c r="X16" s="149" t="str">
        <f>'Project-definition'!X16</f>
        <v>Discount rate for geothermal operator (%)</v>
      </c>
      <c r="Y16" s="137"/>
      <c r="Z16" s="132"/>
      <c r="AA16" s="148">
        <f>'Project-definition'!AA16</f>
        <v>0.12</v>
      </c>
      <c r="AB16" s="19"/>
      <c r="AC16" s="89"/>
      <c r="AD16" s="28"/>
      <c r="AE16" s="28"/>
      <c r="AF16" s="624" t="str">
        <f>'Project-definition'!AF16</f>
        <v>Cost of replacement turbine ($ MM) --&gt;</v>
      </c>
      <c r="AG16" s="124">
        <f>'Project-definition'!AG16</f>
        <v>15</v>
      </c>
      <c r="AH16" s="19"/>
      <c r="AI16" s="89" t="s">
        <v>471</v>
      </c>
      <c r="AJ16" s="28"/>
      <c r="AK16" s="424"/>
      <c r="AL16" s="28"/>
      <c r="AM16" s="301">
        <f>'Calculated Variables'!E40</f>
        <v>0.28356380185541746</v>
      </c>
      <c r="AN16" s="19"/>
    </row>
    <row r="17" spans="1:40" ht="13.8" thickBot="1">
      <c r="B17" s="132"/>
      <c r="C17" s="230"/>
      <c r="D17" s="19"/>
      <c r="E17" s="89" t="str">
        <f>'Project-definition'!E17</f>
        <v>Reinjection pressure at injector wellhead (Pa)</v>
      </c>
      <c r="F17" s="137"/>
      <c r="G17" s="28"/>
      <c r="H17" s="137"/>
      <c r="I17" s="517">
        <f>IF(K17=J17,'Project-definition'!I17,IF(K17="bar",'Project-definition'!I17*10^5,IF(K17="atm",'Project-definition'!I17*101325,'Project-definition'!I17*6894.76)))</f>
        <v>13200000</v>
      </c>
      <c r="J17" s="232" t="s">
        <v>317</v>
      </c>
      <c r="K17" s="522" t="str">
        <f>'Project-definition'!J17</f>
        <v>Pa</v>
      </c>
      <c r="L17" s="19"/>
      <c r="M17" s="90" t="str">
        <f>'Project-definition'!M17</f>
        <v>Isentropic turbine efficiency</v>
      </c>
      <c r="N17" s="86"/>
      <c r="O17" s="86"/>
      <c r="P17" s="86"/>
      <c r="Q17" s="720">
        <f>'Project-definition'!Q17</f>
        <v>0.86</v>
      </c>
      <c r="R17" s="19"/>
      <c r="S17" s="818" t="str">
        <f>'Project-definition'!S17</f>
        <v>Drill &amp; compl. cost per appraisal well ($ MM)</v>
      </c>
      <c r="T17" s="424"/>
      <c r="U17" s="69"/>
      <c r="V17" s="124">
        <f>'Project-definition'!V17</f>
        <v>4.5</v>
      </c>
      <c r="W17" s="19"/>
      <c r="X17" s="89" t="str">
        <f>'Project-definition'!X18</f>
        <v>Discounting reference year</v>
      </c>
      <c r="Y17" s="28"/>
      <c r="Z17" s="28"/>
      <c r="AA17" s="274">
        <f>'Project-definition'!AA18</f>
        <v>2017</v>
      </c>
      <c r="AB17" s="19"/>
      <c r="AC17" s="90"/>
      <c r="AD17" s="86"/>
      <c r="AE17" s="86"/>
      <c r="AF17" s="623" t="str">
        <f>'Project-definition'!AF17</f>
        <v>Hrs until turbine needs replacement --&gt;</v>
      </c>
      <c r="AG17" s="127">
        <f>'Project-definition'!AG17</f>
        <v>100000</v>
      </c>
      <c r="AH17" s="19"/>
      <c r="AI17" s="233" t="s">
        <v>391</v>
      </c>
      <c r="AJ17" s="34"/>
      <c r="AK17" s="424"/>
      <c r="AL17" s="28"/>
      <c r="AM17" s="300">
        <f>'Calculated Variables'!E41</f>
        <v>0.13949999999999999</v>
      </c>
      <c r="AN17" s="19"/>
    </row>
    <row r="18" spans="1:40" ht="13.8" thickBot="1">
      <c r="B18" s="19"/>
      <c r="C18" s="19"/>
      <c r="D18" s="19"/>
      <c r="E18" s="89" t="str">
        <f>'Project-definition'!E18</f>
        <v>Wellbore diameter (m)</v>
      </c>
      <c r="F18" s="28"/>
      <c r="G18" s="28"/>
      <c r="H18" s="28"/>
      <c r="I18" s="516">
        <f>IF(K18=J18,'Project-definition'!I18,'Project-definition'!I18/1000)</f>
        <v>0.26</v>
      </c>
      <c r="J18" s="232" t="s">
        <v>5</v>
      </c>
      <c r="K18" s="522" t="str">
        <f>'Project-definition'!J18</f>
        <v>m</v>
      </c>
      <c r="L18" s="19"/>
      <c r="M18" s="234"/>
      <c r="N18" s="19"/>
      <c r="O18" s="19"/>
      <c r="P18" s="19"/>
      <c r="Q18" s="19"/>
      <c r="R18" s="69"/>
      <c r="S18" s="818" t="str">
        <f>'Project-definition'!S18</f>
        <v>Drill &amp; compl. cost per dev. well ($ MM)</v>
      </c>
      <c r="T18" s="424"/>
      <c r="U18" s="69"/>
      <c r="V18" s="124">
        <f>'Project-definition'!V18</f>
        <v>4</v>
      </c>
      <c r="W18" s="19"/>
      <c r="X18" s="149" t="str">
        <f>'Project-definition'!X19</f>
        <v>Select who pays for connection to grid:</v>
      </c>
      <c r="Y18" s="137"/>
      <c r="Z18" s="132"/>
      <c r="AA18" s="307" t="str">
        <f>'Project-definition'!AA19</f>
        <v>TSO</v>
      </c>
      <c r="AB18" s="19"/>
      <c r="AC18" s="19"/>
      <c r="AD18" s="19"/>
      <c r="AE18" s="19"/>
      <c r="AF18" s="19"/>
      <c r="AG18" s="19"/>
      <c r="AH18" s="19"/>
      <c r="AI18" s="90" t="s">
        <v>386</v>
      </c>
      <c r="AJ18" s="86"/>
      <c r="AK18" s="973"/>
      <c r="AL18" s="86"/>
      <c r="AM18" s="306">
        <f>'Calculated Variables'!E42</f>
        <v>325.27397884144108</v>
      </c>
      <c r="AN18" s="19"/>
    </row>
    <row r="19" spans="1:40" ht="13.8" thickBot="1">
      <c r="B19" s="19"/>
      <c r="C19" s="19"/>
      <c r="D19" s="19"/>
      <c r="E19" s="89" t="str">
        <f>'Project-definition'!E19</f>
        <v>Tubing inner diameter (m)</v>
      </c>
      <c r="F19" s="28"/>
      <c r="G19" s="28"/>
      <c r="H19" s="28"/>
      <c r="I19" s="516">
        <f>IF(K19=J19,'Project-definition'!I19,'Project-definition'!I19/1000)</f>
        <v>0.15</v>
      </c>
      <c r="J19" s="232" t="s">
        <v>5</v>
      </c>
      <c r="K19" s="522" t="str">
        <f>'Project-definition'!J19</f>
        <v>m</v>
      </c>
      <c r="L19" s="19"/>
      <c r="M19" s="25" t="str">
        <f>'Project-definition'!M19</f>
        <v>Well success rate</v>
      </c>
      <c r="N19" s="19"/>
      <c r="O19" s="19"/>
      <c r="P19" s="19"/>
      <c r="Q19" s="19"/>
      <c r="R19" s="19"/>
      <c r="S19" s="818" t="str">
        <f>'Project-definition'!S19</f>
        <v>Drill &amp; compl. cost per injection well ($ MM)</v>
      </c>
      <c r="T19" s="424"/>
      <c r="U19" s="69"/>
      <c r="V19" s="124">
        <f>'Project-definition'!V19</f>
        <v>8</v>
      </c>
      <c r="W19" s="19"/>
      <c r="X19" s="89" t="str">
        <f>'Project-definition'!X21</f>
        <v>Targeted economic life (years)</v>
      </c>
      <c r="Y19" s="28"/>
      <c r="Z19" s="28"/>
      <c r="AA19" s="128">
        <f>'Project-definition'!AA21</f>
        <v>50</v>
      </c>
      <c r="AB19" s="19"/>
      <c r="AC19" s="19"/>
      <c r="AD19" s="19"/>
      <c r="AE19" s="19"/>
      <c r="AF19" s="19"/>
      <c r="AG19" s="19"/>
      <c r="AH19" s="19"/>
      <c r="AI19" s="21"/>
      <c r="AJ19" s="21"/>
      <c r="AK19" s="21"/>
      <c r="AL19" s="19"/>
      <c r="AM19" s="19"/>
      <c r="AN19" s="19"/>
    </row>
    <row r="20" spans="1:40" ht="13.8" thickBot="1">
      <c r="B20" s="19"/>
      <c r="C20" s="19"/>
      <c r="D20" s="19"/>
      <c r="E20" s="89" t="str">
        <f>'Project-definition'!E20</f>
        <v>Tubing surface roughness (mm)</v>
      </c>
      <c r="F20" s="28"/>
      <c r="G20" s="28"/>
      <c r="H20" s="28"/>
      <c r="I20" s="516">
        <f>'Project-definition'!I20</f>
        <v>4.5699999999999998E-2</v>
      </c>
      <c r="J20" s="28"/>
      <c r="K20" s="523"/>
      <c r="L20" s="19"/>
      <c r="M20" s="91" t="str">
        <f>'Project-definition'!M20</f>
        <v>Select eqn. for well success learning curve</v>
      </c>
      <c r="N20" s="87"/>
      <c r="O20" s="87"/>
      <c r="P20" s="925"/>
      <c r="Q20" s="125" t="str">
        <f>'Project-definition'!Q20</f>
        <v>y=m*ln(x)+b</v>
      </c>
      <c r="R20" s="19"/>
      <c r="S20" s="92" t="str">
        <f>'Project-definition'!S20</f>
        <v>Well stimulation cost ($ MM)</v>
      </c>
      <c r="T20" s="68"/>
      <c r="U20" s="69"/>
      <c r="V20" s="124">
        <f>'Project-definition'!V20</f>
        <v>1.5</v>
      </c>
      <c r="W20" s="28"/>
      <c r="X20" s="89" t="str">
        <f>'Project-definition'!X22</f>
        <v>Select electricity sales per MWh tariff:</v>
      </c>
      <c r="Y20" s="28"/>
      <c r="Z20" s="28"/>
      <c r="AA20" s="308" t="str">
        <f>'Project-definition'!AA22</f>
        <v>Fixed</v>
      </c>
      <c r="AB20" s="19"/>
      <c r="AC20" s="19"/>
      <c r="AD20" s="19"/>
      <c r="AE20" s="19"/>
      <c r="AF20" s="19"/>
      <c r="AG20" s="19"/>
      <c r="AH20" s="19"/>
      <c r="AI20" s="25" t="s">
        <v>1511</v>
      </c>
      <c r="AJ20" s="21"/>
      <c r="AK20" s="19"/>
      <c r="AM20" s="21"/>
      <c r="AN20" s="19"/>
    </row>
    <row r="21" spans="1:40" ht="13.8" thickBot="1">
      <c r="B21" s="19"/>
      <c r="C21" s="19"/>
      <c r="D21" s="19"/>
      <c r="E21" s="89" t="str">
        <f>'Project-definition'!E21</f>
        <v>Initial and post-workover production well skin factor</v>
      </c>
      <c r="F21" s="28"/>
      <c r="G21" s="28"/>
      <c r="H21" s="28"/>
      <c r="I21" s="516">
        <f>'Project-definition'!I21</f>
        <v>0</v>
      </c>
      <c r="J21" s="28"/>
      <c r="K21" s="523"/>
      <c r="L21" s="19"/>
      <c r="M21" s="89"/>
      <c r="N21" s="28"/>
      <c r="O21" s="28"/>
      <c r="P21" s="624" t="str">
        <f>'Project-definition'!P21</f>
        <v>Initial well success rate (b factor)</v>
      </c>
      <c r="Q21" s="625">
        <f>'Project-definition'!Q21</f>
        <v>0.48</v>
      </c>
      <c r="R21" s="19"/>
      <c r="S21" s="92" t="str">
        <f>'Project-definition'!S21</f>
        <v>Workover cost per well ($ MM)</v>
      </c>
      <c r="T21" s="68"/>
      <c r="U21" s="69"/>
      <c r="V21" s="124">
        <f>'Project-definition'!V21</f>
        <v>1</v>
      </c>
      <c r="W21" s="28"/>
      <c r="X21" s="90"/>
      <c r="Y21" s="86"/>
      <c r="Z21" s="623" t="str">
        <f>'Project-definition'!Z23</f>
        <v>Fixed e-sales/MWh tariff ($/MWh)</v>
      </c>
      <c r="AA21" s="127">
        <f>'Project-definition'!AA23</f>
        <v>140</v>
      </c>
      <c r="AB21" s="21"/>
      <c r="AC21" s="19"/>
      <c r="AD21" s="19"/>
      <c r="AE21" s="19"/>
      <c r="AF21" s="19"/>
      <c r="AG21" s="19"/>
      <c r="AH21" s="19"/>
      <c r="AI21" s="527" t="s">
        <v>1382</v>
      </c>
      <c r="AJ21" s="980"/>
      <c r="AK21" s="87"/>
      <c r="AL21" s="337"/>
      <c r="AM21" s="598">
        <f>'Calculated Variables'!E23</f>
        <v>7000000</v>
      </c>
      <c r="AN21" s="19"/>
    </row>
    <row r="22" spans="1:40" ht="13.8" thickBot="1">
      <c r="B22" s="28"/>
      <c r="C22" s="164"/>
      <c r="D22" s="19"/>
      <c r="E22" s="89" t="str">
        <f>'Project-definition'!E22</f>
        <v>Initial and post-workover injection well skin factor</v>
      </c>
      <c r="F22" s="19"/>
      <c r="G22" s="19"/>
      <c r="I22" s="516">
        <f>'Project-definition'!I22</f>
        <v>0</v>
      </c>
      <c r="J22" s="19"/>
      <c r="K22" s="523"/>
      <c r="L22" s="132"/>
      <c r="M22" s="89"/>
      <c r="N22" s="28"/>
      <c r="O22" s="28"/>
      <c r="P22" s="624" t="str">
        <f>'Project-definition'!P22</f>
        <v>Slope of well success rate curve (m factor)</v>
      </c>
      <c r="Q22" s="308">
        <f>'Project-definition'!Q22</f>
        <v>7.0000000000000007E-2</v>
      </c>
      <c r="R22" s="19"/>
      <c r="S22" s="444" t="str">
        <f>'Project-definition'!S22</f>
        <v>Well opex ($ MM/well/yr)</v>
      </c>
      <c r="T22" s="150"/>
      <c r="U22" s="443"/>
      <c r="V22" s="456">
        <f>'Project-definition'!V22</f>
        <v>0.1</v>
      </c>
      <c r="W22" s="28"/>
      <c r="X22" s="19"/>
      <c r="Y22" s="19"/>
      <c r="Z22" s="19"/>
      <c r="AA22" s="19"/>
      <c r="AB22" s="21"/>
      <c r="AC22" s="19"/>
      <c r="AD22" s="19"/>
      <c r="AE22" s="19"/>
      <c r="AF22" s="19"/>
      <c r="AG22" s="19"/>
      <c r="AH22" s="19"/>
      <c r="AI22" s="88" t="s">
        <v>1475</v>
      </c>
      <c r="AJ22" s="424"/>
      <c r="AK22" s="28"/>
      <c r="AL22" s="326"/>
      <c r="AM22" s="565">
        <f>'Calculated Variables'!E26</f>
        <v>3500000</v>
      </c>
      <c r="AN22" s="19"/>
    </row>
    <row r="23" spans="1:40" ht="13.8" thickBot="1">
      <c r="B23" s="28"/>
      <c r="C23" s="164"/>
      <c r="D23" s="19"/>
      <c r="E23" s="89" t="str">
        <f>'Project-definition'!E23</f>
        <v>Yearly skin growth factor for prod. wells (positive number)</v>
      </c>
      <c r="F23" s="28"/>
      <c r="G23" s="28"/>
      <c r="H23" s="28"/>
      <c r="I23" s="518">
        <f>'Project-definition'!I23</f>
        <v>1.5</v>
      </c>
      <c r="J23" s="28"/>
      <c r="K23" s="523"/>
      <c r="L23" s="28"/>
      <c r="M23" s="90" t="str">
        <f>'Project-definition'!M23</f>
        <v>Select realization of the random number generator</v>
      </c>
      <c r="N23" s="86"/>
      <c r="O23" s="86"/>
      <c r="P23" s="86"/>
      <c r="Q23" s="428" t="str">
        <f>'Project-definition'!Q23</f>
        <v>Fixed</v>
      </c>
      <c r="R23" s="19"/>
      <c r="S23" s="19"/>
      <c r="T23" s="19"/>
      <c r="U23" s="28"/>
      <c r="V23" s="28"/>
      <c r="W23" s="28"/>
      <c r="X23" s="68"/>
      <c r="Y23" s="68"/>
      <c r="Z23" s="19"/>
      <c r="AA23" s="19"/>
      <c r="AB23" s="21"/>
      <c r="AC23" s="19"/>
      <c r="AD23" s="19"/>
      <c r="AE23" s="19"/>
      <c r="AF23" s="19"/>
      <c r="AG23" s="19"/>
      <c r="AH23" s="19"/>
      <c r="AI23" s="89" t="s">
        <v>1481</v>
      </c>
      <c r="AJ23" s="424"/>
      <c r="AK23" s="424"/>
      <c r="AL23" s="28"/>
      <c r="AM23" s="565">
        <f>'Calculated Variables'!E32</f>
        <v>17447271.721350037</v>
      </c>
      <c r="AN23" s="19"/>
    </row>
    <row r="24" spans="1:40">
      <c r="B24" s="28"/>
      <c r="C24" s="164"/>
      <c r="D24" s="19"/>
      <c r="E24" s="89" t="str">
        <f>'Project-definition'!E24</f>
        <v>Yearly skin growth factor for inj. wells (positive number)</v>
      </c>
      <c r="F24" s="19"/>
      <c r="G24" s="19"/>
      <c r="I24" s="516">
        <f>'Project-definition'!I24</f>
        <v>2</v>
      </c>
      <c r="J24" s="19"/>
      <c r="K24" s="523"/>
      <c r="L24" s="28"/>
      <c r="M24" s="234"/>
      <c r="N24" s="28"/>
      <c r="O24" s="28"/>
      <c r="P24" s="19"/>
      <c r="Q24" s="19"/>
      <c r="R24" s="19"/>
      <c r="S24" s="19"/>
      <c r="T24" s="19"/>
      <c r="U24" s="28"/>
      <c r="V24" s="28"/>
      <c r="W24" s="28"/>
      <c r="X24" s="28"/>
      <c r="Y24" s="19"/>
      <c r="Z24" s="19"/>
      <c r="AA24" s="19"/>
      <c r="AB24" s="19"/>
      <c r="AC24" s="19"/>
      <c r="AD24" s="19"/>
      <c r="AE24" s="19"/>
      <c r="AF24" s="19"/>
      <c r="AG24" s="19"/>
      <c r="AH24" s="19"/>
      <c r="AI24" s="89" t="s">
        <v>1476</v>
      </c>
      <c r="AJ24" s="424"/>
      <c r="AK24" s="424"/>
      <c r="AL24" s="28"/>
      <c r="AM24" s="565">
        <f>'Calculated Variables'!E33</f>
        <v>30647271.721350037</v>
      </c>
      <c r="AN24" s="19"/>
    </row>
    <row r="25" spans="1:40" ht="13.8" thickBot="1">
      <c r="B25" s="28"/>
      <c r="C25" s="164"/>
      <c r="D25" s="19"/>
      <c r="E25" s="89" t="str">
        <f>'Project-definition'!E25</f>
        <v>ΔT of produced fluids from reservoir to tubing head (°C)</v>
      </c>
      <c r="F25" s="28"/>
      <c r="G25" s="28"/>
      <c r="H25" s="28"/>
      <c r="I25" s="516">
        <f>'Project-definition'!I25</f>
        <v>15</v>
      </c>
      <c r="J25" s="296"/>
      <c r="K25" s="523"/>
      <c r="L25" s="28"/>
      <c r="M25" s="234"/>
      <c r="N25" s="28"/>
      <c r="O25" s="28"/>
      <c r="P25" s="19"/>
      <c r="Q25" s="19"/>
      <c r="R25" s="19"/>
      <c r="S25" s="19"/>
      <c r="T25" s="19"/>
      <c r="U25" s="28"/>
      <c r="V25" s="28"/>
      <c r="W25" s="28"/>
      <c r="X25" s="28"/>
      <c r="Y25" s="19"/>
      <c r="Z25" s="19"/>
      <c r="AA25" s="19"/>
      <c r="AB25" s="19"/>
      <c r="AC25" s="19"/>
      <c r="AD25" s="19"/>
      <c r="AE25" s="19"/>
      <c r="AF25" s="19"/>
      <c r="AG25" s="19"/>
      <c r="AH25" s="19"/>
      <c r="AI25" s="90" t="s">
        <v>1477</v>
      </c>
      <c r="AJ25" s="973"/>
      <c r="AK25" s="973"/>
      <c r="AL25" s="86"/>
      <c r="AM25" s="721">
        <f>'Calculated Variables'!E34</f>
        <v>5647271.7213500366</v>
      </c>
      <c r="AN25" s="19"/>
    </row>
    <row r="26" spans="1:40">
      <c r="B26" s="28"/>
      <c r="C26" s="164"/>
      <c r="D26" s="19"/>
      <c r="E26" s="89" t="str">
        <f>'Project-definition'!E26</f>
        <v>Minimum allowable temperature at tubing head (°C)</v>
      </c>
      <c r="F26" s="28"/>
      <c r="G26" s="28"/>
      <c r="H26" s="28"/>
      <c r="I26" s="516">
        <f>'Project-definition'!I26</f>
        <v>180</v>
      </c>
      <c r="J26" s="296"/>
      <c r="K26" s="523"/>
      <c r="L26" s="28"/>
      <c r="M26" s="234"/>
      <c r="N26" s="28"/>
      <c r="O26" s="28"/>
      <c r="P26" s="19"/>
      <c r="Q26" s="19"/>
      <c r="R26" s="19"/>
      <c r="S26" s="19"/>
      <c r="T26" s="19"/>
      <c r="U26" s="28"/>
      <c r="V26" s="28"/>
      <c r="W26" s="28"/>
      <c r="X26" s="28"/>
      <c r="Y26" s="19"/>
      <c r="Z26" s="19"/>
      <c r="AA26" s="19"/>
      <c r="AB26" s="19"/>
      <c r="AC26" s="19"/>
      <c r="AD26" s="19"/>
      <c r="AE26" s="19"/>
      <c r="AF26" s="19"/>
      <c r="AG26" s="19"/>
      <c r="AH26" s="19"/>
      <c r="AI26" s="21"/>
      <c r="AJ26" s="21"/>
      <c r="AK26" s="21"/>
      <c r="AL26" s="19"/>
      <c r="AM26" s="19"/>
      <c r="AN26" s="19"/>
    </row>
    <row r="27" spans="1:40" ht="13.8" thickBot="1">
      <c r="B27" s="28"/>
      <c r="C27" s="28"/>
      <c r="D27" s="28"/>
      <c r="E27" s="90" t="str">
        <f>'Project-definition'!E27</f>
        <v>Average ambient temp (°C)</v>
      </c>
      <c r="F27" s="86"/>
      <c r="G27" s="86"/>
      <c r="H27" s="86"/>
      <c r="I27" s="524">
        <f>'Project-definition'!I27</f>
        <v>10</v>
      </c>
      <c r="J27" s="86"/>
      <c r="K27" s="525"/>
      <c r="L27" s="28"/>
      <c r="M27" s="234"/>
      <c r="N27" s="28"/>
      <c r="O27" s="28"/>
      <c r="P27" s="19"/>
      <c r="Q27" s="19"/>
      <c r="R27" s="19"/>
      <c r="S27" s="19"/>
      <c r="T27" s="19"/>
      <c r="U27" s="28"/>
      <c r="V27" s="28"/>
      <c r="W27" s="28"/>
      <c r="X27" s="28"/>
      <c r="Y27" s="19"/>
      <c r="Z27" s="19"/>
      <c r="AA27" s="19"/>
      <c r="AB27" s="19"/>
      <c r="AC27" s="19"/>
      <c r="AD27" s="19"/>
      <c r="AE27" s="19"/>
      <c r="AF27" s="19"/>
      <c r="AG27" s="19"/>
      <c r="AH27" s="19"/>
      <c r="AI27" s="21"/>
      <c r="AJ27" s="21"/>
      <c r="AK27" s="21"/>
      <c r="AL27" s="19"/>
      <c r="AM27" s="19"/>
      <c r="AN27" s="19"/>
    </row>
    <row r="28" spans="1:40">
      <c r="B28" s="28"/>
      <c r="C28" s="164"/>
      <c r="D28" s="19"/>
      <c r="E28" s="28"/>
      <c r="F28" s="28"/>
      <c r="G28" s="28"/>
      <c r="H28" s="28"/>
      <c r="I28" s="28"/>
      <c r="J28" s="28"/>
      <c r="K28" s="28"/>
      <c r="L28" s="28"/>
      <c r="M28" s="234"/>
      <c r="N28" s="28"/>
      <c r="O28" s="28"/>
      <c r="P28" s="19"/>
      <c r="Q28" s="19"/>
      <c r="R28" s="19"/>
      <c r="S28" s="19"/>
      <c r="T28" s="19"/>
      <c r="U28" s="28"/>
      <c r="V28" s="28"/>
      <c r="W28" s="28"/>
      <c r="X28" s="28"/>
      <c r="Y28" s="1125"/>
      <c r="Z28" s="19"/>
      <c r="AA28" s="19"/>
      <c r="AB28" s="19"/>
      <c r="AC28" s="19"/>
      <c r="AD28" s="19"/>
      <c r="AE28" s="19"/>
      <c r="AF28" s="19"/>
      <c r="AG28" s="19"/>
      <c r="AH28" s="19"/>
      <c r="AI28" s="21"/>
      <c r="AJ28" s="21"/>
      <c r="AK28" s="21"/>
      <c r="AL28" s="19"/>
      <c r="AM28" s="19"/>
      <c r="AN28" s="19"/>
    </row>
    <row r="29" spans="1:40" s="30" customFormat="1">
      <c r="A29" s="179" t="s">
        <v>97</v>
      </c>
      <c r="B29" s="180" t="s">
        <v>98</v>
      </c>
      <c r="C29" s="181" t="s">
        <v>99</v>
      </c>
      <c r="D29" s="182" t="s">
        <v>100</v>
      </c>
      <c r="E29" s="183" t="s">
        <v>101</v>
      </c>
      <c r="F29" s="182" t="s">
        <v>102</v>
      </c>
      <c r="G29" s="183" t="s">
        <v>103</v>
      </c>
      <c r="H29" s="182" t="s">
        <v>104</v>
      </c>
      <c r="I29" s="182" t="s">
        <v>105</v>
      </c>
      <c r="J29" s="182" t="s">
        <v>106</v>
      </c>
      <c r="K29" s="182" t="s">
        <v>107</v>
      </c>
      <c r="L29" s="182" t="s">
        <v>108</v>
      </c>
      <c r="M29" s="182" t="s">
        <v>109</v>
      </c>
      <c r="N29" s="182" t="s">
        <v>88</v>
      </c>
      <c r="O29" s="183" t="s">
        <v>110</v>
      </c>
      <c r="P29" s="182" t="s">
        <v>111</v>
      </c>
      <c r="Q29" s="182" t="s">
        <v>112</v>
      </c>
      <c r="R29" s="182" t="s">
        <v>113</v>
      </c>
      <c r="S29" s="183" t="s">
        <v>114</v>
      </c>
      <c r="T29" s="182" t="s">
        <v>115</v>
      </c>
      <c r="U29" s="182" t="s">
        <v>116</v>
      </c>
      <c r="V29" s="182" t="s">
        <v>117</v>
      </c>
      <c r="W29" s="182" t="s">
        <v>118</v>
      </c>
      <c r="X29" s="182" t="s">
        <v>119</v>
      </c>
      <c r="Y29" s="182" t="s">
        <v>120</v>
      </c>
      <c r="Z29" s="182" t="s">
        <v>121</v>
      </c>
      <c r="AA29" s="183" t="s">
        <v>122</v>
      </c>
      <c r="AB29" s="182" t="s">
        <v>123</v>
      </c>
      <c r="AC29" s="182" t="s">
        <v>124</v>
      </c>
      <c r="AD29" s="182" t="s">
        <v>125</v>
      </c>
      <c r="AE29" s="182" t="s">
        <v>126</v>
      </c>
      <c r="AF29" s="182" t="s">
        <v>127</v>
      </c>
      <c r="AG29" s="183" t="s">
        <v>128</v>
      </c>
      <c r="AH29" s="188"/>
      <c r="AI29" s="21"/>
      <c r="AJ29" s="21"/>
      <c r="AK29" s="21"/>
      <c r="AL29" s="19"/>
      <c r="AM29" s="21"/>
      <c r="AN29" s="19"/>
    </row>
    <row r="30" spans="1:40" ht="13.8" thickBot="1">
      <c r="B30" s="31" t="s">
        <v>212</v>
      </c>
      <c r="C30" s="32">
        <f>$V$5</f>
        <v>2017</v>
      </c>
      <c r="D30" s="32">
        <f t="shared" ref="D30:AG30" si="0">C30+1</f>
        <v>2018</v>
      </c>
      <c r="E30" s="32">
        <f t="shared" si="0"/>
        <v>2019</v>
      </c>
      <c r="F30" s="32">
        <f t="shared" si="0"/>
        <v>2020</v>
      </c>
      <c r="G30" s="32">
        <f t="shared" si="0"/>
        <v>2021</v>
      </c>
      <c r="H30" s="32">
        <f t="shared" si="0"/>
        <v>2022</v>
      </c>
      <c r="I30" s="32">
        <f t="shared" si="0"/>
        <v>2023</v>
      </c>
      <c r="J30" s="32">
        <f t="shared" si="0"/>
        <v>2024</v>
      </c>
      <c r="K30" s="32">
        <f t="shared" si="0"/>
        <v>2025</v>
      </c>
      <c r="L30" s="32">
        <f t="shared" si="0"/>
        <v>2026</v>
      </c>
      <c r="M30" s="32">
        <f t="shared" si="0"/>
        <v>2027</v>
      </c>
      <c r="N30" s="32">
        <f t="shared" si="0"/>
        <v>2028</v>
      </c>
      <c r="O30" s="32">
        <f t="shared" si="0"/>
        <v>2029</v>
      </c>
      <c r="P30" s="32">
        <f t="shared" si="0"/>
        <v>2030</v>
      </c>
      <c r="Q30" s="32">
        <f t="shared" si="0"/>
        <v>2031</v>
      </c>
      <c r="R30" s="32">
        <f t="shared" si="0"/>
        <v>2032</v>
      </c>
      <c r="S30" s="32">
        <f t="shared" si="0"/>
        <v>2033</v>
      </c>
      <c r="T30" s="32">
        <f t="shared" si="0"/>
        <v>2034</v>
      </c>
      <c r="U30" s="32">
        <f t="shared" si="0"/>
        <v>2035</v>
      </c>
      <c r="V30" s="32">
        <f t="shared" si="0"/>
        <v>2036</v>
      </c>
      <c r="W30" s="32">
        <f t="shared" si="0"/>
        <v>2037</v>
      </c>
      <c r="X30" s="32">
        <f t="shared" si="0"/>
        <v>2038</v>
      </c>
      <c r="Y30" s="32">
        <f t="shared" si="0"/>
        <v>2039</v>
      </c>
      <c r="Z30" s="32">
        <f t="shared" si="0"/>
        <v>2040</v>
      </c>
      <c r="AA30" s="32">
        <f t="shared" si="0"/>
        <v>2041</v>
      </c>
      <c r="AB30" s="32">
        <f t="shared" si="0"/>
        <v>2042</v>
      </c>
      <c r="AC30" s="184">
        <f t="shared" si="0"/>
        <v>2043</v>
      </c>
      <c r="AD30" s="32">
        <f t="shared" si="0"/>
        <v>2044</v>
      </c>
      <c r="AE30" s="32">
        <f t="shared" si="0"/>
        <v>2045</v>
      </c>
      <c r="AF30" s="32">
        <f t="shared" si="0"/>
        <v>2046</v>
      </c>
      <c r="AG30" s="32">
        <f t="shared" si="0"/>
        <v>2047</v>
      </c>
      <c r="AH30" s="157" t="s">
        <v>129</v>
      </c>
      <c r="AI30" s="19"/>
      <c r="AJ30" s="19"/>
      <c r="AK30" s="19"/>
      <c r="AL30" s="19"/>
      <c r="AM30" s="21"/>
      <c r="AN30" s="19"/>
    </row>
    <row r="31" spans="1:40" ht="13.8" thickTop="1">
      <c r="B31" s="221" t="s">
        <v>775</v>
      </c>
      <c r="C31" s="229">
        <f>IF(C30&lt;$V$6,0,IF(C111="Producing",$AM$13-MAX(C129,C132)*$AM$14,0))</f>
        <v>0</v>
      </c>
      <c r="D31" s="229">
        <f t="shared" ref="D31:AG31" si="1">IF(D30&lt;$V$6,0,IF(D111="Producing",$AM$13-MAX(D129,D132)*$AM$14,0))</f>
        <v>0</v>
      </c>
      <c r="E31" s="229">
        <f t="shared" si="1"/>
        <v>0</v>
      </c>
      <c r="F31" s="229">
        <f t="shared" si="1"/>
        <v>0</v>
      </c>
      <c r="G31" s="229">
        <f t="shared" si="1"/>
        <v>0</v>
      </c>
      <c r="H31" s="229">
        <f t="shared" si="1"/>
        <v>0</v>
      </c>
      <c r="I31" s="229">
        <f t="shared" si="1"/>
        <v>0</v>
      </c>
      <c r="J31" s="229">
        <f t="shared" si="1"/>
        <v>0</v>
      </c>
      <c r="K31" s="229">
        <f t="shared" si="1"/>
        <v>8322</v>
      </c>
      <c r="L31" s="229">
        <f t="shared" ca="1" si="1"/>
        <v>8322</v>
      </c>
      <c r="M31" s="229">
        <f t="shared" ca="1" si="1"/>
        <v>8322</v>
      </c>
      <c r="N31" s="229">
        <f t="shared" ca="1" si="1"/>
        <v>8322</v>
      </c>
      <c r="O31" s="229">
        <f t="shared" ca="1" si="1"/>
        <v>7602</v>
      </c>
      <c r="P31" s="229">
        <f t="shared" ca="1" si="1"/>
        <v>6882</v>
      </c>
      <c r="Q31" s="229">
        <f t="shared" ca="1" si="1"/>
        <v>7602</v>
      </c>
      <c r="R31" s="229">
        <f t="shared" ca="1" si="1"/>
        <v>6882</v>
      </c>
      <c r="S31" s="229">
        <f t="shared" ca="1" si="1"/>
        <v>7602</v>
      </c>
      <c r="T31" s="229">
        <f t="shared" ca="1" si="1"/>
        <v>6882</v>
      </c>
      <c r="U31" s="229">
        <f t="shared" ca="1" si="1"/>
        <v>7602</v>
      </c>
      <c r="V31" s="229">
        <f t="shared" ca="1" si="1"/>
        <v>6882</v>
      </c>
      <c r="W31" s="229">
        <f t="shared" ca="1" si="1"/>
        <v>7602</v>
      </c>
      <c r="X31" s="229">
        <f t="shared" ca="1" si="1"/>
        <v>6882</v>
      </c>
      <c r="Y31" s="229">
        <f t="shared" ca="1" si="1"/>
        <v>7602</v>
      </c>
      <c r="Z31" s="229">
        <f t="shared" ca="1" si="1"/>
        <v>6882</v>
      </c>
      <c r="AA31" s="229">
        <f t="shared" ca="1" si="1"/>
        <v>7602</v>
      </c>
      <c r="AB31" s="229">
        <f t="shared" ca="1" si="1"/>
        <v>6882</v>
      </c>
      <c r="AC31" s="229">
        <f t="shared" ca="1" si="1"/>
        <v>7602</v>
      </c>
      <c r="AD31" s="229">
        <f t="shared" ca="1" si="1"/>
        <v>6882</v>
      </c>
      <c r="AE31" s="229">
        <f t="shared" ca="1" si="1"/>
        <v>7602</v>
      </c>
      <c r="AF31" s="229">
        <f t="shared" ca="1" si="1"/>
        <v>6882</v>
      </c>
      <c r="AG31" s="229">
        <f t="shared" ca="1" si="1"/>
        <v>7602</v>
      </c>
      <c r="AH31" s="265">
        <f ca="1">AVERAGEIF(C31:AG31,"&lt;&gt;0")</f>
        <v>7445.478260869565</v>
      </c>
      <c r="AI31" s="309" t="s">
        <v>774</v>
      </c>
      <c r="AJ31" s="142"/>
      <c r="AK31" s="19"/>
      <c r="AL31" s="19"/>
      <c r="AM31" s="21"/>
      <c r="AN31" s="19"/>
    </row>
    <row r="32" spans="1:40">
      <c r="B32" s="221" t="s">
        <v>776</v>
      </c>
      <c r="C32" s="229">
        <f>C31</f>
        <v>0</v>
      </c>
      <c r="D32" s="229">
        <f t="shared" ref="D32:K32" si="2">D31+C32</f>
        <v>0</v>
      </c>
      <c r="E32" s="229">
        <f t="shared" si="2"/>
        <v>0</v>
      </c>
      <c r="F32" s="229">
        <f t="shared" si="2"/>
        <v>0</v>
      </c>
      <c r="G32" s="229">
        <f t="shared" si="2"/>
        <v>0</v>
      </c>
      <c r="H32" s="229">
        <f t="shared" si="2"/>
        <v>0</v>
      </c>
      <c r="I32" s="229">
        <f t="shared" si="2"/>
        <v>0</v>
      </c>
      <c r="J32" s="229">
        <f t="shared" si="2"/>
        <v>0</v>
      </c>
      <c r="K32" s="229">
        <f t="shared" si="2"/>
        <v>8322</v>
      </c>
      <c r="L32" s="229">
        <f t="shared" ref="L32:AG32" ca="1" si="3">L31+K32</f>
        <v>16644</v>
      </c>
      <c r="M32" s="229">
        <f t="shared" ca="1" si="3"/>
        <v>24966</v>
      </c>
      <c r="N32" s="229">
        <f t="shared" ca="1" si="3"/>
        <v>33288</v>
      </c>
      <c r="O32" s="229">
        <f t="shared" ca="1" si="3"/>
        <v>40890</v>
      </c>
      <c r="P32" s="229">
        <f t="shared" ca="1" si="3"/>
        <v>47772</v>
      </c>
      <c r="Q32" s="229">
        <f t="shared" ca="1" si="3"/>
        <v>55374</v>
      </c>
      <c r="R32" s="229">
        <f t="shared" ca="1" si="3"/>
        <v>62256</v>
      </c>
      <c r="S32" s="229">
        <f t="shared" ca="1" si="3"/>
        <v>69858</v>
      </c>
      <c r="T32" s="229">
        <f t="shared" ca="1" si="3"/>
        <v>76740</v>
      </c>
      <c r="U32" s="229">
        <f t="shared" ca="1" si="3"/>
        <v>84342</v>
      </c>
      <c r="V32" s="229">
        <f t="shared" ca="1" si="3"/>
        <v>91224</v>
      </c>
      <c r="W32" s="229">
        <f t="shared" ca="1" si="3"/>
        <v>98826</v>
      </c>
      <c r="X32" s="229">
        <f t="shared" ca="1" si="3"/>
        <v>105708</v>
      </c>
      <c r="Y32" s="229">
        <f t="shared" ca="1" si="3"/>
        <v>113310</v>
      </c>
      <c r="Z32" s="229">
        <f t="shared" ca="1" si="3"/>
        <v>120192</v>
      </c>
      <c r="AA32" s="229">
        <f t="shared" ca="1" si="3"/>
        <v>127794</v>
      </c>
      <c r="AB32" s="229">
        <f t="shared" ca="1" si="3"/>
        <v>134676</v>
      </c>
      <c r="AC32" s="229">
        <f t="shared" ca="1" si="3"/>
        <v>142278</v>
      </c>
      <c r="AD32" s="229">
        <f t="shared" ca="1" si="3"/>
        <v>149160</v>
      </c>
      <c r="AE32" s="229">
        <f t="shared" ca="1" si="3"/>
        <v>156762</v>
      </c>
      <c r="AF32" s="229">
        <f t="shared" ca="1" si="3"/>
        <v>163644</v>
      </c>
      <c r="AG32" s="229">
        <f t="shared" ca="1" si="3"/>
        <v>171246</v>
      </c>
      <c r="AH32" s="265">
        <f ca="1">AG32</f>
        <v>171246</v>
      </c>
      <c r="AI32" s="309" t="s">
        <v>777</v>
      </c>
      <c r="AJ32" s="142"/>
      <c r="AK32" s="19"/>
      <c r="AL32" s="19"/>
      <c r="AM32" s="21"/>
      <c r="AN32" s="19"/>
    </row>
    <row r="33" spans="2:40">
      <c r="B33" s="221" t="s">
        <v>1772</v>
      </c>
      <c r="C33" s="706">
        <f>IF(C111&lt;&gt;"Producing",0,Flow!C$59)</f>
        <v>0</v>
      </c>
      <c r="D33" s="706">
        <f>IF(D111&lt;&gt;"Producing",0,Flow!D$59)</f>
        <v>0</v>
      </c>
      <c r="E33" s="706">
        <f>IF(E111&lt;&gt;"Producing",0,Flow!E$59)</f>
        <v>0</v>
      </c>
      <c r="F33" s="706">
        <f>IF(F111&lt;&gt;"Producing",0,Flow!F$59)</f>
        <v>0</v>
      </c>
      <c r="G33" s="706">
        <f>IF(G111&lt;&gt;"Producing",0,Flow!G$59)</f>
        <v>0</v>
      </c>
      <c r="H33" s="706">
        <f>IF(H111&lt;&gt;"Producing",0,Flow!H$59)</f>
        <v>0</v>
      </c>
      <c r="I33" s="706">
        <f>IF(I111&lt;&gt;"Producing",0,Flow!I$59)</f>
        <v>0</v>
      </c>
      <c r="J33" s="706">
        <f>IF(J111&lt;&gt;"Producing",0,Flow!J$59)</f>
        <v>0</v>
      </c>
      <c r="K33" s="706">
        <f>IF(K111&lt;&gt;"Producing",0,Flow!K$59)</f>
        <v>0.21960870497107587</v>
      </c>
      <c r="L33" s="706">
        <f ca="1">IF(L111&lt;&gt;"Producing",0,Flow!L$59)</f>
        <v>0.32291663236455503</v>
      </c>
      <c r="M33" s="706">
        <f ca="1">IF(M111&lt;&gt;"Producing",0,Flow!M$59)</f>
        <v>0.34110226670127608</v>
      </c>
      <c r="N33" s="706">
        <f ca="1">IF(N111&lt;&gt;"Producing",0,Flow!N$59)</f>
        <v>0.43199269370157445</v>
      </c>
      <c r="O33" s="706">
        <f ca="1">IF(O111&lt;&gt;"Producing",0,Flow!O$59)</f>
        <v>0.4081865966493809</v>
      </c>
      <c r="P33" s="706">
        <f ca="1">IF(P111&lt;&gt;"Producing",0,Flow!P$59)</f>
        <v>0.43199269370157445</v>
      </c>
      <c r="Q33" s="706">
        <f ca="1">IF(Q111&lt;&gt;"Producing",0,Flow!Q$59)</f>
        <v>0.40818659664938084</v>
      </c>
      <c r="R33" s="706">
        <f ca="1">IF(R111&lt;&gt;"Producing",0,Flow!R$59)</f>
        <v>0.43199269370157445</v>
      </c>
      <c r="S33" s="706">
        <f ca="1">IF(S111&lt;&gt;"Producing",0,Flow!S$59)</f>
        <v>0.4081865966493809</v>
      </c>
      <c r="T33" s="706">
        <f ca="1">IF(T111&lt;&gt;"Producing",0,Flow!T$59)</f>
        <v>0.43199269370157445</v>
      </c>
      <c r="U33" s="706">
        <f ca="1">IF(U111&lt;&gt;"Producing",0,Flow!U$59)</f>
        <v>0.4081865966493809</v>
      </c>
      <c r="V33" s="706">
        <f ca="1">IF(V111&lt;&gt;"Producing",0,Flow!V$59)</f>
        <v>0.43199269370157445</v>
      </c>
      <c r="W33" s="706">
        <f ca="1">IF(W111&lt;&gt;"Producing",0,Flow!W$59)</f>
        <v>0.40818659664938084</v>
      </c>
      <c r="X33" s="706">
        <f ca="1">IF(X111&lt;&gt;"Producing",0,Flow!X$59)</f>
        <v>0.43199269370157445</v>
      </c>
      <c r="Y33" s="706">
        <f ca="1">IF(Y111&lt;&gt;"Producing",0,Flow!Y$59)</f>
        <v>0.4081865966493809</v>
      </c>
      <c r="Z33" s="706">
        <f ca="1">IF(Z111&lt;&gt;"Producing",0,Flow!Z$59)</f>
        <v>0.43199269370157445</v>
      </c>
      <c r="AA33" s="706">
        <f ca="1">IF(AA111&lt;&gt;"Producing",0,Flow!AA$59)</f>
        <v>0.4081865966493809</v>
      </c>
      <c r="AB33" s="706">
        <f ca="1">IF(AB111&lt;&gt;"Producing",0,Flow!AB$59)</f>
        <v>0.43199269370157445</v>
      </c>
      <c r="AC33" s="706">
        <f ca="1">IF(AC111&lt;&gt;"Producing",0,Flow!AC$59)</f>
        <v>0.40818659664938084</v>
      </c>
      <c r="AD33" s="706">
        <f ca="1">IF(AD111&lt;&gt;"Producing",0,Flow!AD$59)</f>
        <v>0.43199269370157445</v>
      </c>
      <c r="AE33" s="706">
        <f ca="1">IF(AE111&lt;&gt;"Producing",0,Flow!AE$59)</f>
        <v>0.4081865966493809</v>
      </c>
      <c r="AF33" s="706">
        <f ca="1">IF(AF111&lt;&gt;"Producing",0,Flow!AF$59)</f>
        <v>0.43199269370157445</v>
      </c>
      <c r="AG33" s="706">
        <f ca="1">IF(AG111&lt;&gt;"Producing",0,Flow!AG$59)</f>
        <v>0.4081865966493809</v>
      </c>
      <c r="AH33" s="265">
        <f ca="1">AVERAGEIF(C33:AG33,"&lt;&gt;0")</f>
        <v>0.40371393511071574</v>
      </c>
      <c r="AI33" s="311" t="s">
        <v>1762</v>
      </c>
      <c r="AJ33" s="142"/>
      <c r="AK33" s="19"/>
      <c r="AL33" s="19"/>
      <c r="AM33" s="21"/>
      <c r="AN33" s="19"/>
    </row>
    <row r="34" spans="2:40">
      <c r="B34" s="221" t="s">
        <v>1773</v>
      </c>
      <c r="C34" s="85">
        <f t="shared" ref="C34:K34" si="4">C33*1000</f>
        <v>0</v>
      </c>
      <c r="D34" s="85">
        <f t="shared" si="4"/>
        <v>0</v>
      </c>
      <c r="E34" s="85">
        <f t="shared" si="4"/>
        <v>0</v>
      </c>
      <c r="F34" s="85">
        <f t="shared" si="4"/>
        <v>0</v>
      </c>
      <c r="G34" s="85">
        <f t="shared" si="4"/>
        <v>0</v>
      </c>
      <c r="H34" s="85">
        <f t="shared" si="4"/>
        <v>0</v>
      </c>
      <c r="I34" s="85">
        <f t="shared" si="4"/>
        <v>0</v>
      </c>
      <c r="J34" s="85">
        <f t="shared" si="4"/>
        <v>0</v>
      </c>
      <c r="K34" s="85">
        <f t="shared" si="4"/>
        <v>219.60870497107587</v>
      </c>
      <c r="L34" s="85">
        <f t="shared" ref="L34:AG34" ca="1" si="5">L33*1000</f>
        <v>322.91663236455503</v>
      </c>
      <c r="M34" s="85">
        <f t="shared" ca="1" si="5"/>
        <v>341.10226670127611</v>
      </c>
      <c r="N34" s="85">
        <f t="shared" ca="1" si="5"/>
        <v>431.99269370157447</v>
      </c>
      <c r="O34" s="85">
        <f t="shared" ca="1" si="5"/>
        <v>408.18659664938087</v>
      </c>
      <c r="P34" s="85">
        <f t="shared" ca="1" si="5"/>
        <v>431.99269370157447</v>
      </c>
      <c r="Q34" s="85">
        <f t="shared" ca="1" si="5"/>
        <v>408.18659664938082</v>
      </c>
      <c r="R34" s="85">
        <f t="shared" ca="1" si="5"/>
        <v>431.99269370157447</v>
      </c>
      <c r="S34" s="85">
        <f t="shared" ca="1" si="5"/>
        <v>408.18659664938087</v>
      </c>
      <c r="T34" s="85">
        <f t="shared" ca="1" si="5"/>
        <v>431.99269370157447</v>
      </c>
      <c r="U34" s="85">
        <f t="shared" ca="1" si="5"/>
        <v>408.18659664938087</v>
      </c>
      <c r="V34" s="85">
        <f t="shared" ca="1" si="5"/>
        <v>431.99269370157447</v>
      </c>
      <c r="W34" s="85">
        <f t="shared" ca="1" si="5"/>
        <v>408.18659664938082</v>
      </c>
      <c r="X34" s="85">
        <f t="shared" ca="1" si="5"/>
        <v>431.99269370157447</v>
      </c>
      <c r="Y34" s="85">
        <f t="shared" ca="1" si="5"/>
        <v>408.18659664938087</v>
      </c>
      <c r="Z34" s="85">
        <f t="shared" ca="1" si="5"/>
        <v>431.99269370157447</v>
      </c>
      <c r="AA34" s="85">
        <f t="shared" ca="1" si="5"/>
        <v>408.18659664938087</v>
      </c>
      <c r="AB34" s="85">
        <f t="shared" ca="1" si="5"/>
        <v>431.99269370157447</v>
      </c>
      <c r="AC34" s="85">
        <f t="shared" ca="1" si="5"/>
        <v>408.18659664938082</v>
      </c>
      <c r="AD34" s="85">
        <f t="shared" ca="1" si="5"/>
        <v>431.99269370157447</v>
      </c>
      <c r="AE34" s="85">
        <f t="shared" ca="1" si="5"/>
        <v>408.18659664938087</v>
      </c>
      <c r="AF34" s="85">
        <f t="shared" ca="1" si="5"/>
        <v>431.99269370157447</v>
      </c>
      <c r="AG34" s="85">
        <f t="shared" ca="1" si="5"/>
        <v>408.18659664938087</v>
      </c>
      <c r="AH34" s="265">
        <f ca="1">AVERAGEIF(C34:AG34,"&lt;&gt;0")</f>
        <v>403.71393511071562</v>
      </c>
      <c r="AI34" s="311" t="s">
        <v>1763</v>
      </c>
      <c r="AJ34" s="156"/>
      <c r="AK34" s="19"/>
      <c r="AL34" s="19"/>
      <c r="AM34" s="21"/>
      <c r="AN34" s="19"/>
    </row>
    <row r="35" spans="2:40">
      <c r="B35" s="98" t="s">
        <v>1774</v>
      </c>
      <c r="C35" s="224">
        <f>C33*3600</f>
        <v>0</v>
      </c>
      <c r="D35" s="224">
        <f t="shared" ref="D35:K35" si="6">D33*3600</f>
        <v>0</v>
      </c>
      <c r="E35" s="224">
        <f t="shared" si="6"/>
        <v>0</v>
      </c>
      <c r="F35" s="224">
        <f t="shared" si="6"/>
        <v>0</v>
      </c>
      <c r="G35" s="224">
        <f t="shared" si="6"/>
        <v>0</v>
      </c>
      <c r="H35" s="224">
        <f t="shared" si="6"/>
        <v>0</v>
      </c>
      <c r="I35" s="224">
        <f t="shared" si="6"/>
        <v>0</v>
      </c>
      <c r="J35" s="224">
        <f t="shared" si="6"/>
        <v>0</v>
      </c>
      <c r="K35" s="224">
        <f t="shared" si="6"/>
        <v>790.59133789587315</v>
      </c>
      <c r="L35" s="224">
        <f t="shared" ref="L35:AG35" ca="1" si="7">L33*3600</f>
        <v>1162.499876512398</v>
      </c>
      <c r="M35" s="224">
        <f t="shared" ca="1" si="7"/>
        <v>1227.9681601245939</v>
      </c>
      <c r="N35" s="224">
        <f t="shared" ca="1" si="7"/>
        <v>1555.1736973256679</v>
      </c>
      <c r="O35" s="224">
        <f t="shared" ca="1" si="7"/>
        <v>1469.4717479377712</v>
      </c>
      <c r="P35" s="224">
        <f t="shared" ca="1" si="7"/>
        <v>1555.1736973256679</v>
      </c>
      <c r="Q35" s="224">
        <f t="shared" ca="1" si="7"/>
        <v>1469.4717479377709</v>
      </c>
      <c r="R35" s="224">
        <f t="shared" ca="1" si="7"/>
        <v>1555.1736973256679</v>
      </c>
      <c r="S35" s="224">
        <f t="shared" ca="1" si="7"/>
        <v>1469.4717479377712</v>
      </c>
      <c r="T35" s="224">
        <f t="shared" ca="1" si="7"/>
        <v>1555.1736973256679</v>
      </c>
      <c r="U35" s="224">
        <f t="shared" ca="1" si="7"/>
        <v>1469.4717479377712</v>
      </c>
      <c r="V35" s="224">
        <f t="shared" ca="1" si="7"/>
        <v>1555.1736973256679</v>
      </c>
      <c r="W35" s="224">
        <f t="shared" ca="1" si="7"/>
        <v>1469.4717479377709</v>
      </c>
      <c r="X35" s="224">
        <f t="shared" ca="1" si="7"/>
        <v>1555.1736973256679</v>
      </c>
      <c r="Y35" s="224">
        <f t="shared" ca="1" si="7"/>
        <v>1469.4717479377712</v>
      </c>
      <c r="Z35" s="224">
        <f t="shared" ca="1" si="7"/>
        <v>1555.1736973256679</v>
      </c>
      <c r="AA35" s="224">
        <f t="shared" ca="1" si="7"/>
        <v>1469.4717479377712</v>
      </c>
      <c r="AB35" s="224">
        <f t="shared" ca="1" si="7"/>
        <v>1555.1736973256679</v>
      </c>
      <c r="AC35" s="224">
        <f t="shared" ca="1" si="7"/>
        <v>1469.4717479377709</v>
      </c>
      <c r="AD35" s="224">
        <f t="shared" ca="1" si="7"/>
        <v>1555.1736973256679</v>
      </c>
      <c r="AE35" s="224">
        <f t="shared" ca="1" si="7"/>
        <v>1469.4717479377712</v>
      </c>
      <c r="AF35" s="224">
        <f t="shared" ca="1" si="7"/>
        <v>1555.1736973256679</v>
      </c>
      <c r="AG35" s="224">
        <f t="shared" ca="1" si="7"/>
        <v>1469.4717479377712</v>
      </c>
      <c r="AH35" s="707">
        <f ca="1">AVERAGEIF(C35:AG35,"&lt;&gt;0")</f>
        <v>1453.3701663985762</v>
      </c>
      <c r="AI35" s="311" t="s">
        <v>1762</v>
      </c>
      <c r="AJ35" s="156"/>
      <c r="AK35" s="19"/>
      <c r="AL35" s="19"/>
      <c r="AM35" s="21"/>
      <c r="AN35" s="19"/>
    </row>
    <row r="36" spans="2:40">
      <c r="B36" s="98" t="s">
        <v>1771</v>
      </c>
      <c r="C36" s="460">
        <f>IF(C$111&lt;&gt;"Producing",0,C34/C154)</f>
        <v>0</v>
      </c>
      <c r="D36" s="460">
        <f t="shared" ref="D36:AG36" si="8">IF(D$111&lt;&gt;"Producing",0,D34/D154)</f>
        <v>0</v>
      </c>
      <c r="E36" s="460">
        <f t="shared" si="8"/>
        <v>0</v>
      </c>
      <c r="F36" s="460">
        <f t="shared" si="8"/>
        <v>0</v>
      </c>
      <c r="G36" s="460">
        <f t="shared" si="8"/>
        <v>0</v>
      </c>
      <c r="H36" s="460">
        <f t="shared" si="8"/>
        <v>0</v>
      </c>
      <c r="I36" s="460">
        <f t="shared" si="8"/>
        <v>0</v>
      </c>
      <c r="J36" s="460">
        <f t="shared" si="8"/>
        <v>0</v>
      </c>
      <c r="K36" s="460">
        <f t="shared" si="8"/>
        <v>54.902176242768967</v>
      </c>
      <c r="L36" s="460">
        <f t="shared" ca="1" si="8"/>
        <v>53.81943872742584</v>
      </c>
      <c r="M36" s="460">
        <f t="shared" ca="1" si="8"/>
        <v>48.728895243039446</v>
      </c>
      <c r="N36" s="460">
        <f t="shared" ca="1" si="8"/>
        <v>47.99918818906383</v>
      </c>
      <c r="O36" s="460">
        <f t="shared" ca="1" si="8"/>
        <v>45.354066294375656</v>
      </c>
      <c r="P36" s="460">
        <f t="shared" ca="1" si="8"/>
        <v>47.99918818906383</v>
      </c>
      <c r="Q36" s="460">
        <f t="shared" ca="1" si="8"/>
        <v>45.354066294375649</v>
      </c>
      <c r="R36" s="460">
        <f t="shared" ca="1" si="8"/>
        <v>47.99918818906383</v>
      </c>
      <c r="S36" s="460">
        <f t="shared" ca="1" si="8"/>
        <v>45.354066294375656</v>
      </c>
      <c r="T36" s="460">
        <f t="shared" ca="1" si="8"/>
        <v>47.99918818906383</v>
      </c>
      <c r="U36" s="460">
        <f t="shared" ca="1" si="8"/>
        <v>45.354066294375656</v>
      </c>
      <c r="V36" s="460">
        <f t="shared" ca="1" si="8"/>
        <v>47.99918818906383</v>
      </c>
      <c r="W36" s="460">
        <f t="shared" ca="1" si="8"/>
        <v>45.354066294375649</v>
      </c>
      <c r="X36" s="460">
        <f t="shared" ca="1" si="8"/>
        <v>47.99918818906383</v>
      </c>
      <c r="Y36" s="460">
        <f t="shared" ca="1" si="8"/>
        <v>45.354066294375656</v>
      </c>
      <c r="Z36" s="460">
        <f t="shared" ca="1" si="8"/>
        <v>47.99918818906383</v>
      </c>
      <c r="AA36" s="460">
        <f t="shared" ca="1" si="8"/>
        <v>45.354066294375656</v>
      </c>
      <c r="AB36" s="460">
        <f t="shared" ca="1" si="8"/>
        <v>47.99918818906383</v>
      </c>
      <c r="AC36" s="460">
        <f t="shared" ca="1" si="8"/>
        <v>45.354066294375649</v>
      </c>
      <c r="AD36" s="460">
        <f t="shared" ca="1" si="8"/>
        <v>47.99918818906383</v>
      </c>
      <c r="AE36" s="460">
        <f t="shared" ca="1" si="8"/>
        <v>45.354066294375656</v>
      </c>
      <c r="AF36" s="460">
        <f t="shared" ca="1" si="8"/>
        <v>47.99918818906383</v>
      </c>
      <c r="AG36" s="460">
        <f t="shared" ca="1" si="8"/>
        <v>45.354066294375656</v>
      </c>
      <c r="AH36" s="707">
        <f ca="1">AVERAGEIF(C36:AG36,"&lt;&gt;0")</f>
        <v>47.434045871636044</v>
      </c>
      <c r="AI36" s="311" t="s">
        <v>482</v>
      </c>
      <c r="AJ36" s="156"/>
      <c r="AK36" s="19"/>
      <c r="AL36" s="19"/>
      <c r="AM36" s="21"/>
      <c r="AN36" s="19"/>
    </row>
    <row r="37" spans="2:40">
      <c r="B37" s="221" t="s">
        <v>529</v>
      </c>
      <c r="C37" s="224">
        <f>C$35*C$31</f>
        <v>0</v>
      </c>
      <c r="D37" s="224">
        <f t="shared" ref="D37:K37" si="9">D$35*D$31</f>
        <v>0</v>
      </c>
      <c r="E37" s="224">
        <f t="shared" si="9"/>
        <v>0</v>
      </c>
      <c r="F37" s="224">
        <f t="shared" si="9"/>
        <v>0</v>
      </c>
      <c r="G37" s="224">
        <f t="shared" si="9"/>
        <v>0</v>
      </c>
      <c r="H37" s="224">
        <f t="shared" si="9"/>
        <v>0</v>
      </c>
      <c r="I37" s="224">
        <f t="shared" si="9"/>
        <v>0</v>
      </c>
      <c r="J37" s="224">
        <f t="shared" si="9"/>
        <v>0</v>
      </c>
      <c r="K37" s="224">
        <f t="shared" si="9"/>
        <v>6579301.1139694564</v>
      </c>
      <c r="L37" s="224">
        <f t="shared" ref="L37:AG37" ca="1" si="10">L$35*L$31</f>
        <v>9674323.9723361768</v>
      </c>
      <c r="M37" s="224">
        <f t="shared" ca="1" si="10"/>
        <v>10219151.02855687</v>
      </c>
      <c r="N37" s="224">
        <f t="shared" ca="1" si="10"/>
        <v>12942155.509144209</v>
      </c>
      <c r="O37" s="224">
        <f t="shared" ca="1" si="10"/>
        <v>11170924.227822937</v>
      </c>
      <c r="P37" s="224">
        <f t="shared" ca="1" si="10"/>
        <v>10702705.384995246</v>
      </c>
      <c r="Q37" s="224">
        <f t="shared" ca="1" si="10"/>
        <v>11170924.227822935</v>
      </c>
      <c r="R37" s="224">
        <f t="shared" ca="1" si="10"/>
        <v>10702705.384995246</v>
      </c>
      <c r="S37" s="224">
        <f t="shared" ca="1" si="10"/>
        <v>11170924.227822937</v>
      </c>
      <c r="T37" s="224">
        <f t="shared" ca="1" si="10"/>
        <v>10702705.384995246</v>
      </c>
      <c r="U37" s="224">
        <f t="shared" ca="1" si="10"/>
        <v>11170924.227822937</v>
      </c>
      <c r="V37" s="224">
        <f t="shared" ca="1" si="10"/>
        <v>10702705.384995246</v>
      </c>
      <c r="W37" s="224">
        <f t="shared" ca="1" si="10"/>
        <v>11170924.227822935</v>
      </c>
      <c r="X37" s="224">
        <f t="shared" ca="1" si="10"/>
        <v>10702705.384995246</v>
      </c>
      <c r="Y37" s="224">
        <f t="shared" ca="1" si="10"/>
        <v>11170924.227822937</v>
      </c>
      <c r="Z37" s="224">
        <f t="shared" ca="1" si="10"/>
        <v>10702705.384995246</v>
      </c>
      <c r="AA37" s="224">
        <f t="shared" ca="1" si="10"/>
        <v>11170924.227822937</v>
      </c>
      <c r="AB37" s="224">
        <f t="shared" ca="1" si="10"/>
        <v>10702705.384995246</v>
      </c>
      <c r="AC37" s="224">
        <f t="shared" ca="1" si="10"/>
        <v>11170924.227822935</v>
      </c>
      <c r="AD37" s="224">
        <f t="shared" ca="1" si="10"/>
        <v>10702705.384995246</v>
      </c>
      <c r="AE37" s="224">
        <f t="shared" ca="1" si="10"/>
        <v>11170924.227822937</v>
      </c>
      <c r="AF37" s="224">
        <f t="shared" ca="1" si="10"/>
        <v>10702705.384995246</v>
      </c>
      <c r="AG37" s="224">
        <f t="shared" ca="1" si="10"/>
        <v>11170924.227822937</v>
      </c>
      <c r="AH37" s="707">
        <f ca="1">AVERAGEIF(C37:AG37,"&lt;&gt;0")</f>
        <v>10758631.407269273</v>
      </c>
      <c r="AI37" s="311" t="s">
        <v>1764</v>
      </c>
      <c r="AJ37" s="154"/>
      <c r="AK37" s="19"/>
      <c r="AL37" s="19"/>
      <c r="AM37" s="21"/>
      <c r="AN37" s="19"/>
    </row>
    <row r="38" spans="2:40">
      <c r="B38" s="221" t="s">
        <v>149</v>
      </c>
      <c r="C38" s="224">
        <f>C37</f>
        <v>0</v>
      </c>
      <c r="D38" s="224">
        <f t="shared" ref="D38:K38" si="11">D37+C38</f>
        <v>0</v>
      </c>
      <c r="E38" s="224">
        <f t="shared" si="11"/>
        <v>0</v>
      </c>
      <c r="F38" s="224">
        <f t="shared" si="11"/>
        <v>0</v>
      </c>
      <c r="G38" s="224">
        <f t="shared" si="11"/>
        <v>0</v>
      </c>
      <c r="H38" s="224">
        <f t="shared" si="11"/>
        <v>0</v>
      </c>
      <c r="I38" s="224">
        <f t="shared" si="11"/>
        <v>0</v>
      </c>
      <c r="J38" s="224">
        <f t="shared" si="11"/>
        <v>0</v>
      </c>
      <c r="K38" s="224">
        <f t="shared" si="11"/>
        <v>6579301.1139694564</v>
      </c>
      <c r="L38" s="224">
        <f t="shared" ref="L38:AG38" ca="1" si="12">L37+K38</f>
        <v>16253625.086305633</v>
      </c>
      <c r="M38" s="224">
        <f t="shared" ca="1" si="12"/>
        <v>26472776.114862502</v>
      </c>
      <c r="N38" s="224">
        <f t="shared" ca="1" si="12"/>
        <v>39414931.624006711</v>
      </c>
      <c r="O38" s="224">
        <f t="shared" ca="1" si="12"/>
        <v>50585855.851829648</v>
      </c>
      <c r="P38" s="224">
        <f t="shared" ca="1" si="12"/>
        <v>61288561.236824892</v>
      </c>
      <c r="Q38" s="224">
        <f t="shared" ca="1" si="12"/>
        <v>72459485.46464783</v>
      </c>
      <c r="R38" s="224">
        <f t="shared" ca="1" si="12"/>
        <v>83162190.849643081</v>
      </c>
      <c r="S38" s="224">
        <f t="shared" ca="1" si="12"/>
        <v>94333115.077466011</v>
      </c>
      <c r="T38" s="224">
        <f t="shared" ca="1" si="12"/>
        <v>105035820.46246126</v>
      </c>
      <c r="U38" s="224">
        <f t="shared" ca="1" si="12"/>
        <v>116206744.69028419</v>
      </c>
      <c r="V38" s="224">
        <f t="shared" ca="1" si="12"/>
        <v>126909450.07527944</v>
      </c>
      <c r="W38" s="224">
        <f t="shared" ca="1" si="12"/>
        <v>138080374.30310237</v>
      </c>
      <c r="X38" s="224">
        <f t="shared" ca="1" si="12"/>
        <v>148783079.68809763</v>
      </c>
      <c r="Y38" s="224">
        <f t="shared" ca="1" si="12"/>
        <v>159954003.91592056</v>
      </c>
      <c r="Z38" s="224">
        <f t="shared" ca="1" si="12"/>
        <v>170656709.30091581</v>
      </c>
      <c r="AA38" s="224">
        <f t="shared" ca="1" si="12"/>
        <v>181827633.52873874</v>
      </c>
      <c r="AB38" s="224">
        <f t="shared" ca="1" si="12"/>
        <v>192530338.91373399</v>
      </c>
      <c r="AC38" s="224">
        <f t="shared" ca="1" si="12"/>
        <v>203701263.14155692</v>
      </c>
      <c r="AD38" s="224">
        <f t="shared" ca="1" si="12"/>
        <v>214403968.52655217</v>
      </c>
      <c r="AE38" s="224">
        <f t="shared" ca="1" si="12"/>
        <v>225574892.7543751</v>
      </c>
      <c r="AF38" s="224">
        <f t="shared" ca="1" si="12"/>
        <v>236277598.13937035</v>
      </c>
      <c r="AG38" s="224">
        <f t="shared" ca="1" si="12"/>
        <v>247448522.36719328</v>
      </c>
      <c r="AH38" s="225">
        <f ca="1">AG38</f>
        <v>247448522.36719328</v>
      </c>
      <c r="AI38" s="309" t="s">
        <v>1765</v>
      </c>
      <c r="AJ38" s="133"/>
      <c r="AK38" s="19"/>
      <c r="AL38" s="19"/>
      <c r="AM38" s="21"/>
      <c r="AN38" s="19"/>
    </row>
    <row r="39" spans="2:40">
      <c r="B39" s="221" t="s">
        <v>1075</v>
      </c>
      <c r="C39" s="224">
        <f>'Steam Tables'!C122</f>
        <v>0</v>
      </c>
      <c r="D39" s="224">
        <f>'Steam Tables'!D122</f>
        <v>0</v>
      </c>
      <c r="E39" s="224">
        <f>'Steam Tables'!E122</f>
        <v>0</v>
      </c>
      <c r="F39" s="224">
        <f>'Steam Tables'!F122</f>
        <v>0</v>
      </c>
      <c r="G39" s="224">
        <f>'Steam Tables'!G122</f>
        <v>0</v>
      </c>
      <c r="H39" s="224">
        <f>'Steam Tables'!H122</f>
        <v>0</v>
      </c>
      <c r="I39" s="224">
        <f>'Steam Tables'!I122</f>
        <v>0</v>
      </c>
      <c r="J39" s="224">
        <f>'Steam Tables'!J122</f>
        <v>0</v>
      </c>
      <c r="K39" s="224">
        <f>'Steam Tables'!K122</f>
        <v>750.8</v>
      </c>
      <c r="L39" s="224">
        <f ca="1">'Steam Tables'!L122</f>
        <v>750.8</v>
      </c>
      <c r="M39" s="224">
        <f ca="1">'Steam Tables'!M122</f>
        <v>750.8</v>
      </c>
      <c r="N39" s="224">
        <f ca="1">'Steam Tables'!N122</f>
        <v>750.8</v>
      </c>
      <c r="O39" s="224">
        <f ca="1">'Steam Tables'!O122</f>
        <v>750.8</v>
      </c>
      <c r="P39" s="224">
        <f ca="1">'Steam Tables'!P122</f>
        <v>750.8</v>
      </c>
      <c r="Q39" s="224">
        <f ca="1">'Steam Tables'!Q122</f>
        <v>750.8</v>
      </c>
      <c r="R39" s="224">
        <f ca="1">'Steam Tables'!R122</f>
        <v>750.8</v>
      </c>
      <c r="S39" s="224">
        <f ca="1">'Steam Tables'!S122</f>
        <v>750.8</v>
      </c>
      <c r="T39" s="224">
        <f ca="1">'Steam Tables'!T122</f>
        <v>757.84238014332686</v>
      </c>
      <c r="U39" s="224">
        <f ca="1">'Steam Tables'!U122</f>
        <v>765.19284828523439</v>
      </c>
      <c r="V39" s="224">
        <f ca="1">'Steam Tables'!V122</f>
        <v>772.2352284285613</v>
      </c>
      <c r="W39" s="224">
        <f ca="1">'Steam Tables'!W122</f>
        <v>779.58569657046883</v>
      </c>
      <c r="X39" s="224">
        <f ca="1">'Steam Tables'!X122</f>
        <v>786.36997876637895</v>
      </c>
      <c r="Y39" s="224">
        <f ca="1">'Steam Tables'!Y122</f>
        <v>793.07253330307276</v>
      </c>
      <c r="Z39" s="224">
        <f ca="1">'Steam Tables'!Z122</f>
        <v>799.49415653406993</v>
      </c>
      <c r="AA39" s="224">
        <f ca="1">'Steam Tables'!AA122</f>
        <v>806.19671107076374</v>
      </c>
      <c r="AB39" s="224">
        <f ca="1">'Steam Tables'!AB122</f>
        <v>812.6183343017608</v>
      </c>
      <c r="AC39" s="224">
        <f ca="1">'Steam Tables'!AC122</f>
        <v>818.68385477009633</v>
      </c>
      <c r="AD39" s="224">
        <f ca="1">'Steam Tables'!AD122</f>
        <v>824.37769403491382</v>
      </c>
      <c r="AE39" s="224">
        <f ca="1">'Steam Tables'!AE122</f>
        <v>830.32062572411564</v>
      </c>
      <c r="AF39" s="224">
        <f ca="1">'Steam Tables'!AF122</f>
        <v>836.01446498893313</v>
      </c>
      <c r="AG39" s="224">
        <f ca="1">'Steam Tables'!AG122</f>
        <v>841.79539549906906</v>
      </c>
      <c r="AH39" s="707">
        <f t="shared" ref="AH39:AH44" ca="1" si="13">AVERAGEIF(C39:AG39,"&lt;&gt;0")</f>
        <v>781.78260445307683</v>
      </c>
      <c r="AI39" s="311" t="s">
        <v>1076</v>
      </c>
      <c r="AJ39" s="142"/>
      <c r="AK39" s="19"/>
      <c r="AL39" s="19"/>
      <c r="AM39" s="21"/>
      <c r="AN39" s="19"/>
    </row>
    <row r="40" spans="2:40">
      <c r="B40" s="221" t="s">
        <v>1770</v>
      </c>
      <c r="C40" s="229">
        <f>C33*C39</f>
        <v>0</v>
      </c>
      <c r="D40" s="229">
        <f t="shared" ref="D40:K40" si="14">D33*D39</f>
        <v>0</v>
      </c>
      <c r="E40" s="229">
        <f t="shared" si="14"/>
        <v>0</v>
      </c>
      <c r="F40" s="229">
        <f t="shared" si="14"/>
        <v>0</v>
      </c>
      <c r="G40" s="229">
        <f t="shared" si="14"/>
        <v>0</v>
      </c>
      <c r="H40" s="229">
        <f t="shared" si="14"/>
        <v>0</v>
      </c>
      <c r="I40" s="229">
        <f t="shared" si="14"/>
        <v>0</v>
      </c>
      <c r="J40" s="229">
        <f t="shared" si="14"/>
        <v>0</v>
      </c>
      <c r="K40" s="229">
        <f t="shared" si="14"/>
        <v>164.88221569228375</v>
      </c>
      <c r="L40" s="229">
        <f t="shared" ref="L40:AG40" ca="1" si="15">L33*L39</f>
        <v>242.44580757930791</v>
      </c>
      <c r="M40" s="229">
        <f t="shared" ca="1" si="15"/>
        <v>256.09958183931809</v>
      </c>
      <c r="N40" s="229">
        <f t="shared" ca="1" si="15"/>
        <v>324.34011443114207</v>
      </c>
      <c r="O40" s="229">
        <f t="shared" ca="1" si="15"/>
        <v>306.46649676435516</v>
      </c>
      <c r="P40" s="229">
        <f t="shared" ca="1" si="15"/>
        <v>324.34011443114207</v>
      </c>
      <c r="Q40" s="229">
        <f t="shared" ca="1" si="15"/>
        <v>306.4664967643551</v>
      </c>
      <c r="R40" s="229">
        <f t="shared" ca="1" si="15"/>
        <v>324.34011443114207</v>
      </c>
      <c r="S40" s="229">
        <f t="shared" ca="1" si="15"/>
        <v>306.46649676435516</v>
      </c>
      <c r="T40" s="229">
        <f t="shared" ca="1" si="15"/>
        <v>327.38237119932836</v>
      </c>
      <c r="U40" s="229">
        <f t="shared" ca="1" si="15"/>
        <v>312.34146452199587</v>
      </c>
      <c r="V40" s="229">
        <f t="shared" ca="1" si="15"/>
        <v>333.59997650010484</v>
      </c>
      <c r="W40" s="229">
        <f t="shared" ca="1" si="15"/>
        <v>318.21643227963654</v>
      </c>
      <c r="X40" s="229">
        <f t="shared" ca="1" si="15"/>
        <v>339.70608537333794</v>
      </c>
      <c r="Y40" s="229">
        <f t="shared" ca="1" si="15"/>
        <v>323.72157826508408</v>
      </c>
      <c r="Z40" s="229">
        <f t="shared" ca="1" si="15"/>
        <v>345.3756342798211</v>
      </c>
      <c r="AA40" s="229">
        <f t="shared" ca="1" si="15"/>
        <v>329.0786917218993</v>
      </c>
      <c r="AB40" s="229">
        <f t="shared" ca="1" si="15"/>
        <v>351.0451831863042</v>
      </c>
      <c r="AC40" s="229">
        <f t="shared" ca="1" si="15"/>
        <v>334.17577641040157</v>
      </c>
      <c r="AD40" s="229">
        <f t="shared" ca="1" si="15"/>
        <v>356.1251406736348</v>
      </c>
      <c r="AE40" s="229">
        <f t="shared" ca="1" si="15"/>
        <v>338.92575034211114</v>
      </c>
      <c r="AF40" s="229">
        <f t="shared" ca="1" si="15"/>
        <v>361.15214070404983</v>
      </c>
      <c r="AG40" s="229">
        <f t="shared" ca="1" si="15"/>
        <v>343.60959756388456</v>
      </c>
      <c r="AH40" s="265">
        <f t="shared" ca="1" si="13"/>
        <v>316.10014181386936</v>
      </c>
      <c r="AI40" s="309" t="s">
        <v>481</v>
      </c>
      <c r="AJ40" s="142"/>
      <c r="AK40" s="19"/>
      <c r="AL40" s="19"/>
      <c r="AM40" s="21"/>
      <c r="AN40" s="19"/>
    </row>
    <row r="41" spans="2:40">
      <c r="B41" s="221" t="s">
        <v>1767</v>
      </c>
      <c r="C41" s="460">
        <f>IF(C$111&lt;&gt;"Producing",0,C39/C154)</f>
        <v>0</v>
      </c>
      <c r="D41" s="460">
        <f t="shared" ref="D41:AG41" si="16">IF(D$111&lt;&gt;"Producing",0,D39/D154)</f>
        <v>0</v>
      </c>
      <c r="E41" s="460">
        <f t="shared" si="16"/>
        <v>0</v>
      </c>
      <c r="F41" s="460">
        <f t="shared" si="16"/>
        <v>0</v>
      </c>
      <c r="G41" s="460">
        <f t="shared" si="16"/>
        <v>0</v>
      </c>
      <c r="H41" s="460">
        <f t="shared" si="16"/>
        <v>0</v>
      </c>
      <c r="I41" s="460">
        <f t="shared" si="16"/>
        <v>0</v>
      </c>
      <c r="J41" s="460">
        <f t="shared" si="16"/>
        <v>0</v>
      </c>
      <c r="K41" s="460">
        <f t="shared" si="16"/>
        <v>187.7</v>
      </c>
      <c r="L41" s="460">
        <f t="shared" ca="1" si="16"/>
        <v>125.13333333333333</v>
      </c>
      <c r="M41" s="460">
        <f t="shared" ca="1" si="16"/>
        <v>107.25714285714285</v>
      </c>
      <c r="N41" s="460">
        <f t="shared" ca="1" si="16"/>
        <v>83.422222222222217</v>
      </c>
      <c r="O41" s="460">
        <f t="shared" ca="1" si="16"/>
        <v>83.422222222222217</v>
      </c>
      <c r="P41" s="460">
        <f t="shared" ca="1" si="16"/>
        <v>83.422222222222217</v>
      </c>
      <c r="Q41" s="460">
        <f t="shared" ca="1" si="16"/>
        <v>83.422222222222217</v>
      </c>
      <c r="R41" s="460">
        <f t="shared" ca="1" si="16"/>
        <v>83.422222222222217</v>
      </c>
      <c r="S41" s="460">
        <f t="shared" ca="1" si="16"/>
        <v>83.422222222222217</v>
      </c>
      <c r="T41" s="460">
        <f t="shared" ca="1" si="16"/>
        <v>84.204708904814098</v>
      </c>
      <c r="U41" s="460">
        <f t="shared" ca="1" si="16"/>
        <v>85.021427587248269</v>
      </c>
      <c r="V41" s="460">
        <f t="shared" ca="1" si="16"/>
        <v>85.803914269840149</v>
      </c>
      <c r="W41" s="460">
        <f t="shared" ca="1" si="16"/>
        <v>86.62063295227432</v>
      </c>
      <c r="X41" s="460">
        <f t="shared" ca="1" si="16"/>
        <v>87.37444208515322</v>
      </c>
      <c r="Y41" s="460">
        <f t="shared" ca="1" si="16"/>
        <v>88.119170367008081</v>
      </c>
      <c r="Z41" s="460">
        <f t="shared" ca="1" si="16"/>
        <v>88.832684059341105</v>
      </c>
      <c r="AA41" s="460">
        <f t="shared" ca="1" si="16"/>
        <v>89.577412341195966</v>
      </c>
      <c r="AB41" s="460">
        <f t="shared" ca="1" si="16"/>
        <v>90.290926033528976</v>
      </c>
      <c r="AC41" s="460">
        <f t="shared" ca="1" si="16"/>
        <v>90.964872752232921</v>
      </c>
      <c r="AD41" s="460">
        <f t="shared" ca="1" si="16"/>
        <v>91.597521559434867</v>
      </c>
      <c r="AE41" s="460">
        <f t="shared" ca="1" si="16"/>
        <v>92.257847302679522</v>
      </c>
      <c r="AF41" s="460">
        <f t="shared" ca="1" si="16"/>
        <v>92.890496109881454</v>
      </c>
      <c r="AG41" s="460">
        <f t="shared" ca="1" si="16"/>
        <v>93.532821722118783</v>
      </c>
      <c r="AH41" s="265">
        <f t="shared" ca="1" si="13"/>
        <v>94.24837772045916</v>
      </c>
      <c r="AI41" s="309" t="s">
        <v>1775</v>
      </c>
      <c r="AJ41" s="142"/>
      <c r="AK41" s="19"/>
      <c r="AL41" s="19"/>
      <c r="AM41" s="21"/>
      <c r="AN41" s="19"/>
    </row>
    <row r="42" spans="2:40">
      <c r="B42" s="221" t="s">
        <v>1778</v>
      </c>
      <c r="C42" s="460">
        <f>IF(C$111&lt;&gt;"Producing",0,C41*3600)</f>
        <v>0</v>
      </c>
      <c r="D42" s="460">
        <f t="shared" ref="D42:AG42" si="17">IF(D$111&lt;&gt;"Producing",0,D41*3600)</f>
        <v>0</v>
      </c>
      <c r="E42" s="460">
        <f t="shared" si="17"/>
        <v>0</v>
      </c>
      <c r="F42" s="460">
        <f t="shared" si="17"/>
        <v>0</v>
      </c>
      <c r="G42" s="460">
        <f t="shared" si="17"/>
        <v>0</v>
      </c>
      <c r="H42" s="460">
        <f t="shared" si="17"/>
        <v>0</v>
      </c>
      <c r="I42" s="460">
        <f t="shared" si="17"/>
        <v>0</v>
      </c>
      <c r="J42" s="460">
        <f t="shared" si="17"/>
        <v>0</v>
      </c>
      <c r="K42" s="460">
        <f t="shared" si="17"/>
        <v>675720</v>
      </c>
      <c r="L42" s="460">
        <f t="shared" ca="1" si="17"/>
        <v>450480</v>
      </c>
      <c r="M42" s="460">
        <f t="shared" ca="1" si="17"/>
        <v>386125.71428571426</v>
      </c>
      <c r="N42" s="460">
        <f t="shared" ca="1" si="17"/>
        <v>300320</v>
      </c>
      <c r="O42" s="460">
        <f t="shared" ca="1" si="17"/>
        <v>300320</v>
      </c>
      <c r="P42" s="460">
        <f t="shared" ca="1" si="17"/>
        <v>300320</v>
      </c>
      <c r="Q42" s="460">
        <f t="shared" ca="1" si="17"/>
        <v>300320</v>
      </c>
      <c r="R42" s="460">
        <f t="shared" ca="1" si="17"/>
        <v>300320</v>
      </c>
      <c r="S42" s="460">
        <f t="shared" ca="1" si="17"/>
        <v>300320</v>
      </c>
      <c r="T42" s="460">
        <f t="shared" ca="1" si="17"/>
        <v>303136.95205733075</v>
      </c>
      <c r="U42" s="460">
        <f t="shared" ca="1" si="17"/>
        <v>306077.13931409374</v>
      </c>
      <c r="V42" s="460">
        <f t="shared" ca="1" si="17"/>
        <v>308894.09137142455</v>
      </c>
      <c r="W42" s="460">
        <f t="shared" ca="1" si="17"/>
        <v>311834.27862818755</v>
      </c>
      <c r="X42" s="460">
        <f t="shared" ca="1" si="17"/>
        <v>314547.99150655157</v>
      </c>
      <c r="Y42" s="460">
        <f t="shared" ca="1" si="17"/>
        <v>317229.01332122908</v>
      </c>
      <c r="Z42" s="460">
        <f t="shared" ca="1" si="17"/>
        <v>319797.66261362797</v>
      </c>
      <c r="AA42" s="460">
        <f t="shared" ca="1" si="17"/>
        <v>322478.68442830548</v>
      </c>
      <c r="AB42" s="460">
        <f t="shared" ca="1" si="17"/>
        <v>325047.33372070431</v>
      </c>
      <c r="AC42" s="460">
        <f t="shared" ca="1" si="17"/>
        <v>327473.54190803849</v>
      </c>
      <c r="AD42" s="460">
        <f t="shared" ca="1" si="17"/>
        <v>329751.07761396549</v>
      </c>
      <c r="AE42" s="460">
        <f t="shared" ca="1" si="17"/>
        <v>332128.25028964627</v>
      </c>
      <c r="AF42" s="460">
        <f t="shared" ca="1" si="17"/>
        <v>334405.78599557321</v>
      </c>
      <c r="AG42" s="460">
        <f t="shared" ca="1" si="17"/>
        <v>336718.15819962759</v>
      </c>
      <c r="AH42" s="265">
        <f t="shared" ca="1" si="13"/>
        <v>339294.15979365306</v>
      </c>
      <c r="AI42" s="309" t="s">
        <v>1777</v>
      </c>
      <c r="AJ42" s="142"/>
      <c r="AK42" s="19"/>
      <c r="AL42" s="19"/>
      <c r="AM42" s="21"/>
      <c r="AN42" s="19"/>
    </row>
    <row r="43" spans="2:40">
      <c r="B43" s="221" t="s">
        <v>1768</v>
      </c>
      <c r="C43" s="460">
        <f>IF(C$111&lt;&gt;"Producing",0,C42/1000)</f>
        <v>0</v>
      </c>
      <c r="D43" s="460">
        <f t="shared" ref="D43:AG43" si="18">IF(D$111&lt;&gt;"Producing",0,D42/1000)</f>
        <v>0</v>
      </c>
      <c r="E43" s="460">
        <f t="shared" si="18"/>
        <v>0</v>
      </c>
      <c r="F43" s="460">
        <f t="shared" si="18"/>
        <v>0</v>
      </c>
      <c r="G43" s="460">
        <f t="shared" si="18"/>
        <v>0</v>
      </c>
      <c r="H43" s="460">
        <f t="shared" si="18"/>
        <v>0</v>
      </c>
      <c r="I43" s="460">
        <f t="shared" si="18"/>
        <v>0</v>
      </c>
      <c r="J43" s="460">
        <f t="shared" si="18"/>
        <v>0</v>
      </c>
      <c r="K43" s="460">
        <f t="shared" si="18"/>
        <v>675.72</v>
      </c>
      <c r="L43" s="460">
        <f t="shared" ca="1" si="18"/>
        <v>450.48</v>
      </c>
      <c r="M43" s="460">
        <f t="shared" ca="1" si="18"/>
        <v>386.12571428571425</v>
      </c>
      <c r="N43" s="460">
        <f t="shared" ca="1" si="18"/>
        <v>300.32</v>
      </c>
      <c r="O43" s="460">
        <f t="shared" ca="1" si="18"/>
        <v>300.32</v>
      </c>
      <c r="P43" s="460">
        <f t="shared" ca="1" si="18"/>
        <v>300.32</v>
      </c>
      <c r="Q43" s="460">
        <f t="shared" ca="1" si="18"/>
        <v>300.32</v>
      </c>
      <c r="R43" s="460">
        <f t="shared" ca="1" si="18"/>
        <v>300.32</v>
      </c>
      <c r="S43" s="460">
        <f t="shared" ca="1" si="18"/>
        <v>300.32</v>
      </c>
      <c r="T43" s="460">
        <f t="shared" ca="1" si="18"/>
        <v>303.13695205733075</v>
      </c>
      <c r="U43" s="460">
        <f t="shared" ca="1" si="18"/>
        <v>306.07713931409376</v>
      </c>
      <c r="V43" s="460">
        <f t="shared" ca="1" si="18"/>
        <v>308.89409137142457</v>
      </c>
      <c r="W43" s="460">
        <f t="shared" ca="1" si="18"/>
        <v>311.83427862818752</v>
      </c>
      <c r="X43" s="460">
        <f t="shared" ca="1" si="18"/>
        <v>314.54799150655157</v>
      </c>
      <c r="Y43" s="460">
        <f t="shared" ca="1" si="18"/>
        <v>317.2290133212291</v>
      </c>
      <c r="Z43" s="460">
        <f t="shared" ca="1" si="18"/>
        <v>319.79766261362795</v>
      </c>
      <c r="AA43" s="460">
        <f t="shared" ca="1" si="18"/>
        <v>322.47868442830548</v>
      </c>
      <c r="AB43" s="460">
        <f t="shared" ca="1" si="18"/>
        <v>325.04733372070433</v>
      </c>
      <c r="AC43" s="460">
        <f t="shared" ca="1" si="18"/>
        <v>327.4735419080385</v>
      </c>
      <c r="AD43" s="460">
        <f t="shared" ca="1" si="18"/>
        <v>329.75107761396549</v>
      </c>
      <c r="AE43" s="460">
        <f t="shared" ca="1" si="18"/>
        <v>332.12825028964625</v>
      </c>
      <c r="AF43" s="460">
        <f t="shared" ca="1" si="18"/>
        <v>334.40578599557324</v>
      </c>
      <c r="AG43" s="460">
        <f t="shared" ca="1" si="18"/>
        <v>336.71815819962757</v>
      </c>
      <c r="AH43" s="265">
        <f t="shared" ca="1" si="13"/>
        <v>339.29415979365308</v>
      </c>
      <c r="AI43" s="309" t="s">
        <v>1776</v>
      </c>
      <c r="AJ43" s="142"/>
      <c r="AK43" s="19"/>
      <c r="AL43" s="19"/>
      <c r="AM43" s="21"/>
      <c r="AN43" s="19"/>
    </row>
    <row r="44" spans="2:40">
      <c r="B44" s="221" t="s">
        <v>1769</v>
      </c>
      <c r="C44" s="224">
        <f>C40*86400*C$31/1000</f>
        <v>0</v>
      </c>
      <c r="D44" s="224">
        <f t="shared" ref="D44:K44" si="19">D40*86400*D$31/1000</f>
        <v>0</v>
      </c>
      <c r="E44" s="224">
        <f t="shared" si="19"/>
        <v>0</v>
      </c>
      <c r="F44" s="224">
        <f t="shared" si="19"/>
        <v>0</v>
      </c>
      <c r="G44" s="224">
        <f t="shared" si="19"/>
        <v>0</v>
      </c>
      <c r="H44" s="224">
        <f t="shared" si="19"/>
        <v>0</v>
      </c>
      <c r="I44" s="224">
        <f t="shared" si="19"/>
        <v>0</v>
      </c>
      <c r="J44" s="224">
        <f t="shared" si="19"/>
        <v>0</v>
      </c>
      <c r="K44" s="224">
        <f t="shared" si="19"/>
        <v>118553742.63283841</v>
      </c>
      <c r="L44" s="224">
        <f t="shared" ref="L44:AG44" ca="1" si="20">L40*86400*L$31/1000</f>
        <v>174323578.52232003</v>
      </c>
      <c r="M44" s="224">
        <f t="shared" ca="1" si="20"/>
        <v>184140926.21377194</v>
      </c>
      <c r="N44" s="224">
        <f t="shared" ca="1" si="20"/>
        <v>233207288.55037132</v>
      </c>
      <c r="O44" s="224">
        <f t="shared" ca="1" si="20"/>
        <v>201291117.84598705</v>
      </c>
      <c r="P44" s="224">
        <f t="shared" ca="1" si="20"/>
        <v>192854188.87330633</v>
      </c>
      <c r="Q44" s="224">
        <f t="shared" ca="1" si="20"/>
        <v>201291117.84598702</v>
      </c>
      <c r="R44" s="224">
        <f t="shared" ca="1" si="20"/>
        <v>192854188.87330633</v>
      </c>
      <c r="S44" s="224">
        <f t="shared" ca="1" si="20"/>
        <v>201291117.84598705</v>
      </c>
      <c r="T44" s="224">
        <f t="shared" ca="1" si="20"/>
        <v>194663129.3505024</v>
      </c>
      <c r="U44" s="224">
        <f t="shared" ca="1" si="20"/>
        <v>205149871.86879274</v>
      </c>
      <c r="V44" s="224">
        <f t="shared" ca="1" si="20"/>
        <v>198360147.30684954</v>
      </c>
      <c r="W44" s="224">
        <f t="shared" ca="1" si="20"/>
        <v>209008625.89159846</v>
      </c>
      <c r="X44" s="224">
        <f t="shared" ca="1" si="20"/>
        <v>201990868.95219654</v>
      </c>
      <c r="Y44" s="224">
        <f t="shared" ca="1" si="20"/>
        <v>212624476.24070901</v>
      </c>
      <c r="Z44" s="224">
        <f t="shared" ca="1" si="20"/>
        <v>205362009.94582617</v>
      </c>
      <c r="AA44" s="224">
        <f t="shared" ca="1" si="20"/>
        <v>216143096.93019751</v>
      </c>
      <c r="AB44" s="224">
        <f t="shared" ca="1" si="20"/>
        <v>208733150.93945575</v>
      </c>
      <c r="AC44" s="224">
        <f t="shared" ca="1" si="20"/>
        <v>219490927.3962898</v>
      </c>
      <c r="AD44" s="224">
        <f t="shared" ca="1" si="20"/>
        <v>211753718.0452185</v>
      </c>
      <c r="AE44" s="224">
        <f t="shared" ca="1" si="20"/>
        <v>222610771.07430297</v>
      </c>
      <c r="AF44" s="224">
        <f t="shared" ca="1" si="20"/>
        <v>214742796.39290342</v>
      </c>
      <c r="AG44" s="224">
        <f t="shared" ca="1" si="20"/>
        <v>225687181.88280821</v>
      </c>
      <c r="AH44" s="225">
        <f t="shared" ca="1" si="13"/>
        <v>202005566.93137076</v>
      </c>
      <c r="AI44" s="309" t="s">
        <v>1766</v>
      </c>
      <c r="AJ44" s="142"/>
      <c r="AK44" s="19"/>
      <c r="AL44" s="19"/>
      <c r="AM44" s="21"/>
      <c r="AN44" s="19"/>
    </row>
    <row r="45" spans="2:40">
      <c r="B45" s="132"/>
      <c r="C45" s="137"/>
      <c r="D45" s="28"/>
      <c r="E45" s="132"/>
      <c r="F45" s="137"/>
      <c r="G45" s="132"/>
      <c r="H45" s="137"/>
      <c r="I45" s="132"/>
      <c r="J45" s="137"/>
      <c r="K45" s="28"/>
      <c r="L45" s="132"/>
      <c r="M45" s="137"/>
      <c r="N45" s="28"/>
      <c r="O45" s="132"/>
      <c r="P45" s="137"/>
      <c r="Q45" s="28"/>
      <c r="R45" s="132"/>
      <c r="S45" s="137"/>
      <c r="T45" s="28"/>
      <c r="U45" s="132"/>
      <c r="V45" s="137"/>
      <c r="W45" s="28"/>
      <c r="X45" s="132"/>
      <c r="Y45" s="137"/>
      <c r="Z45" s="28"/>
      <c r="AA45" s="132"/>
      <c r="AB45" s="137"/>
      <c r="AC45" s="28"/>
      <c r="AD45" s="132"/>
      <c r="AE45" s="137"/>
      <c r="AF45" s="28"/>
      <c r="AG45" s="132"/>
      <c r="AH45" s="137"/>
      <c r="AI45" s="28"/>
      <c r="AJ45" s="142"/>
      <c r="AK45" s="19"/>
      <c r="AL45" s="19"/>
      <c r="AM45" s="21"/>
      <c r="AN45" s="19"/>
    </row>
    <row r="46" spans="2:40" ht="13.8" thickBot="1">
      <c r="B46" s="52" t="s">
        <v>1040</v>
      </c>
      <c r="C46" s="32">
        <f t="shared" ref="C46:AG46" si="21">C$30</f>
        <v>2017</v>
      </c>
      <c r="D46" s="32">
        <f t="shared" si="21"/>
        <v>2018</v>
      </c>
      <c r="E46" s="32">
        <f t="shared" si="21"/>
        <v>2019</v>
      </c>
      <c r="F46" s="32">
        <f t="shared" si="21"/>
        <v>2020</v>
      </c>
      <c r="G46" s="32">
        <f t="shared" si="21"/>
        <v>2021</v>
      </c>
      <c r="H46" s="32">
        <f t="shared" si="21"/>
        <v>2022</v>
      </c>
      <c r="I46" s="32">
        <f t="shared" si="21"/>
        <v>2023</v>
      </c>
      <c r="J46" s="32">
        <f t="shared" si="21"/>
        <v>2024</v>
      </c>
      <c r="K46" s="32">
        <f t="shared" si="21"/>
        <v>2025</v>
      </c>
      <c r="L46" s="32">
        <f t="shared" si="21"/>
        <v>2026</v>
      </c>
      <c r="M46" s="32">
        <f t="shared" si="21"/>
        <v>2027</v>
      </c>
      <c r="N46" s="32">
        <f t="shared" si="21"/>
        <v>2028</v>
      </c>
      <c r="O46" s="32">
        <f t="shared" si="21"/>
        <v>2029</v>
      </c>
      <c r="P46" s="32">
        <f t="shared" si="21"/>
        <v>2030</v>
      </c>
      <c r="Q46" s="32">
        <f t="shared" si="21"/>
        <v>2031</v>
      </c>
      <c r="R46" s="32">
        <f t="shared" si="21"/>
        <v>2032</v>
      </c>
      <c r="S46" s="32">
        <f t="shared" si="21"/>
        <v>2033</v>
      </c>
      <c r="T46" s="32">
        <f t="shared" si="21"/>
        <v>2034</v>
      </c>
      <c r="U46" s="32">
        <f t="shared" si="21"/>
        <v>2035</v>
      </c>
      <c r="V46" s="32">
        <f t="shared" si="21"/>
        <v>2036</v>
      </c>
      <c r="W46" s="32">
        <f t="shared" si="21"/>
        <v>2037</v>
      </c>
      <c r="X46" s="32">
        <f t="shared" si="21"/>
        <v>2038</v>
      </c>
      <c r="Y46" s="32">
        <f t="shared" si="21"/>
        <v>2039</v>
      </c>
      <c r="Z46" s="32">
        <f t="shared" si="21"/>
        <v>2040</v>
      </c>
      <c r="AA46" s="32">
        <f t="shared" si="21"/>
        <v>2041</v>
      </c>
      <c r="AB46" s="32">
        <f t="shared" si="21"/>
        <v>2042</v>
      </c>
      <c r="AC46" s="32">
        <f t="shared" si="21"/>
        <v>2043</v>
      </c>
      <c r="AD46" s="32">
        <f t="shared" si="21"/>
        <v>2044</v>
      </c>
      <c r="AE46" s="32">
        <f t="shared" si="21"/>
        <v>2045</v>
      </c>
      <c r="AF46" s="32">
        <f t="shared" si="21"/>
        <v>2046</v>
      </c>
      <c r="AG46" s="32">
        <f t="shared" si="21"/>
        <v>2047</v>
      </c>
      <c r="AH46" s="159"/>
      <c r="AI46" s="155"/>
      <c r="AJ46" s="142"/>
      <c r="AK46" s="19"/>
      <c r="AL46" s="19"/>
      <c r="AM46" s="21"/>
      <c r="AN46" s="19"/>
    </row>
    <row r="47" spans="2:40" ht="13.8" thickTop="1">
      <c r="B47" s="221" t="s">
        <v>1449</v>
      </c>
      <c r="C47" s="904">
        <f>$I$12/10^6</f>
        <v>25</v>
      </c>
      <c r="D47" s="904">
        <f t="shared" ref="D47:AG47" si="22">$I$12/10^6</f>
        <v>25</v>
      </c>
      <c r="E47" s="904">
        <f t="shared" si="22"/>
        <v>25</v>
      </c>
      <c r="F47" s="904">
        <f t="shared" si="22"/>
        <v>25</v>
      </c>
      <c r="G47" s="904">
        <f t="shared" si="22"/>
        <v>25</v>
      </c>
      <c r="H47" s="904">
        <f t="shared" si="22"/>
        <v>25</v>
      </c>
      <c r="I47" s="904">
        <f t="shared" si="22"/>
        <v>25</v>
      </c>
      <c r="J47" s="904">
        <f t="shared" si="22"/>
        <v>25</v>
      </c>
      <c r="K47" s="904">
        <f t="shared" si="22"/>
        <v>25</v>
      </c>
      <c r="L47" s="904">
        <f t="shared" si="22"/>
        <v>25</v>
      </c>
      <c r="M47" s="904">
        <f t="shared" si="22"/>
        <v>25</v>
      </c>
      <c r="N47" s="904">
        <f t="shared" si="22"/>
        <v>25</v>
      </c>
      <c r="O47" s="904">
        <f t="shared" si="22"/>
        <v>25</v>
      </c>
      <c r="P47" s="904">
        <f t="shared" si="22"/>
        <v>25</v>
      </c>
      <c r="Q47" s="904">
        <f t="shared" si="22"/>
        <v>25</v>
      </c>
      <c r="R47" s="904">
        <f t="shared" si="22"/>
        <v>25</v>
      </c>
      <c r="S47" s="904">
        <f t="shared" si="22"/>
        <v>25</v>
      </c>
      <c r="T47" s="904">
        <f t="shared" si="22"/>
        <v>25</v>
      </c>
      <c r="U47" s="904">
        <f t="shared" si="22"/>
        <v>25</v>
      </c>
      <c r="V47" s="904">
        <f t="shared" si="22"/>
        <v>25</v>
      </c>
      <c r="W47" s="904">
        <f t="shared" si="22"/>
        <v>25</v>
      </c>
      <c r="X47" s="904">
        <f t="shared" si="22"/>
        <v>25</v>
      </c>
      <c r="Y47" s="904">
        <f t="shared" si="22"/>
        <v>25</v>
      </c>
      <c r="Z47" s="904">
        <f t="shared" si="22"/>
        <v>25</v>
      </c>
      <c r="AA47" s="904">
        <f t="shared" si="22"/>
        <v>25</v>
      </c>
      <c r="AB47" s="904">
        <f t="shared" si="22"/>
        <v>25</v>
      </c>
      <c r="AC47" s="904">
        <f t="shared" si="22"/>
        <v>25</v>
      </c>
      <c r="AD47" s="904">
        <f t="shared" si="22"/>
        <v>25</v>
      </c>
      <c r="AE47" s="904">
        <f t="shared" si="22"/>
        <v>25</v>
      </c>
      <c r="AF47" s="904">
        <f t="shared" si="22"/>
        <v>25</v>
      </c>
      <c r="AG47" s="904">
        <f t="shared" si="22"/>
        <v>25</v>
      </c>
      <c r="AH47" s="265">
        <f>AVERAGEIF(C47:AG47,"&lt;&gt;0")</f>
        <v>25</v>
      </c>
      <c r="AI47" s="309" t="s">
        <v>1450</v>
      </c>
      <c r="AJ47" s="142"/>
      <c r="AK47" s="19"/>
      <c r="AL47" s="19"/>
      <c r="AM47" s="21"/>
      <c r="AN47" s="19"/>
    </row>
    <row r="48" spans="2:40">
      <c r="B48" s="221" t="s">
        <v>1614</v>
      </c>
      <c r="C48" s="904">
        <f t="shared" ref="C48:K48" si="23">IF(C44=0,0,$I$13/10^6)</f>
        <v>0</v>
      </c>
      <c r="D48" s="904">
        <f t="shared" si="23"/>
        <v>0</v>
      </c>
      <c r="E48" s="904">
        <f t="shared" si="23"/>
        <v>0</v>
      </c>
      <c r="F48" s="904">
        <f t="shared" si="23"/>
        <v>0</v>
      </c>
      <c r="G48" s="904">
        <f t="shared" si="23"/>
        <v>0</v>
      </c>
      <c r="H48" s="904">
        <f t="shared" si="23"/>
        <v>0</v>
      </c>
      <c r="I48" s="904">
        <f t="shared" si="23"/>
        <v>0</v>
      </c>
      <c r="J48" s="904">
        <f t="shared" si="23"/>
        <v>0</v>
      </c>
      <c r="K48" s="904">
        <f t="shared" si="23"/>
        <v>18</v>
      </c>
      <c r="L48" s="904">
        <f t="shared" ref="L48:AG48" ca="1" si="24">IF(L44=0,0,$I$13/10^6)</f>
        <v>18</v>
      </c>
      <c r="M48" s="904">
        <f t="shared" ca="1" si="24"/>
        <v>18</v>
      </c>
      <c r="N48" s="904">
        <f t="shared" ca="1" si="24"/>
        <v>18</v>
      </c>
      <c r="O48" s="904">
        <f t="shared" ca="1" si="24"/>
        <v>18</v>
      </c>
      <c r="P48" s="904">
        <f t="shared" ca="1" si="24"/>
        <v>18</v>
      </c>
      <c r="Q48" s="904">
        <f t="shared" ca="1" si="24"/>
        <v>18</v>
      </c>
      <c r="R48" s="904">
        <f t="shared" ca="1" si="24"/>
        <v>18</v>
      </c>
      <c r="S48" s="904">
        <f t="shared" ca="1" si="24"/>
        <v>18</v>
      </c>
      <c r="T48" s="904">
        <f t="shared" ca="1" si="24"/>
        <v>18</v>
      </c>
      <c r="U48" s="904">
        <f t="shared" ca="1" si="24"/>
        <v>18</v>
      </c>
      <c r="V48" s="904">
        <f t="shared" ca="1" si="24"/>
        <v>18</v>
      </c>
      <c r="W48" s="904">
        <f t="shared" ca="1" si="24"/>
        <v>18</v>
      </c>
      <c r="X48" s="904">
        <f t="shared" ca="1" si="24"/>
        <v>18</v>
      </c>
      <c r="Y48" s="904">
        <f t="shared" ca="1" si="24"/>
        <v>18</v>
      </c>
      <c r="Z48" s="904">
        <f t="shared" ca="1" si="24"/>
        <v>18</v>
      </c>
      <c r="AA48" s="904">
        <f t="shared" ca="1" si="24"/>
        <v>18</v>
      </c>
      <c r="AB48" s="904">
        <f t="shared" ca="1" si="24"/>
        <v>18</v>
      </c>
      <c r="AC48" s="904">
        <f t="shared" ca="1" si="24"/>
        <v>18</v>
      </c>
      <c r="AD48" s="904">
        <f t="shared" ca="1" si="24"/>
        <v>18</v>
      </c>
      <c r="AE48" s="904">
        <f t="shared" ca="1" si="24"/>
        <v>18</v>
      </c>
      <c r="AF48" s="904">
        <f t="shared" ca="1" si="24"/>
        <v>18</v>
      </c>
      <c r="AG48" s="904">
        <f t="shared" ca="1" si="24"/>
        <v>18</v>
      </c>
      <c r="AH48" s="265">
        <f ca="1">MAX(C48:AG48)</f>
        <v>18</v>
      </c>
      <c r="AI48" s="309" t="s">
        <v>1451</v>
      </c>
      <c r="AJ48" s="142"/>
      <c r="AK48" s="19"/>
      <c r="AL48" s="19"/>
      <c r="AM48" s="21"/>
      <c r="AN48" s="19"/>
    </row>
    <row r="49" spans="2:40">
      <c r="B49" s="221" t="s">
        <v>1447</v>
      </c>
      <c r="C49" s="904">
        <f>IF(C48=0,0,$I$14/10^6)</f>
        <v>0</v>
      </c>
      <c r="D49" s="904">
        <f t="shared" ref="D49:K49" si="25">IF(D48=0,0,$I$14/10^6)</f>
        <v>0</v>
      </c>
      <c r="E49" s="904">
        <f t="shared" si="25"/>
        <v>0</v>
      </c>
      <c r="F49" s="904">
        <f t="shared" si="25"/>
        <v>0</v>
      </c>
      <c r="G49" s="904">
        <f t="shared" si="25"/>
        <v>0</v>
      </c>
      <c r="H49" s="904">
        <f t="shared" si="25"/>
        <v>0</v>
      </c>
      <c r="I49" s="904">
        <f t="shared" si="25"/>
        <v>0</v>
      </c>
      <c r="J49" s="904">
        <f t="shared" si="25"/>
        <v>0</v>
      </c>
      <c r="K49" s="904">
        <f t="shared" si="25"/>
        <v>14.5</v>
      </c>
      <c r="L49" s="904">
        <f t="shared" ref="L49:AG49" ca="1" si="26">IF(L48=0,0,$I$14/10^6)</f>
        <v>14.5</v>
      </c>
      <c r="M49" s="904">
        <f t="shared" ca="1" si="26"/>
        <v>14.5</v>
      </c>
      <c r="N49" s="904">
        <f t="shared" ca="1" si="26"/>
        <v>14.5</v>
      </c>
      <c r="O49" s="904">
        <f t="shared" ca="1" si="26"/>
        <v>14.5</v>
      </c>
      <c r="P49" s="904">
        <f t="shared" ca="1" si="26"/>
        <v>14.5</v>
      </c>
      <c r="Q49" s="904">
        <f t="shared" ca="1" si="26"/>
        <v>14.5</v>
      </c>
      <c r="R49" s="904">
        <f t="shared" ca="1" si="26"/>
        <v>14.5</v>
      </c>
      <c r="S49" s="904">
        <f t="shared" ca="1" si="26"/>
        <v>14.5</v>
      </c>
      <c r="T49" s="904">
        <f t="shared" ca="1" si="26"/>
        <v>14.5</v>
      </c>
      <c r="U49" s="904">
        <f t="shared" ca="1" si="26"/>
        <v>14.5</v>
      </c>
      <c r="V49" s="904">
        <f t="shared" ca="1" si="26"/>
        <v>14.5</v>
      </c>
      <c r="W49" s="904">
        <f t="shared" ca="1" si="26"/>
        <v>14.5</v>
      </c>
      <c r="X49" s="904">
        <f t="shared" ca="1" si="26"/>
        <v>14.5</v>
      </c>
      <c r="Y49" s="904">
        <f t="shared" ca="1" si="26"/>
        <v>14.5</v>
      </c>
      <c r="Z49" s="904">
        <f t="shared" ca="1" si="26"/>
        <v>14.5</v>
      </c>
      <c r="AA49" s="904">
        <f t="shared" ca="1" si="26"/>
        <v>14.5</v>
      </c>
      <c r="AB49" s="904">
        <f t="shared" ca="1" si="26"/>
        <v>14.5</v>
      </c>
      <c r="AC49" s="904">
        <f t="shared" ca="1" si="26"/>
        <v>14.5</v>
      </c>
      <c r="AD49" s="904">
        <f t="shared" ca="1" si="26"/>
        <v>14.5</v>
      </c>
      <c r="AE49" s="904">
        <f t="shared" ca="1" si="26"/>
        <v>14.5</v>
      </c>
      <c r="AF49" s="904">
        <f t="shared" ca="1" si="26"/>
        <v>14.5</v>
      </c>
      <c r="AG49" s="904">
        <f t="shared" ca="1" si="26"/>
        <v>14.5</v>
      </c>
      <c r="AH49" s="265">
        <f ca="1">MAX(C49:AG49)</f>
        <v>14.5</v>
      </c>
      <c r="AI49" s="309" t="s">
        <v>1451</v>
      </c>
      <c r="AJ49" s="142"/>
      <c r="AK49" s="19"/>
      <c r="AL49" s="19"/>
      <c r="AM49" s="21"/>
      <c r="AN49" s="19"/>
    </row>
    <row r="50" spans="2:40">
      <c r="B50" s="221" t="s">
        <v>1615</v>
      </c>
      <c r="C50" s="904">
        <f>IF(C48=0,0,'Steam Tables'!C142)</f>
        <v>0</v>
      </c>
      <c r="D50" s="904">
        <f>IF(D48=0,0,'Steam Tables'!D142)</f>
        <v>0</v>
      </c>
      <c r="E50" s="904">
        <f>IF(E48=0,0,'Steam Tables'!E142)</f>
        <v>0</v>
      </c>
      <c r="F50" s="904">
        <f>IF(F48=0,0,'Steam Tables'!F142)</f>
        <v>0</v>
      </c>
      <c r="G50" s="904">
        <f>IF(G48=0,0,'Steam Tables'!G142)</f>
        <v>0</v>
      </c>
      <c r="H50" s="904">
        <f>IF(H48=0,0,'Steam Tables'!H142)</f>
        <v>0</v>
      </c>
      <c r="I50" s="904">
        <f>IF(I48=0,0,'Steam Tables'!I142)</f>
        <v>0</v>
      </c>
      <c r="J50" s="904">
        <f>IF(J48=0,0,'Steam Tables'!J142)</f>
        <v>0</v>
      </c>
      <c r="K50" s="904">
        <f ca="1">IF(K48=0,0,'Steam Tables'!K142)</f>
        <v>3.5</v>
      </c>
      <c r="L50" s="904">
        <f ca="1">IF(L48=0,0,'Steam Tables'!L142)</f>
        <v>3.5</v>
      </c>
      <c r="M50" s="904">
        <f ca="1">IF(M48=0,0,'Steam Tables'!M142)</f>
        <v>3.5</v>
      </c>
      <c r="N50" s="904">
        <f ca="1">IF(N48=0,0,'Steam Tables'!N142)</f>
        <v>3.5</v>
      </c>
      <c r="O50" s="904">
        <f ca="1">IF(O48=0,0,'Steam Tables'!O142)</f>
        <v>3.5</v>
      </c>
      <c r="P50" s="904">
        <f ca="1">IF(P48=0,0,'Steam Tables'!P142)</f>
        <v>3.5</v>
      </c>
      <c r="Q50" s="904">
        <f ca="1">IF(Q48=0,0,'Steam Tables'!Q142)</f>
        <v>3.5</v>
      </c>
      <c r="R50" s="904">
        <f ca="1">IF(R48=0,0,'Steam Tables'!R142)</f>
        <v>3.5</v>
      </c>
      <c r="S50" s="904">
        <f ca="1">IF(S48=0,0,'Steam Tables'!S142)</f>
        <v>3.5</v>
      </c>
      <c r="T50" s="904">
        <f ca="1">IF(T48=0,0,'Steam Tables'!T142)</f>
        <v>3.5</v>
      </c>
      <c r="U50" s="904">
        <f ca="1">IF(U48=0,0,'Steam Tables'!U142)</f>
        <v>3.5</v>
      </c>
      <c r="V50" s="904">
        <f ca="1">IF(V48=0,0,'Steam Tables'!V142)</f>
        <v>3.5</v>
      </c>
      <c r="W50" s="904">
        <f ca="1">IF(W48=0,0,'Steam Tables'!W142)</f>
        <v>3.5</v>
      </c>
      <c r="X50" s="904">
        <f ca="1">IF(X48=0,0,'Steam Tables'!X142)</f>
        <v>3.5</v>
      </c>
      <c r="Y50" s="904">
        <f ca="1">IF(Y48=0,0,'Steam Tables'!Y142)</f>
        <v>3.5</v>
      </c>
      <c r="Z50" s="904">
        <f ca="1">IF(Z48=0,0,'Steam Tables'!Z142)</f>
        <v>3.5</v>
      </c>
      <c r="AA50" s="904">
        <f ca="1">IF(AA48=0,0,'Steam Tables'!AA142)</f>
        <v>3.5</v>
      </c>
      <c r="AB50" s="904">
        <f ca="1">IF(AB48=0,0,'Steam Tables'!AB142)</f>
        <v>2.5</v>
      </c>
      <c r="AC50" s="904">
        <f ca="1">IF(AC48=0,0,'Steam Tables'!AC142)</f>
        <v>2.5</v>
      </c>
      <c r="AD50" s="904">
        <f ca="1">IF(AD48=0,0,'Steam Tables'!AD142)</f>
        <v>2.5</v>
      </c>
      <c r="AE50" s="904">
        <f ca="1">IF(AE48=0,0,'Steam Tables'!AE142)</f>
        <v>2.5</v>
      </c>
      <c r="AF50" s="904">
        <f ca="1">IF(AF48=0,0,'Steam Tables'!AF142)</f>
        <v>1.5</v>
      </c>
      <c r="AG50" s="904">
        <f ca="1">IF(AG48=0,0,'Steam Tables'!AG142)</f>
        <v>1.5</v>
      </c>
      <c r="AH50" s="265">
        <f ca="1">MAX(C50:AG50)</f>
        <v>3.5</v>
      </c>
      <c r="AI50" s="309" t="s">
        <v>1451</v>
      </c>
      <c r="AJ50" s="142"/>
      <c r="AK50" s="19"/>
      <c r="AL50" s="19"/>
      <c r="AM50" s="21"/>
      <c r="AN50" s="19"/>
    </row>
    <row r="51" spans="2:40">
      <c r="B51" s="221" t="s">
        <v>1448</v>
      </c>
      <c r="C51" s="904">
        <f t="shared" ref="C51:K51" si="27">IF(C49=0,0,$I$16/10^6)</f>
        <v>0</v>
      </c>
      <c r="D51" s="904">
        <f t="shared" si="27"/>
        <v>0</v>
      </c>
      <c r="E51" s="904">
        <f t="shared" si="27"/>
        <v>0</v>
      </c>
      <c r="F51" s="904">
        <f t="shared" si="27"/>
        <v>0</v>
      </c>
      <c r="G51" s="904">
        <f t="shared" si="27"/>
        <v>0</v>
      </c>
      <c r="H51" s="904">
        <f t="shared" si="27"/>
        <v>0</v>
      </c>
      <c r="I51" s="904">
        <f t="shared" si="27"/>
        <v>0</v>
      </c>
      <c r="J51" s="904">
        <f t="shared" si="27"/>
        <v>0</v>
      </c>
      <c r="K51" s="904">
        <f t="shared" si="27"/>
        <v>0.5</v>
      </c>
      <c r="L51" s="904">
        <f t="shared" ref="L51:AG51" ca="1" si="28">IF(L49=0,0,$I$16/10^6)</f>
        <v>0.5</v>
      </c>
      <c r="M51" s="904">
        <f t="shared" ca="1" si="28"/>
        <v>0.5</v>
      </c>
      <c r="N51" s="904">
        <f t="shared" ca="1" si="28"/>
        <v>0.5</v>
      </c>
      <c r="O51" s="904">
        <f t="shared" ca="1" si="28"/>
        <v>0.5</v>
      </c>
      <c r="P51" s="904">
        <f t="shared" ca="1" si="28"/>
        <v>0.5</v>
      </c>
      <c r="Q51" s="904">
        <f t="shared" ca="1" si="28"/>
        <v>0.5</v>
      </c>
      <c r="R51" s="904">
        <f t="shared" ca="1" si="28"/>
        <v>0.5</v>
      </c>
      <c r="S51" s="904">
        <f t="shared" ca="1" si="28"/>
        <v>0.5</v>
      </c>
      <c r="T51" s="904">
        <f t="shared" ca="1" si="28"/>
        <v>0.5</v>
      </c>
      <c r="U51" s="904">
        <f t="shared" ca="1" si="28"/>
        <v>0.5</v>
      </c>
      <c r="V51" s="904">
        <f t="shared" ca="1" si="28"/>
        <v>0.5</v>
      </c>
      <c r="W51" s="904">
        <f t="shared" ca="1" si="28"/>
        <v>0.5</v>
      </c>
      <c r="X51" s="904">
        <f t="shared" ca="1" si="28"/>
        <v>0.5</v>
      </c>
      <c r="Y51" s="904">
        <f t="shared" ca="1" si="28"/>
        <v>0.5</v>
      </c>
      <c r="Z51" s="904">
        <f t="shared" ca="1" si="28"/>
        <v>0.5</v>
      </c>
      <c r="AA51" s="904">
        <f t="shared" ca="1" si="28"/>
        <v>0.5</v>
      </c>
      <c r="AB51" s="904">
        <f t="shared" ca="1" si="28"/>
        <v>0.5</v>
      </c>
      <c r="AC51" s="904">
        <f t="shared" ca="1" si="28"/>
        <v>0.5</v>
      </c>
      <c r="AD51" s="904">
        <f t="shared" ca="1" si="28"/>
        <v>0.5</v>
      </c>
      <c r="AE51" s="904">
        <f t="shared" ca="1" si="28"/>
        <v>0.5</v>
      </c>
      <c r="AF51" s="904">
        <f t="shared" ca="1" si="28"/>
        <v>0.5</v>
      </c>
      <c r="AG51" s="904">
        <f t="shared" ca="1" si="28"/>
        <v>0.5</v>
      </c>
      <c r="AH51" s="265">
        <f ca="1">MAX(C51:AG51)</f>
        <v>0.5</v>
      </c>
      <c r="AI51" s="309" t="s">
        <v>1451</v>
      </c>
      <c r="AJ51" s="142"/>
      <c r="AK51" s="19"/>
      <c r="AL51" s="19"/>
      <c r="AM51" s="21"/>
      <c r="AN51" s="19"/>
    </row>
    <row r="52" spans="2:40">
      <c r="B52" s="221" t="s">
        <v>1616</v>
      </c>
      <c r="C52" s="904">
        <f t="shared" ref="C52:K52" si="29">IF(C51=0,0,$I$17/10^6)</f>
        <v>0</v>
      </c>
      <c r="D52" s="904">
        <f t="shared" si="29"/>
        <v>0</v>
      </c>
      <c r="E52" s="904">
        <f t="shared" si="29"/>
        <v>0</v>
      </c>
      <c r="F52" s="904">
        <f t="shared" si="29"/>
        <v>0</v>
      </c>
      <c r="G52" s="904">
        <f t="shared" si="29"/>
        <v>0</v>
      </c>
      <c r="H52" s="904">
        <f t="shared" si="29"/>
        <v>0</v>
      </c>
      <c r="I52" s="904">
        <f t="shared" si="29"/>
        <v>0</v>
      </c>
      <c r="J52" s="904">
        <f t="shared" si="29"/>
        <v>0</v>
      </c>
      <c r="K52" s="904">
        <f t="shared" si="29"/>
        <v>13.2</v>
      </c>
      <c r="L52" s="904">
        <f t="shared" ref="L52:AG52" ca="1" si="30">IF(L51=0,0,$I$17/10^6)</f>
        <v>13.2</v>
      </c>
      <c r="M52" s="904">
        <f t="shared" ca="1" si="30"/>
        <v>13.2</v>
      </c>
      <c r="N52" s="904">
        <f t="shared" ca="1" si="30"/>
        <v>13.2</v>
      </c>
      <c r="O52" s="904">
        <f t="shared" ca="1" si="30"/>
        <v>13.2</v>
      </c>
      <c r="P52" s="904">
        <f t="shared" ca="1" si="30"/>
        <v>13.2</v>
      </c>
      <c r="Q52" s="904">
        <f t="shared" ca="1" si="30"/>
        <v>13.2</v>
      </c>
      <c r="R52" s="904">
        <f t="shared" ca="1" si="30"/>
        <v>13.2</v>
      </c>
      <c r="S52" s="904">
        <f t="shared" ca="1" si="30"/>
        <v>13.2</v>
      </c>
      <c r="T52" s="904">
        <f t="shared" ca="1" si="30"/>
        <v>13.2</v>
      </c>
      <c r="U52" s="904">
        <f t="shared" ca="1" si="30"/>
        <v>13.2</v>
      </c>
      <c r="V52" s="904">
        <f t="shared" ca="1" si="30"/>
        <v>13.2</v>
      </c>
      <c r="W52" s="904">
        <f t="shared" ca="1" si="30"/>
        <v>13.2</v>
      </c>
      <c r="X52" s="904">
        <f t="shared" ca="1" si="30"/>
        <v>13.2</v>
      </c>
      <c r="Y52" s="904">
        <f t="shared" ca="1" si="30"/>
        <v>13.2</v>
      </c>
      <c r="Z52" s="904">
        <f t="shared" ca="1" si="30"/>
        <v>13.2</v>
      </c>
      <c r="AA52" s="904">
        <f t="shared" ca="1" si="30"/>
        <v>13.2</v>
      </c>
      <c r="AB52" s="904">
        <f t="shared" ca="1" si="30"/>
        <v>13.2</v>
      </c>
      <c r="AC52" s="904">
        <f t="shared" ca="1" si="30"/>
        <v>13.2</v>
      </c>
      <c r="AD52" s="904">
        <f t="shared" ca="1" si="30"/>
        <v>13.2</v>
      </c>
      <c r="AE52" s="904">
        <f t="shared" ca="1" si="30"/>
        <v>13.2</v>
      </c>
      <c r="AF52" s="904">
        <f t="shared" ca="1" si="30"/>
        <v>13.2</v>
      </c>
      <c r="AG52" s="904">
        <f t="shared" ca="1" si="30"/>
        <v>13.2</v>
      </c>
      <c r="AH52" s="265">
        <f ca="1">MAX(C52:AG52)</f>
        <v>13.2</v>
      </c>
      <c r="AI52" s="309" t="s">
        <v>1451</v>
      </c>
      <c r="AJ52" s="142"/>
      <c r="AK52" s="19"/>
      <c r="AL52" s="19"/>
      <c r="AM52" s="21"/>
      <c r="AN52" s="19"/>
    </row>
    <row r="53" spans="2:40">
      <c r="B53" s="132"/>
      <c r="C53" s="137"/>
      <c r="D53" s="28"/>
      <c r="E53" s="132"/>
      <c r="F53" s="137"/>
      <c r="G53" s="132"/>
      <c r="H53" s="137"/>
      <c r="I53" s="132"/>
      <c r="J53" s="137"/>
      <c r="K53" s="28"/>
      <c r="L53" s="132"/>
      <c r="M53" s="137"/>
      <c r="N53" s="28"/>
      <c r="O53" s="132"/>
      <c r="P53" s="137"/>
      <c r="Q53" s="28"/>
      <c r="R53" s="132"/>
      <c r="S53" s="137"/>
      <c r="T53" s="28"/>
      <c r="U53" s="132"/>
      <c r="V53" s="137"/>
      <c r="W53" s="28"/>
      <c r="X53" s="132"/>
      <c r="Y53" s="137"/>
      <c r="Z53" s="28"/>
      <c r="AA53" s="132"/>
      <c r="AB53" s="137"/>
      <c r="AC53" s="28"/>
      <c r="AD53" s="132"/>
      <c r="AE53" s="137"/>
      <c r="AF53" s="28"/>
      <c r="AG53" s="132"/>
      <c r="AH53" s="137"/>
      <c r="AI53" s="28"/>
      <c r="AJ53" s="142"/>
      <c r="AK53" s="19"/>
      <c r="AL53" s="19"/>
      <c r="AM53" s="21"/>
      <c r="AN53" s="19"/>
    </row>
    <row r="54" spans="2:40" ht="13.8" thickBot="1">
      <c r="B54" s="52" t="s">
        <v>161</v>
      </c>
      <c r="C54" s="32">
        <f t="shared" ref="C54:AG54" si="31">C$30</f>
        <v>2017</v>
      </c>
      <c r="D54" s="32">
        <f t="shared" si="31"/>
        <v>2018</v>
      </c>
      <c r="E54" s="32">
        <f t="shared" si="31"/>
        <v>2019</v>
      </c>
      <c r="F54" s="32">
        <f t="shared" si="31"/>
        <v>2020</v>
      </c>
      <c r="G54" s="32">
        <f t="shared" si="31"/>
        <v>2021</v>
      </c>
      <c r="H54" s="32">
        <f t="shared" si="31"/>
        <v>2022</v>
      </c>
      <c r="I54" s="32">
        <f t="shared" si="31"/>
        <v>2023</v>
      </c>
      <c r="J54" s="32">
        <f t="shared" si="31"/>
        <v>2024</v>
      </c>
      <c r="K54" s="32">
        <f t="shared" si="31"/>
        <v>2025</v>
      </c>
      <c r="L54" s="32">
        <f t="shared" si="31"/>
        <v>2026</v>
      </c>
      <c r="M54" s="32">
        <f t="shared" si="31"/>
        <v>2027</v>
      </c>
      <c r="N54" s="32">
        <f t="shared" si="31"/>
        <v>2028</v>
      </c>
      <c r="O54" s="32">
        <f t="shared" si="31"/>
        <v>2029</v>
      </c>
      <c r="P54" s="32">
        <f t="shared" si="31"/>
        <v>2030</v>
      </c>
      <c r="Q54" s="32">
        <f t="shared" si="31"/>
        <v>2031</v>
      </c>
      <c r="R54" s="32">
        <f t="shared" si="31"/>
        <v>2032</v>
      </c>
      <c r="S54" s="32">
        <f t="shared" si="31"/>
        <v>2033</v>
      </c>
      <c r="T54" s="32">
        <f t="shared" si="31"/>
        <v>2034</v>
      </c>
      <c r="U54" s="32">
        <f t="shared" si="31"/>
        <v>2035</v>
      </c>
      <c r="V54" s="32">
        <f t="shared" si="31"/>
        <v>2036</v>
      </c>
      <c r="W54" s="32">
        <f t="shared" si="31"/>
        <v>2037</v>
      </c>
      <c r="X54" s="32">
        <f t="shared" si="31"/>
        <v>2038</v>
      </c>
      <c r="Y54" s="32">
        <f t="shared" si="31"/>
        <v>2039</v>
      </c>
      <c r="Z54" s="32">
        <f t="shared" si="31"/>
        <v>2040</v>
      </c>
      <c r="AA54" s="32">
        <f t="shared" si="31"/>
        <v>2041</v>
      </c>
      <c r="AB54" s="32">
        <f t="shared" si="31"/>
        <v>2042</v>
      </c>
      <c r="AC54" s="32">
        <f t="shared" si="31"/>
        <v>2043</v>
      </c>
      <c r="AD54" s="32">
        <f t="shared" si="31"/>
        <v>2044</v>
      </c>
      <c r="AE54" s="32">
        <f t="shared" si="31"/>
        <v>2045</v>
      </c>
      <c r="AF54" s="32">
        <f t="shared" si="31"/>
        <v>2046</v>
      </c>
      <c r="AG54" s="32">
        <f t="shared" si="31"/>
        <v>2047</v>
      </c>
      <c r="AH54" s="159"/>
      <c r="AI54" s="155"/>
      <c r="AJ54" s="142"/>
      <c r="AK54" s="19"/>
      <c r="AL54" s="19"/>
      <c r="AM54" s="21"/>
      <c r="AN54" s="19"/>
    </row>
    <row r="55" spans="2:40" ht="13.8" thickTop="1">
      <c r="B55" s="185" t="s">
        <v>709</v>
      </c>
      <c r="C55" s="587">
        <f t="shared" ref="C55:K55" si="32">IF(C$38&lt;$Q$15,0,IF(B55=0,1,B55+1))</f>
        <v>0</v>
      </c>
      <c r="D55" s="587">
        <f t="shared" si="32"/>
        <v>0</v>
      </c>
      <c r="E55" s="587">
        <f t="shared" si="32"/>
        <v>0</v>
      </c>
      <c r="F55" s="587">
        <f t="shared" si="32"/>
        <v>0</v>
      </c>
      <c r="G55" s="587">
        <f t="shared" si="32"/>
        <v>0</v>
      </c>
      <c r="H55" s="587">
        <f t="shared" si="32"/>
        <v>0</v>
      </c>
      <c r="I55" s="587">
        <f t="shared" si="32"/>
        <v>0</v>
      </c>
      <c r="J55" s="587">
        <f t="shared" si="32"/>
        <v>0</v>
      </c>
      <c r="K55" s="587">
        <f t="shared" si="32"/>
        <v>0</v>
      </c>
      <c r="L55" s="587">
        <f t="shared" ref="L55:AG55" ca="1" si="33">IF(L$38&lt;$Q$15,0,IF(K55=0,1,K55+1))</f>
        <v>0</v>
      </c>
      <c r="M55" s="587">
        <f t="shared" ca="1" si="33"/>
        <v>0</v>
      </c>
      <c r="N55" s="587">
        <f t="shared" ca="1" si="33"/>
        <v>0</v>
      </c>
      <c r="O55" s="587">
        <f t="shared" ca="1" si="33"/>
        <v>0</v>
      </c>
      <c r="P55" s="587">
        <f t="shared" ca="1" si="33"/>
        <v>0</v>
      </c>
      <c r="Q55" s="587">
        <f t="shared" ca="1" si="33"/>
        <v>0</v>
      </c>
      <c r="R55" s="587">
        <f t="shared" ca="1" si="33"/>
        <v>0</v>
      </c>
      <c r="S55" s="587">
        <f t="shared" ca="1" si="33"/>
        <v>0</v>
      </c>
      <c r="T55" s="587">
        <f t="shared" ca="1" si="33"/>
        <v>1</v>
      </c>
      <c r="U55" s="587">
        <f t="shared" ca="1" si="33"/>
        <v>2</v>
      </c>
      <c r="V55" s="587">
        <f t="shared" ca="1" si="33"/>
        <v>3</v>
      </c>
      <c r="W55" s="587">
        <f t="shared" ca="1" si="33"/>
        <v>4</v>
      </c>
      <c r="X55" s="587">
        <f t="shared" ca="1" si="33"/>
        <v>5</v>
      </c>
      <c r="Y55" s="587">
        <f t="shared" ca="1" si="33"/>
        <v>6</v>
      </c>
      <c r="Z55" s="587">
        <f t="shared" ca="1" si="33"/>
        <v>7</v>
      </c>
      <c r="AA55" s="587">
        <f t="shared" ca="1" si="33"/>
        <v>8</v>
      </c>
      <c r="AB55" s="587">
        <f t="shared" ca="1" si="33"/>
        <v>9</v>
      </c>
      <c r="AC55" s="587">
        <f t="shared" ca="1" si="33"/>
        <v>10</v>
      </c>
      <c r="AD55" s="587">
        <f t="shared" ca="1" si="33"/>
        <v>11</v>
      </c>
      <c r="AE55" s="587">
        <f t="shared" ca="1" si="33"/>
        <v>12</v>
      </c>
      <c r="AF55" s="587">
        <f t="shared" ca="1" si="33"/>
        <v>13</v>
      </c>
      <c r="AG55" s="587">
        <f t="shared" ca="1" si="33"/>
        <v>14</v>
      </c>
      <c r="AH55" s="158"/>
      <c r="AI55" s="155"/>
      <c r="AJ55" s="142"/>
      <c r="AK55" s="19"/>
      <c r="AL55" s="19"/>
      <c r="AM55" s="21"/>
      <c r="AN55" s="19"/>
    </row>
    <row r="56" spans="2:40">
      <c r="B56" s="185" t="s">
        <v>1759</v>
      </c>
      <c r="C56" s="665">
        <f>IF(C55=0,0,C37+B56)</f>
        <v>0</v>
      </c>
      <c r="D56" s="665">
        <f t="shared" ref="D56:S56" si="34">IF(D55=0,0,D37+C56)</f>
        <v>0</v>
      </c>
      <c r="E56" s="665">
        <f t="shared" si="34"/>
        <v>0</v>
      </c>
      <c r="F56" s="665">
        <f t="shared" si="34"/>
        <v>0</v>
      </c>
      <c r="G56" s="665">
        <f t="shared" si="34"/>
        <v>0</v>
      </c>
      <c r="H56" s="665">
        <f t="shared" si="34"/>
        <v>0</v>
      </c>
      <c r="I56" s="665">
        <f t="shared" si="34"/>
        <v>0</v>
      </c>
      <c r="J56" s="665">
        <f t="shared" si="34"/>
        <v>0</v>
      </c>
      <c r="K56" s="665">
        <f t="shared" si="34"/>
        <v>0</v>
      </c>
      <c r="L56" s="665">
        <f t="shared" ca="1" si="34"/>
        <v>0</v>
      </c>
      <c r="M56" s="665">
        <f t="shared" ca="1" si="34"/>
        <v>0</v>
      </c>
      <c r="N56" s="665">
        <f t="shared" ca="1" si="34"/>
        <v>0</v>
      </c>
      <c r="O56" s="665">
        <f t="shared" ca="1" si="34"/>
        <v>0</v>
      </c>
      <c r="P56" s="665">
        <f t="shared" ca="1" si="34"/>
        <v>0</v>
      </c>
      <c r="Q56" s="665">
        <f t="shared" ca="1" si="34"/>
        <v>0</v>
      </c>
      <c r="R56" s="665">
        <f t="shared" ca="1" si="34"/>
        <v>0</v>
      </c>
      <c r="S56" s="665">
        <f t="shared" ca="1" si="34"/>
        <v>0</v>
      </c>
      <c r="T56" s="665">
        <f ca="1">IF(T55=0,0,T37+S56)</f>
        <v>10702705.384995246</v>
      </c>
      <c r="U56" s="665">
        <f t="shared" ref="U56" ca="1" si="35">IF(U55=0,0,U37+T56)</f>
        <v>21873629.612818182</v>
      </c>
      <c r="V56" s="665">
        <f t="shared" ref="V56" ca="1" si="36">IF(V55=0,0,V37+U56)</f>
        <v>32576334.997813426</v>
      </c>
      <c r="W56" s="665">
        <f t="shared" ref="W56" ca="1" si="37">IF(W55=0,0,W37+V56)</f>
        <v>43747259.225636363</v>
      </c>
      <c r="X56" s="665">
        <f t="shared" ref="X56" ca="1" si="38">IF(X55=0,0,X37+W56)</f>
        <v>54449964.610631607</v>
      </c>
      <c r="Y56" s="665">
        <f t="shared" ref="Y56" ca="1" si="39">IF(Y55=0,0,Y37+X56)</f>
        <v>65620888.838454545</v>
      </c>
      <c r="Z56" s="665">
        <f t="shared" ref="Z56" ca="1" si="40">IF(Z55=0,0,Z37+Y56)</f>
        <v>76323594.223449796</v>
      </c>
      <c r="AA56" s="665">
        <f t="shared" ref="AA56" ca="1" si="41">IF(AA55=0,0,AA37+Z56)</f>
        <v>87494518.451272726</v>
      </c>
      <c r="AB56" s="665">
        <f t="shared" ref="AB56" ca="1" si="42">IF(AB55=0,0,AB37+AA56)</f>
        <v>98197223.836267978</v>
      </c>
      <c r="AC56" s="665">
        <f t="shared" ref="AC56" ca="1" si="43">IF(AC55=0,0,AC37+AB56)</f>
        <v>109368148.06409091</v>
      </c>
      <c r="AD56" s="665">
        <f t="shared" ref="AD56" ca="1" si="44">IF(AD55=0,0,AD37+AC56)</f>
        <v>120070853.44908616</v>
      </c>
      <c r="AE56" s="665">
        <f t="shared" ref="AE56" ca="1" si="45">IF(AE55=0,0,AE37+AD56)</f>
        <v>131241777.67690909</v>
      </c>
      <c r="AF56" s="665">
        <f t="shared" ref="AF56" ca="1" si="46">IF(AF55=0,0,AF37+AE56)</f>
        <v>141944483.06190434</v>
      </c>
      <c r="AG56" s="665">
        <f t="shared" ref="AG56" ca="1" si="47">IF(AG55=0,0,AG37+AF56)</f>
        <v>153115407.28972727</v>
      </c>
      <c r="AH56" s="158"/>
      <c r="AI56" s="155"/>
      <c r="AJ56" s="142"/>
      <c r="AK56" s="19"/>
      <c r="AL56" s="19"/>
      <c r="AM56" s="21"/>
      <c r="AN56" s="19"/>
    </row>
    <row r="57" spans="2:40">
      <c r="B57" s="185" t="s">
        <v>1528</v>
      </c>
      <c r="C57" s="640">
        <f>IF(C$38&lt;$Q$15,0,C56*$Q$16/10^6)</f>
        <v>0</v>
      </c>
      <c r="D57" s="640">
        <f t="shared" ref="D57:AG57" si="48">IF(D$38&lt;$Q$15,0,D56*$Q$16/10^6)</f>
        <v>0</v>
      </c>
      <c r="E57" s="640">
        <f t="shared" si="48"/>
        <v>0</v>
      </c>
      <c r="F57" s="640">
        <f t="shared" si="48"/>
        <v>0</v>
      </c>
      <c r="G57" s="640">
        <f t="shared" si="48"/>
        <v>0</v>
      </c>
      <c r="H57" s="640">
        <f t="shared" si="48"/>
        <v>0</v>
      </c>
      <c r="I57" s="640">
        <f t="shared" si="48"/>
        <v>0</v>
      </c>
      <c r="J57" s="640">
        <f t="shared" si="48"/>
        <v>0</v>
      </c>
      <c r="K57" s="640">
        <f t="shared" si="48"/>
        <v>0</v>
      </c>
      <c r="L57" s="640">
        <f t="shared" ca="1" si="48"/>
        <v>0</v>
      </c>
      <c r="M57" s="640">
        <f t="shared" ca="1" si="48"/>
        <v>0</v>
      </c>
      <c r="N57" s="640">
        <f t="shared" ca="1" si="48"/>
        <v>0</v>
      </c>
      <c r="O57" s="640">
        <f t="shared" ca="1" si="48"/>
        <v>0</v>
      </c>
      <c r="P57" s="640">
        <f t="shared" ca="1" si="48"/>
        <v>0</v>
      </c>
      <c r="Q57" s="640">
        <f t="shared" ca="1" si="48"/>
        <v>0</v>
      </c>
      <c r="R57" s="640">
        <f t="shared" ca="1" si="48"/>
        <v>0</v>
      </c>
      <c r="S57" s="640">
        <f t="shared" ca="1" si="48"/>
        <v>0</v>
      </c>
      <c r="T57" s="640">
        <f t="shared" ca="1" si="48"/>
        <v>4.2810821539980983</v>
      </c>
      <c r="U57" s="640">
        <f t="shared" ca="1" si="48"/>
        <v>8.7494518451272736</v>
      </c>
      <c r="V57" s="640">
        <f t="shared" ca="1" si="48"/>
        <v>13.030533999125371</v>
      </c>
      <c r="W57" s="640">
        <f t="shared" ca="1" si="48"/>
        <v>17.498903690254547</v>
      </c>
      <c r="X57" s="640">
        <f t="shared" ca="1" si="48"/>
        <v>21.779985844252646</v>
      </c>
      <c r="Y57" s="640">
        <f t="shared" ca="1" si="48"/>
        <v>26.248355535381819</v>
      </c>
      <c r="Z57" s="640">
        <f t="shared" ca="1" si="48"/>
        <v>30.529437689379918</v>
      </c>
      <c r="AA57" s="640">
        <f t="shared" ca="1" si="48"/>
        <v>34.997807380509094</v>
      </c>
      <c r="AB57" s="640">
        <f t="shared" ca="1" si="48"/>
        <v>39.278889534507194</v>
      </c>
      <c r="AC57" s="640">
        <f t="shared" ca="1" si="48"/>
        <v>43.747259225636363</v>
      </c>
      <c r="AD57" s="640">
        <f t="shared" ca="1" si="48"/>
        <v>48.028341379634469</v>
      </c>
      <c r="AE57" s="640">
        <f t="shared" ca="1" si="48"/>
        <v>52.496711070763638</v>
      </c>
      <c r="AF57" s="640">
        <f t="shared" ca="1" si="48"/>
        <v>56.777793224761737</v>
      </c>
      <c r="AG57" s="640">
        <f t="shared" ca="1" si="48"/>
        <v>61.246162915890906</v>
      </c>
      <c r="AH57" s="158"/>
      <c r="AI57" s="155"/>
      <c r="AJ57" s="142"/>
      <c r="AK57" s="19"/>
      <c r="AL57" s="19"/>
      <c r="AM57" s="21"/>
      <c r="AN57" s="19"/>
    </row>
    <row r="58" spans="2:40">
      <c r="B58" s="185" t="s">
        <v>1366</v>
      </c>
      <c r="C58" s="294">
        <f t="shared" ref="C58:K58" si="49">IF(C33=0,0,IF(C$38&lt;$Q$15,($I$11-$I$25),($I$11-$I$25)-C57))</f>
        <v>0</v>
      </c>
      <c r="D58" s="294">
        <f t="shared" si="49"/>
        <v>0</v>
      </c>
      <c r="E58" s="294">
        <f t="shared" si="49"/>
        <v>0</v>
      </c>
      <c r="F58" s="294">
        <f t="shared" si="49"/>
        <v>0</v>
      </c>
      <c r="G58" s="294">
        <f t="shared" si="49"/>
        <v>0</v>
      </c>
      <c r="H58" s="294">
        <f t="shared" si="49"/>
        <v>0</v>
      </c>
      <c r="I58" s="294">
        <f t="shared" si="49"/>
        <v>0</v>
      </c>
      <c r="J58" s="294">
        <f t="shared" si="49"/>
        <v>0</v>
      </c>
      <c r="K58" s="294">
        <f t="shared" si="49"/>
        <v>280</v>
      </c>
      <c r="L58" s="294">
        <f t="shared" ref="L58:AG58" ca="1" si="50">IF(L33=0,0,IF(L$38&lt;$Q$15,($I$11-$I$25),($I$11-$I$25)-L57))</f>
        <v>280</v>
      </c>
      <c r="M58" s="294">
        <f t="shared" ca="1" si="50"/>
        <v>280</v>
      </c>
      <c r="N58" s="294">
        <f t="shared" ca="1" si="50"/>
        <v>280</v>
      </c>
      <c r="O58" s="294">
        <f t="shared" ca="1" si="50"/>
        <v>280</v>
      </c>
      <c r="P58" s="294">
        <f t="shared" ca="1" si="50"/>
        <v>280</v>
      </c>
      <c r="Q58" s="294">
        <f t="shared" ca="1" si="50"/>
        <v>280</v>
      </c>
      <c r="R58" s="294">
        <f t="shared" ca="1" si="50"/>
        <v>280</v>
      </c>
      <c r="S58" s="294">
        <f t="shared" ca="1" si="50"/>
        <v>280</v>
      </c>
      <c r="T58" s="294">
        <f t="shared" ca="1" si="50"/>
        <v>275.71891784600189</v>
      </c>
      <c r="U58" s="294">
        <f t="shared" ca="1" si="50"/>
        <v>271.25054815487272</v>
      </c>
      <c r="V58" s="294">
        <f t="shared" ca="1" si="50"/>
        <v>266.9694660008746</v>
      </c>
      <c r="W58" s="294">
        <f t="shared" ca="1" si="50"/>
        <v>262.50109630974544</v>
      </c>
      <c r="X58" s="294">
        <f t="shared" ca="1" si="50"/>
        <v>258.22001415574738</v>
      </c>
      <c r="Y58" s="294">
        <f t="shared" ca="1" si="50"/>
        <v>253.75164446461818</v>
      </c>
      <c r="Z58" s="294">
        <f t="shared" ca="1" si="50"/>
        <v>249.4705623106201</v>
      </c>
      <c r="AA58" s="294">
        <f t="shared" ca="1" si="50"/>
        <v>245.0021926194909</v>
      </c>
      <c r="AB58" s="294">
        <f t="shared" ca="1" si="50"/>
        <v>240.72111046549281</v>
      </c>
      <c r="AC58" s="294">
        <f t="shared" ca="1" si="50"/>
        <v>236.25274077436364</v>
      </c>
      <c r="AD58" s="294">
        <f t="shared" ca="1" si="50"/>
        <v>231.97165862036553</v>
      </c>
      <c r="AE58" s="294">
        <f t="shared" ca="1" si="50"/>
        <v>227.50328892923636</v>
      </c>
      <c r="AF58" s="294">
        <f t="shared" ca="1" si="50"/>
        <v>223.22220677523825</v>
      </c>
      <c r="AG58" s="294">
        <f t="shared" ca="1" si="50"/>
        <v>218.75383708410908</v>
      </c>
      <c r="AH58" s="158"/>
      <c r="AI58" s="155"/>
      <c r="AJ58" s="142"/>
      <c r="AK58" s="19"/>
      <c r="AL58" s="19"/>
      <c r="AM58" s="21"/>
      <c r="AN58" s="19"/>
    </row>
    <row r="59" spans="2:40">
      <c r="B59" s="185" t="s">
        <v>1365</v>
      </c>
      <c r="C59" s="294">
        <f t="shared" ref="C59:K59" si="51">IF(C34=0,0,C58+$I$25)</f>
        <v>0</v>
      </c>
      <c r="D59" s="294">
        <f t="shared" si="51"/>
        <v>0</v>
      </c>
      <c r="E59" s="294">
        <f t="shared" si="51"/>
        <v>0</v>
      </c>
      <c r="F59" s="294">
        <f t="shared" si="51"/>
        <v>0</v>
      </c>
      <c r="G59" s="294">
        <f t="shared" si="51"/>
        <v>0</v>
      </c>
      <c r="H59" s="294">
        <f t="shared" si="51"/>
        <v>0</v>
      </c>
      <c r="I59" s="294">
        <f t="shared" si="51"/>
        <v>0</v>
      </c>
      <c r="J59" s="294">
        <f t="shared" si="51"/>
        <v>0</v>
      </c>
      <c r="K59" s="294">
        <f t="shared" si="51"/>
        <v>295</v>
      </c>
      <c r="L59" s="294">
        <f t="shared" ref="L59:AG59" ca="1" si="52">IF(L34=0,0,L58+$I$25)</f>
        <v>295</v>
      </c>
      <c r="M59" s="294">
        <f t="shared" ca="1" si="52"/>
        <v>295</v>
      </c>
      <c r="N59" s="294">
        <f t="shared" ca="1" si="52"/>
        <v>295</v>
      </c>
      <c r="O59" s="294">
        <f t="shared" ca="1" si="52"/>
        <v>295</v>
      </c>
      <c r="P59" s="294">
        <f t="shared" ca="1" si="52"/>
        <v>295</v>
      </c>
      <c r="Q59" s="294">
        <f t="shared" ca="1" si="52"/>
        <v>295</v>
      </c>
      <c r="R59" s="294">
        <f t="shared" ca="1" si="52"/>
        <v>295</v>
      </c>
      <c r="S59" s="294">
        <f t="shared" ca="1" si="52"/>
        <v>295</v>
      </c>
      <c r="T59" s="294">
        <f t="shared" ca="1" si="52"/>
        <v>290.71891784600189</v>
      </c>
      <c r="U59" s="294">
        <f t="shared" ca="1" si="52"/>
        <v>286.25054815487272</v>
      </c>
      <c r="V59" s="294">
        <f t="shared" ca="1" si="52"/>
        <v>281.9694660008746</v>
      </c>
      <c r="W59" s="294">
        <f t="shared" ca="1" si="52"/>
        <v>277.50109630974544</v>
      </c>
      <c r="X59" s="294">
        <f t="shared" ca="1" si="52"/>
        <v>273.22001415574738</v>
      </c>
      <c r="Y59" s="294">
        <f t="shared" ca="1" si="52"/>
        <v>268.75164446461815</v>
      </c>
      <c r="Z59" s="294">
        <f t="shared" ca="1" si="52"/>
        <v>264.4705623106201</v>
      </c>
      <c r="AA59" s="294">
        <f t="shared" ca="1" si="52"/>
        <v>260.00219261949087</v>
      </c>
      <c r="AB59" s="294">
        <f t="shared" ca="1" si="52"/>
        <v>255.72111046549281</v>
      </c>
      <c r="AC59" s="294">
        <f t="shared" ca="1" si="52"/>
        <v>251.25274077436364</v>
      </c>
      <c r="AD59" s="294">
        <f t="shared" ca="1" si="52"/>
        <v>246.97165862036553</v>
      </c>
      <c r="AE59" s="294">
        <f t="shared" ca="1" si="52"/>
        <v>242.50328892923636</v>
      </c>
      <c r="AF59" s="294">
        <f t="shared" ca="1" si="52"/>
        <v>238.22220677523825</v>
      </c>
      <c r="AG59" s="294">
        <f t="shared" ca="1" si="52"/>
        <v>233.75383708410908</v>
      </c>
      <c r="AH59" s="158"/>
      <c r="AI59" s="155"/>
      <c r="AJ59" s="142"/>
      <c r="AK59" s="19"/>
      <c r="AL59" s="19"/>
      <c r="AM59" s="21"/>
      <c r="AN59" s="19"/>
    </row>
    <row r="60" spans="2:40">
      <c r="B60" s="185" t="s">
        <v>1061</v>
      </c>
      <c r="C60" s="294">
        <f>Thermodynamics!C21</f>
        <v>0</v>
      </c>
      <c r="D60" s="294">
        <f>Thermodynamics!D21</f>
        <v>0</v>
      </c>
      <c r="E60" s="294">
        <f>Thermodynamics!E21</f>
        <v>0</v>
      </c>
      <c r="F60" s="294">
        <f>Thermodynamics!F21</f>
        <v>0</v>
      </c>
      <c r="G60" s="294">
        <f>Thermodynamics!G21</f>
        <v>0</v>
      </c>
      <c r="H60" s="294">
        <f>Thermodynamics!H21</f>
        <v>0</v>
      </c>
      <c r="I60" s="294">
        <f>Thermodynamics!I21</f>
        <v>0</v>
      </c>
      <c r="J60" s="294">
        <f>Thermodynamics!J21</f>
        <v>0</v>
      </c>
      <c r="K60" s="294">
        <f ca="1">Thermodynamics!K21</f>
        <v>53.336134210292713</v>
      </c>
      <c r="L60" s="294">
        <f ca="1">Thermodynamics!L21</f>
        <v>78.426421415308084</v>
      </c>
      <c r="M60" s="294">
        <f ca="1">Thermodynamics!M21</f>
        <v>82.843147217732039</v>
      </c>
      <c r="N60" s="294">
        <f ca="1">Thermodynamics!N21</f>
        <v>104.91760921848565</v>
      </c>
      <c r="O60" s="294">
        <f ca="1">Thermodynamics!O21</f>
        <v>99.135847573079658</v>
      </c>
      <c r="P60" s="294">
        <f ca="1">Thermodynamics!P21</f>
        <v>104.91760921848565</v>
      </c>
      <c r="Q60" s="294">
        <f ca="1">Thermodynamics!Q21</f>
        <v>99.135847573079644</v>
      </c>
      <c r="R60" s="294">
        <f ca="1">Thermodynamics!R21</f>
        <v>104.91760921848565</v>
      </c>
      <c r="S60" s="294">
        <f ca="1">Thermodynamics!S21</f>
        <v>99.135847573079658</v>
      </c>
      <c r="T60" s="294">
        <f ca="1">Thermodynamics!T21</f>
        <v>105.10226587407249</v>
      </c>
      <c r="U60" s="294">
        <f ca="1">Thermodynamics!U21</f>
        <v>99.477467996320655</v>
      </c>
      <c r="V60" s="294">
        <f ca="1">Thermodynamics!V21</f>
        <v>105.43344391633376</v>
      </c>
      <c r="W60" s="294">
        <f ca="1">Thermodynamics!W21</f>
        <v>99.7604475329872</v>
      </c>
      <c r="X60" s="294">
        <f ca="1">Thermodynamics!X21</f>
        <v>105.66787932229256</v>
      </c>
      <c r="Y60" s="294">
        <f ca="1">Thermodynamics!Y21</f>
        <v>99.87069321173071</v>
      </c>
      <c r="Z60" s="294">
        <f ca="1">Thermodynamics!Z21</f>
        <v>105.70822830155485</v>
      </c>
      <c r="AA60" s="294">
        <f ca="1">Thermodynamics!AA21</f>
        <v>99.885356192409688</v>
      </c>
      <c r="AB60" s="294">
        <f ca="1">Thermodynamics!AB21</f>
        <v>91.546318282176415</v>
      </c>
      <c r="AC60" s="294">
        <f ca="1">Thermodynamics!AC21</f>
        <v>86.498864330376449</v>
      </c>
      <c r="AD60" s="294">
        <f ca="1">Thermodynamics!AD21</f>
        <v>91.518454760658614</v>
      </c>
      <c r="AE60" s="294">
        <f ca="1">Thermodynamics!AE21</f>
        <v>86.441059580063182</v>
      </c>
      <c r="AF60" s="294">
        <f ca="1">Thermodynamics!AF21</f>
        <v>69.404449868005614</v>
      </c>
      <c r="AG60" s="294">
        <f ca="1">Thermodynamics!AG21</f>
        <v>65.574524301948259</v>
      </c>
      <c r="AH60" s="310">
        <f ca="1">MAX(C60:AG60)</f>
        <v>105.70822830155485</v>
      </c>
      <c r="AI60" s="309" t="s">
        <v>1062</v>
      </c>
      <c r="AJ60" s="226"/>
      <c r="AK60" s="19"/>
      <c r="AL60" s="19"/>
      <c r="AM60" s="21"/>
      <c r="AN60" s="19"/>
    </row>
    <row r="61" spans="2:40">
      <c r="B61" s="55" t="s">
        <v>1793</v>
      </c>
      <c r="C61" s="294">
        <f>Thermodynamics!C20</f>
        <v>0</v>
      </c>
      <c r="D61" s="294">
        <f>Thermodynamics!D20</f>
        <v>0</v>
      </c>
      <c r="E61" s="294">
        <f>Thermodynamics!E20</f>
        <v>0</v>
      </c>
      <c r="F61" s="294">
        <f>Thermodynamics!F20</f>
        <v>0</v>
      </c>
      <c r="G61" s="294">
        <f>Thermodynamics!G20</f>
        <v>0</v>
      </c>
      <c r="H61" s="294">
        <f>Thermodynamics!H20</f>
        <v>0</v>
      </c>
      <c r="I61" s="294">
        <f>Thermodynamics!I20</f>
        <v>0</v>
      </c>
      <c r="J61" s="294">
        <f>Thermodynamics!J20</f>
        <v>0</v>
      </c>
      <c r="K61" s="294">
        <f ca="1">Thermodynamics!K20</f>
        <v>13.334033552573178</v>
      </c>
      <c r="L61" s="294">
        <f ca="1">Thermodynamics!L20</f>
        <v>13.071070235884681</v>
      </c>
      <c r="M61" s="294">
        <f ca="1">Thermodynamics!M20</f>
        <v>11.834735316818863</v>
      </c>
      <c r="N61" s="294">
        <f ca="1">Thermodynamics!N20</f>
        <v>11.657512135387295</v>
      </c>
      <c r="O61" s="294">
        <f ca="1">Thermodynamics!O20</f>
        <v>11.015094174786629</v>
      </c>
      <c r="P61" s="294">
        <f ca="1">Thermodynamics!P20</f>
        <v>11.657512135387295</v>
      </c>
      <c r="Q61" s="294">
        <f ca="1">Thermodynamics!Q20</f>
        <v>11.015094174786627</v>
      </c>
      <c r="R61" s="294">
        <f ca="1">Thermodynamics!R20</f>
        <v>11.657512135387295</v>
      </c>
      <c r="S61" s="294">
        <f ca="1">Thermodynamics!S20</f>
        <v>11.015094174786629</v>
      </c>
      <c r="T61" s="294">
        <f ca="1">Thermodynamics!T20</f>
        <v>11.67802954156361</v>
      </c>
      <c r="U61" s="294">
        <f ca="1">Thermodynamics!U20</f>
        <v>11.053051999591183</v>
      </c>
      <c r="V61" s="294">
        <f ca="1">Thermodynamics!V20</f>
        <v>11.714827101814862</v>
      </c>
      <c r="W61" s="294">
        <f ca="1">Thermodynamics!W20</f>
        <v>11.084494170331912</v>
      </c>
      <c r="X61" s="294">
        <f ca="1">Thermodynamics!X20</f>
        <v>11.740875480254729</v>
      </c>
      <c r="Y61" s="294">
        <f ca="1">Thermodynamics!Y20</f>
        <v>11.096743690192302</v>
      </c>
      <c r="Z61" s="294">
        <f ca="1">Thermodynamics!Z20</f>
        <v>11.745358700172762</v>
      </c>
      <c r="AA61" s="294">
        <f ca="1">Thermodynamics!AA20</f>
        <v>11.098372910267743</v>
      </c>
      <c r="AB61" s="294">
        <f ca="1">Thermodynamics!AB20</f>
        <v>10.171813142464046</v>
      </c>
      <c r="AC61" s="294">
        <f ca="1">Thermodynamics!AC20</f>
        <v>9.6109849255973838</v>
      </c>
      <c r="AD61" s="294">
        <f ca="1">Thermodynamics!AD20</f>
        <v>10.168717195628735</v>
      </c>
      <c r="AE61" s="294">
        <f ca="1">Thermodynamics!AE20</f>
        <v>9.6045621755625756</v>
      </c>
      <c r="AF61" s="294">
        <f ca="1">Thermodynamics!AF20</f>
        <v>7.7116055408895132</v>
      </c>
      <c r="AG61" s="294">
        <f ca="1">Thermodynamics!AG20</f>
        <v>7.2860582557720281</v>
      </c>
      <c r="AH61" s="1137">
        <f ca="1">AVERAGEIF(C61:AG61,"&lt;&gt;0")</f>
        <v>10.957528385473996</v>
      </c>
      <c r="AI61" s="309" t="s">
        <v>1794</v>
      </c>
      <c r="AJ61" s="226"/>
      <c r="AK61" s="19"/>
      <c r="AL61" s="19"/>
      <c r="AM61" s="21"/>
      <c r="AN61" s="19"/>
    </row>
    <row r="62" spans="2:40">
      <c r="B62" s="185" t="s">
        <v>200</v>
      </c>
      <c r="C62" s="85">
        <f t="shared" ref="C62:J62" si="53">C60*C31</f>
        <v>0</v>
      </c>
      <c r="D62" s="85">
        <f t="shared" si="53"/>
        <v>0</v>
      </c>
      <c r="E62" s="85">
        <f t="shared" si="53"/>
        <v>0</v>
      </c>
      <c r="F62" s="85">
        <f t="shared" si="53"/>
        <v>0</v>
      </c>
      <c r="G62" s="85">
        <f t="shared" si="53"/>
        <v>0</v>
      </c>
      <c r="H62" s="85">
        <f t="shared" si="53"/>
        <v>0</v>
      </c>
      <c r="I62" s="85">
        <f t="shared" si="53"/>
        <v>0</v>
      </c>
      <c r="J62" s="85">
        <f t="shared" si="53"/>
        <v>0</v>
      </c>
      <c r="K62" s="85">
        <f t="shared" ref="K62:AG62" ca="1" si="54">K60*K31</f>
        <v>443863.30889805593</v>
      </c>
      <c r="L62" s="85">
        <f t="shared" ca="1" si="54"/>
        <v>652664.67901819386</v>
      </c>
      <c r="M62" s="85">
        <f t="shared" ca="1" si="54"/>
        <v>689420.67114596604</v>
      </c>
      <c r="N62" s="85">
        <f t="shared" ca="1" si="54"/>
        <v>873124.34391623759</v>
      </c>
      <c r="O62" s="85">
        <f t="shared" ca="1" si="54"/>
        <v>753630.71325055161</v>
      </c>
      <c r="P62" s="85">
        <f t="shared" ca="1" si="54"/>
        <v>722042.98664161831</v>
      </c>
      <c r="Q62" s="85">
        <f t="shared" ca="1" si="54"/>
        <v>753630.71325055149</v>
      </c>
      <c r="R62" s="85">
        <f t="shared" ca="1" si="54"/>
        <v>722042.98664161831</v>
      </c>
      <c r="S62" s="85">
        <f t="shared" ca="1" si="54"/>
        <v>753630.71325055161</v>
      </c>
      <c r="T62" s="85">
        <f t="shared" ca="1" si="54"/>
        <v>723313.79374536686</v>
      </c>
      <c r="U62" s="85">
        <f t="shared" ca="1" si="54"/>
        <v>756227.71170802962</v>
      </c>
      <c r="V62" s="85">
        <f t="shared" ca="1" si="54"/>
        <v>725592.96103220887</v>
      </c>
      <c r="W62" s="85">
        <f t="shared" ca="1" si="54"/>
        <v>758378.92214576865</v>
      </c>
      <c r="X62" s="85">
        <f t="shared" ca="1" si="54"/>
        <v>727206.34549601737</v>
      </c>
      <c r="Y62" s="85">
        <f t="shared" ca="1" si="54"/>
        <v>759217.00979557692</v>
      </c>
      <c r="Z62" s="85">
        <f t="shared" ca="1" si="54"/>
        <v>727484.02717130049</v>
      </c>
      <c r="AA62" s="85">
        <f t="shared" ca="1" si="54"/>
        <v>759328.4777746984</v>
      </c>
      <c r="AB62" s="85">
        <f t="shared" ca="1" si="54"/>
        <v>630021.76241793809</v>
      </c>
      <c r="AC62" s="85">
        <f t="shared" ca="1" si="54"/>
        <v>657564.36663952179</v>
      </c>
      <c r="AD62" s="85">
        <f t="shared" ca="1" si="54"/>
        <v>629830.00566285255</v>
      </c>
      <c r="AE62" s="85">
        <f t="shared" ca="1" si="54"/>
        <v>657124.93492764037</v>
      </c>
      <c r="AF62" s="85">
        <f t="shared" ca="1" si="54"/>
        <v>477641.42399161466</v>
      </c>
      <c r="AG62" s="85">
        <f t="shared" ca="1" si="54"/>
        <v>498497.53374341066</v>
      </c>
      <c r="AH62" s="223">
        <f ca="1">SUM(C62:AG62)</f>
        <v>15851480.39226529</v>
      </c>
      <c r="AI62" s="309" t="s">
        <v>479</v>
      </c>
      <c r="AJ62" s="133"/>
      <c r="AK62" s="21">
        <v>73795076.204527006</v>
      </c>
      <c r="AL62" s="21"/>
      <c r="AM62" s="19"/>
      <c r="AN62" s="19"/>
    </row>
    <row r="63" spans="2:40">
      <c r="B63" s="55" t="s">
        <v>534</v>
      </c>
      <c r="C63" s="85">
        <f t="shared" ref="C63:AG63" si="55">C62/1000</f>
        <v>0</v>
      </c>
      <c r="D63" s="85">
        <f t="shared" si="55"/>
        <v>0</v>
      </c>
      <c r="E63" s="85">
        <f t="shared" si="55"/>
        <v>0</v>
      </c>
      <c r="F63" s="85">
        <f t="shared" si="55"/>
        <v>0</v>
      </c>
      <c r="G63" s="85">
        <f t="shared" si="55"/>
        <v>0</v>
      </c>
      <c r="H63" s="85">
        <f t="shared" si="55"/>
        <v>0</v>
      </c>
      <c r="I63" s="85">
        <f t="shared" si="55"/>
        <v>0</v>
      </c>
      <c r="J63" s="85">
        <f t="shared" si="55"/>
        <v>0</v>
      </c>
      <c r="K63" s="85">
        <f t="shared" ca="1" si="55"/>
        <v>443.86330889805595</v>
      </c>
      <c r="L63" s="85">
        <f t="shared" ca="1" si="55"/>
        <v>652.66467901819385</v>
      </c>
      <c r="M63" s="85">
        <f t="shared" ca="1" si="55"/>
        <v>689.42067114596603</v>
      </c>
      <c r="N63" s="85">
        <f t="shared" ca="1" si="55"/>
        <v>873.12434391623754</v>
      </c>
      <c r="O63" s="85">
        <f t="shared" ca="1" si="55"/>
        <v>753.63071325055159</v>
      </c>
      <c r="P63" s="85">
        <f t="shared" ca="1" si="55"/>
        <v>722.04298664161831</v>
      </c>
      <c r="Q63" s="85">
        <f t="shared" ca="1" si="55"/>
        <v>753.63071325055148</v>
      </c>
      <c r="R63" s="85">
        <f t="shared" ca="1" si="55"/>
        <v>722.04298664161831</v>
      </c>
      <c r="S63" s="85">
        <f t="shared" ca="1" si="55"/>
        <v>753.63071325055159</v>
      </c>
      <c r="T63" s="85">
        <f t="shared" ca="1" si="55"/>
        <v>723.31379374536687</v>
      </c>
      <c r="U63" s="85">
        <f t="shared" ca="1" si="55"/>
        <v>756.22771170802957</v>
      </c>
      <c r="V63" s="85">
        <f t="shared" ca="1" si="55"/>
        <v>725.5929610322089</v>
      </c>
      <c r="W63" s="85">
        <f t="shared" ca="1" si="55"/>
        <v>758.37892214576868</v>
      </c>
      <c r="X63" s="85">
        <f t="shared" ca="1" si="55"/>
        <v>727.20634549601732</v>
      </c>
      <c r="Y63" s="85">
        <f t="shared" ca="1" si="55"/>
        <v>759.21700979557693</v>
      </c>
      <c r="Z63" s="85">
        <f t="shared" ca="1" si="55"/>
        <v>727.48402717130045</v>
      </c>
      <c r="AA63" s="85">
        <f t="shared" ca="1" si="55"/>
        <v>759.3284777746984</v>
      </c>
      <c r="AB63" s="85">
        <f t="shared" ca="1" si="55"/>
        <v>630.02176241793813</v>
      </c>
      <c r="AC63" s="85">
        <f t="shared" ca="1" si="55"/>
        <v>657.56436663952184</v>
      </c>
      <c r="AD63" s="85">
        <f t="shared" ca="1" si="55"/>
        <v>629.8300056628525</v>
      </c>
      <c r="AE63" s="85">
        <f t="shared" ca="1" si="55"/>
        <v>657.12493492764031</v>
      </c>
      <c r="AF63" s="85">
        <f t="shared" ca="1" si="55"/>
        <v>477.64142399161466</v>
      </c>
      <c r="AG63" s="85">
        <f t="shared" ca="1" si="55"/>
        <v>498.49753374341066</v>
      </c>
      <c r="AH63" s="223">
        <f ca="1">SUM(C63:AG63)</f>
        <v>15851.480392265286</v>
      </c>
      <c r="AI63" s="309" t="s">
        <v>533</v>
      </c>
      <c r="AJ63" s="142"/>
      <c r="AK63" s="21">
        <v>73795.07620452698</v>
      </c>
      <c r="AL63" s="21"/>
      <c r="AM63" s="19"/>
      <c r="AN63" s="19"/>
    </row>
    <row r="64" spans="2:40">
      <c r="B64" s="55" t="s">
        <v>1355</v>
      </c>
      <c r="C64" s="85">
        <f>C62</f>
        <v>0</v>
      </c>
      <c r="D64" s="85">
        <f t="shared" ref="D64:AG64" si="56">C64+D62</f>
        <v>0</v>
      </c>
      <c r="E64" s="85">
        <f t="shared" si="56"/>
        <v>0</v>
      </c>
      <c r="F64" s="85">
        <f t="shared" si="56"/>
        <v>0</v>
      </c>
      <c r="G64" s="85">
        <f t="shared" si="56"/>
        <v>0</v>
      </c>
      <c r="H64" s="85">
        <f t="shared" si="56"/>
        <v>0</v>
      </c>
      <c r="I64" s="85">
        <f t="shared" si="56"/>
        <v>0</v>
      </c>
      <c r="J64" s="85">
        <f t="shared" si="56"/>
        <v>0</v>
      </c>
      <c r="K64" s="85">
        <f t="shared" ca="1" si="56"/>
        <v>443863.30889805593</v>
      </c>
      <c r="L64" s="85">
        <f t="shared" ca="1" si="56"/>
        <v>1096527.9879162498</v>
      </c>
      <c r="M64" s="85">
        <f t="shared" ca="1" si="56"/>
        <v>1785948.6590622158</v>
      </c>
      <c r="N64" s="85">
        <f t="shared" ca="1" si="56"/>
        <v>2659073.0029784534</v>
      </c>
      <c r="O64" s="85">
        <f t="shared" ca="1" si="56"/>
        <v>3412703.7162290048</v>
      </c>
      <c r="P64" s="85">
        <f t="shared" ca="1" si="56"/>
        <v>4134746.7028706232</v>
      </c>
      <c r="Q64" s="85">
        <f t="shared" ca="1" si="56"/>
        <v>4888377.4161211746</v>
      </c>
      <c r="R64" s="85">
        <f t="shared" ca="1" si="56"/>
        <v>5610420.402762793</v>
      </c>
      <c r="S64" s="85">
        <f t="shared" ca="1" si="56"/>
        <v>6364051.1160133444</v>
      </c>
      <c r="T64" s="85">
        <f t="shared" ca="1" si="56"/>
        <v>7087364.9097587112</v>
      </c>
      <c r="U64" s="85">
        <f t="shared" ca="1" si="56"/>
        <v>7843592.621466741</v>
      </c>
      <c r="V64" s="85">
        <f t="shared" ca="1" si="56"/>
        <v>8569185.582498949</v>
      </c>
      <c r="W64" s="85">
        <f t="shared" ca="1" si="56"/>
        <v>9327564.504644718</v>
      </c>
      <c r="X64" s="85">
        <f t="shared" ca="1" si="56"/>
        <v>10054770.850140736</v>
      </c>
      <c r="Y64" s="85">
        <f t="shared" ca="1" si="56"/>
        <v>10813987.859936312</v>
      </c>
      <c r="Z64" s="85">
        <f t="shared" ca="1" si="56"/>
        <v>11541471.887107613</v>
      </c>
      <c r="AA64" s="85">
        <f t="shared" ca="1" si="56"/>
        <v>12300800.364882311</v>
      </c>
      <c r="AB64" s="85">
        <f t="shared" ca="1" si="56"/>
        <v>12930822.127300249</v>
      </c>
      <c r="AC64" s="85">
        <f t="shared" ca="1" si="56"/>
        <v>13588386.49393977</v>
      </c>
      <c r="AD64" s="85">
        <f t="shared" ca="1" si="56"/>
        <v>14218216.499602623</v>
      </c>
      <c r="AE64" s="85">
        <f t="shared" ca="1" si="56"/>
        <v>14875341.434530264</v>
      </c>
      <c r="AF64" s="85">
        <f t="shared" ca="1" si="56"/>
        <v>15352982.858521879</v>
      </c>
      <c r="AG64" s="85">
        <f t="shared" ca="1" si="56"/>
        <v>15851480.39226529</v>
      </c>
      <c r="AH64" s="223">
        <f ca="1">AG64</f>
        <v>15851480.39226529</v>
      </c>
      <c r="AI64" s="309" t="s">
        <v>479</v>
      </c>
      <c r="AJ64" s="142"/>
      <c r="AK64" s="21"/>
      <c r="AL64" s="21"/>
      <c r="AM64" s="19"/>
      <c r="AN64" s="19"/>
    </row>
    <row r="65" spans="2:40">
      <c r="B65" s="55" t="s">
        <v>531</v>
      </c>
      <c r="C65" s="85">
        <f>C64/1000</f>
        <v>0</v>
      </c>
      <c r="D65" s="85">
        <f t="shared" ref="D65:J65" si="57">D64/1000</f>
        <v>0</v>
      </c>
      <c r="E65" s="85">
        <f t="shared" si="57"/>
        <v>0</v>
      </c>
      <c r="F65" s="85">
        <f t="shared" si="57"/>
        <v>0</v>
      </c>
      <c r="G65" s="85">
        <f t="shared" si="57"/>
        <v>0</v>
      </c>
      <c r="H65" s="85">
        <f t="shared" si="57"/>
        <v>0</v>
      </c>
      <c r="I65" s="85">
        <f t="shared" si="57"/>
        <v>0</v>
      </c>
      <c r="J65" s="85">
        <f t="shared" si="57"/>
        <v>0</v>
      </c>
      <c r="K65" s="85">
        <f t="shared" ref="K65:AG65" ca="1" si="58">K64/1000</f>
        <v>443.86330889805595</v>
      </c>
      <c r="L65" s="85">
        <f t="shared" ca="1" si="58"/>
        <v>1096.5279879162497</v>
      </c>
      <c r="M65" s="85">
        <f t="shared" ca="1" si="58"/>
        <v>1785.9486590622159</v>
      </c>
      <c r="N65" s="85">
        <f t="shared" ca="1" si="58"/>
        <v>2659.0730029784536</v>
      </c>
      <c r="O65" s="85">
        <f t="shared" ca="1" si="58"/>
        <v>3412.7037162290048</v>
      </c>
      <c r="P65" s="85">
        <f t="shared" ca="1" si="58"/>
        <v>4134.7467028706233</v>
      </c>
      <c r="Q65" s="85">
        <f t="shared" ca="1" si="58"/>
        <v>4888.377416121175</v>
      </c>
      <c r="R65" s="85">
        <f t="shared" ca="1" si="58"/>
        <v>5610.4204027627929</v>
      </c>
      <c r="S65" s="85">
        <f t="shared" ca="1" si="58"/>
        <v>6364.0511160133447</v>
      </c>
      <c r="T65" s="85">
        <f t="shared" ca="1" si="58"/>
        <v>7087.3649097587113</v>
      </c>
      <c r="U65" s="85">
        <f t="shared" ca="1" si="58"/>
        <v>7843.5926214667406</v>
      </c>
      <c r="V65" s="85">
        <f t="shared" ca="1" si="58"/>
        <v>8569.1855824989489</v>
      </c>
      <c r="W65" s="85">
        <f t="shared" ca="1" si="58"/>
        <v>9327.5645046447189</v>
      </c>
      <c r="X65" s="85">
        <f t="shared" ca="1" si="58"/>
        <v>10054.770850140736</v>
      </c>
      <c r="Y65" s="85">
        <f t="shared" ca="1" si="58"/>
        <v>10813.987859936311</v>
      </c>
      <c r="Z65" s="85">
        <f t="shared" ca="1" si="58"/>
        <v>11541.471887107613</v>
      </c>
      <c r="AA65" s="85">
        <f t="shared" ca="1" si="58"/>
        <v>12300.800364882311</v>
      </c>
      <c r="AB65" s="85">
        <f t="shared" ca="1" si="58"/>
        <v>12930.822127300249</v>
      </c>
      <c r="AC65" s="85">
        <f t="shared" ca="1" si="58"/>
        <v>13588.38649393977</v>
      </c>
      <c r="AD65" s="85">
        <f t="shared" ca="1" si="58"/>
        <v>14218.216499602624</v>
      </c>
      <c r="AE65" s="85">
        <f t="shared" ca="1" si="58"/>
        <v>14875.341434530264</v>
      </c>
      <c r="AF65" s="85">
        <f t="shared" ca="1" si="58"/>
        <v>15352.982858521878</v>
      </c>
      <c r="AG65" s="85">
        <f t="shared" ca="1" si="58"/>
        <v>15851.48039226529</v>
      </c>
      <c r="AH65" s="223">
        <f ca="1">AG65</f>
        <v>15851.48039226529</v>
      </c>
      <c r="AI65" s="311" t="s">
        <v>533</v>
      </c>
      <c r="AJ65" s="142"/>
      <c r="AK65" s="21">
        <v>73795.07620452698</v>
      </c>
      <c r="AL65" s="21"/>
      <c r="AM65" s="19"/>
      <c r="AN65" s="19"/>
    </row>
    <row r="66" spans="2:40">
      <c r="B66" s="185" t="s">
        <v>626</v>
      </c>
      <c r="C66" s="85">
        <f>C67</f>
        <v>0</v>
      </c>
      <c r="D66" s="85">
        <f t="shared" ref="D66:K66" si="59">D67</f>
        <v>0</v>
      </c>
      <c r="E66" s="85">
        <f t="shared" si="59"/>
        <v>0</v>
      </c>
      <c r="F66" s="85">
        <f t="shared" si="59"/>
        <v>0</v>
      </c>
      <c r="G66" s="85">
        <f t="shared" si="59"/>
        <v>0</v>
      </c>
      <c r="H66" s="85">
        <f t="shared" si="59"/>
        <v>0</v>
      </c>
      <c r="I66" s="85">
        <f t="shared" si="59"/>
        <v>0</v>
      </c>
      <c r="J66" s="85">
        <f t="shared" si="59"/>
        <v>0</v>
      </c>
      <c r="K66" s="85">
        <f t="shared" si="59"/>
        <v>-33288</v>
      </c>
      <c r="L66" s="85">
        <f t="shared" ref="L66:AG66" ca="1" si="60">L67</f>
        <v>-49932</v>
      </c>
      <c r="M66" s="85">
        <f t="shared" ca="1" si="60"/>
        <v>-58254</v>
      </c>
      <c r="N66" s="85">
        <f t="shared" ca="1" si="60"/>
        <v>-74898</v>
      </c>
      <c r="O66" s="85">
        <f t="shared" ca="1" si="60"/>
        <v>-68418</v>
      </c>
      <c r="P66" s="85">
        <f t="shared" ca="1" si="60"/>
        <v>-61938</v>
      </c>
      <c r="Q66" s="85">
        <f t="shared" ca="1" si="60"/>
        <v>-68418</v>
      </c>
      <c r="R66" s="85">
        <f t="shared" ca="1" si="60"/>
        <v>-61938</v>
      </c>
      <c r="S66" s="85">
        <f t="shared" ca="1" si="60"/>
        <v>-68418</v>
      </c>
      <c r="T66" s="85">
        <f t="shared" ca="1" si="60"/>
        <v>-61938</v>
      </c>
      <c r="U66" s="85">
        <f t="shared" ca="1" si="60"/>
        <v>-68418</v>
      </c>
      <c r="V66" s="85">
        <f t="shared" ca="1" si="60"/>
        <v>-61938</v>
      </c>
      <c r="W66" s="85">
        <f t="shared" ca="1" si="60"/>
        <v>-68418</v>
      </c>
      <c r="X66" s="85">
        <f t="shared" ca="1" si="60"/>
        <v>-61938</v>
      </c>
      <c r="Y66" s="85">
        <f t="shared" ca="1" si="60"/>
        <v>-68418</v>
      </c>
      <c r="Z66" s="85">
        <f t="shared" ca="1" si="60"/>
        <v>-61938</v>
      </c>
      <c r="AA66" s="85">
        <f t="shared" ca="1" si="60"/>
        <v>-68418</v>
      </c>
      <c r="AB66" s="85">
        <f t="shared" ca="1" si="60"/>
        <v>-61938</v>
      </c>
      <c r="AC66" s="85">
        <f t="shared" ca="1" si="60"/>
        <v>-68418</v>
      </c>
      <c r="AD66" s="85">
        <f t="shared" ca="1" si="60"/>
        <v>-61938</v>
      </c>
      <c r="AE66" s="85">
        <f t="shared" ca="1" si="60"/>
        <v>-68418</v>
      </c>
      <c r="AF66" s="85">
        <f t="shared" ca="1" si="60"/>
        <v>-61938</v>
      </c>
      <c r="AG66" s="85">
        <f t="shared" ca="1" si="60"/>
        <v>-68418</v>
      </c>
      <c r="AH66" s="223">
        <f ca="1">SUM(C66:AG66)</f>
        <v>-1457994</v>
      </c>
      <c r="AI66" s="309" t="s">
        <v>480</v>
      </c>
      <c r="AJ66" s="142"/>
      <c r="AK66" s="21">
        <v>-455683.61924315989</v>
      </c>
      <c r="AL66" s="21"/>
      <c r="AM66" s="19"/>
      <c r="AN66" s="19"/>
    </row>
    <row r="67" spans="2:40">
      <c r="B67" s="55" t="s">
        <v>627</v>
      </c>
      <c r="C67" s="294">
        <f>IF(C111="C/I",0,IF(C111="Producing",-'Well Opex'!C49*$Q$10*C31/1000,0))</f>
        <v>0</v>
      </c>
      <c r="D67" s="294">
        <f>IF(D111="C/I",0,IF(D111="Producing",-'Well Opex'!D49*$Q$10*D31/1000,0))</f>
        <v>0</v>
      </c>
      <c r="E67" s="294">
        <f>IF(E111="C/I",0,IF(E111="Producing",-'Well Opex'!E49*$Q$10*E31/1000,0))</f>
        <v>0</v>
      </c>
      <c r="F67" s="294">
        <f>IF(F111="C/I",0,IF(F111="Producing",-'Well Opex'!F49*$Q$10*F31/1000,0))</f>
        <v>0</v>
      </c>
      <c r="G67" s="294">
        <f>IF(G111="C/I",0,IF(G111="Producing",-'Well Opex'!G49*$Q$10*G31/1000,0))</f>
        <v>0</v>
      </c>
      <c r="H67" s="294">
        <f>IF(H111="C/I",0,IF(H111="Producing",-'Well Opex'!H49*$Q$10*H31/1000,0))</f>
        <v>0</v>
      </c>
      <c r="I67" s="294">
        <f>IF(I111="C/I",0,IF(I111="Producing",-'Well Opex'!I49*$Q$10*I31/1000,0))</f>
        <v>0</v>
      </c>
      <c r="J67" s="294">
        <f>IF(J111="C/I",0,IF(J111="Producing",-'Well Opex'!J49*$Q$10*J31/1000,0))</f>
        <v>0</v>
      </c>
      <c r="K67" s="294">
        <f>IF(K111="C/I",0,IF(K111="Producing",-'Well Opex'!K49*$Q$10*K31/1000,0))</f>
        <v>-33288</v>
      </c>
      <c r="L67" s="294">
        <f ca="1">IF(L111="C/I",0,IF(L111="Producing",-'Well Opex'!L49*$Q$10*L31/1000,0))</f>
        <v>-49932</v>
      </c>
      <c r="M67" s="294">
        <f ca="1">IF(M111="C/I",0,IF(M111="Producing",-'Well Opex'!M49*$Q$10*M31/1000,0))</f>
        <v>-58254</v>
      </c>
      <c r="N67" s="294">
        <f ca="1">IF(N111="C/I",0,IF(N111="Producing",-'Well Opex'!N49*$Q$10*N31/1000,0))</f>
        <v>-74898</v>
      </c>
      <c r="O67" s="294">
        <f ca="1">IF(O111="C/I",0,IF(O111="Producing",-'Well Opex'!O49*$Q$10*O31/1000,0))</f>
        <v>-68418</v>
      </c>
      <c r="P67" s="294">
        <f ca="1">IF(P111="C/I",0,IF(P111="Producing",-'Well Opex'!P49*$Q$10*P31/1000,0))</f>
        <v>-61938</v>
      </c>
      <c r="Q67" s="294">
        <f ca="1">IF(Q111="C/I",0,IF(Q111="Producing",-'Well Opex'!Q49*$Q$10*Q31/1000,0))</f>
        <v>-68418</v>
      </c>
      <c r="R67" s="294">
        <f ca="1">IF(R111="C/I",0,IF(R111="Producing",-'Well Opex'!R49*$Q$10*R31/1000,0))</f>
        <v>-61938</v>
      </c>
      <c r="S67" s="294">
        <f ca="1">IF(S111="C/I",0,IF(S111="Producing",-'Well Opex'!S49*$Q$10*S31/1000,0))</f>
        <v>-68418</v>
      </c>
      <c r="T67" s="294">
        <f ca="1">IF(T111="C/I",0,IF(T111="Producing",-'Well Opex'!T49*$Q$10*T31/1000,0))</f>
        <v>-61938</v>
      </c>
      <c r="U67" s="294">
        <f ca="1">IF(U111="C/I",0,IF(U111="Producing",-'Well Opex'!U49*$Q$10*U31/1000,0))</f>
        <v>-68418</v>
      </c>
      <c r="V67" s="294">
        <f ca="1">IF(V111="C/I",0,IF(V111="Producing",-'Well Opex'!V49*$Q$10*V31/1000,0))</f>
        <v>-61938</v>
      </c>
      <c r="W67" s="294">
        <f ca="1">IF(W111="C/I",0,IF(W111="Producing",-'Well Opex'!W49*$Q$10*W31/1000,0))</f>
        <v>-68418</v>
      </c>
      <c r="X67" s="294">
        <f ca="1">IF(X111="C/I",0,IF(X111="Producing",-'Well Opex'!X49*$Q$10*X31/1000,0))</f>
        <v>-61938</v>
      </c>
      <c r="Y67" s="294">
        <f ca="1">IF(Y111="C/I",0,IF(Y111="Producing",-'Well Opex'!Y49*$Q$10*Y31/1000,0))</f>
        <v>-68418</v>
      </c>
      <c r="Z67" s="294">
        <f ca="1">IF(Z111="C/I",0,IF(Z111="Producing",-'Well Opex'!Z49*$Q$10*Z31/1000,0))</f>
        <v>-61938</v>
      </c>
      <c r="AA67" s="294">
        <f ca="1">IF(AA111="C/I",0,IF(AA111="Producing",-'Well Opex'!AA49*$Q$10*AA31/1000,0))</f>
        <v>-68418</v>
      </c>
      <c r="AB67" s="294">
        <f ca="1">IF(AB111="C/I",0,IF(AB111="Producing",-'Well Opex'!AB49*$Q$10*AB31/1000,0))</f>
        <v>-61938</v>
      </c>
      <c r="AC67" s="294">
        <f ca="1">IF(AC111="C/I",0,IF(AC111="Producing",-'Well Opex'!AC49*$Q$10*AC31/1000,0))</f>
        <v>-68418</v>
      </c>
      <c r="AD67" s="294">
        <f ca="1">IF(AD111="C/I",0,IF(AD111="Producing",-'Well Opex'!AD49*$Q$10*AD31/1000,0))</f>
        <v>-61938</v>
      </c>
      <c r="AE67" s="294">
        <f ca="1">IF(AE111="C/I",0,IF(AE111="Producing",-'Well Opex'!AE49*$Q$10*AE31/1000,0))</f>
        <v>-68418</v>
      </c>
      <c r="AF67" s="294">
        <f ca="1">IF(AF111="C/I",0,IF(AF111="Producing",-'Well Opex'!AF49*$Q$10*AF31/1000,0))</f>
        <v>-61938</v>
      </c>
      <c r="AG67" s="294">
        <f ca="1">IF(AG111="C/I",0,IF(AG111="Producing",-'Well Opex'!AG49*$Q$10*AG31/1000,0))</f>
        <v>-68418</v>
      </c>
      <c r="AH67" s="223">
        <f ca="1">SUM(C67:AG67)</f>
        <v>-1457994</v>
      </c>
      <c r="AI67" s="309" t="s">
        <v>480</v>
      </c>
      <c r="AJ67" s="142"/>
      <c r="AK67" s="21">
        <v>-535974</v>
      </c>
      <c r="AL67" s="21"/>
      <c r="AM67" s="19"/>
      <c r="AN67" s="19"/>
    </row>
    <row r="68" spans="2:40">
      <c r="B68" s="55" t="s">
        <v>535</v>
      </c>
      <c r="C68" s="85">
        <f t="shared" ref="C68:K68" si="61">C66/1000</f>
        <v>0</v>
      </c>
      <c r="D68" s="85">
        <f t="shared" si="61"/>
        <v>0</v>
      </c>
      <c r="E68" s="85">
        <f t="shared" si="61"/>
        <v>0</v>
      </c>
      <c r="F68" s="85">
        <f t="shared" si="61"/>
        <v>0</v>
      </c>
      <c r="G68" s="85">
        <f t="shared" si="61"/>
        <v>0</v>
      </c>
      <c r="H68" s="85">
        <f t="shared" si="61"/>
        <v>0</v>
      </c>
      <c r="I68" s="85">
        <f t="shared" si="61"/>
        <v>0</v>
      </c>
      <c r="J68" s="85">
        <f t="shared" si="61"/>
        <v>0</v>
      </c>
      <c r="K68" s="85">
        <f t="shared" si="61"/>
        <v>-33.287999999999997</v>
      </c>
      <c r="L68" s="85">
        <f t="shared" ref="L68:AG68" ca="1" si="62">L66/1000</f>
        <v>-49.932000000000002</v>
      </c>
      <c r="M68" s="85">
        <f t="shared" ca="1" si="62"/>
        <v>-58.253999999999998</v>
      </c>
      <c r="N68" s="85">
        <f t="shared" ca="1" si="62"/>
        <v>-74.897999999999996</v>
      </c>
      <c r="O68" s="85">
        <f t="shared" ca="1" si="62"/>
        <v>-68.418000000000006</v>
      </c>
      <c r="P68" s="85">
        <f t="shared" ca="1" si="62"/>
        <v>-61.938000000000002</v>
      </c>
      <c r="Q68" s="85">
        <f t="shared" ca="1" si="62"/>
        <v>-68.418000000000006</v>
      </c>
      <c r="R68" s="85">
        <f t="shared" ca="1" si="62"/>
        <v>-61.938000000000002</v>
      </c>
      <c r="S68" s="85">
        <f t="shared" ca="1" si="62"/>
        <v>-68.418000000000006</v>
      </c>
      <c r="T68" s="85">
        <f t="shared" ca="1" si="62"/>
        <v>-61.938000000000002</v>
      </c>
      <c r="U68" s="85">
        <f t="shared" ca="1" si="62"/>
        <v>-68.418000000000006</v>
      </c>
      <c r="V68" s="85">
        <f t="shared" ca="1" si="62"/>
        <v>-61.938000000000002</v>
      </c>
      <c r="W68" s="85">
        <f t="shared" ca="1" si="62"/>
        <v>-68.418000000000006</v>
      </c>
      <c r="X68" s="85">
        <f t="shared" ca="1" si="62"/>
        <v>-61.938000000000002</v>
      </c>
      <c r="Y68" s="85">
        <f t="shared" ca="1" si="62"/>
        <v>-68.418000000000006</v>
      </c>
      <c r="Z68" s="85">
        <f t="shared" ca="1" si="62"/>
        <v>-61.938000000000002</v>
      </c>
      <c r="AA68" s="85">
        <f t="shared" ca="1" si="62"/>
        <v>-68.418000000000006</v>
      </c>
      <c r="AB68" s="85">
        <f t="shared" ca="1" si="62"/>
        <v>-61.938000000000002</v>
      </c>
      <c r="AC68" s="85">
        <f t="shared" ca="1" si="62"/>
        <v>-68.418000000000006</v>
      </c>
      <c r="AD68" s="85">
        <f t="shared" ca="1" si="62"/>
        <v>-61.938000000000002</v>
      </c>
      <c r="AE68" s="85">
        <f t="shared" ca="1" si="62"/>
        <v>-68.418000000000006</v>
      </c>
      <c r="AF68" s="85">
        <f t="shared" ca="1" si="62"/>
        <v>-61.938000000000002</v>
      </c>
      <c r="AG68" s="85">
        <f t="shared" ca="1" si="62"/>
        <v>-68.418000000000006</v>
      </c>
      <c r="AH68" s="223">
        <f ca="1">SUM(C68:AG68)</f>
        <v>-1457.9940000000006</v>
      </c>
      <c r="AI68" s="309" t="s">
        <v>536</v>
      </c>
      <c r="AJ68" s="142"/>
      <c r="AK68" s="21">
        <v>-455.68361924316014</v>
      </c>
      <c r="AL68" s="21"/>
      <c r="AM68" s="19"/>
      <c r="AN68" s="19"/>
    </row>
    <row r="69" spans="2:40">
      <c r="B69" s="55" t="s">
        <v>1656</v>
      </c>
      <c r="C69" s="85">
        <f t="shared" ref="C69:K69" si="63">-C68</f>
        <v>0</v>
      </c>
      <c r="D69" s="85">
        <f t="shared" si="63"/>
        <v>0</v>
      </c>
      <c r="E69" s="85">
        <f t="shared" si="63"/>
        <v>0</v>
      </c>
      <c r="F69" s="85">
        <f t="shared" si="63"/>
        <v>0</v>
      </c>
      <c r="G69" s="85">
        <f t="shared" si="63"/>
        <v>0</v>
      </c>
      <c r="H69" s="85">
        <f t="shared" si="63"/>
        <v>0</v>
      </c>
      <c r="I69" s="85">
        <f t="shared" si="63"/>
        <v>0</v>
      </c>
      <c r="J69" s="85">
        <f t="shared" si="63"/>
        <v>0</v>
      </c>
      <c r="K69" s="85">
        <f t="shared" si="63"/>
        <v>33.287999999999997</v>
      </c>
      <c r="L69" s="85">
        <f t="shared" ref="L69:AG69" ca="1" si="64">-L68</f>
        <v>49.932000000000002</v>
      </c>
      <c r="M69" s="85">
        <f t="shared" ca="1" si="64"/>
        <v>58.253999999999998</v>
      </c>
      <c r="N69" s="85">
        <f t="shared" ca="1" si="64"/>
        <v>74.897999999999996</v>
      </c>
      <c r="O69" s="85">
        <f t="shared" ca="1" si="64"/>
        <v>68.418000000000006</v>
      </c>
      <c r="P69" s="85">
        <f t="shared" ca="1" si="64"/>
        <v>61.938000000000002</v>
      </c>
      <c r="Q69" s="85">
        <f t="shared" ca="1" si="64"/>
        <v>68.418000000000006</v>
      </c>
      <c r="R69" s="85">
        <f t="shared" ca="1" si="64"/>
        <v>61.938000000000002</v>
      </c>
      <c r="S69" s="85">
        <f t="shared" ca="1" si="64"/>
        <v>68.418000000000006</v>
      </c>
      <c r="T69" s="85">
        <f t="shared" ca="1" si="64"/>
        <v>61.938000000000002</v>
      </c>
      <c r="U69" s="85">
        <f t="shared" ca="1" si="64"/>
        <v>68.418000000000006</v>
      </c>
      <c r="V69" s="85">
        <f t="shared" ca="1" si="64"/>
        <v>61.938000000000002</v>
      </c>
      <c r="W69" s="85">
        <f t="shared" ca="1" si="64"/>
        <v>68.418000000000006</v>
      </c>
      <c r="X69" s="85">
        <f t="shared" ca="1" si="64"/>
        <v>61.938000000000002</v>
      </c>
      <c r="Y69" s="85">
        <f t="shared" ca="1" si="64"/>
        <v>68.418000000000006</v>
      </c>
      <c r="Z69" s="85">
        <f t="shared" ca="1" si="64"/>
        <v>61.938000000000002</v>
      </c>
      <c r="AA69" s="85">
        <f t="shared" ca="1" si="64"/>
        <v>68.418000000000006</v>
      </c>
      <c r="AB69" s="85">
        <f t="shared" ca="1" si="64"/>
        <v>61.938000000000002</v>
      </c>
      <c r="AC69" s="85">
        <f t="shared" ca="1" si="64"/>
        <v>68.418000000000006</v>
      </c>
      <c r="AD69" s="85">
        <f t="shared" ca="1" si="64"/>
        <v>61.938000000000002</v>
      </c>
      <c r="AE69" s="85">
        <f t="shared" ca="1" si="64"/>
        <v>68.418000000000006</v>
      </c>
      <c r="AF69" s="85">
        <f t="shared" ca="1" si="64"/>
        <v>61.938000000000002</v>
      </c>
      <c r="AG69" s="85">
        <f t="shared" ca="1" si="64"/>
        <v>68.418000000000006</v>
      </c>
      <c r="AH69" s="223"/>
      <c r="AI69" s="309"/>
      <c r="AJ69" s="142"/>
      <c r="AK69" s="21"/>
      <c r="AL69" s="21"/>
      <c r="AM69" s="19"/>
      <c r="AN69" s="19"/>
    </row>
    <row r="70" spans="2:40">
      <c r="B70" s="185" t="s">
        <v>213</v>
      </c>
      <c r="C70" s="85">
        <f t="shared" ref="C70:AG70" si="65">C62+C66</f>
        <v>0</v>
      </c>
      <c r="D70" s="85">
        <f t="shared" si="65"/>
        <v>0</v>
      </c>
      <c r="E70" s="85">
        <f t="shared" si="65"/>
        <v>0</v>
      </c>
      <c r="F70" s="85">
        <f t="shared" si="65"/>
        <v>0</v>
      </c>
      <c r="G70" s="85">
        <f t="shared" si="65"/>
        <v>0</v>
      </c>
      <c r="H70" s="85">
        <f t="shared" si="65"/>
        <v>0</v>
      </c>
      <c r="I70" s="85">
        <f t="shared" si="65"/>
        <v>0</v>
      </c>
      <c r="J70" s="85">
        <f t="shared" si="65"/>
        <v>0</v>
      </c>
      <c r="K70" s="85">
        <f t="shared" ca="1" si="65"/>
        <v>410575.30889805593</v>
      </c>
      <c r="L70" s="85">
        <f t="shared" ca="1" si="65"/>
        <v>602732.67901819386</v>
      </c>
      <c r="M70" s="85">
        <f t="shared" ca="1" si="65"/>
        <v>631166.67114596604</v>
      </c>
      <c r="N70" s="85">
        <f t="shared" ca="1" si="65"/>
        <v>798226.34391623759</v>
      </c>
      <c r="O70" s="85">
        <f t="shared" ca="1" si="65"/>
        <v>685212.71325055161</v>
      </c>
      <c r="P70" s="85">
        <f t="shared" ca="1" si="65"/>
        <v>660104.98664161831</v>
      </c>
      <c r="Q70" s="85">
        <f t="shared" ca="1" si="65"/>
        <v>685212.71325055149</v>
      </c>
      <c r="R70" s="85">
        <f t="shared" ca="1" si="65"/>
        <v>660104.98664161831</v>
      </c>
      <c r="S70" s="85">
        <f t="shared" ca="1" si="65"/>
        <v>685212.71325055161</v>
      </c>
      <c r="T70" s="85">
        <f t="shared" ca="1" si="65"/>
        <v>661375.79374536686</v>
      </c>
      <c r="U70" s="85">
        <f t="shared" ca="1" si="65"/>
        <v>687809.71170802962</v>
      </c>
      <c r="V70" s="85">
        <f t="shared" ca="1" si="65"/>
        <v>663654.96103220887</v>
      </c>
      <c r="W70" s="85">
        <f t="shared" ca="1" si="65"/>
        <v>689960.92214576865</v>
      </c>
      <c r="X70" s="85">
        <f t="shared" ca="1" si="65"/>
        <v>665268.34549601737</v>
      </c>
      <c r="Y70" s="85">
        <f t="shared" ca="1" si="65"/>
        <v>690799.00979557692</v>
      </c>
      <c r="Z70" s="85">
        <f t="shared" ca="1" si="65"/>
        <v>665546.02717130049</v>
      </c>
      <c r="AA70" s="85">
        <f t="shared" ca="1" si="65"/>
        <v>690910.4777746984</v>
      </c>
      <c r="AB70" s="85">
        <f t="shared" ca="1" si="65"/>
        <v>568083.76241793809</v>
      </c>
      <c r="AC70" s="85">
        <f t="shared" ca="1" si="65"/>
        <v>589146.36663952179</v>
      </c>
      <c r="AD70" s="85">
        <f t="shared" ca="1" si="65"/>
        <v>567892.00566285255</v>
      </c>
      <c r="AE70" s="85">
        <f t="shared" ca="1" si="65"/>
        <v>588706.93492764037</v>
      </c>
      <c r="AF70" s="85">
        <f t="shared" ca="1" si="65"/>
        <v>415703.42399161466</v>
      </c>
      <c r="AG70" s="85">
        <f t="shared" ca="1" si="65"/>
        <v>430079.53374341066</v>
      </c>
      <c r="AH70" s="223">
        <f ca="1">SUM(C70:AG70)</f>
        <v>14393486.39226529</v>
      </c>
      <c r="AI70" s="311" t="s">
        <v>483</v>
      </c>
      <c r="AJ70" s="156"/>
      <c r="AK70" s="21">
        <v>73795076.204527006</v>
      </c>
      <c r="AL70" s="21"/>
      <c r="AM70" s="19"/>
      <c r="AN70" s="19"/>
    </row>
    <row r="71" spans="2:40">
      <c r="B71" s="185" t="s">
        <v>526</v>
      </c>
      <c r="C71" s="85">
        <f>C70/1000</f>
        <v>0</v>
      </c>
      <c r="D71" s="85">
        <f t="shared" ref="D71:J71" si="66">C71+D70/1000</f>
        <v>0</v>
      </c>
      <c r="E71" s="85">
        <f t="shared" si="66"/>
        <v>0</v>
      </c>
      <c r="F71" s="85">
        <f t="shared" si="66"/>
        <v>0</v>
      </c>
      <c r="G71" s="85">
        <f t="shared" si="66"/>
        <v>0</v>
      </c>
      <c r="H71" s="85">
        <f t="shared" si="66"/>
        <v>0</v>
      </c>
      <c r="I71" s="85">
        <f t="shared" si="66"/>
        <v>0</v>
      </c>
      <c r="J71" s="85">
        <f t="shared" si="66"/>
        <v>0</v>
      </c>
      <c r="K71" s="85">
        <f t="shared" ref="K71:AG71" ca="1" si="67">J71+K70/1000</f>
        <v>410.57530889805594</v>
      </c>
      <c r="L71" s="85">
        <f t="shared" ca="1" si="67"/>
        <v>1013.3079879162498</v>
      </c>
      <c r="M71" s="85">
        <f t="shared" ca="1" si="67"/>
        <v>1644.4746590622158</v>
      </c>
      <c r="N71" s="85">
        <f t="shared" ca="1" si="67"/>
        <v>2442.7010029784533</v>
      </c>
      <c r="O71" s="85">
        <f t="shared" ca="1" si="67"/>
        <v>3127.9137162290049</v>
      </c>
      <c r="P71" s="85">
        <f t="shared" ca="1" si="67"/>
        <v>3788.0187028706232</v>
      </c>
      <c r="Q71" s="85">
        <f t="shared" ca="1" si="67"/>
        <v>4473.2314161211743</v>
      </c>
      <c r="R71" s="85">
        <f t="shared" ca="1" si="67"/>
        <v>5133.3364027627922</v>
      </c>
      <c r="S71" s="85">
        <f t="shared" ca="1" si="67"/>
        <v>5818.5491160133442</v>
      </c>
      <c r="T71" s="85">
        <f t="shared" ca="1" si="67"/>
        <v>6479.9249097587108</v>
      </c>
      <c r="U71" s="85">
        <f t="shared" ca="1" si="67"/>
        <v>7167.7346214667405</v>
      </c>
      <c r="V71" s="85">
        <f t="shared" ca="1" si="67"/>
        <v>7831.3895824989495</v>
      </c>
      <c r="W71" s="85">
        <f t="shared" ca="1" si="67"/>
        <v>8521.350504644719</v>
      </c>
      <c r="X71" s="85">
        <f t="shared" ca="1" si="67"/>
        <v>9186.618850140736</v>
      </c>
      <c r="Y71" s="85">
        <f t="shared" ca="1" si="67"/>
        <v>9877.4178599363131</v>
      </c>
      <c r="Z71" s="85">
        <f t="shared" ca="1" si="67"/>
        <v>10542.963887107613</v>
      </c>
      <c r="AA71" s="85">
        <f t="shared" ca="1" si="67"/>
        <v>11233.874364882311</v>
      </c>
      <c r="AB71" s="85">
        <f t="shared" ca="1" si="67"/>
        <v>11801.95812730025</v>
      </c>
      <c r="AC71" s="85">
        <f t="shared" ca="1" si="67"/>
        <v>12391.104493939771</v>
      </c>
      <c r="AD71" s="85">
        <f t="shared" ca="1" si="67"/>
        <v>12958.996499602623</v>
      </c>
      <c r="AE71" s="85">
        <f t="shared" ca="1" si="67"/>
        <v>13547.703434530264</v>
      </c>
      <c r="AF71" s="85">
        <f t="shared" ca="1" si="67"/>
        <v>13963.406858521877</v>
      </c>
      <c r="AG71" s="85">
        <f t="shared" ca="1" si="67"/>
        <v>14393.486392265288</v>
      </c>
      <c r="AH71" s="223">
        <f ca="1">AG71</f>
        <v>14393.486392265288</v>
      </c>
      <c r="AI71" s="311" t="s">
        <v>532</v>
      </c>
      <c r="AJ71" s="142"/>
      <c r="AK71" s="19">
        <v>73795.07620452698</v>
      </c>
      <c r="AL71" s="19"/>
      <c r="AM71" s="21"/>
      <c r="AN71" s="19"/>
    </row>
    <row r="72" spans="2:40">
      <c r="B72" s="28"/>
      <c r="C72" s="164"/>
      <c r="D72" s="19"/>
      <c r="E72" s="19"/>
      <c r="F72" s="19"/>
      <c r="G72" s="19"/>
      <c r="H72" s="19"/>
      <c r="I72" s="19"/>
      <c r="J72" s="132"/>
      <c r="K72" s="137"/>
      <c r="L72" s="132"/>
      <c r="M72" s="137"/>
      <c r="N72" s="28"/>
      <c r="O72" s="28"/>
      <c r="P72" s="19"/>
      <c r="Q72" s="19"/>
      <c r="R72" s="19"/>
      <c r="S72" s="19"/>
      <c r="T72" s="19"/>
      <c r="U72" s="19"/>
      <c r="V72" s="19"/>
      <c r="W72" s="19"/>
      <c r="X72" s="19"/>
      <c r="Y72" s="19"/>
      <c r="Z72" s="19"/>
      <c r="AA72" s="19"/>
      <c r="AB72" s="19"/>
      <c r="AC72" s="19"/>
      <c r="AD72" s="19"/>
      <c r="AE72" s="19"/>
      <c r="AF72" s="19"/>
      <c r="AG72" s="19"/>
      <c r="AH72" s="158"/>
      <c r="AI72" s="153"/>
      <c r="AJ72" s="133"/>
      <c r="AK72" s="19"/>
      <c r="AL72" s="19"/>
      <c r="AM72" s="21"/>
      <c r="AN72" s="19"/>
    </row>
    <row r="73" spans="2:40" ht="13.8" thickBot="1">
      <c r="B73" s="31" t="s">
        <v>209</v>
      </c>
      <c r="C73" s="32">
        <f t="shared" ref="C73:AG73" si="68">C$30</f>
        <v>2017</v>
      </c>
      <c r="D73" s="32">
        <f t="shared" si="68"/>
        <v>2018</v>
      </c>
      <c r="E73" s="32">
        <f t="shared" si="68"/>
        <v>2019</v>
      </c>
      <c r="F73" s="32">
        <f t="shared" si="68"/>
        <v>2020</v>
      </c>
      <c r="G73" s="32">
        <f t="shared" si="68"/>
        <v>2021</v>
      </c>
      <c r="H73" s="32">
        <f t="shared" si="68"/>
        <v>2022</v>
      </c>
      <c r="I73" s="32">
        <f t="shared" si="68"/>
        <v>2023</v>
      </c>
      <c r="J73" s="32">
        <f t="shared" si="68"/>
        <v>2024</v>
      </c>
      <c r="K73" s="32">
        <f t="shared" si="68"/>
        <v>2025</v>
      </c>
      <c r="L73" s="32">
        <f t="shared" si="68"/>
        <v>2026</v>
      </c>
      <c r="M73" s="32">
        <f t="shared" si="68"/>
        <v>2027</v>
      </c>
      <c r="N73" s="32">
        <f t="shared" si="68"/>
        <v>2028</v>
      </c>
      <c r="O73" s="32">
        <f t="shared" si="68"/>
        <v>2029</v>
      </c>
      <c r="P73" s="32">
        <f t="shared" si="68"/>
        <v>2030</v>
      </c>
      <c r="Q73" s="32">
        <f t="shared" si="68"/>
        <v>2031</v>
      </c>
      <c r="R73" s="32">
        <f t="shared" si="68"/>
        <v>2032</v>
      </c>
      <c r="S73" s="32">
        <f t="shared" si="68"/>
        <v>2033</v>
      </c>
      <c r="T73" s="32">
        <f t="shared" si="68"/>
        <v>2034</v>
      </c>
      <c r="U73" s="32">
        <f t="shared" si="68"/>
        <v>2035</v>
      </c>
      <c r="V73" s="32">
        <f t="shared" si="68"/>
        <v>2036</v>
      </c>
      <c r="W73" s="32">
        <f t="shared" si="68"/>
        <v>2037</v>
      </c>
      <c r="X73" s="32">
        <f t="shared" si="68"/>
        <v>2038</v>
      </c>
      <c r="Y73" s="32">
        <f t="shared" si="68"/>
        <v>2039</v>
      </c>
      <c r="Z73" s="32">
        <f t="shared" si="68"/>
        <v>2040</v>
      </c>
      <c r="AA73" s="32">
        <f t="shared" si="68"/>
        <v>2041</v>
      </c>
      <c r="AB73" s="32">
        <f t="shared" si="68"/>
        <v>2042</v>
      </c>
      <c r="AC73" s="32">
        <f t="shared" si="68"/>
        <v>2043</v>
      </c>
      <c r="AD73" s="32">
        <f t="shared" si="68"/>
        <v>2044</v>
      </c>
      <c r="AE73" s="32">
        <f t="shared" si="68"/>
        <v>2045</v>
      </c>
      <c r="AF73" s="32">
        <f t="shared" si="68"/>
        <v>2046</v>
      </c>
      <c r="AG73" s="32">
        <f t="shared" si="68"/>
        <v>2047</v>
      </c>
      <c r="AH73" s="157" t="s">
        <v>129</v>
      </c>
      <c r="AI73" s="155"/>
      <c r="AJ73" s="142"/>
      <c r="AK73" s="19"/>
      <c r="AL73" s="19"/>
      <c r="AM73" s="21"/>
      <c r="AN73" s="19"/>
    </row>
    <row r="74" spans="2:40" ht="13.8" thickTop="1">
      <c r="B74" s="273" t="s">
        <v>447</v>
      </c>
      <c r="C74" s="81">
        <f>IF(C73&lt;$V$6,0,IF(C$111="C/I",0,IF($AA$20="VAR",'Project-definition'!C33, $AA$21)))</f>
        <v>0</v>
      </c>
      <c r="D74" s="81">
        <f>IF(D73&lt;$V$6,0,IF(D$111="C/I",0,IF($AA$20="VAR",'Project-definition'!D33, $AA$21)))</f>
        <v>0</v>
      </c>
      <c r="E74" s="81">
        <f>IF(E73&lt;$V$6,0,IF(E$111="C/I",0,IF($AA$20="VAR",'Project-definition'!E33, $AA$21)))</f>
        <v>0</v>
      </c>
      <c r="F74" s="81">
        <f>IF(F73&lt;$V$6,0,IF(F$111="C/I",0,IF($AA$20="VAR",'Project-definition'!F33, $AA$21)))</f>
        <v>0</v>
      </c>
      <c r="G74" s="81">
        <f>IF(G73&lt;$V$6,0,IF(G$111="C/I",0,IF($AA$20="VAR",'Project-definition'!G33, $AA$21)))</f>
        <v>0</v>
      </c>
      <c r="H74" s="81">
        <f>IF(H73&lt;$V$6,0,IF(H$111="C/I",0,IF($AA$20="VAR",'Project-definition'!H33, $AA$21)))</f>
        <v>0</v>
      </c>
      <c r="I74" s="81">
        <f>IF(I73&lt;$V$6,0,IF(I$111="C/I",0,IF($AA$20="VAR",'Project-definition'!I33, $AA$21)))</f>
        <v>0</v>
      </c>
      <c r="J74" s="81">
        <f>IF(J73&lt;$V$6,0,IF(J$111="C/I",0,IF($AA$20="VAR",'Project-definition'!J33, $AA$21)))</f>
        <v>0</v>
      </c>
      <c r="K74" s="81">
        <f>IF(K73&lt;$V$6,0,IF(K$111="C/I",0,IF($AA$20="VAR",'Project-definition'!K33, $AA$21)))</f>
        <v>140</v>
      </c>
      <c r="L74" s="81">
        <f ca="1">IF(L73&lt;$V$6,0,IF(L$111="C/I",0,IF($AA$20="VAR",'Project-definition'!L33, $AA$21)))</f>
        <v>140</v>
      </c>
      <c r="M74" s="81">
        <f ca="1">IF(M73&lt;$V$6,0,IF(M$111="C/I",0,IF($AA$20="VAR",'Project-definition'!M33, $AA$21)))</f>
        <v>140</v>
      </c>
      <c r="N74" s="81">
        <f ca="1">IF(N73&lt;$V$6,0,IF(N$111="C/I",0,IF($AA$20="VAR",'Project-definition'!N33, $AA$21)))</f>
        <v>140</v>
      </c>
      <c r="O74" s="81">
        <f ca="1">IF(O73&lt;$V$6,0,IF(O$111="C/I",0,IF($AA$20="VAR",'Project-definition'!O33, $AA$21)))</f>
        <v>140</v>
      </c>
      <c r="P74" s="81">
        <f ca="1">IF(P73&lt;$V$6,0,IF(P$111="C/I",0,IF($AA$20="VAR",'Project-definition'!P33, $AA$21)))</f>
        <v>140</v>
      </c>
      <c r="Q74" s="81">
        <f ca="1">IF(Q73&lt;$V$6,0,IF(Q$111="C/I",0,IF($AA$20="VAR",'Project-definition'!Q33, $AA$21)))</f>
        <v>140</v>
      </c>
      <c r="R74" s="81">
        <f ca="1">IF(R73&lt;$V$6,0,IF(R$111="C/I",0,IF($AA$20="VAR",'Project-definition'!R33, $AA$21)))</f>
        <v>140</v>
      </c>
      <c r="S74" s="81">
        <f ca="1">IF(S73&lt;$V$6,0,IF(S$111="C/I",0,IF($AA$20="VAR",'Project-definition'!S33, $AA$21)))</f>
        <v>140</v>
      </c>
      <c r="T74" s="81">
        <f ca="1">IF(T73&lt;$V$6,0,IF(T$111="C/I",0,IF($AA$20="VAR",'Project-definition'!T33, $AA$21)))</f>
        <v>140</v>
      </c>
      <c r="U74" s="81">
        <f ca="1">IF(U73&lt;$V$6,0,IF(U$111="C/I",0,IF($AA$20="VAR",'Project-definition'!U33, $AA$21)))</f>
        <v>140</v>
      </c>
      <c r="V74" s="81">
        <f ca="1">IF(V73&lt;$V$6,0,IF(V$111="C/I",0,IF($AA$20="VAR",'Project-definition'!V33, $AA$21)))</f>
        <v>140</v>
      </c>
      <c r="W74" s="81">
        <f ca="1">IF(W73&lt;$V$6,0,IF(W$111="C/I",0,IF($AA$20="VAR",'Project-definition'!W33, $AA$21)))</f>
        <v>140</v>
      </c>
      <c r="X74" s="81">
        <f ca="1">IF(X73&lt;$V$6,0,IF(X$111="C/I",0,IF($AA$20="VAR",'Project-definition'!X33, $AA$21)))</f>
        <v>140</v>
      </c>
      <c r="Y74" s="81">
        <f ca="1">IF(Y73&lt;$V$6,0,IF(Y$111="C/I",0,IF($AA$20="VAR",'Project-definition'!Y33, $AA$21)))</f>
        <v>140</v>
      </c>
      <c r="Z74" s="81">
        <f ca="1">IF(Z73&lt;$V$6,0,IF(Z$111="C/I",0,IF($AA$20="VAR",'Project-definition'!Z33, $AA$21)))</f>
        <v>140</v>
      </c>
      <c r="AA74" s="81">
        <f ca="1">IF(AA73&lt;$V$6,0,IF(AA$111="C/I",0,IF($AA$20="VAR",'Project-definition'!AA33, $AA$21)))</f>
        <v>140</v>
      </c>
      <c r="AB74" s="81">
        <f ca="1">IF(AB73&lt;$V$6,0,IF(AB$111="C/I",0,IF($AA$20="VAR",'Project-definition'!AB33, $AA$21)))</f>
        <v>140</v>
      </c>
      <c r="AC74" s="81">
        <f ca="1">IF(AC73&lt;$V$6,0,IF(AC$111="C/I",0,IF($AA$20="VAR",'Project-definition'!AC33, $AA$21)))</f>
        <v>140</v>
      </c>
      <c r="AD74" s="81">
        <f ca="1">IF(AD73&lt;$V$6,0,IF(AD$111="C/I",0,IF($AA$20="VAR",'Project-definition'!AD33, $AA$21)))</f>
        <v>140</v>
      </c>
      <c r="AE74" s="81">
        <f ca="1">IF(AE73&lt;$V$6,0,IF(AE$111="C/I",0,IF($AA$20="VAR",'Project-definition'!AE33, $AA$21)))</f>
        <v>140</v>
      </c>
      <c r="AF74" s="81">
        <f ca="1">IF(AF73&lt;$V$6,0,IF(AF$111="C/I",0,IF($AA$20="VAR",'Project-definition'!AF33, $AA$21)))</f>
        <v>140</v>
      </c>
      <c r="AG74" s="81">
        <f ca="1">IF(AG73&lt;$V$6,0,IF(AG$111="C/I",0,IF($AA$20="VAR",'Project-definition'!AG33, $AA$21)))</f>
        <v>140</v>
      </c>
      <c r="AH74" s="157"/>
      <c r="AI74" s="155"/>
      <c r="AJ74" s="142"/>
      <c r="AK74" s="19"/>
      <c r="AL74" s="19"/>
      <c r="AM74" s="21"/>
      <c r="AN74" s="19"/>
    </row>
    <row r="75" spans="2:40">
      <c r="B75" s="185" t="s">
        <v>276</v>
      </c>
      <c r="C75" s="40">
        <f>IF(C70&lt;0,0,C70*C74/10^6)</f>
        <v>0</v>
      </c>
      <c r="D75" s="40">
        <f t="shared" ref="D75:J75" si="69">IF(D70&lt;0,0,D70*D74/10^6)</f>
        <v>0</v>
      </c>
      <c r="E75" s="40">
        <f t="shared" si="69"/>
        <v>0</v>
      </c>
      <c r="F75" s="40">
        <f t="shared" si="69"/>
        <v>0</v>
      </c>
      <c r="G75" s="40">
        <f t="shared" si="69"/>
        <v>0</v>
      </c>
      <c r="H75" s="40">
        <f t="shared" si="69"/>
        <v>0</v>
      </c>
      <c r="I75" s="40">
        <f t="shared" si="69"/>
        <v>0</v>
      </c>
      <c r="J75" s="40">
        <f t="shared" si="69"/>
        <v>0</v>
      </c>
      <c r="K75" s="40">
        <f t="shared" ref="K75:AG75" ca="1" si="70">IF(K70&lt;0,0,K70*K74/10^6)</f>
        <v>57.48054324572783</v>
      </c>
      <c r="L75" s="40">
        <f t="shared" ca="1" si="70"/>
        <v>84.382575062547147</v>
      </c>
      <c r="M75" s="40">
        <f t="shared" ca="1" si="70"/>
        <v>88.363333960435241</v>
      </c>
      <c r="N75" s="40">
        <f t="shared" ca="1" si="70"/>
        <v>111.75168814827326</v>
      </c>
      <c r="O75" s="40">
        <f t="shared" ca="1" si="70"/>
        <v>95.929779855077228</v>
      </c>
      <c r="P75" s="40">
        <f t="shared" ca="1" si="70"/>
        <v>92.414698129826562</v>
      </c>
      <c r="Q75" s="40">
        <f t="shared" ca="1" si="70"/>
        <v>95.9297798550772</v>
      </c>
      <c r="R75" s="40">
        <f t="shared" ca="1" si="70"/>
        <v>92.414698129826562</v>
      </c>
      <c r="S75" s="40">
        <f t="shared" ca="1" si="70"/>
        <v>95.929779855077228</v>
      </c>
      <c r="T75" s="40">
        <f t="shared" ca="1" si="70"/>
        <v>92.59261112435135</v>
      </c>
      <c r="U75" s="40">
        <f t="shared" ca="1" si="70"/>
        <v>96.293359639124134</v>
      </c>
      <c r="V75" s="40">
        <f t="shared" ca="1" si="70"/>
        <v>92.911694544509245</v>
      </c>
      <c r="W75" s="40">
        <f t="shared" ca="1" si="70"/>
        <v>96.594529100407613</v>
      </c>
      <c r="X75" s="40">
        <f t="shared" ca="1" si="70"/>
        <v>93.137568369442434</v>
      </c>
      <c r="Y75" s="40">
        <f t="shared" ca="1" si="70"/>
        <v>96.711861371380763</v>
      </c>
      <c r="Z75" s="40">
        <f t="shared" ca="1" si="70"/>
        <v>93.176443803982067</v>
      </c>
      <c r="AA75" s="40">
        <f t="shared" ca="1" si="70"/>
        <v>96.727466888457769</v>
      </c>
      <c r="AB75" s="40">
        <f t="shared" ca="1" si="70"/>
        <v>79.531726738511338</v>
      </c>
      <c r="AC75" s="40">
        <f t="shared" ca="1" si="70"/>
        <v>82.480491329533052</v>
      </c>
      <c r="AD75" s="40">
        <f t="shared" ca="1" si="70"/>
        <v>79.504880792799355</v>
      </c>
      <c r="AE75" s="40">
        <f t="shared" ca="1" si="70"/>
        <v>82.418970889869641</v>
      </c>
      <c r="AF75" s="40">
        <f t="shared" ca="1" si="70"/>
        <v>58.198479358826056</v>
      </c>
      <c r="AG75" s="40">
        <f t="shared" ca="1" si="70"/>
        <v>60.211134724077496</v>
      </c>
      <c r="AH75" s="237">
        <f ca="1">SUM(C75:AG75)</f>
        <v>2015.0880949171406</v>
      </c>
      <c r="AI75" s="153" t="s">
        <v>279</v>
      </c>
      <c r="AJ75" s="133"/>
      <c r="AK75" s="19"/>
      <c r="AL75" s="19"/>
      <c r="AM75" s="21"/>
      <c r="AN75" s="19"/>
    </row>
    <row r="76" spans="2:40">
      <c r="B76" s="38" t="s">
        <v>292</v>
      </c>
      <c r="C76" s="81">
        <f>IF(C$111="C/I",0,'Project-definition'!C34)</f>
        <v>0</v>
      </c>
      <c r="D76" s="81">
        <f>IF(D$111="C/I",0,'Project-definition'!D34)</f>
        <v>0</v>
      </c>
      <c r="E76" s="81">
        <f>IF(E$111="C/I",0,'Project-definition'!E34)</f>
        <v>0</v>
      </c>
      <c r="F76" s="81">
        <f>IF(F$111="C/I",0,'Project-definition'!F34)</f>
        <v>0</v>
      </c>
      <c r="G76" s="81">
        <f>IF(G$111="C/I",0,'Project-definition'!G34)</f>
        <v>0</v>
      </c>
      <c r="H76" s="81">
        <f>IF(H$111="C/I",0,'Project-definition'!H34)</f>
        <v>0</v>
      </c>
      <c r="I76" s="81">
        <f>IF(I$111="C/I",0,'Project-definition'!I34)</f>
        <v>0</v>
      </c>
      <c r="J76" s="81">
        <f>IF(J$111="C/I",0,'Project-definition'!J34)</f>
        <v>0</v>
      </c>
      <c r="K76" s="81">
        <f>IF(K$111="C/I",0,'Project-definition'!K34)</f>
        <v>2</v>
      </c>
      <c r="L76" s="81">
        <f ca="1">IF(L$111="C/I",0,'Project-definition'!L34)</f>
        <v>2</v>
      </c>
      <c r="M76" s="81">
        <f ca="1">IF(M$111="C/I",0,'Project-definition'!M34)</f>
        <v>2</v>
      </c>
      <c r="N76" s="81">
        <f ca="1">IF(N$111="C/I",0,'Project-definition'!N34)</f>
        <v>2</v>
      </c>
      <c r="O76" s="81">
        <f ca="1">IF(O$111="C/I",0,'Project-definition'!O34)</f>
        <v>2</v>
      </c>
      <c r="P76" s="81">
        <f ca="1">IF(P$111="C/I",0,'Project-definition'!P34)</f>
        <v>2</v>
      </c>
      <c r="Q76" s="81">
        <f ca="1">IF(Q$111="C/I",0,'Project-definition'!Q34)</f>
        <v>2</v>
      </c>
      <c r="R76" s="81">
        <f ca="1">IF(R$111="C/I",0,'Project-definition'!R34)</f>
        <v>2</v>
      </c>
      <c r="S76" s="81">
        <f ca="1">IF(S$111="C/I",0,'Project-definition'!S34)</f>
        <v>2</v>
      </c>
      <c r="T76" s="81">
        <f ca="1">IF(T$111="C/I",0,'Project-definition'!T34)</f>
        <v>0</v>
      </c>
      <c r="U76" s="81">
        <f ca="1">IF(U$111="C/I",0,'Project-definition'!U34)</f>
        <v>0</v>
      </c>
      <c r="V76" s="81">
        <f ca="1">IF(V$111="C/I",0,'Project-definition'!V34)</f>
        <v>0</v>
      </c>
      <c r="W76" s="81">
        <f ca="1">IF(W$111="C/I",0,'Project-definition'!W34)</f>
        <v>0</v>
      </c>
      <c r="X76" s="81">
        <f ca="1">IF(X$111="C/I",0,'Project-definition'!X34)</f>
        <v>0</v>
      </c>
      <c r="Y76" s="81">
        <f ca="1">IF(Y$111="C/I",0,'Project-definition'!Y34)</f>
        <v>0</v>
      </c>
      <c r="Z76" s="81">
        <f ca="1">IF(Z$111="C/I",0,'Project-definition'!Z34)</f>
        <v>0</v>
      </c>
      <c r="AA76" s="81">
        <f ca="1">IF(AA$111="C/I",0,'Project-definition'!AA34)</f>
        <v>0</v>
      </c>
      <c r="AB76" s="81">
        <f ca="1">IF(AB$111="C/I",0,'Project-definition'!AB34)</f>
        <v>0</v>
      </c>
      <c r="AC76" s="81">
        <f ca="1">IF(AC$111="C/I",0,'Project-definition'!AC34)</f>
        <v>0</v>
      </c>
      <c r="AD76" s="81">
        <f ca="1">IF(AD$111="C/I",0,'Project-definition'!AD34)</f>
        <v>0</v>
      </c>
      <c r="AE76" s="81">
        <f ca="1">IF(AE$111="C/I",0,'Project-definition'!AE34)</f>
        <v>0</v>
      </c>
      <c r="AF76" s="81">
        <f ca="1">IF(AF$111="C/I",0,'Project-definition'!AF34)</f>
        <v>0</v>
      </c>
      <c r="AG76" s="81">
        <f ca="1">IF(AG$111="C/I",0,'Project-definition'!AG34)</f>
        <v>0</v>
      </c>
      <c r="AH76" s="157">
        <f ca="1">SUM(C76:AG76)</f>
        <v>18</v>
      </c>
      <c r="AI76" s="155" t="s">
        <v>279</v>
      </c>
      <c r="AJ76" s="142"/>
      <c r="AK76" s="21"/>
      <c r="AL76" s="21"/>
      <c r="AM76" s="19"/>
      <c r="AN76" s="19"/>
    </row>
    <row r="77" spans="2:40" ht="13.8" thickBot="1">
      <c r="B77" s="186" t="s">
        <v>293</v>
      </c>
      <c r="C77" s="187">
        <f>IF(C$111="C/I",0,'Project-definition'!C35)</f>
        <v>0</v>
      </c>
      <c r="D77" s="187">
        <f>IF(D$111="C/I",0,'Project-definition'!D35)</f>
        <v>0</v>
      </c>
      <c r="E77" s="187">
        <f>IF(E$111="C/I",0,'Project-definition'!E35)</f>
        <v>0</v>
      </c>
      <c r="F77" s="187">
        <f>IF(F$111="C/I",0,'Project-definition'!F35)</f>
        <v>0</v>
      </c>
      <c r="G77" s="187">
        <f>IF(G$111="C/I",0,'Project-definition'!G35)</f>
        <v>0</v>
      </c>
      <c r="H77" s="187">
        <f>IF(H$111="C/I",0,'Project-definition'!H35)</f>
        <v>0</v>
      </c>
      <c r="I77" s="187">
        <f>IF(I$111="C/I",0,'Project-definition'!I35)</f>
        <v>0</v>
      </c>
      <c r="J77" s="187">
        <f>IF(J$111="C/I",0,'Project-definition'!J35)</f>
        <v>0</v>
      </c>
      <c r="K77" s="187">
        <f>IF(K$111="C/I",0,'Project-definition'!K35)</f>
        <v>1</v>
      </c>
      <c r="L77" s="187">
        <f ca="1">IF(L$111="C/I",0,'Project-definition'!L35)</f>
        <v>1</v>
      </c>
      <c r="M77" s="187">
        <f ca="1">IF(M$111="C/I",0,'Project-definition'!M35)</f>
        <v>1</v>
      </c>
      <c r="N77" s="187">
        <f ca="1">IF(N$111="C/I",0,'Project-definition'!N35)</f>
        <v>1</v>
      </c>
      <c r="O77" s="187">
        <f ca="1">IF(O$111="C/I",0,'Project-definition'!O35)</f>
        <v>1</v>
      </c>
      <c r="P77" s="187">
        <f ca="1">IF(P$111="C/I",0,'Project-definition'!P35)</f>
        <v>0</v>
      </c>
      <c r="Q77" s="187">
        <f ca="1">IF(Q$111="C/I",0,'Project-definition'!Q35)</f>
        <v>0</v>
      </c>
      <c r="R77" s="187">
        <f ca="1">IF(R$111="C/I",0,'Project-definition'!R35)</f>
        <v>0</v>
      </c>
      <c r="S77" s="187">
        <f ca="1">IF(S$111="C/I",0,'Project-definition'!S35)</f>
        <v>0</v>
      </c>
      <c r="T77" s="187">
        <f ca="1">IF(T$111="C/I",0,'Project-definition'!T35)</f>
        <v>0</v>
      </c>
      <c r="U77" s="187">
        <f ca="1">IF(U$111="C/I",0,'Project-definition'!U35)</f>
        <v>0</v>
      </c>
      <c r="V77" s="187">
        <f ca="1">IF(V$111="C/I",0,'Project-definition'!V35)</f>
        <v>0</v>
      </c>
      <c r="W77" s="187">
        <f ca="1">IF(W$111="C/I",0,'Project-definition'!W35)</f>
        <v>0</v>
      </c>
      <c r="X77" s="187">
        <f ca="1">IF(X$111="C/I",0,'Project-definition'!X35)</f>
        <v>0</v>
      </c>
      <c r="Y77" s="187">
        <f ca="1">IF(Y$111="C/I",0,'Project-definition'!Y35)</f>
        <v>0</v>
      </c>
      <c r="Z77" s="187">
        <f ca="1">IF(Z$111="C/I",0,'Project-definition'!Z35)</f>
        <v>0</v>
      </c>
      <c r="AA77" s="187">
        <f ca="1">IF(AA$111="C/I",0,'Project-definition'!AA35)</f>
        <v>0</v>
      </c>
      <c r="AB77" s="187">
        <f ca="1">IF(AB$111="C/I",0,'Project-definition'!AB35)</f>
        <v>0</v>
      </c>
      <c r="AC77" s="187">
        <f ca="1">IF(AC$111="C/I",0,'Project-definition'!AC35)</f>
        <v>0</v>
      </c>
      <c r="AD77" s="187">
        <f ca="1">IF(AD$111="C/I",0,'Project-definition'!AD35)</f>
        <v>0</v>
      </c>
      <c r="AE77" s="187">
        <f ca="1">IF(AE$111="C/I",0,'Project-definition'!AE35)</f>
        <v>0</v>
      </c>
      <c r="AF77" s="187">
        <f ca="1">IF(AF$111="C/I",0,'Project-definition'!AF35)</f>
        <v>0</v>
      </c>
      <c r="AG77" s="187">
        <f ca="1">IF(AG$111="C/I",0,'Project-definition'!AG35)</f>
        <v>0</v>
      </c>
      <c r="AH77" s="157">
        <f ca="1">SUM(C77:AG77)</f>
        <v>5</v>
      </c>
      <c r="AI77" s="155" t="s">
        <v>279</v>
      </c>
      <c r="AJ77" s="142"/>
      <c r="AK77" s="21"/>
      <c r="AL77" s="21"/>
      <c r="AM77" s="19"/>
      <c r="AN77" s="19"/>
    </row>
    <row r="78" spans="2:40" ht="13.8" thickTop="1">
      <c r="B78" s="551" t="s">
        <v>619</v>
      </c>
      <c r="C78" s="36">
        <f t="shared" ref="C78:J78" si="71">IF(C111="C/I",0,SUM(C75:C77))</f>
        <v>0</v>
      </c>
      <c r="D78" s="36">
        <f t="shared" si="71"/>
        <v>0</v>
      </c>
      <c r="E78" s="36">
        <f t="shared" si="71"/>
        <v>0</v>
      </c>
      <c r="F78" s="36">
        <f t="shared" si="71"/>
        <v>0</v>
      </c>
      <c r="G78" s="36">
        <f t="shared" si="71"/>
        <v>0</v>
      </c>
      <c r="H78" s="36">
        <f t="shared" si="71"/>
        <v>0</v>
      </c>
      <c r="I78" s="36">
        <f t="shared" si="71"/>
        <v>0</v>
      </c>
      <c r="J78" s="36">
        <f t="shared" si="71"/>
        <v>0</v>
      </c>
      <c r="K78" s="36">
        <f t="shared" ref="K78:AG78" ca="1" si="72">IF(K111="C/I",0,SUM(K75:K77))</f>
        <v>60.48054324572783</v>
      </c>
      <c r="L78" s="36">
        <f t="shared" ca="1" si="72"/>
        <v>87.382575062547147</v>
      </c>
      <c r="M78" s="36">
        <f t="shared" ca="1" si="72"/>
        <v>91.363333960435241</v>
      </c>
      <c r="N78" s="36">
        <f t="shared" ca="1" si="72"/>
        <v>114.75168814827326</v>
      </c>
      <c r="O78" s="36">
        <f t="shared" ca="1" si="72"/>
        <v>98.929779855077228</v>
      </c>
      <c r="P78" s="36">
        <f t="shared" ca="1" si="72"/>
        <v>94.414698129826562</v>
      </c>
      <c r="Q78" s="36">
        <f t="shared" ca="1" si="72"/>
        <v>97.9297798550772</v>
      </c>
      <c r="R78" s="36">
        <f t="shared" ca="1" si="72"/>
        <v>94.414698129826562</v>
      </c>
      <c r="S78" s="36">
        <f t="shared" ca="1" si="72"/>
        <v>97.929779855077228</v>
      </c>
      <c r="T78" s="36">
        <f t="shared" ca="1" si="72"/>
        <v>92.59261112435135</v>
      </c>
      <c r="U78" s="36">
        <f t="shared" ca="1" si="72"/>
        <v>96.293359639124134</v>
      </c>
      <c r="V78" s="36">
        <f t="shared" ca="1" si="72"/>
        <v>92.911694544509245</v>
      </c>
      <c r="W78" s="36">
        <f t="shared" ca="1" si="72"/>
        <v>96.594529100407613</v>
      </c>
      <c r="X78" s="36">
        <f t="shared" ca="1" si="72"/>
        <v>93.137568369442434</v>
      </c>
      <c r="Y78" s="36">
        <f t="shared" ca="1" si="72"/>
        <v>96.711861371380763</v>
      </c>
      <c r="Z78" s="36">
        <f t="shared" ca="1" si="72"/>
        <v>93.176443803982067</v>
      </c>
      <c r="AA78" s="36">
        <f t="shared" ca="1" si="72"/>
        <v>96.727466888457769</v>
      </c>
      <c r="AB78" s="36">
        <f t="shared" ca="1" si="72"/>
        <v>79.531726738511338</v>
      </c>
      <c r="AC78" s="36">
        <f t="shared" ca="1" si="72"/>
        <v>82.480491329533052</v>
      </c>
      <c r="AD78" s="36">
        <f t="shared" ca="1" si="72"/>
        <v>79.504880792799355</v>
      </c>
      <c r="AE78" s="36">
        <f t="shared" ca="1" si="72"/>
        <v>82.418970889869641</v>
      </c>
      <c r="AF78" s="36">
        <f t="shared" ca="1" si="72"/>
        <v>58.198479358826056</v>
      </c>
      <c r="AG78" s="36">
        <f t="shared" ca="1" si="72"/>
        <v>60.211134724077496</v>
      </c>
      <c r="AH78" s="237">
        <f ca="1">SUM(C78:AG78)</f>
        <v>2038.0880949171406</v>
      </c>
      <c r="AI78" s="153" t="s">
        <v>279</v>
      </c>
      <c r="AJ78" s="133"/>
      <c r="AK78" s="21"/>
      <c r="AL78" s="21"/>
      <c r="AM78" s="19"/>
      <c r="AN78" s="19"/>
    </row>
    <row r="79" spans="2:40">
      <c r="B79" s="28"/>
      <c r="C79" s="164"/>
      <c r="D79" s="19"/>
      <c r="E79" s="19"/>
      <c r="F79" s="19"/>
      <c r="G79" s="19"/>
      <c r="H79" s="19"/>
      <c r="I79" s="19"/>
      <c r="J79" s="132"/>
      <c r="K79" s="137"/>
      <c r="L79" s="132"/>
      <c r="M79" s="137"/>
      <c r="N79" s="28"/>
      <c r="O79" s="28"/>
      <c r="P79" s="19"/>
      <c r="Q79" s="19"/>
      <c r="R79" s="19"/>
      <c r="S79" s="19"/>
      <c r="T79" s="19"/>
      <c r="U79" s="19"/>
      <c r="V79" s="19"/>
      <c r="W79" s="19"/>
      <c r="X79" s="19"/>
      <c r="Y79" s="19"/>
      <c r="Z79" s="19"/>
      <c r="AA79" s="19"/>
      <c r="AB79" s="19"/>
      <c r="AC79" s="19"/>
      <c r="AD79" s="19"/>
      <c r="AE79" s="19"/>
      <c r="AF79" s="19"/>
      <c r="AG79" s="19"/>
      <c r="AH79" s="159"/>
      <c r="AI79" s="155"/>
      <c r="AJ79" s="142"/>
      <c r="AK79" s="21"/>
      <c r="AL79" s="21"/>
      <c r="AM79" s="19"/>
      <c r="AN79" s="19"/>
    </row>
    <row r="80" spans="2:40" ht="13.8" thickBot="1">
      <c r="B80" s="31" t="s">
        <v>226</v>
      </c>
      <c r="C80" s="32">
        <f t="shared" ref="C80:AG80" si="73">C$30</f>
        <v>2017</v>
      </c>
      <c r="D80" s="32">
        <f t="shared" si="73"/>
        <v>2018</v>
      </c>
      <c r="E80" s="32">
        <f t="shared" si="73"/>
        <v>2019</v>
      </c>
      <c r="F80" s="32">
        <f t="shared" si="73"/>
        <v>2020</v>
      </c>
      <c r="G80" s="32">
        <f t="shared" si="73"/>
        <v>2021</v>
      </c>
      <c r="H80" s="32">
        <f t="shared" si="73"/>
        <v>2022</v>
      </c>
      <c r="I80" s="32">
        <f t="shared" si="73"/>
        <v>2023</v>
      </c>
      <c r="J80" s="32">
        <f t="shared" si="73"/>
        <v>2024</v>
      </c>
      <c r="K80" s="32">
        <f t="shared" si="73"/>
        <v>2025</v>
      </c>
      <c r="L80" s="32">
        <f t="shared" si="73"/>
        <v>2026</v>
      </c>
      <c r="M80" s="32">
        <f t="shared" si="73"/>
        <v>2027</v>
      </c>
      <c r="N80" s="32">
        <f t="shared" si="73"/>
        <v>2028</v>
      </c>
      <c r="O80" s="32">
        <f t="shared" si="73"/>
        <v>2029</v>
      </c>
      <c r="P80" s="32">
        <f t="shared" si="73"/>
        <v>2030</v>
      </c>
      <c r="Q80" s="32">
        <f t="shared" si="73"/>
        <v>2031</v>
      </c>
      <c r="R80" s="32">
        <f t="shared" si="73"/>
        <v>2032</v>
      </c>
      <c r="S80" s="32">
        <f t="shared" si="73"/>
        <v>2033</v>
      </c>
      <c r="T80" s="32">
        <f t="shared" si="73"/>
        <v>2034</v>
      </c>
      <c r="U80" s="32">
        <f t="shared" si="73"/>
        <v>2035</v>
      </c>
      <c r="V80" s="32">
        <f t="shared" si="73"/>
        <v>2036</v>
      </c>
      <c r="W80" s="32">
        <f t="shared" si="73"/>
        <v>2037</v>
      </c>
      <c r="X80" s="32">
        <f t="shared" si="73"/>
        <v>2038</v>
      </c>
      <c r="Y80" s="32">
        <f t="shared" si="73"/>
        <v>2039</v>
      </c>
      <c r="Z80" s="32">
        <f t="shared" si="73"/>
        <v>2040</v>
      </c>
      <c r="AA80" s="32">
        <f t="shared" si="73"/>
        <v>2041</v>
      </c>
      <c r="AB80" s="32">
        <f t="shared" si="73"/>
        <v>2042</v>
      </c>
      <c r="AC80" s="32">
        <f t="shared" si="73"/>
        <v>2043</v>
      </c>
      <c r="AD80" s="32">
        <f t="shared" si="73"/>
        <v>2044</v>
      </c>
      <c r="AE80" s="32">
        <f t="shared" si="73"/>
        <v>2045</v>
      </c>
      <c r="AF80" s="32">
        <f t="shared" si="73"/>
        <v>2046</v>
      </c>
      <c r="AG80" s="32">
        <f t="shared" si="73"/>
        <v>2047</v>
      </c>
      <c r="AH80" s="157" t="s">
        <v>129</v>
      </c>
      <c r="AI80" s="153"/>
      <c r="AJ80" s="133"/>
      <c r="AK80" s="21"/>
      <c r="AL80" s="21"/>
      <c r="AM80" s="19"/>
      <c r="AN80" s="19"/>
    </row>
    <row r="81" spans="1:40" ht="14.4" thickTop="1" thickBot="1">
      <c r="B81" s="72" t="s">
        <v>170</v>
      </c>
      <c r="C81" s="73">
        <f>Capex!C81</f>
        <v>-15.5</v>
      </c>
      <c r="D81" s="73">
        <f>Capex!D81</f>
        <v>-11</v>
      </c>
      <c r="E81" s="73">
        <f>Capex!E81</f>
        <v>-5</v>
      </c>
      <c r="F81" s="73">
        <f>Capex!F81</f>
        <v>-37</v>
      </c>
      <c r="G81" s="73">
        <f>Capex!G81</f>
        <v>-131</v>
      </c>
      <c r="H81" s="73">
        <f>Capex!H81</f>
        <v>-80</v>
      </c>
      <c r="I81" s="73">
        <f>Capex!I81</f>
        <v>-55.5</v>
      </c>
      <c r="J81" s="73">
        <f>Capex!J81</f>
        <v>-42.5</v>
      </c>
      <c r="K81" s="73">
        <f>Capex!K81</f>
        <v>-38.5</v>
      </c>
      <c r="L81" s="73">
        <f ca="1">Capex!L81</f>
        <v>-35</v>
      </c>
      <c r="M81" s="73">
        <f ca="1">Capex!M81</f>
        <v>-22.5</v>
      </c>
      <c r="N81" s="73">
        <f ca="1">Capex!N81</f>
        <v>-32</v>
      </c>
      <c r="O81" s="73">
        <f ca="1">Capex!O81</f>
        <v>0</v>
      </c>
      <c r="P81" s="73">
        <f ca="1">Capex!P81</f>
        <v>0</v>
      </c>
      <c r="Q81" s="73">
        <f ca="1">Capex!Q81</f>
        <v>0</v>
      </c>
      <c r="R81" s="73">
        <f ca="1">Capex!R81</f>
        <v>0</v>
      </c>
      <c r="S81" s="73">
        <f ca="1">Capex!S81</f>
        <v>0</v>
      </c>
      <c r="T81" s="73">
        <f ca="1">Capex!T81</f>
        <v>0</v>
      </c>
      <c r="U81" s="73">
        <f ca="1">Capex!U81</f>
        <v>0</v>
      </c>
      <c r="V81" s="73">
        <f ca="1">Capex!V81</f>
        <v>0</v>
      </c>
      <c r="W81" s="73">
        <f ca="1">Capex!W81</f>
        <v>0</v>
      </c>
      <c r="X81" s="73">
        <f ca="1">Capex!X81</f>
        <v>-15</v>
      </c>
      <c r="Y81" s="73">
        <f ca="1">Capex!Y81</f>
        <v>0</v>
      </c>
      <c r="Z81" s="73">
        <f ca="1">Capex!Z81</f>
        <v>0</v>
      </c>
      <c r="AA81" s="73">
        <f ca="1">Capex!AA81</f>
        <v>0</v>
      </c>
      <c r="AB81" s="73">
        <f ca="1">Capex!AB81</f>
        <v>0</v>
      </c>
      <c r="AC81" s="73">
        <f ca="1">Capex!AC81</f>
        <v>0</v>
      </c>
      <c r="AD81" s="73">
        <f ca="1">Capex!AD81</f>
        <v>0</v>
      </c>
      <c r="AE81" s="73">
        <f ca="1">Capex!AE81</f>
        <v>0</v>
      </c>
      <c r="AF81" s="73">
        <f ca="1">Capex!AF81</f>
        <v>0</v>
      </c>
      <c r="AG81" s="73">
        <f ca="1">Capex!AG81</f>
        <v>0</v>
      </c>
      <c r="AH81" s="236">
        <f t="shared" ref="AH81:AH93" ca="1" si="74">SUM(C81:AG81)</f>
        <v>-520.5</v>
      </c>
      <c r="AI81" s="155" t="s">
        <v>279</v>
      </c>
      <c r="AJ81" s="142"/>
      <c r="AK81" s="21"/>
      <c r="AL81" s="21"/>
      <c r="AM81" s="19"/>
      <c r="AN81" s="19"/>
    </row>
    <row r="82" spans="1:40" s="34" customFormat="1" ht="13.8" thickTop="1">
      <c r="A82" s="28"/>
      <c r="B82" s="39" t="s">
        <v>1346</v>
      </c>
      <c r="C82" s="43">
        <f>C83+C86+C87+C88</f>
        <v>-1.0774999999999999</v>
      </c>
      <c r="D82" s="43">
        <f t="shared" ref="D82:AG82" si="75">D83+D86+D87+D88</f>
        <v>-1.1325000000000001</v>
      </c>
      <c r="E82" s="43">
        <f t="shared" si="75"/>
        <v>-1.1575</v>
      </c>
      <c r="F82" s="43">
        <f t="shared" si="75"/>
        <v>-2.3425000000000002</v>
      </c>
      <c r="G82" s="43">
        <f t="shared" si="75"/>
        <v>-2.9975000000000001</v>
      </c>
      <c r="H82" s="43">
        <f t="shared" si="75"/>
        <v>-3.3975</v>
      </c>
      <c r="I82" s="43">
        <f t="shared" si="75"/>
        <v>-4.875</v>
      </c>
      <c r="J82" s="43">
        <f t="shared" si="75"/>
        <v>-5.4875000000000007</v>
      </c>
      <c r="K82" s="43">
        <f t="shared" si="75"/>
        <v>-6.8668951670954188</v>
      </c>
      <c r="L82" s="43">
        <f t="shared" ca="1" si="75"/>
        <v>-7.9061485958504267</v>
      </c>
      <c r="M82" s="43">
        <f t="shared" ca="1" si="75"/>
        <v>-8.3003726542835299</v>
      </c>
      <c r="N82" s="43">
        <f t="shared" ca="1" si="75"/>
        <v>-9.2688233263716313</v>
      </c>
      <c r="O82" s="43">
        <f t="shared" ca="1" si="75"/>
        <v>-10.003138634173439</v>
      </c>
      <c r="P82" s="43">
        <f t="shared" ca="1" si="75"/>
        <v>-10.932905807749286</v>
      </c>
      <c r="Q82" s="43">
        <f t="shared" ca="1" si="75"/>
        <v>-11.003138634173439</v>
      </c>
      <c r="R82" s="43">
        <f t="shared" ca="1" si="75"/>
        <v>-12.932905807749286</v>
      </c>
      <c r="S82" s="43">
        <f t="shared" ca="1" si="75"/>
        <v>-11.003138634173439</v>
      </c>
      <c r="T82" s="43">
        <f t="shared" ca="1" si="75"/>
        <v>-12.932905807749286</v>
      </c>
      <c r="U82" s="43">
        <f t="shared" ca="1" si="75"/>
        <v>-11.003138634173439</v>
      </c>
      <c r="V82" s="43">
        <f t="shared" ca="1" si="75"/>
        <v>-12.932905807749286</v>
      </c>
      <c r="W82" s="43">
        <f t="shared" ca="1" si="75"/>
        <v>-10.003138634173439</v>
      </c>
      <c r="X82" s="43">
        <f t="shared" ca="1" si="75"/>
        <v>-11.007905807749287</v>
      </c>
      <c r="Y82" s="43">
        <f t="shared" ca="1" si="75"/>
        <v>-11.078138634173442</v>
      </c>
      <c r="Z82" s="43">
        <f t="shared" ca="1" si="75"/>
        <v>-13.007905807749287</v>
      </c>
      <c r="AA82" s="43">
        <f t="shared" ca="1" si="75"/>
        <v>-11.078138634173442</v>
      </c>
      <c r="AB82" s="43">
        <f t="shared" ca="1" si="75"/>
        <v>-13.007905807749287</v>
      </c>
      <c r="AC82" s="43">
        <f t="shared" ca="1" si="75"/>
        <v>-11.07813863417344</v>
      </c>
      <c r="AD82" s="43">
        <f t="shared" ca="1" si="75"/>
        <v>-13.007905807749287</v>
      </c>
      <c r="AE82" s="43">
        <f t="shared" ca="1" si="75"/>
        <v>-10.078138634173442</v>
      </c>
      <c r="AF82" s="43">
        <f t="shared" ca="1" si="75"/>
        <v>-11.007905807749287</v>
      </c>
      <c r="AG82" s="43">
        <f t="shared" ca="1" si="75"/>
        <v>-11.078138634173442</v>
      </c>
      <c r="AH82" s="265">
        <f t="shared" ca="1" si="74"/>
        <v>-272.98727835507901</v>
      </c>
      <c r="AI82" s="155" t="s">
        <v>279</v>
      </c>
      <c r="AJ82" s="142"/>
      <c r="AK82" s="21"/>
      <c r="AL82" s="21"/>
      <c r="AM82" s="19"/>
      <c r="AN82" s="19"/>
    </row>
    <row r="83" spans="1:40">
      <c r="B83" s="71" t="s">
        <v>418</v>
      </c>
      <c r="C83" s="40">
        <f>(C84+C85)*$AA$13</f>
        <v>-1.0774999999999999</v>
      </c>
      <c r="D83" s="40">
        <f t="shared" ref="D83:AG83" si="76">(D84+D85)*$AA$13</f>
        <v>-1.1325000000000001</v>
      </c>
      <c r="E83" s="40">
        <f t="shared" si="76"/>
        <v>-1.1575</v>
      </c>
      <c r="F83" s="40">
        <f t="shared" si="76"/>
        <v>-2.3425000000000002</v>
      </c>
      <c r="G83" s="40">
        <f t="shared" si="76"/>
        <v>-2.9975000000000001</v>
      </c>
      <c r="H83" s="40">
        <f t="shared" si="76"/>
        <v>-3.3975</v>
      </c>
      <c r="I83" s="40">
        <f t="shared" si="76"/>
        <v>-4.6749999999999998</v>
      </c>
      <c r="J83" s="40">
        <f t="shared" si="76"/>
        <v>-4.8875000000000002</v>
      </c>
      <c r="K83" s="40">
        <f t="shared" si="76"/>
        <v>-5.08</v>
      </c>
      <c r="L83" s="40">
        <f t="shared" ca="1" si="76"/>
        <v>-5.2549999999999999</v>
      </c>
      <c r="M83" s="40">
        <f t="shared" ca="1" si="76"/>
        <v>-5.3674999999999997</v>
      </c>
      <c r="N83" s="40">
        <f t="shared" ca="1" si="76"/>
        <v>-5.5274999999999999</v>
      </c>
      <c r="O83" s="40">
        <f t="shared" ca="1" si="76"/>
        <v>-5.5274999999999999</v>
      </c>
      <c r="P83" s="40">
        <f t="shared" ca="1" si="76"/>
        <v>-5.5274999999999999</v>
      </c>
      <c r="Q83" s="40">
        <f t="shared" ca="1" si="76"/>
        <v>-5.5274999999999999</v>
      </c>
      <c r="R83" s="40">
        <f t="shared" ca="1" si="76"/>
        <v>-5.5274999999999999</v>
      </c>
      <c r="S83" s="40">
        <f t="shared" ca="1" si="76"/>
        <v>-5.5274999999999999</v>
      </c>
      <c r="T83" s="40">
        <f t="shared" ca="1" si="76"/>
        <v>-5.5274999999999999</v>
      </c>
      <c r="U83" s="40">
        <f t="shared" ca="1" si="76"/>
        <v>-5.5274999999999999</v>
      </c>
      <c r="V83" s="40">
        <f t="shared" ca="1" si="76"/>
        <v>-5.5274999999999999</v>
      </c>
      <c r="W83" s="40">
        <f t="shared" ca="1" si="76"/>
        <v>-5.5274999999999999</v>
      </c>
      <c r="X83" s="40">
        <f t="shared" ca="1" si="76"/>
        <v>-5.6025</v>
      </c>
      <c r="Y83" s="40">
        <f t="shared" ca="1" si="76"/>
        <v>-5.6025</v>
      </c>
      <c r="Z83" s="40">
        <f t="shared" ca="1" si="76"/>
        <v>-5.6025</v>
      </c>
      <c r="AA83" s="40">
        <f t="shared" ca="1" si="76"/>
        <v>-5.6025</v>
      </c>
      <c r="AB83" s="40">
        <f t="shared" ca="1" si="76"/>
        <v>-5.6025</v>
      </c>
      <c r="AC83" s="40">
        <f t="shared" ca="1" si="76"/>
        <v>-5.6025</v>
      </c>
      <c r="AD83" s="40">
        <f t="shared" ca="1" si="76"/>
        <v>-5.6025</v>
      </c>
      <c r="AE83" s="40">
        <f t="shared" ca="1" si="76"/>
        <v>-5.6025</v>
      </c>
      <c r="AF83" s="40">
        <f t="shared" ca="1" si="76"/>
        <v>-5.6025</v>
      </c>
      <c r="AG83" s="40">
        <f t="shared" ca="1" si="76"/>
        <v>-5.6025</v>
      </c>
      <c r="AH83" s="157">
        <f t="shared" ca="1" si="74"/>
        <v>-148.67000000000004</v>
      </c>
      <c r="AI83" s="155" t="s">
        <v>279</v>
      </c>
      <c r="AJ83" s="142"/>
      <c r="AK83" s="21"/>
      <c r="AL83" s="21"/>
      <c r="AM83" s="19"/>
      <c r="AN83" s="19"/>
    </row>
    <row r="84" spans="1:40">
      <c r="B84" s="71" t="s">
        <v>477</v>
      </c>
      <c r="C84" s="82">
        <f>IF(C111="C/I",0,'Project-definition'!C82)</f>
        <v>-1</v>
      </c>
      <c r="D84" s="82">
        <f>IF(D111="C/I",0,'Project-definition'!D82)</f>
        <v>-1</v>
      </c>
      <c r="E84" s="82">
        <f>IF(E111="C/I",0,'Project-definition'!E82)</f>
        <v>-1</v>
      </c>
      <c r="F84" s="82">
        <f>IF(F111="C/I",0,'Project-definition'!F82)</f>
        <v>-2</v>
      </c>
      <c r="G84" s="82">
        <f>IF(G111="C/I",0,'Project-definition'!G82)</f>
        <v>-2</v>
      </c>
      <c r="H84" s="82">
        <f>IF(H111="C/I",0,'Project-definition'!H82)</f>
        <v>-2</v>
      </c>
      <c r="I84" s="82">
        <f>IF(I111="C/I",0,'Project-definition'!I82)</f>
        <v>-3</v>
      </c>
      <c r="J84" s="82">
        <f>IF(J111="C/I",0,'Project-definition'!J82)</f>
        <v>-3</v>
      </c>
      <c r="K84" s="82">
        <f>IF(K111="C/I",0,'Project-definition'!K82)</f>
        <v>-3</v>
      </c>
      <c r="L84" s="82">
        <f ca="1">IF(L111="C/I",0,'Project-definition'!L82)</f>
        <v>-3</v>
      </c>
      <c r="M84" s="82">
        <f ca="1">IF(M111="C/I",0,'Project-definition'!M82)</f>
        <v>-3</v>
      </c>
      <c r="N84" s="82">
        <f ca="1">IF(N111="C/I",0,'Project-definition'!N82)</f>
        <v>-3</v>
      </c>
      <c r="O84" s="82">
        <f ca="1">IF(O111="C/I",0,'Project-definition'!O82)</f>
        <v>-3</v>
      </c>
      <c r="P84" s="82">
        <f ca="1">IF(P111="C/I",0,'Project-definition'!P82)</f>
        <v>-3</v>
      </c>
      <c r="Q84" s="82">
        <f ca="1">IF(Q111="C/I",0,'Project-definition'!Q82)</f>
        <v>-3</v>
      </c>
      <c r="R84" s="82">
        <f ca="1">IF(R111="C/I",0,'Project-definition'!R82)</f>
        <v>-3</v>
      </c>
      <c r="S84" s="82">
        <f ca="1">IF(S111="C/I",0,'Project-definition'!S82)</f>
        <v>-3</v>
      </c>
      <c r="T84" s="82">
        <f ca="1">IF(T111="C/I",0,'Project-definition'!T82)</f>
        <v>-3</v>
      </c>
      <c r="U84" s="82">
        <f ca="1">IF(U111="C/I",0,'Project-definition'!U82)</f>
        <v>-3</v>
      </c>
      <c r="V84" s="82">
        <f ca="1">IF(V111="C/I",0,'Project-definition'!V82)</f>
        <v>-3</v>
      </c>
      <c r="W84" s="82">
        <f ca="1">IF(W111="C/I",0,'Project-definition'!W82)</f>
        <v>-3</v>
      </c>
      <c r="X84" s="82">
        <f ca="1">IF(X111="C/I",0,'Project-definition'!X82)</f>
        <v>-3</v>
      </c>
      <c r="Y84" s="82">
        <f ca="1">IF(Y111="C/I",0,'Project-definition'!Y82)</f>
        <v>-3</v>
      </c>
      <c r="Z84" s="82">
        <f ca="1">IF(Z111="C/I",0,'Project-definition'!Z82)</f>
        <v>-3</v>
      </c>
      <c r="AA84" s="82">
        <f ca="1">IF(AA111="C/I",0,'Project-definition'!AA82)</f>
        <v>-3</v>
      </c>
      <c r="AB84" s="82">
        <f ca="1">IF(AB111="C/I",0,'Project-definition'!AB82)</f>
        <v>-3</v>
      </c>
      <c r="AC84" s="82">
        <f ca="1">IF(AC111="C/I",0,'Project-definition'!AC82)</f>
        <v>-3</v>
      </c>
      <c r="AD84" s="82">
        <f ca="1">IF(AD111="C/I",0,'Project-definition'!AD82)</f>
        <v>-3</v>
      </c>
      <c r="AE84" s="82">
        <f ca="1">IF(AE111="C/I",0,'Project-definition'!AE82)</f>
        <v>-3</v>
      </c>
      <c r="AF84" s="82">
        <f ca="1">IF(AF111="C/I",0,'Project-definition'!AF82)</f>
        <v>-3</v>
      </c>
      <c r="AG84" s="82">
        <f ca="1">IF(AG111="C/I",0,'Project-definition'!AG82)</f>
        <v>-3</v>
      </c>
      <c r="AH84" s="159">
        <f t="shared" ca="1" si="74"/>
        <v>-84</v>
      </c>
      <c r="AI84" s="155" t="s">
        <v>279</v>
      </c>
      <c r="AJ84" s="142"/>
      <c r="AK84" s="21"/>
      <c r="AL84" s="21"/>
      <c r="AM84" s="19"/>
      <c r="AN84" s="19"/>
    </row>
    <row r="85" spans="1:40">
      <c r="B85" s="71" t="s">
        <v>1344</v>
      </c>
      <c r="C85" s="82">
        <f>IF(C111="C/I",0,IF($AA$14="Time  series",'Project-definition'!C83,IF($AA$14="Fraction",$AA$15*CumCF!C13,-$AA$15)))</f>
        <v>-7.7499999999999999E-2</v>
      </c>
      <c r="D85" s="82">
        <f>IF(D111="C/I",0,IF($AA$14="Time  series",'Project-definition'!D83,IF($AA$14="Fraction",$AA$15*CumCF!D13,-$AA$15)))</f>
        <v>-0.13250000000000001</v>
      </c>
      <c r="E85" s="82">
        <f>IF(E111="C/I",0,IF($AA$14="Time  series",'Project-definition'!E83,IF($AA$14="Fraction",$AA$15*CumCF!E13,-$AA$15)))</f>
        <v>-0.1575</v>
      </c>
      <c r="F85" s="82">
        <f>IF(F111="C/I",0,IF($AA$14="Time  series",'Project-definition'!F83,IF($AA$14="Fraction",$AA$15*CumCF!F13,-$AA$15)))</f>
        <v>-0.34250000000000003</v>
      </c>
      <c r="G85" s="82">
        <f>IF(G111="C/I",0,IF($AA$14="Time  series",'Project-definition'!G83,IF($AA$14="Fraction",$AA$15*CumCF!G13,-$AA$15)))</f>
        <v>-0.99750000000000005</v>
      </c>
      <c r="H85" s="82">
        <f>IF(H111="C/I",0,IF($AA$14="Time  series",'Project-definition'!H83,IF($AA$14="Fraction",$AA$15*CumCF!H13,-$AA$15)))</f>
        <v>-1.3975</v>
      </c>
      <c r="I85" s="82">
        <f>IF(I111="C/I",0,IF($AA$14="Time  series",'Project-definition'!I83,IF($AA$14="Fraction",$AA$15*CumCF!I13,-$AA$15)))</f>
        <v>-1.675</v>
      </c>
      <c r="J85" s="82">
        <f>IF(J111="C/I",0,IF($AA$14="Time  series",'Project-definition'!J83,IF($AA$14="Fraction",$AA$15*CumCF!J13,-$AA$15)))</f>
        <v>-1.8875</v>
      </c>
      <c r="K85" s="82">
        <f>IF(K111="C/I",0,IF($AA$14="Time  series",'Project-definition'!K83,IF($AA$14="Fraction",$AA$15*CumCF!K13,-$AA$15)))</f>
        <v>-2.08</v>
      </c>
      <c r="L85" s="82">
        <f ca="1">IF(L111="C/I",0,IF($AA$14="Time  series",'Project-definition'!L83,IF($AA$14="Fraction",$AA$15*CumCF!L13,-$AA$15)))</f>
        <v>-2.2549999999999999</v>
      </c>
      <c r="M85" s="82">
        <f ca="1">IF(M111="C/I",0,IF($AA$14="Time  series",'Project-definition'!M83,IF($AA$14="Fraction",$AA$15*CumCF!M13,-$AA$15)))</f>
        <v>-2.3675000000000002</v>
      </c>
      <c r="N85" s="82">
        <f ca="1">IF(N111="C/I",0,IF($AA$14="Time  series",'Project-definition'!N83,IF($AA$14="Fraction",$AA$15*CumCF!N13,-$AA$15)))</f>
        <v>-2.5274999999999999</v>
      </c>
      <c r="O85" s="82">
        <f ca="1">IF(O111="C/I",0,IF($AA$14="Time  series",'Project-definition'!O83,IF($AA$14="Fraction",$AA$15*CumCF!O13,-$AA$15)))</f>
        <v>-2.5274999999999999</v>
      </c>
      <c r="P85" s="82">
        <f ca="1">IF(P111="C/I",0,IF($AA$14="Time  series",'Project-definition'!P83,IF($AA$14="Fraction",$AA$15*CumCF!P13,-$AA$15)))</f>
        <v>-2.5274999999999999</v>
      </c>
      <c r="Q85" s="82">
        <f ca="1">IF(Q111="C/I",0,IF($AA$14="Time  series",'Project-definition'!Q83,IF($AA$14="Fraction",$AA$15*CumCF!Q13,-$AA$15)))</f>
        <v>-2.5274999999999999</v>
      </c>
      <c r="R85" s="82">
        <f ca="1">IF(R111="C/I",0,IF($AA$14="Time  series",'Project-definition'!R83,IF($AA$14="Fraction",$AA$15*CumCF!R13,-$AA$15)))</f>
        <v>-2.5274999999999999</v>
      </c>
      <c r="S85" s="82">
        <f ca="1">IF(S111="C/I",0,IF($AA$14="Time  series",'Project-definition'!S83,IF($AA$14="Fraction",$AA$15*CumCF!S13,-$AA$15)))</f>
        <v>-2.5274999999999999</v>
      </c>
      <c r="T85" s="82">
        <f ca="1">IF(T111="C/I",0,IF($AA$14="Time  series",'Project-definition'!T83,IF($AA$14="Fraction",$AA$15*CumCF!T13,-$AA$15)))</f>
        <v>-2.5274999999999999</v>
      </c>
      <c r="U85" s="82">
        <f ca="1">IF(U111="C/I",0,IF($AA$14="Time  series",'Project-definition'!U83,IF($AA$14="Fraction",$AA$15*CumCF!U13,-$AA$15)))</f>
        <v>-2.5274999999999999</v>
      </c>
      <c r="V85" s="82">
        <f ca="1">IF(V111="C/I",0,IF($AA$14="Time  series",'Project-definition'!V83,IF($AA$14="Fraction",$AA$15*CumCF!V13,-$AA$15)))</f>
        <v>-2.5274999999999999</v>
      </c>
      <c r="W85" s="82">
        <f ca="1">IF(W111="C/I",0,IF($AA$14="Time  series",'Project-definition'!W83,IF($AA$14="Fraction",$AA$15*CumCF!W13,-$AA$15)))</f>
        <v>-2.5274999999999999</v>
      </c>
      <c r="X85" s="82">
        <f ca="1">IF(X111="C/I",0,IF($AA$14="Time  series",'Project-definition'!X83,IF($AA$14="Fraction",$AA$15*CumCF!X13,-$AA$15)))</f>
        <v>-2.6025</v>
      </c>
      <c r="Y85" s="82">
        <f ca="1">IF(Y111="C/I",0,IF($AA$14="Time  series",'Project-definition'!Y83,IF($AA$14="Fraction",$AA$15*CumCF!Y13,-$AA$15)))</f>
        <v>-2.6025</v>
      </c>
      <c r="Z85" s="82">
        <f ca="1">IF(Z111="C/I",0,IF($AA$14="Time  series",'Project-definition'!Z83,IF($AA$14="Fraction",$AA$15*CumCF!Z13,-$AA$15)))</f>
        <v>-2.6025</v>
      </c>
      <c r="AA85" s="82">
        <f ca="1">IF(AA111="C/I",0,IF($AA$14="Time  series",'Project-definition'!AA83,IF($AA$14="Fraction",$AA$15*CumCF!AA13,-$AA$15)))</f>
        <v>-2.6025</v>
      </c>
      <c r="AB85" s="82">
        <f ca="1">IF(AB111="C/I",0,IF($AA$14="Time  series",'Project-definition'!AB83,IF($AA$14="Fraction",$AA$15*CumCF!AB13,-$AA$15)))</f>
        <v>-2.6025</v>
      </c>
      <c r="AC85" s="82">
        <f ca="1">IF(AC111="C/I",0,IF($AA$14="Time  series",'Project-definition'!AC83,IF($AA$14="Fraction",$AA$15*CumCF!AC13,-$AA$15)))</f>
        <v>-2.6025</v>
      </c>
      <c r="AD85" s="82">
        <f ca="1">IF(AD111="C/I",0,IF($AA$14="Time  series",'Project-definition'!AD83,IF($AA$14="Fraction",$AA$15*CumCF!AD13,-$AA$15)))</f>
        <v>-2.6025</v>
      </c>
      <c r="AE85" s="82">
        <f ca="1">IF(AE111="C/I",0,IF($AA$14="Time  series",'Project-definition'!AE83,IF($AA$14="Fraction",$AA$15*CumCF!AE13,-$AA$15)))</f>
        <v>-2.6025</v>
      </c>
      <c r="AF85" s="82">
        <f ca="1">IF(AF111="C/I",0,IF($AA$14="Time  series",'Project-definition'!AF83,IF($AA$14="Fraction",$AA$15*CumCF!AF13,-$AA$15)))</f>
        <v>-2.6025</v>
      </c>
      <c r="AG85" s="82">
        <f ca="1">IF(AG111="C/I",0,IF($AA$14="Time  series",'Project-definition'!AG83,IF($AA$14="Fraction",$AA$15*CumCF!AG13,-$AA$15)))</f>
        <v>-2.6025</v>
      </c>
      <c r="AH85" s="159">
        <f t="shared" ca="1" si="74"/>
        <v>-64.67</v>
      </c>
      <c r="AI85" s="155" t="s">
        <v>279</v>
      </c>
      <c r="AJ85" s="142"/>
      <c r="AK85" s="21"/>
      <c r="AL85" s="21"/>
      <c r="AM85" s="19"/>
      <c r="AN85" s="19"/>
    </row>
    <row r="86" spans="1:40">
      <c r="B86" s="71" t="s">
        <v>1353</v>
      </c>
      <c r="C86" s="41">
        <f t="shared" ref="C86:AG86" si="77">-$AA$5*C37/10^6</f>
        <v>0</v>
      </c>
      <c r="D86" s="41">
        <f t="shared" si="77"/>
        <v>0</v>
      </c>
      <c r="E86" s="41">
        <f t="shared" si="77"/>
        <v>0</v>
      </c>
      <c r="F86" s="41">
        <f t="shared" si="77"/>
        <v>0</v>
      </c>
      <c r="G86" s="41">
        <f t="shared" si="77"/>
        <v>0</v>
      </c>
      <c r="H86" s="41">
        <f t="shared" si="77"/>
        <v>0</v>
      </c>
      <c r="I86" s="41">
        <f t="shared" si="77"/>
        <v>0</v>
      </c>
      <c r="J86" s="41">
        <f t="shared" si="77"/>
        <v>0</v>
      </c>
      <c r="K86" s="41">
        <f t="shared" si="77"/>
        <v>-0.98689516709541847</v>
      </c>
      <c r="L86" s="41">
        <f t="shared" ca="1" si="77"/>
        <v>-1.4511485958504264</v>
      </c>
      <c r="M86" s="41">
        <f t="shared" ca="1" si="77"/>
        <v>-1.5328726542835305</v>
      </c>
      <c r="N86" s="41">
        <f t="shared" ca="1" si="77"/>
        <v>-1.9413233263716314</v>
      </c>
      <c r="O86" s="41">
        <f t="shared" ca="1" si="77"/>
        <v>-1.6756386341734406</v>
      </c>
      <c r="P86" s="41">
        <f t="shared" ca="1" si="77"/>
        <v>-1.605405807749287</v>
      </c>
      <c r="Q86" s="41">
        <f t="shared" ca="1" si="77"/>
        <v>-1.6756386341734404</v>
      </c>
      <c r="R86" s="41">
        <f t="shared" ca="1" si="77"/>
        <v>-1.605405807749287</v>
      </c>
      <c r="S86" s="41">
        <f t="shared" ca="1" si="77"/>
        <v>-1.6756386341734406</v>
      </c>
      <c r="T86" s="41">
        <f t="shared" ca="1" si="77"/>
        <v>-1.605405807749287</v>
      </c>
      <c r="U86" s="41">
        <f t="shared" ca="1" si="77"/>
        <v>-1.6756386341734406</v>
      </c>
      <c r="V86" s="41">
        <f t="shared" ca="1" si="77"/>
        <v>-1.605405807749287</v>
      </c>
      <c r="W86" s="41">
        <f t="shared" ca="1" si="77"/>
        <v>-1.6756386341734404</v>
      </c>
      <c r="X86" s="41">
        <f t="shared" ca="1" si="77"/>
        <v>-1.605405807749287</v>
      </c>
      <c r="Y86" s="41">
        <f t="shared" ca="1" si="77"/>
        <v>-1.6756386341734406</v>
      </c>
      <c r="Z86" s="41">
        <f t="shared" ca="1" si="77"/>
        <v>-1.605405807749287</v>
      </c>
      <c r="AA86" s="41">
        <f t="shared" ca="1" si="77"/>
        <v>-1.6756386341734406</v>
      </c>
      <c r="AB86" s="41">
        <f t="shared" ca="1" si="77"/>
        <v>-1.605405807749287</v>
      </c>
      <c r="AC86" s="41">
        <f t="shared" ca="1" si="77"/>
        <v>-1.6756386341734404</v>
      </c>
      <c r="AD86" s="41">
        <f t="shared" ca="1" si="77"/>
        <v>-1.605405807749287</v>
      </c>
      <c r="AE86" s="41">
        <f t="shared" ca="1" si="77"/>
        <v>-1.6756386341734406</v>
      </c>
      <c r="AF86" s="41">
        <f t="shared" ca="1" si="77"/>
        <v>-1.605405807749287</v>
      </c>
      <c r="AG86" s="41">
        <f t="shared" ca="1" si="77"/>
        <v>-1.6756386341734406</v>
      </c>
      <c r="AH86" s="265">
        <f t="shared" ca="1" si="74"/>
        <v>-37.117278355078987</v>
      </c>
      <c r="AI86" s="309" t="s">
        <v>530</v>
      </c>
      <c r="AJ86" s="142"/>
      <c r="AK86" s="21"/>
      <c r="AL86" s="21"/>
      <c r="AM86" s="19"/>
      <c r="AN86" s="19"/>
    </row>
    <row r="87" spans="1:40">
      <c r="B87" s="55" t="s">
        <v>478</v>
      </c>
      <c r="C87" s="59">
        <f>C127+C128+C130+C131</f>
        <v>0</v>
      </c>
      <c r="D87" s="59">
        <f t="shared" ref="D87:AG87" si="78">D127+D128+D130+D131</f>
        <v>0</v>
      </c>
      <c r="E87" s="59">
        <f t="shared" si="78"/>
        <v>0</v>
      </c>
      <c r="F87" s="59">
        <f t="shared" si="78"/>
        <v>0</v>
      </c>
      <c r="G87" s="59">
        <f t="shared" si="78"/>
        <v>0</v>
      </c>
      <c r="H87" s="59">
        <f t="shared" si="78"/>
        <v>0</v>
      </c>
      <c r="I87" s="59">
        <f t="shared" si="78"/>
        <v>-0.2</v>
      </c>
      <c r="J87" s="59">
        <f t="shared" si="78"/>
        <v>-0.60000000000000009</v>
      </c>
      <c r="K87" s="59">
        <f t="shared" si="78"/>
        <v>-0.8</v>
      </c>
      <c r="L87" s="59">
        <f t="shared" ca="1" si="78"/>
        <v>-1.2000000000000002</v>
      </c>
      <c r="M87" s="59">
        <f t="shared" ca="1" si="78"/>
        <v>-1.4000000000000001</v>
      </c>
      <c r="N87" s="59">
        <f t="shared" ca="1" si="78"/>
        <v>-1.8</v>
      </c>
      <c r="O87" s="59">
        <f t="shared" ca="1" si="78"/>
        <v>-2.8</v>
      </c>
      <c r="P87" s="59">
        <f t="shared" ca="1" si="78"/>
        <v>-3.8</v>
      </c>
      <c r="Q87" s="59">
        <f t="shared" ca="1" si="78"/>
        <v>-3.8</v>
      </c>
      <c r="R87" s="59">
        <f t="shared" ca="1" si="78"/>
        <v>-5.8</v>
      </c>
      <c r="S87" s="59">
        <f t="shared" ca="1" si="78"/>
        <v>-3.8</v>
      </c>
      <c r="T87" s="59">
        <f t="shared" ca="1" si="78"/>
        <v>-5.8</v>
      </c>
      <c r="U87" s="59">
        <f t="shared" ca="1" si="78"/>
        <v>-3.8</v>
      </c>
      <c r="V87" s="59">
        <f t="shared" ca="1" si="78"/>
        <v>-5.8</v>
      </c>
      <c r="W87" s="59">
        <f t="shared" ca="1" si="78"/>
        <v>-2.8</v>
      </c>
      <c r="X87" s="59">
        <f t="shared" ca="1" si="78"/>
        <v>-3.8</v>
      </c>
      <c r="Y87" s="59">
        <f t="shared" ca="1" si="78"/>
        <v>-3.8</v>
      </c>
      <c r="Z87" s="59">
        <f t="shared" ca="1" si="78"/>
        <v>-5.8</v>
      </c>
      <c r="AA87" s="59">
        <f t="shared" ca="1" si="78"/>
        <v>-3.8</v>
      </c>
      <c r="AB87" s="59">
        <f t="shared" ca="1" si="78"/>
        <v>-5.8</v>
      </c>
      <c r="AC87" s="59">
        <f t="shared" ca="1" si="78"/>
        <v>-3.8</v>
      </c>
      <c r="AD87" s="59">
        <f t="shared" ca="1" si="78"/>
        <v>-5.8</v>
      </c>
      <c r="AE87" s="59">
        <f t="shared" ca="1" si="78"/>
        <v>-2.8</v>
      </c>
      <c r="AF87" s="59">
        <f t="shared" ca="1" si="78"/>
        <v>-3.8</v>
      </c>
      <c r="AG87" s="59">
        <f t="shared" ca="1" si="78"/>
        <v>-3.8</v>
      </c>
      <c r="AH87" s="265">
        <f t="shared" ca="1" si="74"/>
        <v>-87.199999999999974</v>
      </c>
      <c r="AI87" s="155" t="s">
        <v>279</v>
      </c>
      <c r="AJ87" s="142"/>
      <c r="AK87" s="21"/>
      <c r="AL87" s="21"/>
      <c r="AM87" s="19"/>
      <c r="AN87" s="19"/>
    </row>
    <row r="88" spans="1:40" ht="13.8" thickBot="1">
      <c r="B88" s="57" t="s">
        <v>1695</v>
      </c>
      <c r="C88" s="45">
        <f t="shared" ref="C88:AG88" si="79">IF(C$111="C/I",IF(C116=0,IF(C80&lt;$C$118,-$AG$8,0),0),0)</f>
        <v>0</v>
      </c>
      <c r="D88" s="45">
        <f t="shared" si="79"/>
        <v>0</v>
      </c>
      <c r="E88" s="45">
        <f t="shared" si="79"/>
        <v>0</v>
      </c>
      <c r="F88" s="45">
        <f t="shared" si="79"/>
        <v>0</v>
      </c>
      <c r="G88" s="45">
        <f t="shared" si="79"/>
        <v>0</v>
      </c>
      <c r="H88" s="45">
        <f t="shared" si="79"/>
        <v>0</v>
      </c>
      <c r="I88" s="45">
        <f t="shared" si="79"/>
        <v>0</v>
      </c>
      <c r="J88" s="45">
        <f t="shared" si="79"/>
        <v>0</v>
      </c>
      <c r="K88" s="45">
        <f t="shared" si="79"/>
        <v>0</v>
      </c>
      <c r="L88" s="45">
        <f t="shared" ca="1" si="79"/>
        <v>0</v>
      </c>
      <c r="M88" s="45">
        <f t="shared" ca="1" si="79"/>
        <v>0</v>
      </c>
      <c r="N88" s="45">
        <f t="shared" ca="1" si="79"/>
        <v>0</v>
      </c>
      <c r="O88" s="45">
        <f t="shared" ca="1" si="79"/>
        <v>0</v>
      </c>
      <c r="P88" s="45">
        <f t="shared" ca="1" si="79"/>
        <v>0</v>
      </c>
      <c r="Q88" s="45">
        <f t="shared" ca="1" si="79"/>
        <v>0</v>
      </c>
      <c r="R88" s="45">
        <f t="shared" ca="1" si="79"/>
        <v>0</v>
      </c>
      <c r="S88" s="45">
        <f t="shared" ca="1" si="79"/>
        <v>0</v>
      </c>
      <c r="T88" s="45">
        <f t="shared" ca="1" si="79"/>
        <v>0</v>
      </c>
      <c r="U88" s="45">
        <f t="shared" ca="1" si="79"/>
        <v>0</v>
      </c>
      <c r="V88" s="45">
        <f t="shared" ca="1" si="79"/>
        <v>0</v>
      </c>
      <c r="W88" s="45">
        <f t="shared" ca="1" si="79"/>
        <v>0</v>
      </c>
      <c r="X88" s="45">
        <f t="shared" ca="1" si="79"/>
        <v>0</v>
      </c>
      <c r="Y88" s="45">
        <f t="shared" ca="1" si="79"/>
        <v>0</v>
      </c>
      <c r="Z88" s="45">
        <f t="shared" ca="1" si="79"/>
        <v>0</v>
      </c>
      <c r="AA88" s="45">
        <f t="shared" ca="1" si="79"/>
        <v>0</v>
      </c>
      <c r="AB88" s="45">
        <f t="shared" ca="1" si="79"/>
        <v>0</v>
      </c>
      <c r="AC88" s="45">
        <f t="shared" ca="1" si="79"/>
        <v>0</v>
      </c>
      <c r="AD88" s="45">
        <f t="shared" ca="1" si="79"/>
        <v>0</v>
      </c>
      <c r="AE88" s="45">
        <f t="shared" ca="1" si="79"/>
        <v>0</v>
      </c>
      <c r="AF88" s="45">
        <f t="shared" ca="1" si="79"/>
        <v>0</v>
      </c>
      <c r="AG88" s="45">
        <f t="shared" ca="1" si="79"/>
        <v>0</v>
      </c>
      <c r="AH88" s="265">
        <f t="shared" ca="1" si="74"/>
        <v>0</v>
      </c>
      <c r="AI88" s="155" t="s">
        <v>279</v>
      </c>
      <c r="AJ88" s="142"/>
      <c r="AK88" s="21"/>
      <c r="AL88" s="21"/>
      <c r="AM88" s="19"/>
      <c r="AN88" s="19"/>
    </row>
    <row r="89" spans="1:40" ht="13.8" thickTop="1">
      <c r="B89" s="35" t="s">
        <v>1135</v>
      </c>
      <c r="C89" s="36">
        <f>C90+C91+C92</f>
        <v>-0.5</v>
      </c>
      <c r="D89" s="36">
        <f t="shared" ref="D89:J89" si="80">D90+D91+D92</f>
        <v>-1</v>
      </c>
      <c r="E89" s="36">
        <f t="shared" si="80"/>
        <v>0</v>
      </c>
      <c r="F89" s="36">
        <f t="shared" si="80"/>
        <v>0</v>
      </c>
      <c r="G89" s="36">
        <f t="shared" si="80"/>
        <v>0</v>
      </c>
      <c r="H89" s="36">
        <f t="shared" si="80"/>
        <v>0</v>
      </c>
      <c r="I89" s="36">
        <f t="shared" si="80"/>
        <v>0</v>
      </c>
      <c r="J89" s="36">
        <f t="shared" si="80"/>
        <v>0</v>
      </c>
      <c r="K89" s="36">
        <f t="shared" ref="K89:AG89" ca="1" si="81">K90+K91+K92</f>
        <v>-1.4370135811431959</v>
      </c>
      <c r="L89" s="36">
        <f t="shared" ca="1" si="81"/>
        <v>-2.1095643765636787</v>
      </c>
      <c r="M89" s="36">
        <f t="shared" ca="1" si="81"/>
        <v>-2.2090833490108812</v>
      </c>
      <c r="N89" s="36">
        <f t="shared" ca="1" si="81"/>
        <v>-2.7937922037068317</v>
      </c>
      <c r="O89" s="36">
        <f t="shared" ca="1" si="81"/>
        <v>-8.6867350355484643</v>
      </c>
      <c r="P89" s="36">
        <f t="shared" ca="1" si="81"/>
        <v>-17.54400109536498</v>
      </c>
      <c r="Q89" s="36">
        <f t="shared" ca="1" si="81"/>
        <v>-20.323754145602866</v>
      </c>
      <c r="R89" s="36">
        <f t="shared" ca="1" si="81"/>
        <v>-20.06539173856498</v>
      </c>
      <c r="S89" s="36">
        <f t="shared" ca="1" si="81"/>
        <v>-22.335529121602875</v>
      </c>
      <c r="T89" s="36">
        <f t="shared" ca="1" si="81"/>
        <v>-21.022411200859299</v>
      </c>
      <c r="U89" s="36">
        <f t="shared" ca="1" si="81"/>
        <v>-22.970720218215774</v>
      </c>
      <c r="V89" s="36">
        <f t="shared" ca="1" si="81"/>
        <v>-21.898059147802719</v>
      </c>
      <c r="W89" s="36">
        <f t="shared" ca="1" si="81"/>
        <v>-23.84796247926873</v>
      </c>
      <c r="X89" s="36">
        <f t="shared" ca="1" si="81"/>
        <v>-22.110854849659347</v>
      </c>
      <c r="Y89" s="36">
        <f t="shared" ca="1" si="81"/>
        <v>-23.226227218586349</v>
      </c>
      <c r="Z89" s="36">
        <f t="shared" ca="1" si="81"/>
        <v>-21.891545594157748</v>
      </c>
      <c r="AA89" s="36">
        <f t="shared" ca="1" si="81"/>
        <v>-23.446518735782526</v>
      </c>
      <c r="AB89" s="36">
        <f t="shared" ca="1" si="81"/>
        <v>-18.312048401153294</v>
      </c>
      <c r="AC89" s="36">
        <f t="shared" ca="1" si="81"/>
        <v>-19.66684045707823</v>
      </c>
      <c r="AD89" s="36">
        <f t="shared" ca="1" si="81"/>
        <v>-18.415257766082501</v>
      </c>
      <c r="AE89" s="36">
        <f t="shared" ca="1" si="81"/>
        <v>-19.988395936170789</v>
      </c>
      <c r="AF89" s="36">
        <f t="shared" ca="1" si="81"/>
        <v>-13.126776251739845</v>
      </c>
      <c r="AG89" s="36">
        <f t="shared" ca="1" si="81"/>
        <v>-13.889190686577951</v>
      </c>
      <c r="AH89" s="236">
        <f t="shared" ca="1" si="74"/>
        <v>-382.81767359024383</v>
      </c>
      <c r="AI89" s="155" t="s">
        <v>279</v>
      </c>
      <c r="AJ89" s="142"/>
      <c r="AK89" s="21"/>
      <c r="AL89" s="21"/>
      <c r="AM89" s="19"/>
      <c r="AN89" s="19"/>
    </row>
    <row r="90" spans="1:40">
      <c r="B90" s="71" t="s">
        <v>134</v>
      </c>
      <c r="C90" s="37">
        <f t="shared" ref="C90:J90" si="82">C99</f>
        <v>0</v>
      </c>
      <c r="D90" s="37">
        <f t="shared" si="82"/>
        <v>0</v>
      </c>
      <c r="E90" s="37">
        <f t="shared" si="82"/>
        <v>0</v>
      </c>
      <c r="F90" s="37">
        <f t="shared" si="82"/>
        <v>0</v>
      </c>
      <c r="G90" s="37">
        <f t="shared" si="82"/>
        <v>0</v>
      </c>
      <c r="H90" s="37">
        <f t="shared" si="82"/>
        <v>0</v>
      </c>
      <c r="I90" s="37">
        <f t="shared" si="82"/>
        <v>0</v>
      </c>
      <c r="J90" s="37">
        <f t="shared" si="82"/>
        <v>0</v>
      </c>
      <c r="K90" s="37">
        <f t="shared" ref="K90:AG90" ca="1" si="83">K99</f>
        <v>-1.4370135811431959</v>
      </c>
      <c r="L90" s="37">
        <f t="shared" ca="1" si="83"/>
        <v>-2.1095643765636787</v>
      </c>
      <c r="M90" s="37">
        <f t="shared" ca="1" si="83"/>
        <v>-2.2090833490108812</v>
      </c>
      <c r="N90" s="37">
        <f t="shared" ca="1" si="83"/>
        <v>-2.7937922037068317</v>
      </c>
      <c r="O90" s="37">
        <f t="shared" ca="1" si="83"/>
        <v>-2.3982444963769307</v>
      </c>
      <c r="P90" s="37">
        <f t="shared" ca="1" si="83"/>
        <v>-2.3103674532456639</v>
      </c>
      <c r="Q90" s="37">
        <f t="shared" ca="1" si="83"/>
        <v>-2.3982444963769303</v>
      </c>
      <c r="R90" s="37">
        <f t="shared" ca="1" si="83"/>
        <v>-2.3103674532456639</v>
      </c>
      <c r="S90" s="37">
        <f t="shared" ca="1" si="83"/>
        <v>-2.3982444963769307</v>
      </c>
      <c r="T90" s="37">
        <f t="shared" ca="1" si="83"/>
        <v>-2.3148152781087838</v>
      </c>
      <c r="U90" s="37">
        <f t="shared" ca="1" si="83"/>
        <v>-2.4073339909781035</v>
      </c>
      <c r="V90" s="37">
        <f t="shared" ca="1" si="83"/>
        <v>-2.3227923636127312</v>
      </c>
      <c r="W90" s="37">
        <f t="shared" ca="1" si="83"/>
        <v>-2.4148632275101907</v>
      </c>
      <c r="X90" s="37">
        <f t="shared" ca="1" si="83"/>
        <v>-2.3284392092360608</v>
      </c>
      <c r="Y90" s="37">
        <f t="shared" ca="1" si="83"/>
        <v>-2.4177965342845193</v>
      </c>
      <c r="Z90" s="37">
        <f t="shared" ca="1" si="83"/>
        <v>-2.3294110950995517</v>
      </c>
      <c r="AA90" s="37">
        <f t="shared" ca="1" si="83"/>
        <v>-2.4181866722114442</v>
      </c>
      <c r="AB90" s="37">
        <f t="shared" ca="1" si="83"/>
        <v>-1.9882931684627836</v>
      </c>
      <c r="AC90" s="37">
        <f t="shared" ca="1" si="83"/>
        <v>-2.0620122832383263</v>
      </c>
      <c r="AD90" s="37">
        <f t="shared" ca="1" si="83"/>
        <v>-1.9876220198199839</v>
      </c>
      <c r="AE90" s="37">
        <f t="shared" ca="1" si="83"/>
        <v>-2.0604742722467413</v>
      </c>
      <c r="AF90" s="37">
        <f t="shared" ca="1" si="83"/>
        <v>-1.4549619839706516</v>
      </c>
      <c r="AG90" s="37">
        <f t="shared" ca="1" si="83"/>
        <v>-1.5052783681019375</v>
      </c>
      <c r="AH90" s="265">
        <f t="shared" ca="1" si="74"/>
        <v>-50.377202372928522</v>
      </c>
      <c r="AI90" s="155" t="s">
        <v>279</v>
      </c>
      <c r="AJ90" s="142"/>
      <c r="AK90" s="21"/>
      <c r="AL90" s="21"/>
      <c r="AM90" s="19"/>
      <c r="AN90" s="19"/>
    </row>
    <row r="91" spans="1:40">
      <c r="B91" s="71" t="s">
        <v>135</v>
      </c>
      <c r="C91" s="75">
        <f t="shared" ref="C91:J91" si="84">C107</f>
        <v>0</v>
      </c>
      <c r="D91" s="75">
        <f t="shared" si="84"/>
        <v>0</v>
      </c>
      <c r="E91" s="75">
        <f t="shared" si="84"/>
        <v>0</v>
      </c>
      <c r="F91" s="75">
        <f t="shared" si="84"/>
        <v>0</v>
      </c>
      <c r="G91" s="75">
        <f t="shared" si="84"/>
        <v>0</v>
      </c>
      <c r="H91" s="75">
        <f t="shared" si="84"/>
        <v>0</v>
      </c>
      <c r="I91" s="75">
        <f t="shared" si="84"/>
        <v>0</v>
      </c>
      <c r="J91" s="75">
        <f t="shared" si="84"/>
        <v>0</v>
      </c>
      <c r="K91" s="75">
        <f t="shared" ref="K91:AG91" ca="1" si="85">K107</f>
        <v>0</v>
      </c>
      <c r="L91" s="75">
        <f t="shared" ca="1" si="85"/>
        <v>0</v>
      </c>
      <c r="M91" s="75">
        <f t="shared" ca="1" si="85"/>
        <v>0</v>
      </c>
      <c r="N91" s="75">
        <f t="shared" ca="1" si="85"/>
        <v>0</v>
      </c>
      <c r="O91" s="75">
        <f t="shared" ca="1" si="85"/>
        <v>-6.2884905391715336</v>
      </c>
      <c r="P91" s="75">
        <f t="shared" ca="1" si="85"/>
        <v>-15.233633642119315</v>
      </c>
      <c r="Q91" s="75">
        <f t="shared" ca="1" si="85"/>
        <v>-17.925509649225937</v>
      </c>
      <c r="R91" s="75">
        <f t="shared" ca="1" si="85"/>
        <v>-17.755024285319315</v>
      </c>
      <c r="S91" s="75">
        <f t="shared" ca="1" si="85"/>
        <v>-19.937284625225946</v>
      </c>
      <c r="T91" s="75">
        <f t="shared" ca="1" si="85"/>
        <v>-18.707595922750514</v>
      </c>
      <c r="U91" s="75">
        <f t="shared" ca="1" si="85"/>
        <v>-20.563386227237672</v>
      </c>
      <c r="V91" s="75">
        <f t="shared" ca="1" si="85"/>
        <v>-19.575266784189989</v>
      </c>
      <c r="W91" s="75">
        <f t="shared" ca="1" si="85"/>
        <v>-21.433099251758541</v>
      </c>
      <c r="X91" s="75">
        <f t="shared" ca="1" si="85"/>
        <v>-19.782415640423288</v>
      </c>
      <c r="Y91" s="75">
        <f t="shared" ca="1" si="85"/>
        <v>-20.808430684301829</v>
      </c>
      <c r="Z91" s="75">
        <f t="shared" ca="1" si="85"/>
        <v>-19.562134499058196</v>
      </c>
      <c r="AA91" s="75">
        <f t="shared" ca="1" si="85"/>
        <v>-21.028332063571082</v>
      </c>
      <c r="AB91" s="75">
        <f t="shared" ca="1" si="85"/>
        <v>-16.323755232690512</v>
      </c>
      <c r="AC91" s="75">
        <f t="shared" ca="1" si="85"/>
        <v>-17.604828173839902</v>
      </c>
      <c r="AD91" s="75">
        <f t="shared" ca="1" si="85"/>
        <v>-16.427635746262517</v>
      </c>
      <c r="AE91" s="75">
        <f t="shared" ca="1" si="85"/>
        <v>-17.92792166392405</v>
      </c>
      <c r="AF91" s="75">
        <f t="shared" ca="1" si="85"/>
        <v>-11.671814267769193</v>
      </c>
      <c r="AG91" s="75">
        <f t="shared" ca="1" si="85"/>
        <v>-12.383912318476014</v>
      </c>
      <c r="AH91" s="265">
        <f t="shared" ca="1" si="74"/>
        <v>-330.94047121731535</v>
      </c>
      <c r="AI91" s="155" t="s">
        <v>279</v>
      </c>
      <c r="AJ91" s="142"/>
      <c r="AK91" s="19"/>
      <c r="AL91" s="19"/>
      <c r="AM91" s="21"/>
      <c r="AN91" s="19"/>
    </row>
    <row r="92" spans="1:40" ht="13.8" thickBot="1">
      <c r="B92" s="46" t="s">
        <v>1232</v>
      </c>
      <c r="C92" s="47">
        <f>Capex!C80</f>
        <v>-0.5</v>
      </c>
      <c r="D92" s="47">
        <f>Capex!D80</f>
        <v>-1</v>
      </c>
      <c r="E92" s="47">
        <f>Capex!E80</f>
        <v>0</v>
      </c>
      <c r="F92" s="47">
        <f>Capex!F80</f>
        <v>0</v>
      </c>
      <c r="G92" s="47">
        <f>Capex!G80</f>
        <v>0</v>
      </c>
      <c r="H92" s="47">
        <f>Capex!H80</f>
        <v>0</v>
      </c>
      <c r="I92" s="47">
        <f>Capex!I80</f>
        <v>0</v>
      </c>
      <c r="J92" s="47">
        <f>Capex!J80</f>
        <v>0</v>
      </c>
      <c r="K92" s="47">
        <f>Capex!K80</f>
        <v>0</v>
      </c>
      <c r="L92" s="47">
        <f ca="1">Capex!L80</f>
        <v>0</v>
      </c>
      <c r="M92" s="47">
        <f ca="1">Capex!M80</f>
        <v>0</v>
      </c>
      <c r="N92" s="47">
        <f ca="1">Capex!N80</f>
        <v>0</v>
      </c>
      <c r="O92" s="47">
        <f ca="1">Capex!O80</f>
        <v>0</v>
      </c>
      <c r="P92" s="47">
        <f ca="1">Capex!P80</f>
        <v>0</v>
      </c>
      <c r="Q92" s="47">
        <f ca="1">Capex!Q80</f>
        <v>0</v>
      </c>
      <c r="R92" s="47">
        <f ca="1">Capex!R80</f>
        <v>0</v>
      </c>
      <c r="S92" s="47">
        <f ca="1">Capex!S80</f>
        <v>0</v>
      </c>
      <c r="T92" s="47">
        <f ca="1">Capex!T80</f>
        <v>0</v>
      </c>
      <c r="U92" s="47">
        <f ca="1">Capex!U80</f>
        <v>0</v>
      </c>
      <c r="V92" s="47">
        <f ca="1">Capex!V80</f>
        <v>0</v>
      </c>
      <c r="W92" s="47">
        <f ca="1">Capex!W80</f>
        <v>0</v>
      </c>
      <c r="X92" s="47">
        <f ca="1">Capex!X80</f>
        <v>0</v>
      </c>
      <c r="Y92" s="47">
        <f ca="1">Capex!Y80</f>
        <v>0</v>
      </c>
      <c r="Z92" s="47">
        <f ca="1">Capex!Z80</f>
        <v>0</v>
      </c>
      <c r="AA92" s="47">
        <f ca="1">Capex!AA80</f>
        <v>0</v>
      </c>
      <c r="AB92" s="47">
        <f ca="1">Capex!AB80</f>
        <v>0</v>
      </c>
      <c r="AC92" s="47">
        <f ca="1">Capex!AC80</f>
        <v>0</v>
      </c>
      <c r="AD92" s="47">
        <f ca="1">Capex!AD80</f>
        <v>0</v>
      </c>
      <c r="AE92" s="47">
        <f ca="1">Capex!AE80</f>
        <v>0</v>
      </c>
      <c r="AF92" s="47">
        <f ca="1">Capex!AF80</f>
        <v>0</v>
      </c>
      <c r="AG92" s="47">
        <f ca="1">Capex!AG80</f>
        <v>0</v>
      </c>
      <c r="AH92" s="157">
        <f t="shared" ca="1" si="74"/>
        <v>-1.5</v>
      </c>
      <c r="AI92" s="155" t="s">
        <v>279</v>
      </c>
      <c r="AJ92" s="142"/>
      <c r="AK92" s="19"/>
      <c r="AL92" s="19"/>
      <c r="AM92" s="21"/>
      <c r="AN92" s="19"/>
    </row>
    <row r="93" spans="1:40" ht="14.4" thickTop="1" thickBot="1">
      <c r="B93" s="552" t="s">
        <v>136</v>
      </c>
      <c r="C93" s="48">
        <f t="shared" ref="C93:J93" si="86">C81+C82+C89</f>
        <v>-17.077500000000001</v>
      </c>
      <c r="D93" s="48">
        <f t="shared" si="86"/>
        <v>-13.1325</v>
      </c>
      <c r="E93" s="48">
        <f t="shared" si="86"/>
        <v>-6.1574999999999998</v>
      </c>
      <c r="F93" s="48">
        <f t="shared" si="86"/>
        <v>-39.342500000000001</v>
      </c>
      <c r="G93" s="48">
        <f t="shared" si="86"/>
        <v>-133.9975</v>
      </c>
      <c r="H93" s="48">
        <f t="shared" si="86"/>
        <v>-83.397499999999994</v>
      </c>
      <c r="I93" s="48">
        <f t="shared" si="86"/>
        <v>-60.375</v>
      </c>
      <c r="J93" s="48">
        <f t="shared" si="86"/>
        <v>-47.987499999999997</v>
      </c>
      <c r="K93" s="48">
        <f t="shared" ref="K93:AG93" ca="1" si="87">K81+K82+K89</f>
        <v>-46.803908748238619</v>
      </c>
      <c r="L93" s="48">
        <f t="shared" ca="1" si="87"/>
        <v>-45.015712972414107</v>
      </c>
      <c r="M93" s="48">
        <f t="shared" ca="1" si="87"/>
        <v>-33.00945600329441</v>
      </c>
      <c r="N93" s="48">
        <f t="shared" ca="1" si="87"/>
        <v>-44.06261553007846</v>
      </c>
      <c r="O93" s="48">
        <f t="shared" ca="1" si="87"/>
        <v>-18.689873669721905</v>
      </c>
      <c r="P93" s="48">
        <f t="shared" ca="1" si="87"/>
        <v>-28.476906903114266</v>
      </c>
      <c r="Q93" s="48">
        <f t="shared" ca="1" si="87"/>
        <v>-31.326892779776305</v>
      </c>
      <c r="R93" s="48">
        <f t="shared" ca="1" si="87"/>
        <v>-32.998297546314262</v>
      </c>
      <c r="S93" s="48">
        <f t="shared" ca="1" si="87"/>
        <v>-33.338667755776314</v>
      </c>
      <c r="T93" s="48">
        <f t="shared" ca="1" si="87"/>
        <v>-33.955317008608588</v>
      </c>
      <c r="U93" s="48">
        <f t="shared" ca="1" si="87"/>
        <v>-33.973858852389213</v>
      </c>
      <c r="V93" s="48">
        <f t="shared" ca="1" si="87"/>
        <v>-34.830964955552005</v>
      </c>
      <c r="W93" s="48">
        <f t="shared" ca="1" si="87"/>
        <v>-33.851101113442169</v>
      </c>
      <c r="X93" s="48">
        <f t="shared" ca="1" si="87"/>
        <v>-48.118760657408636</v>
      </c>
      <c r="Y93" s="48">
        <f t="shared" ca="1" si="87"/>
        <v>-34.304365852759787</v>
      </c>
      <c r="Z93" s="48">
        <f t="shared" ca="1" si="87"/>
        <v>-34.899451401907037</v>
      </c>
      <c r="AA93" s="48">
        <f t="shared" ca="1" si="87"/>
        <v>-34.524657369955968</v>
      </c>
      <c r="AB93" s="48">
        <f t="shared" ca="1" si="87"/>
        <v>-31.31995420890258</v>
      </c>
      <c r="AC93" s="48">
        <f t="shared" ca="1" si="87"/>
        <v>-30.744979091251672</v>
      </c>
      <c r="AD93" s="48">
        <f t="shared" ca="1" si="87"/>
        <v>-31.423163573831786</v>
      </c>
      <c r="AE93" s="48">
        <f t="shared" ca="1" si="87"/>
        <v>-30.066534570344231</v>
      </c>
      <c r="AF93" s="48">
        <f t="shared" ca="1" si="87"/>
        <v>-24.13468205948913</v>
      </c>
      <c r="AG93" s="48">
        <f t="shared" ca="1" si="87"/>
        <v>-24.967329320751393</v>
      </c>
      <c r="AH93" s="265">
        <f t="shared" ca="1" si="74"/>
        <v>-1176.3049519453227</v>
      </c>
      <c r="AI93" s="155" t="s">
        <v>279</v>
      </c>
      <c r="AJ93" s="142"/>
      <c r="AK93" s="19"/>
      <c r="AL93" s="19"/>
      <c r="AM93" s="21"/>
      <c r="AN93" s="19"/>
    </row>
    <row r="94" spans="1:40" ht="14.4" thickTop="1" thickBot="1">
      <c r="B94" s="165"/>
      <c r="C94" s="166"/>
      <c r="D94" s="165"/>
      <c r="E94" s="165"/>
      <c r="F94" s="165"/>
      <c r="G94" s="165"/>
      <c r="H94" s="165"/>
      <c r="I94" s="165"/>
      <c r="J94" s="167"/>
      <c r="K94" s="168"/>
      <c r="L94" s="167"/>
      <c r="M94" s="168"/>
      <c r="N94" s="165"/>
      <c r="O94" s="165"/>
      <c r="P94" s="165"/>
      <c r="Q94" s="165"/>
      <c r="R94" s="165"/>
      <c r="S94" s="165"/>
      <c r="T94" s="165"/>
      <c r="U94" s="165"/>
      <c r="V94" s="165"/>
      <c r="W94" s="165"/>
      <c r="X94" s="165"/>
      <c r="Y94" s="165"/>
      <c r="Z94" s="165"/>
      <c r="AA94" s="165"/>
      <c r="AB94" s="165"/>
      <c r="AC94" s="165"/>
      <c r="AD94" s="165"/>
      <c r="AE94" s="165"/>
      <c r="AF94" s="165"/>
      <c r="AG94" s="165"/>
      <c r="AH94" s="158"/>
      <c r="AI94" s="133"/>
      <c r="AJ94" s="133"/>
      <c r="AK94" s="19"/>
      <c r="AL94" s="19"/>
      <c r="AM94" s="21"/>
      <c r="AN94" s="19"/>
    </row>
    <row r="95" spans="1:40" ht="14.4" thickTop="1" thickBot="1">
      <c r="B95" s="49" t="s">
        <v>770</v>
      </c>
      <c r="C95" s="48">
        <f>C78+C81+C82</f>
        <v>-16.577500000000001</v>
      </c>
      <c r="D95" s="48">
        <f t="shared" ref="D95:J95" si="88">D78+D81+D82</f>
        <v>-12.1325</v>
      </c>
      <c r="E95" s="48">
        <f t="shared" si="88"/>
        <v>-6.1574999999999998</v>
      </c>
      <c r="F95" s="48">
        <f t="shared" si="88"/>
        <v>-39.342500000000001</v>
      </c>
      <c r="G95" s="48">
        <f t="shared" si="88"/>
        <v>-133.9975</v>
      </c>
      <c r="H95" s="48">
        <f t="shared" si="88"/>
        <v>-83.397499999999994</v>
      </c>
      <c r="I95" s="48">
        <f t="shared" si="88"/>
        <v>-60.375</v>
      </c>
      <c r="J95" s="48">
        <f t="shared" si="88"/>
        <v>-47.987499999999997</v>
      </c>
      <c r="K95" s="48">
        <f t="shared" ref="K95:AG95" ca="1" si="89">K78+K81+K82</f>
        <v>15.113648078632412</v>
      </c>
      <c r="L95" s="48">
        <f t="shared" ca="1" si="89"/>
        <v>44.476426466696722</v>
      </c>
      <c r="M95" s="48">
        <f t="shared" ca="1" si="89"/>
        <v>60.562961306151713</v>
      </c>
      <c r="N95" s="48">
        <f t="shared" ca="1" si="89"/>
        <v>73.482864821901629</v>
      </c>
      <c r="O95" s="48">
        <f t="shared" ca="1" si="89"/>
        <v>88.92664122090379</v>
      </c>
      <c r="P95" s="48">
        <f t="shared" ca="1" si="89"/>
        <v>83.481792322077268</v>
      </c>
      <c r="Q95" s="48">
        <f t="shared" ca="1" si="89"/>
        <v>86.926641220903761</v>
      </c>
      <c r="R95" s="48">
        <f t="shared" ca="1" si="89"/>
        <v>81.481792322077268</v>
      </c>
      <c r="S95" s="48">
        <f t="shared" ca="1" si="89"/>
        <v>86.92664122090379</v>
      </c>
      <c r="T95" s="48">
        <f t="shared" ca="1" si="89"/>
        <v>79.659705316602071</v>
      </c>
      <c r="U95" s="48">
        <f t="shared" ca="1" si="89"/>
        <v>85.290221004950695</v>
      </c>
      <c r="V95" s="48">
        <f t="shared" ca="1" si="89"/>
        <v>79.978788736759952</v>
      </c>
      <c r="W95" s="48">
        <f t="shared" ca="1" si="89"/>
        <v>86.591390466234174</v>
      </c>
      <c r="X95" s="48">
        <f t="shared" ca="1" si="89"/>
        <v>67.129662561693152</v>
      </c>
      <c r="Y95" s="48">
        <f t="shared" ca="1" si="89"/>
        <v>85.633722737207322</v>
      </c>
      <c r="Z95" s="48">
        <f t="shared" ca="1" si="89"/>
        <v>80.168537996232786</v>
      </c>
      <c r="AA95" s="48">
        <f t="shared" ca="1" si="89"/>
        <v>85.649328254284327</v>
      </c>
      <c r="AB95" s="48">
        <f t="shared" ca="1" si="89"/>
        <v>66.523820930762056</v>
      </c>
      <c r="AC95" s="48">
        <f t="shared" ca="1" si="89"/>
        <v>71.40235269535961</v>
      </c>
      <c r="AD95" s="48">
        <f t="shared" ca="1" si="89"/>
        <v>66.496974985050073</v>
      </c>
      <c r="AE95" s="48">
        <f t="shared" ca="1" si="89"/>
        <v>72.340832255696199</v>
      </c>
      <c r="AF95" s="48">
        <f t="shared" ca="1" si="89"/>
        <v>47.190573551076767</v>
      </c>
      <c r="AG95" s="48">
        <f t="shared" ca="1" si="89"/>
        <v>49.132996089904054</v>
      </c>
      <c r="AH95" s="158"/>
      <c r="AI95" s="142"/>
      <c r="AJ95" s="142"/>
      <c r="AK95" s="19"/>
      <c r="AL95" s="19"/>
      <c r="AM95" s="21"/>
      <c r="AN95" s="19"/>
    </row>
    <row r="96" spans="1:40" ht="14.4" thickTop="1" thickBot="1">
      <c r="B96" s="49" t="s">
        <v>778</v>
      </c>
      <c r="C96" s="48">
        <f t="shared" ref="C96:J96" si="90">C78+C93</f>
        <v>-17.077500000000001</v>
      </c>
      <c r="D96" s="48">
        <f t="shared" si="90"/>
        <v>-13.1325</v>
      </c>
      <c r="E96" s="48">
        <f t="shared" si="90"/>
        <v>-6.1574999999999998</v>
      </c>
      <c r="F96" s="48">
        <f t="shared" si="90"/>
        <v>-39.342500000000001</v>
      </c>
      <c r="G96" s="48">
        <f t="shared" si="90"/>
        <v>-133.9975</v>
      </c>
      <c r="H96" s="48">
        <f t="shared" si="90"/>
        <v>-83.397499999999994</v>
      </c>
      <c r="I96" s="48">
        <f t="shared" si="90"/>
        <v>-60.375</v>
      </c>
      <c r="J96" s="48">
        <f t="shared" si="90"/>
        <v>-47.987499999999997</v>
      </c>
      <c r="K96" s="48">
        <f t="shared" ref="K96:AG96" ca="1" si="91">K78+K93</f>
        <v>13.676634497489211</v>
      </c>
      <c r="L96" s="48">
        <f t="shared" ca="1" si="91"/>
        <v>42.36686209013304</v>
      </c>
      <c r="M96" s="48">
        <f t="shared" ca="1" si="91"/>
        <v>58.353877957140831</v>
      </c>
      <c r="N96" s="48">
        <f t="shared" ca="1" si="91"/>
        <v>70.6890726181948</v>
      </c>
      <c r="O96" s="48">
        <f t="shared" ca="1" si="91"/>
        <v>80.239906185355323</v>
      </c>
      <c r="P96" s="48">
        <f t="shared" ca="1" si="91"/>
        <v>65.937791226712292</v>
      </c>
      <c r="Q96" s="48">
        <f t="shared" ca="1" si="91"/>
        <v>66.602887075300899</v>
      </c>
      <c r="R96" s="48">
        <f t="shared" ca="1" si="91"/>
        <v>61.416400583512299</v>
      </c>
      <c r="S96" s="48">
        <f t="shared" ca="1" si="91"/>
        <v>64.591112099300915</v>
      </c>
      <c r="T96" s="48">
        <f t="shared" ca="1" si="91"/>
        <v>58.637294115742762</v>
      </c>
      <c r="U96" s="48">
        <f t="shared" ca="1" si="91"/>
        <v>62.31950078673492</v>
      </c>
      <c r="V96" s="48">
        <f t="shared" ca="1" si="91"/>
        <v>58.08072958895724</v>
      </c>
      <c r="W96" s="48">
        <f t="shared" ca="1" si="91"/>
        <v>62.743427986965443</v>
      </c>
      <c r="X96" s="48">
        <f t="shared" ca="1" si="91"/>
        <v>45.018807712033798</v>
      </c>
      <c r="Y96" s="48">
        <f t="shared" ca="1" si="91"/>
        <v>62.407495518620976</v>
      </c>
      <c r="Z96" s="48">
        <f t="shared" ca="1" si="91"/>
        <v>58.276992402075031</v>
      </c>
      <c r="AA96" s="48">
        <f t="shared" ca="1" si="91"/>
        <v>62.202809518501802</v>
      </c>
      <c r="AB96" s="48">
        <f t="shared" ca="1" si="91"/>
        <v>48.211772529608758</v>
      </c>
      <c r="AC96" s="48">
        <f t="shared" ca="1" si="91"/>
        <v>51.73551223828138</v>
      </c>
      <c r="AD96" s="48">
        <f t="shared" ca="1" si="91"/>
        <v>48.081717218967569</v>
      </c>
      <c r="AE96" s="48">
        <f t="shared" ca="1" si="91"/>
        <v>52.35243631952541</v>
      </c>
      <c r="AF96" s="48">
        <f t="shared" ca="1" si="91"/>
        <v>34.063797299336926</v>
      </c>
      <c r="AG96" s="48">
        <f t="shared" ca="1" si="91"/>
        <v>35.243805403326107</v>
      </c>
      <c r="AH96" s="236">
        <f ca="1">SUM(C96:AG96)</f>
        <v>861.7831429718176</v>
      </c>
      <c r="AI96" s="155" t="s">
        <v>279</v>
      </c>
      <c r="AJ96" s="142"/>
      <c r="AK96" s="19"/>
      <c r="AL96" s="19"/>
      <c r="AM96" s="21"/>
      <c r="AN96" s="19"/>
    </row>
    <row r="97" spans="1:40" ht="13.8" thickTop="1">
      <c r="B97" s="28"/>
      <c r="C97" s="164"/>
      <c r="D97" s="19"/>
      <c r="E97" s="19"/>
      <c r="F97" s="19"/>
      <c r="G97" s="19"/>
      <c r="H97" s="19"/>
      <c r="I97" s="19"/>
      <c r="J97" s="132"/>
      <c r="K97" s="137"/>
      <c r="L97" s="849"/>
      <c r="M97" s="849"/>
      <c r="N97" s="28"/>
      <c r="O97" s="28"/>
      <c r="P97" s="19"/>
      <c r="Q97" s="19"/>
      <c r="R97" s="19"/>
      <c r="S97" s="19"/>
      <c r="T97" s="19"/>
      <c r="U97" s="19"/>
      <c r="V97" s="19"/>
      <c r="W97" s="19"/>
      <c r="X97" s="19"/>
      <c r="Y97" s="19"/>
      <c r="Z97" s="19"/>
      <c r="AA97" s="19"/>
      <c r="AB97" s="19"/>
      <c r="AC97" s="19"/>
      <c r="AD97" s="19"/>
      <c r="AE97" s="19"/>
      <c r="AF97" s="19"/>
      <c r="AG97" s="19"/>
      <c r="AH97" s="157"/>
      <c r="AI97" s="155"/>
      <c r="AJ97" s="142"/>
      <c r="AK97" s="19"/>
      <c r="AL97" s="19"/>
      <c r="AM97" s="21"/>
      <c r="AN97" s="19"/>
    </row>
    <row r="98" spans="1:40" ht="13.8" thickBot="1">
      <c r="B98" s="31" t="s">
        <v>277</v>
      </c>
      <c r="C98" s="32">
        <f t="shared" ref="C98:AG98" si="92">C$30</f>
        <v>2017</v>
      </c>
      <c r="D98" s="32">
        <f t="shared" si="92"/>
        <v>2018</v>
      </c>
      <c r="E98" s="32">
        <f t="shared" si="92"/>
        <v>2019</v>
      </c>
      <c r="F98" s="32">
        <f t="shared" si="92"/>
        <v>2020</v>
      </c>
      <c r="G98" s="32">
        <f t="shared" si="92"/>
        <v>2021</v>
      </c>
      <c r="H98" s="32">
        <f t="shared" si="92"/>
        <v>2022</v>
      </c>
      <c r="I98" s="32">
        <f t="shared" si="92"/>
        <v>2023</v>
      </c>
      <c r="J98" s="32">
        <f t="shared" si="92"/>
        <v>2024</v>
      </c>
      <c r="K98" s="32">
        <f t="shared" si="92"/>
        <v>2025</v>
      </c>
      <c r="L98" s="32">
        <f t="shared" si="92"/>
        <v>2026</v>
      </c>
      <c r="M98" s="32">
        <f t="shared" si="92"/>
        <v>2027</v>
      </c>
      <c r="N98" s="32">
        <f t="shared" si="92"/>
        <v>2028</v>
      </c>
      <c r="O98" s="32">
        <f t="shared" si="92"/>
        <v>2029</v>
      </c>
      <c r="P98" s="32">
        <f t="shared" si="92"/>
        <v>2030</v>
      </c>
      <c r="Q98" s="32">
        <f t="shared" si="92"/>
        <v>2031</v>
      </c>
      <c r="R98" s="32">
        <f t="shared" si="92"/>
        <v>2032</v>
      </c>
      <c r="S98" s="32">
        <f t="shared" si="92"/>
        <v>2033</v>
      </c>
      <c r="T98" s="32">
        <f t="shared" si="92"/>
        <v>2034</v>
      </c>
      <c r="U98" s="32">
        <f t="shared" si="92"/>
        <v>2035</v>
      </c>
      <c r="V98" s="32">
        <f t="shared" si="92"/>
        <v>2036</v>
      </c>
      <c r="W98" s="32">
        <f t="shared" si="92"/>
        <v>2037</v>
      </c>
      <c r="X98" s="32">
        <f t="shared" si="92"/>
        <v>2038</v>
      </c>
      <c r="Y98" s="32">
        <f t="shared" si="92"/>
        <v>2039</v>
      </c>
      <c r="Z98" s="32">
        <f t="shared" si="92"/>
        <v>2040</v>
      </c>
      <c r="AA98" s="32">
        <f t="shared" si="92"/>
        <v>2041</v>
      </c>
      <c r="AB98" s="32">
        <f t="shared" si="92"/>
        <v>2042</v>
      </c>
      <c r="AC98" s="32">
        <f t="shared" si="92"/>
        <v>2043</v>
      </c>
      <c r="AD98" s="32">
        <f t="shared" si="92"/>
        <v>2044</v>
      </c>
      <c r="AE98" s="32">
        <f t="shared" si="92"/>
        <v>2045</v>
      </c>
      <c r="AF98" s="32">
        <f t="shared" si="92"/>
        <v>2046</v>
      </c>
      <c r="AG98" s="32">
        <f t="shared" si="92"/>
        <v>2047</v>
      </c>
      <c r="AH98" s="157" t="s">
        <v>129</v>
      </c>
      <c r="AI98" s="155"/>
      <c r="AJ98" s="142"/>
      <c r="AK98" s="19"/>
      <c r="AL98" s="19"/>
      <c r="AM98" s="21"/>
      <c r="AN98" s="19"/>
    </row>
    <row r="99" spans="1:40" ht="13.8" thickTop="1">
      <c r="B99" s="35" t="s">
        <v>134</v>
      </c>
      <c r="C99" s="36">
        <f t="shared" ref="C99:J99" si="93">-$AA$6*C75</f>
        <v>0</v>
      </c>
      <c r="D99" s="36">
        <f t="shared" si="93"/>
        <v>0</v>
      </c>
      <c r="E99" s="36">
        <f t="shared" si="93"/>
        <v>0</v>
      </c>
      <c r="F99" s="36">
        <f t="shared" si="93"/>
        <v>0</v>
      </c>
      <c r="G99" s="36">
        <f t="shared" si="93"/>
        <v>0</v>
      </c>
      <c r="H99" s="36">
        <f t="shared" si="93"/>
        <v>0</v>
      </c>
      <c r="I99" s="36">
        <f t="shared" si="93"/>
        <v>0</v>
      </c>
      <c r="J99" s="36">
        <f t="shared" si="93"/>
        <v>0</v>
      </c>
      <c r="K99" s="36">
        <f t="shared" ref="K99:AG99" ca="1" si="94">-$AA$6*K75</f>
        <v>-1.4370135811431959</v>
      </c>
      <c r="L99" s="36">
        <f t="shared" ca="1" si="94"/>
        <v>-2.1095643765636787</v>
      </c>
      <c r="M99" s="36">
        <f t="shared" ca="1" si="94"/>
        <v>-2.2090833490108812</v>
      </c>
      <c r="N99" s="36">
        <f t="shared" ca="1" si="94"/>
        <v>-2.7937922037068317</v>
      </c>
      <c r="O99" s="36">
        <f t="shared" ca="1" si="94"/>
        <v>-2.3982444963769307</v>
      </c>
      <c r="P99" s="36">
        <f t="shared" ca="1" si="94"/>
        <v>-2.3103674532456639</v>
      </c>
      <c r="Q99" s="36">
        <f t="shared" ca="1" si="94"/>
        <v>-2.3982444963769303</v>
      </c>
      <c r="R99" s="36">
        <f t="shared" ca="1" si="94"/>
        <v>-2.3103674532456639</v>
      </c>
      <c r="S99" s="36">
        <f t="shared" ca="1" si="94"/>
        <v>-2.3982444963769307</v>
      </c>
      <c r="T99" s="36">
        <f t="shared" ca="1" si="94"/>
        <v>-2.3148152781087838</v>
      </c>
      <c r="U99" s="36">
        <f t="shared" ca="1" si="94"/>
        <v>-2.4073339909781035</v>
      </c>
      <c r="V99" s="36">
        <f t="shared" ca="1" si="94"/>
        <v>-2.3227923636127312</v>
      </c>
      <c r="W99" s="36">
        <f t="shared" ca="1" si="94"/>
        <v>-2.4148632275101907</v>
      </c>
      <c r="X99" s="36">
        <f t="shared" ca="1" si="94"/>
        <v>-2.3284392092360608</v>
      </c>
      <c r="Y99" s="36">
        <f t="shared" ca="1" si="94"/>
        <v>-2.4177965342845193</v>
      </c>
      <c r="Z99" s="36">
        <f t="shared" ca="1" si="94"/>
        <v>-2.3294110950995517</v>
      </c>
      <c r="AA99" s="36">
        <f t="shared" ca="1" si="94"/>
        <v>-2.4181866722114442</v>
      </c>
      <c r="AB99" s="36">
        <f t="shared" ca="1" si="94"/>
        <v>-1.9882931684627836</v>
      </c>
      <c r="AC99" s="36">
        <f t="shared" ca="1" si="94"/>
        <v>-2.0620122832383263</v>
      </c>
      <c r="AD99" s="36">
        <f t="shared" ca="1" si="94"/>
        <v>-1.9876220198199839</v>
      </c>
      <c r="AE99" s="36">
        <f t="shared" ca="1" si="94"/>
        <v>-2.0604742722467413</v>
      </c>
      <c r="AF99" s="36">
        <f t="shared" ca="1" si="94"/>
        <v>-1.4549619839706516</v>
      </c>
      <c r="AG99" s="36">
        <f t="shared" ca="1" si="94"/>
        <v>-1.5052783681019375</v>
      </c>
      <c r="AH99" s="236">
        <f ca="1">SUM(C99:AG99)</f>
        <v>-50.377202372928522</v>
      </c>
      <c r="AI99" s="155" t="s">
        <v>279</v>
      </c>
      <c r="AJ99" s="142"/>
      <c r="AK99" s="19"/>
      <c r="AL99" s="19"/>
      <c r="AM99" s="21"/>
      <c r="AN99" s="19"/>
    </row>
    <row r="100" spans="1:40">
      <c r="B100" s="38" t="s">
        <v>137</v>
      </c>
      <c r="C100" s="37">
        <f>C82</f>
        <v>-1.0774999999999999</v>
      </c>
      <c r="D100" s="75">
        <f t="shared" ref="D100:K100" si="95">D82</f>
        <v>-1.1325000000000001</v>
      </c>
      <c r="E100" s="75">
        <f t="shared" si="95"/>
        <v>-1.1575</v>
      </c>
      <c r="F100" s="75">
        <f t="shared" si="95"/>
        <v>-2.3425000000000002</v>
      </c>
      <c r="G100" s="75">
        <f t="shared" si="95"/>
        <v>-2.9975000000000001</v>
      </c>
      <c r="H100" s="75">
        <f t="shared" si="95"/>
        <v>-3.3975</v>
      </c>
      <c r="I100" s="75">
        <f t="shared" si="95"/>
        <v>-4.875</v>
      </c>
      <c r="J100" s="75">
        <f t="shared" si="95"/>
        <v>-5.4875000000000007</v>
      </c>
      <c r="K100" s="75">
        <f t="shared" si="95"/>
        <v>-6.8668951670954188</v>
      </c>
      <c r="L100" s="75">
        <f t="shared" ref="L100:AG100" ca="1" si="96">L82</f>
        <v>-7.9061485958504267</v>
      </c>
      <c r="M100" s="75">
        <f t="shared" ca="1" si="96"/>
        <v>-8.3003726542835299</v>
      </c>
      <c r="N100" s="75">
        <f t="shared" ca="1" si="96"/>
        <v>-9.2688233263716313</v>
      </c>
      <c r="O100" s="75">
        <f t="shared" ca="1" si="96"/>
        <v>-10.003138634173439</v>
      </c>
      <c r="P100" s="75">
        <f t="shared" ca="1" si="96"/>
        <v>-10.932905807749286</v>
      </c>
      <c r="Q100" s="75">
        <f t="shared" ca="1" si="96"/>
        <v>-11.003138634173439</v>
      </c>
      <c r="R100" s="75">
        <f t="shared" ca="1" si="96"/>
        <v>-12.932905807749286</v>
      </c>
      <c r="S100" s="75">
        <f t="shared" ca="1" si="96"/>
        <v>-11.003138634173439</v>
      </c>
      <c r="T100" s="75">
        <f t="shared" ca="1" si="96"/>
        <v>-12.932905807749286</v>
      </c>
      <c r="U100" s="75">
        <f t="shared" ca="1" si="96"/>
        <v>-11.003138634173439</v>
      </c>
      <c r="V100" s="75">
        <f t="shared" ca="1" si="96"/>
        <v>-12.932905807749286</v>
      </c>
      <c r="W100" s="75">
        <f t="shared" ca="1" si="96"/>
        <v>-10.003138634173439</v>
      </c>
      <c r="X100" s="75">
        <f t="shared" ca="1" si="96"/>
        <v>-11.007905807749287</v>
      </c>
      <c r="Y100" s="75">
        <f t="shared" ca="1" si="96"/>
        <v>-11.078138634173442</v>
      </c>
      <c r="Z100" s="75">
        <f t="shared" ca="1" si="96"/>
        <v>-13.007905807749287</v>
      </c>
      <c r="AA100" s="75">
        <f t="shared" ca="1" si="96"/>
        <v>-11.078138634173442</v>
      </c>
      <c r="AB100" s="75">
        <f t="shared" ca="1" si="96"/>
        <v>-13.007905807749287</v>
      </c>
      <c r="AC100" s="75">
        <f t="shared" ca="1" si="96"/>
        <v>-11.07813863417344</v>
      </c>
      <c r="AD100" s="75">
        <f t="shared" ca="1" si="96"/>
        <v>-13.007905807749287</v>
      </c>
      <c r="AE100" s="75">
        <f t="shared" ca="1" si="96"/>
        <v>-10.078138634173442</v>
      </c>
      <c r="AF100" s="75">
        <f t="shared" ca="1" si="96"/>
        <v>-11.007905807749287</v>
      </c>
      <c r="AG100" s="75">
        <f t="shared" ca="1" si="96"/>
        <v>-11.078138634173442</v>
      </c>
      <c r="AH100" s="265">
        <f ca="1">SUM(C100:AG100)</f>
        <v>-272.98727835507901</v>
      </c>
      <c r="AI100" s="155" t="s">
        <v>279</v>
      </c>
      <c r="AJ100" s="142"/>
      <c r="AK100" s="19"/>
      <c r="AL100" s="19"/>
      <c r="AM100" s="21"/>
      <c r="AN100" s="19"/>
    </row>
    <row r="101" spans="1:40">
      <c r="B101" s="38" t="s">
        <v>780</v>
      </c>
      <c r="C101" s="75">
        <f t="shared" ref="C101:AG101" si="97">IF(C95&lt;0,0,IF($AA$7="No",IF(C78+C100-(C196+B103)&lt;0,C78+C100,C196+B103),IF(C78+C99+C100-(C196+B103)&lt;0,C78+C99+C100,C196+B103)))</f>
        <v>0</v>
      </c>
      <c r="D101" s="75">
        <f t="shared" si="97"/>
        <v>0</v>
      </c>
      <c r="E101" s="75">
        <f t="shared" si="97"/>
        <v>0</v>
      </c>
      <c r="F101" s="75">
        <f t="shared" si="97"/>
        <v>0</v>
      </c>
      <c r="G101" s="75">
        <f t="shared" si="97"/>
        <v>0</v>
      </c>
      <c r="H101" s="75">
        <f t="shared" si="97"/>
        <v>0</v>
      </c>
      <c r="I101" s="75">
        <f t="shared" si="97"/>
        <v>0</v>
      </c>
      <c r="J101" s="75">
        <f t="shared" si="97"/>
        <v>0</v>
      </c>
      <c r="K101" s="75">
        <f t="shared" ca="1" si="97"/>
        <v>53.613648078632409</v>
      </c>
      <c r="L101" s="75">
        <f t="shared" ca="1" si="97"/>
        <v>79.476426466696722</v>
      </c>
      <c r="M101" s="75">
        <f t="shared" ca="1" si="97"/>
        <v>83.062961306151706</v>
      </c>
      <c r="N101" s="75">
        <f t="shared" ca="1" si="97"/>
        <v>105.48286482190163</v>
      </c>
      <c r="O101" s="75">
        <f t="shared" ca="1" si="97"/>
        <v>63.772679064217655</v>
      </c>
      <c r="P101" s="75">
        <f t="shared" ca="1" si="97"/>
        <v>22.547257753600014</v>
      </c>
      <c r="Q101" s="75">
        <f t="shared" ca="1" si="97"/>
        <v>15.224602624000012</v>
      </c>
      <c r="R101" s="75">
        <f t="shared" ca="1" si="97"/>
        <v>10.461695180800008</v>
      </c>
      <c r="S101" s="75">
        <f t="shared" ca="1" si="97"/>
        <v>7.177502720000005</v>
      </c>
      <c r="T101" s="75">
        <f t="shared" ca="1" si="97"/>
        <v>4.829321625600004</v>
      </c>
      <c r="U101" s="75">
        <f t="shared" ca="1" si="97"/>
        <v>3.0366760960000025</v>
      </c>
      <c r="V101" s="75">
        <f t="shared" ca="1" si="97"/>
        <v>1.6777216000000015</v>
      </c>
      <c r="W101" s="75">
        <f t="shared" ca="1" si="97"/>
        <v>0.85899345920000081</v>
      </c>
      <c r="X101" s="75">
        <f t="shared" ca="1" si="97"/>
        <v>3</v>
      </c>
      <c r="Y101" s="75">
        <f t="shared" ca="1" si="97"/>
        <v>2.4000000000000004</v>
      </c>
      <c r="Z101" s="75">
        <f t="shared" ca="1" si="97"/>
        <v>1.9200000000000004</v>
      </c>
      <c r="AA101" s="75">
        <f t="shared" ca="1" si="97"/>
        <v>1.5360000000000005</v>
      </c>
      <c r="AB101" s="75">
        <f t="shared" ca="1" si="97"/>
        <v>1.2288000000000006</v>
      </c>
      <c r="AC101" s="75">
        <f t="shared" ca="1" si="97"/>
        <v>0.98304000000000069</v>
      </c>
      <c r="AD101" s="75">
        <f t="shared" ca="1" si="97"/>
        <v>0.78643200000000046</v>
      </c>
      <c r="AE101" s="75">
        <f t="shared" ca="1" si="97"/>
        <v>0.62914560000000053</v>
      </c>
      <c r="AF101" s="75">
        <f t="shared" ca="1" si="97"/>
        <v>0.5033164800000004</v>
      </c>
      <c r="AG101" s="75">
        <f t="shared" ca="1" si="97"/>
        <v>-0.40265318400000033</v>
      </c>
      <c r="AH101" s="265">
        <f ca="1">SUM(C101:AG101)</f>
        <v>463.80643169280017</v>
      </c>
      <c r="AI101" s="155" t="s">
        <v>279</v>
      </c>
      <c r="AJ101" s="142"/>
      <c r="AK101" s="19"/>
      <c r="AL101" s="19"/>
      <c r="AM101" s="21"/>
      <c r="AN101" s="19"/>
    </row>
    <row r="102" spans="1:40">
      <c r="B102" s="55" t="s">
        <v>769</v>
      </c>
      <c r="C102" s="238">
        <f>C101</f>
        <v>0</v>
      </c>
      <c r="D102" s="238">
        <f t="shared" ref="D102:J102" si="98">D101+C102</f>
        <v>0</v>
      </c>
      <c r="E102" s="238">
        <f t="shared" si="98"/>
        <v>0</v>
      </c>
      <c r="F102" s="238">
        <f t="shared" si="98"/>
        <v>0</v>
      </c>
      <c r="G102" s="238">
        <f t="shared" si="98"/>
        <v>0</v>
      </c>
      <c r="H102" s="238">
        <f t="shared" si="98"/>
        <v>0</v>
      </c>
      <c r="I102" s="238">
        <f t="shared" si="98"/>
        <v>0</v>
      </c>
      <c r="J102" s="238">
        <f t="shared" si="98"/>
        <v>0</v>
      </c>
      <c r="K102" s="238">
        <f t="shared" ref="K102:AG102" ca="1" si="99">K101+J102</f>
        <v>53.613648078632409</v>
      </c>
      <c r="L102" s="238">
        <f t="shared" ca="1" si="99"/>
        <v>133.09007454532912</v>
      </c>
      <c r="M102" s="238">
        <f t="shared" ca="1" si="99"/>
        <v>216.15303585148081</v>
      </c>
      <c r="N102" s="238">
        <f t="shared" ca="1" si="99"/>
        <v>321.63590067338242</v>
      </c>
      <c r="O102" s="238">
        <f t="shared" ca="1" si="99"/>
        <v>385.40857973760006</v>
      </c>
      <c r="P102" s="238">
        <f t="shared" ca="1" si="99"/>
        <v>407.9558374912001</v>
      </c>
      <c r="Q102" s="238">
        <f t="shared" ca="1" si="99"/>
        <v>423.1804401152001</v>
      </c>
      <c r="R102" s="238">
        <f t="shared" ca="1" si="99"/>
        <v>433.64213529600011</v>
      </c>
      <c r="S102" s="238">
        <f t="shared" ca="1" si="99"/>
        <v>440.81963801600011</v>
      </c>
      <c r="T102" s="238">
        <f t="shared" ca="1" si="99"/>
        <v>445.64895964160013</v>
      </c>
      <c r="U102" s="238">
        <f t="shared" ca="1" si="99"/>
        <v>448.68563573760014</v>
      </c>
      <c r="V102" s="238">
        <f t="shared" ca="1" si="99"/>
        <v>450.36335733760012</v>
      </c>
      <c r="W102" s="238">
        <f t="shared" ca="1" si="99"/>
        <v>451.22235079680013</v>
      </c>
      <c r="X102" s="238">
        <f t="shared" ca="1" si="99"/>
        <v>454.22235079680013</v>
      </c>
      <c r="Y102" s="238">
        <f t="shared" ca="1" si="99"/>
        <v>456.62235079680011</v>
      </c>
      <c r="Z102" s="238">
        <f t="shared" ca="1" si="99"/>
        <v>458.54235079680012</v>
      </c>
      <c r="AA102" s="238">
        <f t="shared" ca="1" si="99"/>
        <v>460.07835079680012</v>
      </c>
      <c r="AB102" s="238">
        <f t="shared" ca="1" si="99"/>
        <v>461.3071507968001</v>
      </c>
      <c r="AC102" s="238">
        <f t="shared" ca="1" si="99"/>
        <v>462.29019079680012</v>
      </c>
      <c r="AD102" s="238">
        <f t="shared" ca="1" si="99"/>
        <v>463.07662279680011</v>
      </c>
      <c r="AE102" s="238">
        <f t="shared" ca="1" si="99"/>
        <v>463.70576839680012</v>
      </c>
      <c r="AF102" s="238">
        <f t="shared" ca="1" si="99"/>
        <v>464.20908487680015</v>
      </c>
      <c r="AG102" s="238">
        <f t="shared" ca="1" si="99"/>
        <v>463.80643169280017</v>
      </c>
      <c r="AH102" s="236">
        <f ca="1">AG102</f>
        <v>463.80643169280017</v>
      </c>
      <c r="AI102" s="309" t="s">
        <v>279</v>
      </c>
      <c r="AJ102" s="142"/>
      <c r="AK102" s="19"/>
      <c r="AL102" s="19"/>
      <c r="AM102" s="21"/>
      <c r="AN102" s="19"/>
    </row>
    <row r="103" spans="1:40">
      <c r="B103" s="55" t="s">
        <v>779</v>
      </c>
      <c r="C103" s="238">
        <f>IF(C95&lt;0,C196,IF($AA$7="No",IF(-(C100-(C196)+C78)&lt;0,0,-(C100-(C196)+C78)),IF(-(C99+C100-(C196)+C78)&lt;0,0,-(C99+C100-(C196)+C78))))</f>
        <v>3.1</v>
      </c>
      <c r="D103" s="238">
        <f t="shared" ref="D103:AG103" si="100">IF(D95&lt;0,D196+C103,IF($AA$7="No",IF(-(D100-(C103+D196)+D78)&lt;0,0,-(D100-(C103+D196)+D78)),IF(-(D99+D100-(C103+D196)+D78)&lt;0,0,-(D99+D100-(C103+D196)+D78))))</f>
        <v>7.7800000000000011</v>
      </c>
      <c r="E103" s="238">
        <f t="shared" si="100"/>
        <v>12.524000000000001</v>
      </c>
      <c r="F103" s="238">
        <f t="shared" si="100"/>
        <v>23.719200000000001</v>
      </c>
      <c r="G103" s="238">
        <f t="shared" si="100"/>
        <v>58.875360000000008</v>
      </c>
      <c r="H103" s="238">
        <f t="shared" si="100"/>
        <v>103.00028800000001</v>
      </c>
      <c r="I103" s="238">
        <f t="shared" si="100"/>
        <v>149.40023040000003</v>
      </c>
      <c r="J103" s="238">
        <f t="shared" si="100"/>
        <v>195.02018432000003</v>
      </c>
      <c r="K103" s="238">
        <f t="shared" ca="1" si="100"/>
        <v>185.60249937736762</v>
      </c>
      <c r="L103" s="238">
        <f t="shared" ca="1" si="100"/>
        <v>148.48284341947092</v>
      </c>
      <c r="M103" s="238">
        <f t="shared" ca="1" si="100"/>
        <v>103.47243855491924</v>
      </c>
      <c r="N103" s="238">
        <f t="shared" ca="1" si="100"/>
        <v>34.595395685017635</v>
      </c>
      <c r="O103" s="238">
        <f t="shared" ca="1" si="100"/>
        <v>0</v>
      </c>
      <c r="P103" s="238">
        <f t="shared" ca="1" si="100"/>
        <v>0</v>
      </c>
      <c r="Q103" s="238">
        <f t="shared" ca="1" si="100"/>
        <v>0</v>
      </c>
      <c r="R103" s="238">
        <f t="shared" ca="1" si="100"/>
        <v>0</v>
      </c>
      <c r="S103" s="238">
        <f t="shared" ca="1" si="100"/>
        <v>0</v>
      </c>
      <c r="T103" s="238">
        <f t="shared" ca="1" si="100"/>
        <v>0</v>
      </c>
      <c r="U103" s="238">
        <f t="shared" ca="1" si="100"/>
        <v>0</v>
      </c>
      <c r="V103" s="238">
        <f t="shared" ca="1" si="100"/>
        <v>0</v>
      </c>
      <c r="W103" s="238">
        <f t="shared" ca="1" si="100"/>
        <v>0</v>
      </c>
      <c r="X103" s="238">
        <f t="shared" ca="1" si="100"/>
        <v>0</v>
      </c>
      <c r="Y103" s="238">
        <f t="shared" ca="1" si="100"/>
        <v>0</v>
      </c>
      <c r="Z103" s="238">
        <f t="shared" ca="1" si="100"/>
        <v>0</v>
      </c>
      <c r="AA103" s="238">
        <f t="shared" ca="1" si="100"/>
        <v>0</v>
      </c>
      <c r="AB103" s="238">
        <f t="shared" ca="1" si="100"/>
        <v>0</v>
      </c>
      <c r="AC103" s="238">
        <f t="shared" ca="1" si="100"/>
        <v>0</v>
      </c>
      <c r="AD103" s="238">
        <f t="shared" ca="1" si="100"/>
        <v>0</v>
      </c>
      <c r="AE103" s="238">
        <f t="shared" ca="1" si="100"/>
        <v>0</v>
      </c>
      <c r="AF103" s="238">
        <f t="shared" ca="1" si="100"/>
        <v>0</v>
      </c>
      <c r="AG103" s="238">
        <f t="shared" ca="1" si="100"/>
        <v>0</v>
      </c>
      <c r="AH103" s="236"/>
      <c r="AI103" s="309"/>
      <c r="AJ103" s="142"/>
      <c r="AK103" s="19"/>
      <c r="AL103" s="19"/>
      <c r="AM103" s="21"/>
      <c r="AN103" s="19"/>
    </row>
    <row r="104" spans="1:40">
      <c r="B104" s="50" t="s">
        <v>138</v>
      </c>
      <c r="C104" s="238">
        <f>IF($AA$7="No",C100-C101,C99+C100-C101)</f>
        <v>-1.0774999999999999</v>
      </c>
      <c r="D104" s="238">
        <f t="shared" ref="D104:J104" si="101">IF($AA$7="No",D100-D101,D99+D100-D101)</f>
        <v>-1.1325000000000001</v>
      </c>
      <c r="E104" s="238">
        <f t="shared" si="101"/>
        <v>-1.1575</v>
      </c>
      <c r="F104" s="238">
        <f t="shared" si="101"/>
        <v>-2.3425000000000002</v>
      </c>
      <c r="G104" s="238">
        <f t="shared" si="101"/>
        <v>-2.9975000000000001</v>
      </c>
      <c r="H104" s="238">
        <f t="shared" si="101"/>
        <v>-3.3975</v>
      </c>
      <c r="I104" s="238">
        <f t="shared" si="101"/>
        <v>-4.875</v>
      </c>
      <c r="J104" s="238">
        <f t="shared" si="101"/>
        <v>-5.4875000000000007</v>
      </c>
      <c r="K104" s="238">
        <f t="shared" ref="K104:AG104" ca="1" si="102">IF($AA$7="No",K100-K101,K99+K100-K101)</f>
        <v>-60.48054324572783</v>
      </c>
      <c r="L104" s="238">
        <f t="shared" ca="1" si="102"/>
        <v>-87.382575062547147</v>
      </c>
      <c r="M104" s="238">
        <f t="shared" ca="1" si="102"/>
        <v>-91.363333960435241</v>
      </c>
      <c r="N104" s="238">
        <f t="shared" ca="1" si="102"/>
        <v>-114.75168814827326</v>
      </c>
      <c r="O104" s="238">
        <f t="shared" ca="1" si="102"/>
        <v>-73.775817698391094</v>
      </c>
      <c r="P104" s="238">
        <f t="shared" ca="1" si="102"/>
        <v>-33.4801635613493</v>
      </c>
      <c r="Q104" s="238">
        <f t="shared" ca="1" si="102"/>
        <v>-26.227741258173452</v>
      </c>
      <c r="R104" s="238">
        <f t="shared" ca="1" si="102"/>
        <v>-23.394600988549293</v>
      </c>
      <c r="S104" s="238">
        <f t="shared" ca="1" si="102"/>
        <v>-18.180641354173446</v>
      </c>
      <c r="T104" s="238">
        <f t="shared" ca="1" si="102"/>
        <v>-17.762227433349288</v>
      </c>
      <c r="U104" s="238">
        <f t="shared" ca="1" si="102"/>
        <v>-14.039814730173442</v>
      </c>
      <c r="V104" s="238">
        <f t="shared" ca="1" si="102"/>
        <v>-14.610627407749288</v>
      </c>
      <c r="W104" s="238">
        <f t="shared" ca="1" si="102"/>
        <v>-10.86213209337344</v>
      </c>
      <c r="X104" s="238">
        <f t="shared" ca="1" si="102"/>
        <v>-14.007905807749287</v>
      </c>
      <c r="Y104" s="238">
        <f t="shared" ca="1" si="102"/>
        <v>-13.478138634173442</v>
      </c>
      <c r="Z104" s="238">
        <f t="shared" ca="1" si="102"/>
        <v>-14.927905807749287</v>
      </c>
      <c r="AA104" s="238">
        <f t="shared" ca="1" si="102"/>
        <v>-12.614138634173443</v>
      </c>
      <c r="AB104" s="238">
        <f t="shared" ca="1" si="102"/>
        <v>-14.236705807749289</v>
      </c>
      <c r="AC104" s="238">
        <f t="shared" ca="1" si="102"/>
        <v>-12.061178634173441</v>
      </c>
      <c r="AD104" s="238">
        <f t="shared" ca="1" si="102"/>
        <v>-13.794337807749287</v>
      </c>
      <c r="AE104" s="238">
        <f t="shared" ca="1" si="102"/>
        <v>-10.707284234173443</v>
      </c>
      <c r="AF104" s="238">
        <f t="shared" ca="1" si="102"/>
        <v>-11.511222287749288</v>
      </c>
      <c r="AG104" s="238">
        <f t="shared" ca="1" si="102"/>
        <v>-10.675485450173442</v>
      </c>
      <c r="AH104" s="236">
        <f ca="1">SUM(C104:AG104)</f>
        <v>-736.79371004787913</v>
      </c>
      <c r="AI104" s="155" t="s">
        <v>279</v>
      </c>
      <c r="AJ104" s="142"/>
      <c r="AK104" s="19"/>
      <c r="AL104" s="19"/>
      <c r="AM104" s="21"/>
      <c r="AN104" s="19"/>
    </row>
    <row r="105" spans="1:40">
      <c r="B105" s="50" t="s">
        <v>768</v>
      </c>
      <c r="C105" s="238">
        <f>-(CumCF!C13+Cashflow!C102)</f>
        <v>15.5</v>
      </c>
      <c r="D105" s="238">
        <f>-(CumCF!D13+Cashflow!D102)</f>
        <v>26.5</v>
      </c>
      <c r="E105" s="238">
        <f>-(CumCF!E13+Cashflow!E102)</f>
        <v>31.5</v>
      </c>
      <c r="F105" s="238">
        <f>-(CumCF!F13+Cashflow!F102)</f>
        <v>68.5</v>
      </c>
      <c r="G105" s="238">
        <f>-(CumCF!G13+Cashflow!G102)</f>
        <v>199.5</v>
      </c>
      <c r="H105" s="238">
        <f>-(CumCF!H13+Cashflow!H102)</f>
        <v>279.5</v>
      </c>
      <c r="I105" s="238">
        <f>-(CumCF!I13+Cashflow!I102)</f>
        <v>335</v>
      </c>
      <c r="J105" s="238">
        <f>-(CumCF!J13+Cashflow!J102)</f>
        <v>377.5</v>
      </c>
      <c r="K105" s="238">
        <f ca="1">-(CumCF!K13+Cashflow!K102)</f>
        <v>362.38635192136758</v>
      </c>
      <c r="L105" s="238">
        <f ca="1">-(CumCF!L13+Cashflow!L102)</f>
        <v>317.90992545467088</v>
      </c>
      <c r="M105" s="238">
        <f ca="1">-(CumCF!M13+Cashflow!M102)</f>
        <v>257.34696414851919</v>
      </c>
      <c r="N105" s="238">
        <f ca="1">-(CumCF!N13+Cashflow!N102)</f>
        <v>183.86409932661758</v>
      </c>
      <c r="O105" s="238">
        <f ca="1">-(CumCF!O13+Cashflow!O102)</f>
        <v>120.09142026239994</v>
      </c>
      <c r="P105" s="238">
        <f ca="1">-(CumCF!P13+Cashflow!P102)</f>
        <v>97.5441625087999</v>
      </c>
      <c r="Q105" s="238">
        <f ca="1">-(CumCF!Q13+Cashflow!Q102)</f>
        <v>82.319559884799901</v>
      </c>
      <c r="R105" s="238">
        <f ca="1">-(CumCF!R13+Cashflow!R102)</f>
        <v>71.857864703999894</v>
      </c>
      <c r="S105" s="238">
        <f ca="1">-(CumCF!S13+Cashflow!S102)</f>
        <v>64.680361983999887</v>
      </c>
      <c r="T105" s="238">
        <f ca="1">-(CumCF!T13+Cashflow!T102)</f>
        <v>59.851040358399871</v>
      </c>
      <c r="U105" s="238">
        <f ca="1">-(CumCF!U13+Cashflow!U102)</f>
        <v>56.814364262399863</v>
      </c>
      <c r="V105" s="238">
        <f ca="1">-(CumCF!V13+Cashflow!V102)</f>
        <v>55.136642662399879</v>
      </c>
      <c r="W105" s="238">
        <f ca="1">-(CumCF!W13+Cashflow!W102)</f>
        <v>54.277649203199871</v>
      </c>
      <c r="X105" s="238">
        <f ca="1">-(CumCF!X13+Cashflow!X102)</f>
        <v>66.277649203199871</v>
      </c>
      <c r="Y105" s="238">
        <f ca="1">-(CumCF!Y13+Cashflow!Y102)</f>
        <v>63.877649203199894</v>
      </c>
      <c r="Z105" s="238">
        <f ca="1">-(CumCF!Z13+Cashflow!Z102)</f>
        <v>61.957649203199878</v>
      </c>
      <c r="AA105" s="238">
        <f ca="1">-(CumCF!AA13+Cashflow!AA102)</f>
        <v>60.421649203199877</v>
      </c>
      <c r="AB105" s="238">
        <f ca="1">-(CumCF!AB13+Cashflow!AB102)</f>
        <v>59.192849203199899</v>
      </c>
      <c r="AC105" s="238">
        <f ca="1">-(CumCF!AC13+Cashflow!AC102)</f>
        <v>58.209809203199882</v>
      </c>
      <c r="AD105" s="238">
        <f ca="1">-(CumCF!AD13+Cashflow!AD102)</f>
        <v>57.423377203199891</v>
      </c>
      <c r="AE105" s="238">
        <f ca="1">-(CumCF!AE13+Cashflow!AE102)</f>
        <v>56.794231603199876</v>
      </c>
      <c r="AF105" s="238">
        <f ca="1">-(CumCF!AF13+Cashflow!AF102)</f>
        <v>56.290915123199852</v>
      </c>
      <c r="AG105" s="238">
        <f ca="1">-(CumCF!AG13+Cashflow!AG102)</f>
        <v>56.693568307199826</v>
      </c>
      <c r="AH105" s="236">
        <f ca="1">AG105</f>
        <v>56.693568307199826</v>
      </c>
      <c r="AI105" s="309" t="s">
        <v>279</v>
      </c>
      <c r="AJ105" s="142"/>
      <c r="AK105" s="19"/>
      <c r="AL105" s="19"/>
      <c r="AM105" s="21"/>
      <c r="AN105" s="19"/>
    </row>
    <row r="106" spans="1:40">
      <c r="B106" s="38" t="s">
        <v>139</v>
      </c>
      <c r="C106" s="37">
        <f t="shared" ref="C106:J106" si="103">IF(C95&lt;0,0,C78+C104)</f>
        <v>0</v>
      </c>
      <c r="D106" s="75">
        <f t="shared" si="103"/>
        <v>0</v>
      </c>
      <c r="E106" s="75">
        <f t="shared" si="103"/>
        <v>0</v>
      </c>
      <c r="F106" s="75">
        <f t="shared" si="103"/>
        <v>0</v>
      </c>
      <c r="G106" s="75">
        <f t="shared" si="103"/>
        <v>0</v>
      </c>
      <c r="H106" s="75">
        <f t="shared" si="103"/>
        <v>0</v>
      </c>
      <c r="I106" s="75">
        <f t="shared" si="103"/>
        <v>0</v>
      </c>
      <c r="J106" s="75">
        <f t="shared" si="103"/>
        <v>0</v>
      </c>
      <c r="K106" s="75">
        <f t="shared" ref="K106:AG106" ca="1" si="104">IF(K95&lt;0,0,K78+K104)</f>
        <v>0</v>
      </c>
      <c r="L106" s="75">
        <f t="shared" ca="1" si="104"/>
        <v>0</v>
      </c>
      <c r="M106" s="75">
        <f t="shared" ca="1" si="104"/>
        <v>0</v>
      </c>
      <c r="N106" s="75">
        <f t="shared" ca="1" si="104"/>
        <v>0</v>
      </c>
      <c r="O106" s="75">
        <f t="shared" ca="1" si="104"/>
        <v>25.153962156686134</v>
      </c>
      <c r="P106" s="75">
        <f t="shared" ca="1" si="104"/>
        <v>60.934534568477261</v>
      </c>
      <c r="Q106" s="75">
        <f t="shared" ca="1" si="104"/>
        <v>71.702038596903748</v>
      </c>
      <c r="R106" s="75">
        <f t="shared" ca="1" si="104"/>
        <v>71.020097141277262</v>
      </c>
      <c r="S106" s="75">
        <f t="shared" ca="1" si="104"/>
        <v>79.749138500903783</v>
      </c>
      <c r="T106" s="75">
        <f t="shared" ca="1" si="104"/>
        <v>74.830383691002055</v>
      </c>
      <c r="U106" s="75">
        <f t="shared" ca="1" si="104"/>
        <v>82.253544908950687</v>
      </c>
      <c r="V106" s="75">
        <f t="shared" ca="1" si="104"/>
        <v>78.301067136759954</v>
      </c>
      <c r="W106" s="75">
        <f t="shared" ca="1" si="104"/>
        <v>85.732397007034166</v>
      </c>
      <c r="X106" s="75">
        <f t="shared" ca="1" si="104"/>
        <v>79.129662561693152</v>
      </c>
      <c r="Y106" s="75">
        <f t="shared" ca="1" si="104"/>
        <v>83.233722737207316</v>
      </c>
      <c r="Z106" s="75">
        <f t="shared" ca="1" si="104"/>
        <v>78.248537996232784</v>
      </c>
      <c r="AA106" s="75">
        <f t="shared" ca="1" si="104"/>
        <v>84.113328254284326</v>
      </c>
      <c r="AB106" s="75">
        <f t="shared" ca="1" si="104"/>
        <v>65.29502093076205</v>
      </c>
      <c r="AC106" s="75">
        <f t="shared" ca="1" si="104"/>
        <v>70.419312695359608</v>
      </c>
      <c r="AD106" s="75">
        <f t="shared" ca="1" si="104"/>
        <v>65.710542985050068</v>
      </c>
      <c r="AE106" s="75">
        <f t="shared" ca="1" si="104"/>
        <v>71.711686655696198</v>
      </c>
      <c r="AF106" s="75">
        <f t="shared" ca="1" si="104"/>
        <v>46.687257071076772</v>
      </c>
      <c r="AG106" s="75">
        <f t="shared" ca="1" si="104"/>
        <v>49.535649273904056</v>
      </c>
      <c r="AH106" s="265">
        <f ca="1">SUM(C106:AG106)</f>
        <v>1323.7618848692614</v>
      </c>
      <c r="AI106" s="155" t="s">
        <v>279</v>
      </c>
      <c r="AJ106" s="142"/>
      <c r="AK106" s="19"/>
      <c r="AL106" s="19"/>
      <c r="AM106" s="21"/>
      <c r="AN106" s="19"/>
    </row>
    <row r="107" spans="1:40">
      <c r="B107" s="38" t="s">
        <v>135</v>
      </c>
      <c r="C107" s="37">
        <f t="shared" ref="C107:J107" si="105">IF(C106&gt;0, -C106*$AA$8, 0)</f>
        <v>0</v>
      </c>
      <c r="D107" s="37">
        <f t="shared" si="105"/>
        <v>0</v>
      </c>
      <c r="E107" s="75">
        <f t="shared" si="105"/>
        <v>0</v>
      </c>
      <c r="F107" s="75">
        <f t="shared" si="105"/>
        <v>0</v>
      </c>
      <c r="G107" s="75">
        <f t="shared" si="105"/>
        <v>0</v>
      </c>
      <c r="H107" s="75">
        <f t="shared" si="105"/>
        <v>0</v>
      </c>
      <c r="I107" s="75">
        <f t="shared" si="105"/>
        <v>0</v>
      </c>
      <c r="J107" s="75">
        <f t="shared" si="105"/>
        <v>0</v>
      </c>
      <c r="K107" s="75">
        <f t="shared" ref="K107:AG107" ca="1" si="106">IF(K106&gt;0, -K106*$AA$8, 0)</f>
        <v>0</v>
      </c>
      <c r="L107" s="75">
        <f t="shared" ca="1" si="106"/>
        <v>0</v>
      </c>
      <c r="M107" s="75">
        <f t="shared" ca="1" si="106"/>
        <v>0</v>
      </c>
      <c r="N107" s="75">
        <f t="shared" ca="1" si="106"/>
        <v>0</v>
      </c>
      <c r="O107" s="75">
        <f t="shared" ca="1" si="106"/>
        <v>-6.2884905391715336</v>
      </c>
      <c r="P107" s="75">
        <f t="shared" ca="1" si="106"/>
        <v>-15.233633642119315</v>
      </c>
      <c r="Q107" s="75">
        <f t="shared" ca="1" si="106"/>
        <v>-17.925509649225937</v>
      </c>
      <c r="R107" s="75">
        <f t="shared" ca="1" si="106"/>
        <v>-17.755024285319315</v>
      </c>
      <c r="S107" s="75">
        <f t="shared" ca="1" si="106"/>
        <v>-19.937284625225946</v>
      </c>
      <c r="T107" s="75">
        <f t="shared" ca="1" si="106"/>
        <v>-18.707595922750514</v>
      </c>
      <c r="U107" s="75">
        <f t="shared" ca="1" si="106"/>
        <v>-20.563386227237672</v>
      </c>
      <c r="V107" s="75">
        <f t="shared" ca="1" si="106"/>
        <v>-19.575266784189989</v>
      </c>
      <c r="W107" s="75">
        <f t="shared" ca="1" si="106"/>
        <v>-21.433099251758541</v>
      </c>
      <c r="X107" s="75">
        <f t="shared" ca="1" si="106"/>
        <v>-19.782415640423288</v>
      </c>
      <c r="Y107" s="75">
        <f t="shared" ca="1" si="106"/>
        <v>-20.808430684301829</v>
      </c>
      <c r="Z107" s="75">
        <f t="shared" ca="1" si="106"/>
        <v>-19.562134499058196</v>
      </c>
      <c r="AA107" s="75">
        <f t="shared" ca="1" si="106"/>
        <v>-21.028332063571082</v>
      </c>
      <c r="AB107" s="75">
        <f t="shared" ca="1" si="106"/>
        <v>-16.323755232690512</v>
      </c>
      <c r="AC107" s="75">
        <f t="shared" ca="1" si="106"/>
        <v>-17.604828173839902</v>
      </c>
      <c r="AD107" s="75">
        <f t="shared" ca="1" si="106"/>
        <v>-16.427635746262517</v>
      </c>
      <c r="AE107" s="75">
        <f t="shared" ca="1" si="106"/>
        <v>-17.92792166392405</v>
      </c>
      <c r="AF107" s="75">
        <f t="shared" ca="1" si="106"/>
        <v>-11.671814267769193</v>
      </c>
      <c r="AG107" s="75">
        <f t="shared" ca="1" si="106"/>
        <v>-12.383912318476014</v>
      </c>
      <c r="AH107" s="157">
        <f ca="1">SUM(C107:AG107)</f>
        <v>-330.94047121731535</v>
      </c>
      <c r="AI107" s="155" t="s">
        <v>279</v>
      </c>
      <c r="AJ107" s="142"/>
      <c r="AK107" s="21"/>
      <c r="AL107" s="21"/>
      <c r="AM107" s="19"/>
      <c r="AN107" s="19"/>
    </row>
    <row r="108" spans="1:40">
      <c r="B108" s="28"/>
      <c r="C108" s="164"/>
      <c r="D108" s="19"/>
      <c r="E108" s="19"/>
      <c r="F108" s="19"/>
      <c r="G108" s="19"/>
      <c r="H108" s="19"/>
      <c r="I108" s="19"/>
      <c r="J108" s="132"/>
      <c r="K108" s="849"/>
      <c r="L108" s="849"/>
      <c r="M108" s="849"/>
      <c r="N108" s="849"/>
      <c r="O108" s="850"/>
      <c r="P108" s="19"/>
      <c r="Q108" s="19"/>
      <c r="R108" s="19"/>
      <c r="S108" s="19"/>
      <c r="T108" s="19"/>
      <c r="U108" s="19"/>
      <c r="V108" s="19"/>
      <c r="W108" s="19"/>
      <c r="X108" s="19"/>
      <c r="Y108" s="19"/>
      <c r="Z108" s="19"/>
      <c r="AA108" s="19"/>
      <c r="AB108" s="19"/>
      <c r="AC108" s="19"/>
      <c r="AD108" s="19"/>
      <c r="AE108" s="19"/>
      <c r="AF108" s="19"/>
      <c r="AG108" s="19"/>
      <c r="AH108" s="159"/>
      <c r="AI108" s="155"/>
      <c r="AJ108" s="142"/>
      <c r="AK108" s="21"/>
      <c r="AL108" s="21"/>
      <c r="AM108" s="19"/>
      <c r="AN108" s="19"/>
    </row>
    <row r="109" spans="1:40">
      <c r="A109" s="179" t="s">
        <v>97</v>
      </c>
      <c r="B109" s="180" t="s">
        <v>98</v>
      </c>
      <c r="C109" s="181" t="s">
        <v>99</v>
      </c>
      <c r="D109" s="182" t="s">
        <v>100</v>
      </c>
      <c r="E109" s="183" t="s">
        <v>101</v>
      </c>
      <c r="F109" s="182" t="s">
        <v>102</v>
      </c>
      <c r="G109" s="183" t="s">
        <v>103</v>
      </c>
      <c r="H109" s="182" t="s">
        <v>104</v>
      </c>
      <c r="I109" s="182" t="s">
        <v>105</v>
      </c>
      <c r="J109" s="182" t="s">
        <v>106</v>
      </c>
      <c r="K109" s="182" t="s">
        <v>107</v>
      </c>
      <c r="L109" s="182" t="s">
        <v>108</v>
      </c>
      <c r="M109" s="182" t="s">
        <v>109</v>
      </c>
      <c r="N109" s="182" t="s">
        <v>88</v>
      </c>
      <c r="O109" s="183" t="s">
        <v>110</v>
      </c>
      <c r="P109" s="182" t="s">
        <v>111</v>
      </c>
      <c r="Q109" s="182" t="s">
        <v>112</v>
      </c>
      <c r="R109" s="182" t="s">
        <v>113</v>
      </c>
      <c r="S109" s="183" t="s">
        <v>114</v>
      </c>
      <c r="T109" s="182" t="s">
        <v>115</v>
      </c>
      <c r="U109" s="182" t="s">
        <v>116</v>
      </c>
      <c r="V109" s="182" t="s">
        <v>117</v>
      </c>
      <c r="W109" s="182" t="s">
        <v>118</v>
      </c>
      <c r="X109" s="182" t="s">
        <v>119</v>
      </c>
      <c r="Y109" s="182" t="s">
        <v>120</v>
      </c>
      <c r="Z109" s="182" t="s">
        <v>121</v>
      </c>
      <c r="AA109" s="183" t="s">
        <v>122</v>
      </c>
      <c r="AB109" s="182" t="s">
        <v>123</v>
      </c>
      <c r="AC109" s="182" t="s">
        <v>124</v>
      </c>
      <c r="AD109" s="182" t="s">
        <v>125</v>
      </c>
      <c r="AE109" s="182" t="s">
        <v>126</v>
      </c>
      <c r="AF109" s="182" t="s">
        <v>127</v>
      </c>
      <c r="AG109" s="183" t="s">
        <v>128</v>
      </c>
      <c r="AH109" s="157"/>
      <c r="AI109" s="155"/>
      <c r="AJ109" s="142"/>
      <c r="AK109" s="21"/>
      <c r="AL109" s="21"/>
      <c r="AM109" s="19"/>
      <c r="AN109" s="19"/>
    </row>
    <row r="110" spans="1:40" ht="13.8" thickBot="1">
      <c r="B110" s="52" t="s">
        <v>140</v>
      </c>
      <c r="C110" s="32">
        <f t="shared" ref="C110:AG110" si="107">C$30</f>
        <v>2017</v>
      </c>
      <c r="D110" s="32">
        <f t="shared" si="107"/>
        <v>2018</v>
      </c>
      <c r="E110" s="32">
        <f t="shared" si="107"/>
        <v>2019</v>
      </c>
      <c r="F110" s="32">
        <f t="shared" si="107"/>
        <v>2020</v>
      </c>
      <c r="G110" s="32">
        <f t="shared" si="107"/>
        <v>2021</v>
      </c>
      <c r="H110" s="32">
        <f t="shared" si="107"/>
        <v>2022</v>
      </c>
      <c r="I110" s="32">
        <f t="shared" si="107"/>
        <v>2023</v>
      </c>
      <c r="J110" s="32">
        <f t="shared" si="107"/>
        <v>2024</v>
      </c>
      <c r="K110" s="32">
        <f t="shared" si="107"/>
        <v>2025</v>
      </c>
      <c r="L110" s="32">
        <f t="shared" si="107"/>
        <v>2026</v>
      </c>
      <c r="M110" s="32">
        <f t="shared" si="107"/>
        <v>2027</v>
      </c>
      <c r="N110" s="32">
        <f t="shared" si="107"/>
        <v>2028</v>
      </c>
      <c r="O110" s="32">
        <f t="shared" si="107"/>
        <v>2029</v>
      </c>
      <c r="P110" s="32">
        <f t="shared" si="107"/>
        <v>2030</v>
      </c>
      <c r="Q110" s="32">
        <f t="shared" si="107"/>
        <v>2031</v>
      </c>
      <c r="R110" s="32">
        <f t="shared" si="107"/>
        <v>2032</v>
      </c>
      <c r="S110" s="32">
        <f t="shared" si="107"/>
        <v>2033</v>
      </c>
      <c r="T110" s="32">
        <f t="shared" si="107"/>
        <v>2034</v>
      </c>
      <c r="U110" s="32">
        <f t="shared" si="107"/>
        <v>2035</v>
      </c>
      <c r="V110" s="32">
        <f t="shared" si="107"/>
        <v>2036</v>
      </c>
      <c r="W110" s="32">
        <f t="shared" si="107"/>
        <v>2037</v>
      </c>
      <c r="X110" s="32">
        <f t="shared" si="107"/>
        <v>2038</v>
      </c>
      <c r="Y110" s="32">
        <f t="shared" si="107"/>
        <v>2039</v>
      </c>
      <c r="Z110" s="32">
        <f t="shared" si="107"/>
        <v>2040</v>
      </c>
      <c r="AA110" s="32">
        <f t="shared" si="107"/>
        <v>2041</v>
      </c>
      <c r="AB110" s="32">
        <f t="shared" si="107"/>
        <v>2042</v>
      </c>
      <c r="AC110" s="32">
        <f t="shared" si="107"/>
        <v>2043</v>
      </c>
      <c r="AD110" s="32">
        <f t="shared" si="107"/>
        <v>2044</v>
      </c>
      <c r="AE110" s="32">
        <f t="shared" si="107"/>
        <v>2045</v>
      </c>
      <c r="AF110" s="32">
        <f t="shared" si="107"/>
        <v>2046</v>
      </c>
      <c r="AG110" s="32">
        <f t="shared" si="107"/>
        <v>2047</v>
      </c>
      <c r="AH110" s="159"/>
      <c r="AI110" s="155"/>
      <c r="AJ110" s="142"/>
      <c r="AK110" s="21"/>
      <c r="AL110" s="21"/>
      <c r="AM110" s="19"/>
      <c r="AN110" s="19"/>
    </row>
    <row r="111" spans="1:40" ht="13.8" thickTop="1">
      <c r="B111" s="39" t="s">
        <v>141</v>
      </c>
      <c r="C111" s="53" t="str">
        <f>IF($V$6&gt;C30,"Not yet producing",IF(B111="C/I","C/I",IF(AND(B96&lt;=0,A96&lt;=0,C110&gt;($V$6+$AG$7)),"C/I",IF(AND(C110&gt;$V$6+2,B58&lt;$I$26),"C/I",IF(OR($AM$21&lt;0,$AM$22&lt;0),"C/I","Producing")))))</f>
        <v>Not yet producing</v>
      </c>
      <c r="D111" s="53" t="str">
        <f t="shared" ref="D111:AG111" si="108">IF($V$6&gt;D30,"Not yet producing",IF(C111="C/I","C/I",IF(AND(C96&lt;=0,B96&lt;=0,A96&lt;=0,D110&gt;($V$6+$AG$7)),"C/I",IF(AND(D110&gt;$V$6+2,C58&lt;$I$26),"C/I",IF(OR($AM$21&lt;0,$AM$22&lt;0),"C/I","Producing")))))</f>
        <v>Not yet producing</v>
      </c>
      <c r="E111" s="53" t="str">
        <f t="shared" si="108"/>
        <v>Not yet producing</v>
      </c>
      <c r="F111" s="53" t="str">
        <f t="shared" si="108"/>
        <v>Not yet producing</v>
      </c>
      <c r="G111" s="53" t="str">
        <f t="shared" si="108"/>
        <v>Not yet producing</v>
      </c>
      <c r="H111" s="53" t="str">
        <f t="shared" si="108"/>
        <v>Not yet producing</v>
      </c>
      <c r="I111" s="53" t="str">
        <f t="shared" si="108"/>
        <v>Not yet producing</v>
      </c>
      <c r="J111" s="53" t="str">
        <f t="shared" si="108"/>
        <v>Not yet producing</v>
      </c>
      <c r="K111" s="53" t="str">
        <f t="shared" si="108"/>
        <v>Producing</v>
      </c>
      <c r="L111" s="53" t="str">
        <f t="shared" ca="1" si="108"/>
        <v>Producing</v>
      </c>
      <c r="M111" s="53" t="str">
        <f t="shared" ca="1" si="108"/>
        <v>Producing</v>
      </c>
      <c r="N111" s="53" t="str">
        <f t="shared" ca="1" si="108"/>
        <v>Producing</v>
      </c>
      <c r="O111" s="53" t="str">
        <f t="shared" ca="1" si="108"/>
        <v>Producing</v>
      </c>
      <c r="P111" s="53" t="str">
        <f t="shared" ca="1" si="108"/>
        <v>Producing</v>
      </c>
      <c r="Q111" s="53" t="str">
        <f t="shared" ca="1" si="108"/>
        <v>Producing</v>
      </c>
      <c r="R111" s="53" t="str">
        <f t="shared" ca="1" si="108"/>
        <v>Producing</v>
      </c>
      <c r="S111" s="53" t="str">
        <f t="shared" ca="1" si="108"/>
        <v>Producing</v>
      </c>
      <c r="T111" s="53" t="str">
        <f t="shared" ca="1" si="108"/>
        <v>Producing</v>
      </c>
      <c r="U111" s="53" t="str">
        <f t="shared" ca="1" si="108"/>
        <v>Producing</v>
      </c>
      <c r="V111" s="53" t="str">
        <f t="shared" ca="1" si="108"/>
        <v>Producing</v>
      </c>
      <c r="W111" s="53" t="str">
        <f t="shared" ca="1" si="108"/>
        <v>Producing</v>
      </c>
      <c r="X111" s="53" t="str">
        <f t="shared" ca="1" si="108"/>
        <v>Producing</v>
      </c>
      <c r="Y111" s="53" t="str">
        <f t="shared" ca="1" si="108"/>
        <v>Producing</v>
      </c>
      <c r="Z111" s="53" t="str">
        <f t="shared" ca="1" si="108"/>
        <v>Producing</v>
      </c>
      <c r="AA111" s="53" t="str">
        <f t="shared" ca="1" si="108"/>
        <v>Producing</v>
      </c>
      <c r="AB111" s="53" t="str">
        <f t="shared" ca="1" si="108"/>
        <v>Producing</v>
      </c>
      <c r="AC111" s="53" t="str">
        <f t="shared" ca="1" si="108"/>
        <v>Producing</v>
      </c>
      <c r="AD111" s="53" t="str">
        <f t="shared" ca="1" si="108"/>
        <v>Producing</v>
      </c>
      <c r="AE111" s="53" t="str">
        <f t="shared" ca="1" si="108"/>
        <v>Producing</v>
      </c>
      <c r="AF111" s="53" t="str">
        <f t="shared" ca="1" si="108"/>
        <v>Producing</v>
      </c>
      <c r="AG111" s="53" t="str">
        <f t="shared" ca="1" si="108"/>
        <v>Producing</v>
      </c>
      <c r="AH111" s="157"/>
      <c r="AI111" s="155"/>
      <c r="AJ111" s="142"/>
      <c r="AK111" s="21"/>
      <c r="AL111" s="21"/>
      <c r="AM111" s="19"/>
      <c r="AN111" s="19"/>
    </row>
    <row r="112" spans="1:40">
      <c r="B112" s="50" t="s">
        <v>142</v>
      </c>
      <c r="C112" s="189" t="str">
        <f>IF(B111="C/I",B112,IF(C111&lt;&gt;"C/I","",IF(C111="C/I",IF(OR($AM$21&lt;0,$AM$22&lt;0),"Pressure err",IF(AND(A96&lt;0,B96&lt;0),"NCF negative",IF(B58&lt;$I$26,"FTHT &lt; minimum"))))))</f>
        <v/>
      </c>
      <c r="D112" s="189" t="str">
        <f t="shared" ref="D112:AG112" si="109">IF(C111="C/I",C112,IF(D111&lt;&gt;"C/I","",IF(D111="C/I",IF(OR($AM$21&lt;0,$AM$22&lt;0),"Pressure err",IF(AND(A96&lt;0,B96&lt;0,C96&lt;0),"NCF negative",IF(C58&lt;$I$26,"FTHT &lt; minimum"))))))</f>
        <v/>
      </c>
      <c r="E112" s="189" t="str">
        <f t="shared" si="109"/>
        <v/>
      </c>
      <c r="F112" s="189" t="str">
        <f t="shared" si="109"/>
        <v/>
      </c>
      <c r="G112" s="189" t="str">
        <f t="shared" si="109"/>
        <v/>
      </c>
      <c r="H112" s="189" t="str">
        <f t="shared" si="109"/>
        <v/>
      </c>
      <c r="I112" s="189" t="str">
        <f t="shared" si="109"/>
        <v/>
      </c>
      <c r="J112" s="189" t="str">
        <f t="shared" si="109"/>
        <v/>
      </c>
      <c r="K112" s="189" t="str">
        <f t="shared" si="109"/>
        <v/>
      </c>
      <c r="L112" s="189" t="str">
        <f t="shared" ca="1" si="109"/>
        <v/>
      </c>
      <c r="M112" s="189" t="str">
        <f t="shared" ca="1" si="109"/>
        <v/>
      </c>
      <c r="N112" s="189" t="str">
        <f t="shared" ca="1" si="109"/>
        <v/>
      </c>
      <c r="O112" s="189" t="str">
        <f t="shared" ca="1" si="109"/>
        <v/>
      </c>
      <c r="P112" s="189" t="str">
        <f t="shared" ca="1" si="109"/>
        <v/>
      </c>
      <c r="Q112" s="189" t="str">
        <f t="shared" ca="1" si="109"/>
        <v/>
      </c>
      <c r="R112" s="189" t="str">
        <f t="shared" ca="1" si="109"/>
        <v/>
      </c>
      <c r="S112" s="189" t="str">
        <f t="shared" ca="1" si="109"/>
        <v/>
      </c>
      <c r="T112" s="189" t="str">
        <f t="shared" ca="1" si="109"/>
        <v/>
      </c>
      <c r="U112" s="189" t="str">
        <f t="shared" ca="1" si="109"/>
        <v/>
      </c>
      <c r="V112" s="189" t="str">
        <f t="shared" ca="1" si="109"/>
        <v/>
      </c>
      <c r="W112" s="189" t="str">
        <f t="shared" ca="1" si="109"/>
        <v/>
      </c>
      <c r="X112" s="189" t="str">
        <f t="shared" ca="1" si="109"/>
        <v/>
      </c>
      <c r="Y112" s="189" t="str">
        <f t="shared" ca="1" si="109"/>
        <v/>
      </c>
      <c r="Z112" s="189" t="str">
        <f t="shared" ca="1" si="109"/>
        <v/>
      </c>
      <c r="AA112" s="189" t="str">
        <f t="shared" ca="1" si="109"/>
        <v/>
      </c>
      <c r="AB112" s="189" t="str">
        <f t="shared" ca="1" si="109"/>
        <v/>
      </c>
      <c r="AC112" s="189" t="str">
        <f t="shared" ca="1" si="109"/>
        <v/>
      </c>
      <c r="AD112" s="189" t="str">
        <f t="shared" ca="1" si="109"/>
        <v/>
      </c>
      <c r="AE112" s="189" t="str">
        <f t="shared" ca="1" si="109"/>
        <v/>
      </c>
      <c r="AF112" s="189" t="str">
        <f t="shared" ca="1" si="109"/>
        <v/>
      </c>
      <c r="AG112" s="189" t="str">
        <f t="shared" ca="1" si="109"/>
        <v/>
      </c>
      <c r="AH112" s="160" t="str">
        <f ca="1">AG112</f>
        <v/>
      </c>
      <c r="AI112" s="155"/>
      <c r="AJ112" s="142"/>
      <c r="AK112" s="21"/>
      <c r="AL112" s="21"/>
      <c r="AM112" s="19"/>
      <c r="AN112" s="19"/>
    </row>
    <row r="113" spans="2:40">
      <c r="B113" s="28"/>
      <c r="C113" s="164"/>
      <c r="D113" s="19"/>
      <c r="E113" s="19"/>
      <c r="F113" s="19"/>
      <c r="G113" s="19"/>
      <c r="H113" s="19"/>
      <c r="I113" s="19"/>
      <c r="J113" s="132"/>
      <c r="K113" s="137"/>
      <c r="L113" s="132"/>
      <c r="M113" s="137"/>
      <c r="N113" s="28"/>
      <c r="O113" s="28"/>
      <c r="P113" s="19"/>
      <c r="Q113" s="19"/>
      <c r="R113" s="19"/>
      <c r="S113" s="19"/>
      <c r="T113" s="19"/>
      <c r="U113" s="19"/>
      <c r="V113" s="19"/>
      <c r="W113" s="19"/>
      <c r="X113" s="19"/>
      <c r="Y113" s="19"/>
      <c r="Z113" s="19"/>
      <c r="AA113" s="19"/>
      <c r="AB113" s="19"/>
      <c r="AC113" s="19"/>
      <c r="AD113" s="19"/>
      <c r="AE113" s="19"/>
      <c r="AF113" s="19"/>
      <c r="AG113" s="19"/>
      <c r="AH113" s="159"/>
      <c r="AI113" s="155"/>
      <c r="AJ113" s="142"/>
      <c r="AK113" s="21"/>
      <c r="AL113" s="21"/>
      <c r="AM113" s="19"/>
      <c r="AN113" s="19"/>
    </row>
    <row r="114" spans="2:40" ht="13.8" thickBot="1">
      <c r="B114" s="52" t="s">
        <v>143</v>
      </c>
      <c r="C114" s="32">
        <f t="shared" ref="C114:AG114" si="110">C$30</f>
        <v>2017</v>
      </c>
      <c r="D114" s="32">
        <f t="shared" si="110"/>
        <v>2018</v>
      </c>
      <c r="E114" s="32">
        <f t="shared" si="110"/>
        <v>2019</v>
      </c>
      <c r="F114" s="32">
        <f t="shared" si="110"/>
        <v>2020</v>
      </c>
      <c r="G114" s="32">
        <f t="shared" si="110"/>
        <v>2021</v>
      </c>
      <c r="H114" s="32">
        <f t="shared" si="110"/>
        <v>2022</v>
      </c>
      <c r="I114" s="32">
        <f t="shared" si="110"/>
        <v>2023</v>
      </c>
      <c r="J114" s="32">
        <f t="shared" si="110"/>
        <v>2024</v>
      </c>
      <c r="K114" s="32">
        <f t="shared" si="110"/>
        <v>2025</v>
      </c>
      <c r="L114" s="32">
        <f t="shared" si="110"/>
        <v>2026</v>
      </c>
      <c r="M114" s="32">
        <f t="shared" si="110"/>
        <v>2027</v>
      </c>
      <c r="N114" s="32">
        <f t="shared" si="110"/>
        <v>2028</v>
      </c>
      <c r="O114" s="32">
        <f t="shared" si="110"/>
        <v>2029</v>
      </c>
      <c r="P114" s="32">
        <f t="shared" si="110"/>
        <v>2030</v>
      </c>
      <c r="Q114" s="32">
        <f t="shared" si="110"/>
        <v>2031</v>
      </c>
      <c r="R114" s="32">
        <f t="shared" si="110"/>
        <v>2032</v>
      </c>
      <c r="S114" s="32">
        <f t="shared" si="110"/>
        <v>2033</v>
      </c>
      <c r="T114" s="32">
        <f t="shared" si="110"/>
        <v>2034</v>
      </c>
      <c r="U114" s="32">
        <f t="shared" si="110"/>
        <v>2035</v>
      </c>
      <c r="V114" s="32">
        <f t="shared" si="110"/>
        <v>2036</v>
      </c>
      <c r="W114" s="32">
        <f t="shared" si="110"/>
        <v>2037</v>
      </c>
      <c r="X114" s="32">
        <f t="shared" si="110"/>
        <v>2038</v>
      </c>
      <c r="Y114" s="32">
        <f t="shared" si="110"/>
        <v>2039</v>
      </c>
      <c r="Z114" s="32">
        <f t="shared" si="110"/>
        <v>2040</v>
      </c>
      <c r="AA114" s="32">
        <f t="shared" si="110"/>
        <v>2041</v>
      </c>
      <c r="AB114" s="32">
        <f t="shared" si="110"/>
        <v>2042</v>
      </c>
      <c r="AC114" s="32">
        <f t="shared" si="110"/>
        <v>2043</v>
      </c>
      <c r="AD114" s="32">
        <f t="shared" si="110"/>
        <v>2044</v>
      </c>
      <c r="AE114" s="32">
        <f t="shared" si="110"/>
        <v>2045</v>
      </c>
      <c r="AF114" s="32">
        <f t="shared" si="110"/>
        <v>2046</v>
      </c>
      <c r="AG114" s="32">
        <f t="shared" si="110"/>
        <v>2047</v>
      </c>
      <c r="AH114" s="157"/>
      <c r="AI114" s="155"/>
      <c r="AJ114" s="142"/>
      <c r="AK114" s="21"/>
      <c r="AL114" s="21"/>
      <c r="AM114" s="19"/>
      <c r="AN114" s="19"/>
    </row>
    <row r="115" spans="2:40" ht="13.8" thickTop="1">
      <c r="B115" s="39" t="s">
        <v>144</v>
      </c>
      <c r="C115" s="54" t="str">
        <f t="shared" ref="C115:K115" si="111">IF(AND(C111="C/I",B111&lt;&gt;"C/I"),C114,"")</f>
        <v/>
      </c>
      <c r="D115" s="54" t="str">
        <f t="shared" si="111"/>
        <v/>
      </c>
      <c r="E115" s="54" t="str">
        <f t="shared" si="111"/>
        <v/>
      </c>
      <c r="F115" s="54" t="str">
        <f t="shared" si="111"/>
        <v/>
      </c>
      <c r="G115" s="54" t="str">
        <f t="shared" si="111"/>
        <v/>
      </c>
      <c r="H115" s="54" t="str">
        <f t="shared" si="111"/>
        <v/>
      </c>
      <c r="I115" s="54" t="str">
        <f t="shared" si="111"/>
        <v/>
      </c>
      <c r="J115" s="54" t="str">
        <f t="shared" si="111"/>
        <v/>
      </c>
      <c r="K115" s="54" t="str">
        <f t="shared" si="111"/>
        <v/>
      </c>
      <c r="L115" s="54" t="str">
        <f t="shared" ref="L115:AG115" ca="1" si="112">IF(AND(L111="C/I",K111&lt;&gt;"C/I"),L114,"")</f>
        <v/>
      </c>
      <c r="M115" s="54" t="str">
        <f t="shared" ca="1" si="112"/>
        <v/>
      </c>
      <c r="N115" s="54" t="str">
        <f t="shared" ca="1" si="112"/>
        <v/>
      </c>
      <c r="O115" s="54" t="str">
        <f t="shared" ca="1" si="112"/>
        <v/>
      </c>
      <c r="P115" s="54" t="str">
        <f t="shared" ca="1" si="112"/>
        <v/>
      </c>
      <c r="Q115" s="54" t="str">
        <f t="shared" ca="1" si="112"/>
        <v/>
      </c>
      <c r="R115" s="54" t="str">
        <f t="shared" ca="1" si="112"/>
        <v/>
      </c>
      <c r="S115" s="54" t="str">
        <f t="shared" ca="1" si="112"/>
        <v/>
      </c>
      <c r="T115" s="54" t="str">
        <f t="shared" ca="1" si="112"/>
        <v/>
      </c>
      <c r="U115" s="54" t="str">
        <f t="shared" ca="1" si="112"/>
        <v/>
      </c>
      <c r="V115" s="54" t="str">
        <f t="shared" ca="1" si="112"/>
        <v/>
      </c>
      <c r="W115" s="54" t="str">
        <f t="shared" ca="1" si="112"/>
        <v/>
      </c>
      <c r="X115" s="54" t="str">
        <f t="shared" ca="1" si="112"/>
        <v/>
      </c>
      <c r="Y115" s="54" t="str">
        <f t="shared" ca="1" si="112"/>
        <v/>
      </c>
      <c r="Z115" s="54" t="str">
        <f t="shared" ca="1" si="112"/>
        <v/>
      </c>
      <c r="AA115" s="54" t="str">
        <f t="shared" ca="1" si="112"/>
        <v/>
      </c>
      <c r="AB115" s="54" t="str">
        <f t="shared" ca="1" si="112"/>
        <v/>
      </c>
      <c r="AC115" s="54" t="str">
        <f t="shared" ca="1" si="112"/>
        <v/>
      </c>
      <c r="AD115" s="54" t="str">
        <f t="shared" ca="1" si="112"/>
        <v/>
      </c>
      <c r="AE115" s="54" t="str">
        <f t="shared" ca="1" si="112"/>
        <v/>
      </c>
      <c r="AF115" s="54" t="str">
        <f t="shared" ca="1" si="112"/>
        <v/>
      </c>
      <c r="AG115" s="54" t="str">
        <f t="shared" ca="1" si="112"/>
        <v/>
      </c>
      <c r="AH115" s="157"/>
      <c r="AI115" s="155"/>
      <c r="AJ115" s="142"/>
      <c r="AK115" s="21"/>
      <c r="AL115" s="21"/>
      <c r="AM115" s="19"/>
      <c r="AN115" s="19"/>
    </row>
    <row r="116" spans="2:40">
      <c r="B116" s="50" t="s">
        <v>278</v>
      </c>
      <c r="C116" s="77">
        <f>IF(C111="C/I",IF(C114=$C$118,IF($AG$9="Percent",$AG$11*CumCF!B13,-$AG$10),0),0)</f>
        <v>0</v>
      </c>
      <c r="D116" s="77">
        <f>IF(D111="C/I",IF(D114=$C$118,IF($AG$9="Percent",$AG$11*CumCF!C13,-$AG$10),0),0)</f>
        <v>0</v>
      </c>
      <c r="E116" s="77">
        <f>IF(E111="C/I",IF(E114=$C$118,IF($AG$9="Percent",$AG$11*CumCF!D13,-$AG$10),0),0)</f>
        <v>0</v>
      </c>
      <c r="F116" s="77">
        <f>IF(F111="C/I",IF(F114=$C$118,IF($AG$9="Percent",$AG$11*CumCF!E13,-$AG$10),0),0)</f>
        <v>0</v>
      </c>
      <c r="G116" s="77">
        <f>IF(G111="C/I",IF(G114=$C$118,IF($AG$9="Percent",$AG$11*CumCF!F13,-$AG$10),0),0)</f>
        <v>0</v>
      </c>
      <c r="H116" s="77">
        <f>IF(H111="C/I",IF(H114=$C$118,IF($AG$9="Percent",$AG$11*CumCF!G13,-$AG$10),0),0)</f>
        <v>0</v>
      </c>
      <c r="I116" s="77">
        <f>IF(I111="C/I",IF(I114=$C$118,IF($AG$9="Percent",$AG$11*CumCF!H13,-$AG$10),0),0)</f>
        <v>0</v>
      </c>
      <c r="J116" s="77">
        <f>IF(J111="C/I",IF(J114=$C$118,IF($AG$9="Percent",$AG$11*CumCF!I13,-$AG$10),0),0)</f>
        <v>0</v>
      </c>
      <c r="K116" s="77">
        <f>IF(K111="C/I",IF(K114=$C$118,IF($AG$9="Percent",$AG$11*CumCF!J13,-$AG$10),0),0)</f>
        <v>0</v>
      </c>
      <c r="L116" s="77">
        <f ca="1">IF(L111="C/I",IF(L114=$C$118,IF($AG$9="Percent",$AG$11*CumCF!K13,-$AG$10),0),0)</f>
        <v>0</v>
      </c>
      <c r="M116" s="77">
        <f ca="1">IF(M111="C/I",IF(M114=$C$118,IF($AG$9="Percent",$AG$11*CumCF!L13,-$AG$10),0),0)</f>
        <v>0</v>
      </c>
      <c r="N116" s="77">
        <f ca="1">IF(N111="C/I",IF(N114=$C$118,IF($AG$9="Percent",$AG$11*CumCF!M13,-$AG$10),0),0)</f>
        <v>0</v>
      </c>
      <c r="O116" s="77">
        <f ca="1">IF(O111="C/I",IF(O114=$C$118,IF($AG$9="Percent",$AG$11*CumCF!N13,-$AG$10),0),0)</f>
        <v>0</v>
      </c>
      <c r="P116" s="77">
        <f ca="1">IF(P111="C/I",IF(P114=$C$118,IF($AG$9="Percent",$AG$11*CumCF!O13,-$AG$10),0),0)</f>
        <v>0</v>
      </c>
      <c r="Q116" s="77">
        <f ca="1">IF(Q111="C/I",IF(Q114=$C$118,IF($AG$9="Percent",$AG$11*CumCF!P13,-$AG$10),0),0)</f>
        <v>0</v>
      </c>
      <c r="R116" s="77">
        <f ca="1">IF(R111="C/I",IF(R114=$C$118,IF($AG$9="Percent",$AG$11*CumCF!Q13,-$AG$10),0),0)</f>
        <v>0</v>
      </c>
      <c r="S116" s="77">
        <f ca="1">IF(S111="C/I",IF(S114=$C$118,IF($AG$9="Percent",$AG$11*CumCF!R13,-$AG$10),0),0)</f>
        <v>0</v>
      </c>
      <c r="T116" s="77">
        <f ca="1">IF(T111="C/I",IF(T114=$C$118,IF($AG$9="Percent",$AG$11*CumCF!S13,-$AG$10),0),0)</f>
        <v>0</v>
      </c>
      <c r="U116" s="77">
        <f ca="1">IF(U111="C/I",IF(U114=$C$118,IF($AG$9="Percent",$AG$11*CumCF!T13,-$AG$10),0),0)</f>
        <v>0</v>
      </c>
      <c r="V116" s="77">
        <f ca="1">IF(V111="C/I",IF(V114=$C$118,IF($AG$9="Percent",$AG$11*CumCF!U13,-$AG$10),0),0)</f>
        <v>0</v>
      </c>
      <c r="W116" s="77">
        <f ca="1">IF(W111="C/I",IF(W114=$C$118,IF($AG$9="Percent",$AG$11*CumCF!V13,-$AG$10),0),0)</f>
        <v>0</v>
      </c>
      <c r="X116" s="77">
        <f ca="1">IF(X111="C/I",IF(X114=$C$118,IF($AG$9="Percent",$AG$11*CumCF!W13,-$AG$10),0),0)</f>
        <v>0</v>
      </c>
      <c r="Y116" s="77">
        <f ca="1">IF(Y111="C/I",IF(Y114=$C$118,IF($AG$9="Percent",$AG$11*CumCF!X13,-$AG$10),0),0)</f>
        <v>0</v>
      </c>
      <c r="Z116" s="77">
        <f ca="1">IF(Z111="C/I",IF(Z114=$C$118,IF($AG$9="Percent",$AG$11*CumCF!Y13,-$AG$10),0),0)</f>
        <v>0</v>
      </c>
      <c r="AA116" s="77">
        <f ca="1">IF(AA111="C/I",IF(AA114=$C$118,IF($AG$9="Percent",$AG$11*CumCF!Z13,-$AG$10),0),0)</f>
        <v>0</v>
      </c>
      <c r="AB116" s="77">
        <f ca="1">IF(AB111="C/I",IF(AB114=$C$118,IF($AG$9="Percent",$AG$11*CumCF!AA13,-$AG$10),0),0)</f>
        <v>0</v>
      </c>
      <c r="AC116" s="77">
        <f ca="1">IF(AC111="C/I",IF(AC114=$C$118,IF($AG$9="Percent",$AG$11*CumCF!AB13,-$AG$10),0),0)</f>
        <v>0</v>
      </c>
      <c r="AD116" s="77">
        <f ca="1">IF(AD111="C/I",IF(AD114=$C$118,IF($AG$9="Percent",$AG$11*CumCF!AC13,-$AG$10),0),0)</f>
        <v>0</v>
      </c>
      <c r="AE116" s="77">
        <f ca="1">IF(AE111="C/I",IF(AE114=$C$118,IF($AG$9="Percent",$AG$11*CumCF!AD13,-$AG$10),0),0)</f>
        <v>0</v>
      </c>
      <c r="AF116" s="77">
        <f ca="1">IF(AF111="C/I",IF(AF114=$C$118,IF($AG$9="Percent",$AG$11*CumCF!AE13,-$AG$10),0),0)</f>
        <v>0</v>
      </c>
      <c r="AG116" s="77">
        <f ca="1">IF(AG111="C/I",IF(AG114=$C$118,IF($AG$9="Percent",$AG$11*CumCF!AF13,-$AG$10),0),0)</f>
        <v>0</v>
      </c>
      <c r="AH116" s="157"/>
      <c r="AI116" s="155"/>
      <c r="AJ116" s="142"/>
      <c r="AK116" s="21"/>
      <c r="AL116" s="21"/>
      <c r="AM116" s="19"/>
      <c r="AN116" s="19"/>
    </row>
    <row r="117" spans="2:40">
      <c r="B117" s="169" t="s">
        <v>297</v>
      </c>
      <c r="C117" s="1048">
        <f ca="1">MIN(C115:AG115)</f>
        <v>0</v>
      </c>
      <c r="D117" s="170"/>
      <c r="E117" s="19"/>
      <c r="F117" s="19"/>
      <c r="G117" s="19"/>
      <c r="H117" s="19"/>
      <c r="I117" s="538"/>
      <c r="J117" s="132"/>
      <c r="K117" s="537"/>
      <c r="L117" s="536"/>
      <c r="M117" s="137"/>
      <c r="N117" s="28"/>
      <c r="O117" s="28"/>
      <c r="P117" s="19"/>
      <c r="Q117" s="19"/>
      <c r="R117" s="19"/>
      <c r="S117" s="19"/>
      <c r="T117" s="19"/>
      <c r="U117" s="19"/>
      <c r="V117" s="19"/>
      <c r="W117" s="19"/>
      <c r="X117" s="19"/>
      <c r="Y117" s="19"/>
      <c r="Z117" s="19"/>
      <c r="AA117" s="19"/>
      <c r="AB117" s="19"/>
      <c r="AC117" s="19"/>
      <c r="AD117" s="19"/>
      <c r="AE117" s="19"/>
      <c r="AF117" s="19"/>
      <c r="AG117" s="19"/>
      <c r="AH117" s="157"/>
      <c r="AI117" s="155"/>
      <c r="AJ117" s="142"/>
      <c r="AK117" s="21"/>
      <c r="AL117" s="21"/>
      <c r="AM117" s="19"/>
      <c r="AN117" s="19"/>
    </row>
    <row r="118" spans="2:40">
      <c r="B118" s="169" t="s">
        <v>298</v>
      </c>
      <c r="C118" s="1048" t="str">
        <f ca="1">IF(C117=0,"N/A",C117+$V$7)</f>
        <v>N/A</v>
      </c>
      <c r="D118" s="170"/>
      <c r="E118" s="19"/>
      <c r="F118" s="19"/>
      <c r="G118" s="19"/>
      <c r="H118" s="19"/>
      <c r="I118" s="19"/>
      <c r="J118" s="132"/>
      <c r="K118" s="137"/>
      <c r="L118" s="132"/>
      <c r="M118" s="137"/>
      <c r="N118" s="28"/>
      <c r="O118" s="28"/>
      <c r="P118" s="19"/>
      <c r="Q118" s="19"/>
      <c r="R118" s="19"/>
      <c r="S118" s="19"/>
      <c r="T118" s="19"/>
      <c r="U118" s="19"/>
      <c r="V118" s="19"/>
      <c r="W118" s="19"/>
      <c r="X118" s="19"/>
      <c r="Y118" s="19"/>
      <c r="Z118" s="19"/>
      <c r="AA118" s="19"/>
      <c r="AB118" s="19"/>
      <c r="AC118" s="19"/>
      <c r="AD118" s="19"/>
      <c r="AE118" s="19"/>
      <c r="AF118" s="19"/>
      <c r="AG118" s="19"/>
      <c r="AH118" s="157"/>
      <c r="AI118" s="155"/>
      <c r="AJ118" s="142"/>
      <c r="AK118" s="21"/>
      <c r="AL118" s="21"/>
      <c r="AM118" s="19"/>
      <c r="AN118" s="19"/>
    </row>
    <row r="119" spans="2:40">
      <c r="B119" s="28"/>
      <c r="C119" s="164"/>
      <c r="D119" s="19"/>
      <c r="E119" s="19"/>
      <c r="F119" s="19"/>
      <c r="G119" s="19"/>
      <c r="H119" s="19"/>
      <c r="I119" s="19"/>
      <c r="J119" s="132"/>
      <c r="K119" s="137"/>
      <c r="L119" s="132"/>
      <c r="M119" s="137"/>
      <c r="N119" s="28"/>
      <c r="O119" s="28"/>
      <c r="P119" s="19"/>
      <c r="Q119" s="19"/>
      <c r="R119" s="19"/>
      <c r="S119" s="19"/>
      <c r="T119" s="19"/>
      <c r="U119" s="19"/>
      <c r="V119" s="19"/>
      <c r="W119" s="19"/>
      <c r="X119" s="19"/>
      <c r="Y119" s="19"/>
      <c r="Z119" s="19"/>
      <c r="AA119" s="19"/>
      <c r="AB119" s="19"/>
      <c r="AC119" s="19"/>
      <c r="AD119" s="19"/>
      <c r="AE119" s="19"/>
      <c r="AF119" s="19"/>
      <c r="AG119" s="19"/>
      <c r="AH119" s="157"/>
      <c r="AI119" s="155"/>
      <c r="AJ119" s="142"/>
      <c r="AK119" s="21"/>
      <c r="AL119" s="21"/>
      <c r="AM119" s="19"/>
      <c r="AN119" s="19"/>
    </row>
    <row r="120" spans="2:40" ht="13.8" thickBot="1">
      <c r="B120" s="52" t="s">
        <v>145</v>
      </c>
      <c r="C120" s="32">
        <f t="shared" ref="C120:AG120" si="113">C$30</f>
        <v>2017</v>
      </c>
      <c r="D120" s="32">
        <f t="shared" si="113"/>
        <v>2018</v>
      </c>
      <c r="E120" s="32">
        <f t="shared" si="113"/>
        <v>2019</v>
      </c>
      <c r="F120" s="32">
        <f t="shared" si="113"/>
        <v>2020</v>
      </c>
      <c r="G120" s="32">
        <f t="shared" si="113"/>
        <v>2021</v>
      </c>
      <c r="H120" s="32">
        <f t="shared" si="113"/>
        <v>2022</v>
      </c>
      <c r="I120" s="32">
        <f t="shared" si="113"/>
        <v>2023</v>
      </c>
      <c r="J120" s="32">
        <f t="shared" si="113"/>
        <v>2024</v>
      </c>
      <c r="K120" s="32">
        <f t="shared" si="113"/>
        <v>2025</v>
      </c>
      <c r="L120" s="32">
        <f t="shared" si="113"/>
        <v>2026</v>
      </c>
      <c r="M120" s="32">
        <f t="shared" si="113"/>
        <v>2027</v>
      </c>
      <c r="N120" s="32">
        <f t="shared" si="113"/>
        <v>2028</v>
      </c>
      <c r="O120" s="32">
        <f t="shared" si="113"/>
        <v>2029</v>
      </c>
      <c r="P120" s="32">
        <f t="shared" si="113"/>
        <v>2030</v>
      </c>
      <c r="Q120" s="32">
        <f t="shared" si="113"/>
        <v>2031</v>
      </c>
      <c r="R120" s="32">
        <f t="shared" si="113"/>
        <v>2032</v>
      </c>
      <c r="S120" s="32">
        <f t="shared" si="113"/>
        <v>2033</v>
      </c>
      <c r="T120" s="32">
        <f t="shared" si="113"/>
        <v>2034</v>
      </c>
      <c r="U120" s="32">
        <f t="shared" si="113"/>
        <v>2035</v>
      </c>
      <c r="V120" s="32">
        <f t="shared" si="113"/>
        <v>2036</v>
      </c>
      <c r="W120" s="32">
        <f t="shared" si="113"/>
        <v>2037</v>
      </c>
      <c r="X120" s="32">
        <f t="shared" si="113"/>
        <v>2038</v>
      </c>
      <c r="Y120" s="32">
        <f t="shared" si="113"/>
        <v>2039</v>
      </c>
      <c r="Z120" s="32">
        <f t="shared" si="113"/>
        <v>2040</v>
      </c>
      <c r="AA120" s="32">
        <f t="shared" si="113"/>
        <v>2041</v>
      </c>
      <c r="AB120" s="32">
        <f t="shared" si="113"/>
        <v>2042</v>
      </c>
      <c r="AC120" s="32">
        <f t="shared" si="113"/>
        <v>2043</v>
      </c>
      <c r="AD120" s="32">
        <f t="shared" si="113"/>
        <v>2044</v>
      </c>
      <c r="AE120" s="32">
        <f t="shared" si="113"/>
        <v>2045</v>
      </c>
      <c r="AF120" s="32">
        <f t="shared" si="113"/>
        <v>2046</v>
      </c>
      <c r="AG120" s="32">
        <f t="shared" si="113"/>
        <v>2047</v>
      </c>
      <c r="AH120" s="157"/>
      <c r="AI120" s="155"/>
      <c r="AJ120" s="142"/>
      <c r="AK120" s="19"/>
      <c r="AL120" s="19"/>
      <c r="AM120" s="21"/>
      <c r="AN120" s="19"/>
    </row>
    <row r="121" spans="2:40" ht="13.8" thickTop="1">
      <c r="B121" s="71" t="s">
        <v>1713</v>
      </c>
      <c r="C121" s="56">
        <f>C161</f>
        <v>0</v>
      </c>
      <c r="D121" s="56">
        <f t="shared" ref="D121:AG121" si="114">D161</f>
        <v>0</v>
      </c>
      <c r="E121" s="56">
        <f t="shared" si="114"/>
        <v>0</v>
      </c>
      <c r="F121" s="56">
        <f t="shared" si="114"/>
        <v>2</v>
      </c>
      <c r="G121" s="56">
        <f t="shared" si="114"/>
        <v>4</v>
      </c>
      <c r="H121" s="56">
        <f t="shared" si="114"/>
        <v>4</v>
      </c>
      <c r="I121" s="56">
        <f t="shared" si="114"/>
        <v>5</v>
      </c>
      <c r="J121" s="56">
        <f t="shared" si="114"/>
        <v>8</v>
      </c>
      <c r="K121" s="56">
        <f t="shared" si="114"/>
        <v>11</v>
      </c>
      <c r="L121" s="56">
        <f t="shared" ca="1" si="114"/>
        <v>15</v>
      </c>
      <c r="M121" s="56">
        <f t="shared" ca="1" si="114"/>
        <v>18</v>
      </c>
      <c r="N121" s="56">
        <f t="shared" ca="1" si="114"/>
        <v>22</v>
      </c>
      <c r="O121" s="56">
        <f t="shared" ca="1" si="114"/>
        <v>22</v>
      </c>
      <c r="P121" s="56">
        <f t="shared" ca="1" si="114"/>
        <v>22</v>
      </c>
      <c r="Q121" s="56">
        <f t="shared" ca="1" si="114"/>
        <v>22</v>
      </c>
      <c r="R121" s="56">
        <f t="shared" ca="1" si="114"/>
        <v>22</v>
      </c>
      <c r="S121" s="56">
        <f t="shared" ca="1" si="114"/>
        <v>22</v>
      </c>
      <c r="T121" s="56">
        <f t="shared" ca="1" si="114"/>
        <v>22</v>
      </c>
      <c r="U121" s="56">
        <f t="shared" ca="1" si="114"/>
        <v>22</v>
      </c>
      <c r="V121" s="56">
        <f t="shared" ca="1" si="114"/>
        <v>22</v>
      </c>
      <c r="W121" s="56">
        <f t="shared" ca="1" si="114"/>
        <v>22</v>
      </c>
      <c r="X121" s="56">
        <f t="shared" ca="1" si="114"/>
        <v>22</v>
      </c>
      <c r="Y121" s="56">
        <f t="shared" ca="1" si="114"/>
        <v>22</v>
      </c>
      <c r="Z121" s="56">
        <f t="shared" ca="1" si="114"/>
        <v>22</v>
      </c>
      <c r="AA121" s="56">
        <f t="shared" ca="1" si="114"/>
        <v>22</v>
      </c>
      <c r="AB121" s="56">
        <f t="shared" ca="1" si="114"/>
        <v>22</v>
      </c>
      <c r="AC121" s="56">
        <f t="shared" ca="1" si="114"/>
        <v>22</v>
      </c>
      <c r="AD121" s="56">
        <f t="shared" ca="1" si="114"/>
        <v>22</v>
      </c>
      <c r="AE121" s="56">
        <f t="shared" ca="1" si="114"/>
        <v>22</v>
      </c>
      <c r="AF121" s="56">
        <f t="shared" ca="1" si="114"/>
        <v>22</v>
      </c>
      <c r="AG121" s="56">
        <f t="shared" ca="1" si="114"/>
        <v>22</v>
      </c>
      <c r="AH121" s="157"/>
      <c r="AI121" s="155"/>
      <c r="AJ121" s="142"/>
      <c r="AK121" s="19"/>
      <c r="AL121" s="19"/>
      <c r="AM121" s="21"/>
      <c r="AN121" s="19"/>
    </row>
    <row r="122" spans="2:40">
      <c r="B122" s="55" t="s">
        <v>1612</v>
      </c>
      <c r="C122" s="56">
        <f>IF(C$111="C/I",0,C123)</f>
        <v>0</v>
      </c>
      <c r="D122" s="56">
        <f>IF(D$111="C/I",0,D123-C123)</f>
        <v>0</v>
      </c>
      <c r="E122" s="56">
        <f t="shared" ref="E122:AG122" si="115">IF(E$111="C/I",0,E123-D123)</f>
        <v>0</v>
      </c>
      <c r="F122" s="56">
        <f t="shared" si="115"/>
        <v>1</v>
      </c>
      <c r="G122" s="56">
        <f t="shared" si="115"/>
        <v>0</v>
      </c>
      <c r="H122" s="56">
        <f t="shared" si="115"/>
        <v>0</v>
      </c>
      <c r="I122" s="56">
        <f t="shared" si="115"/>
        <v>0</v>
      </c>
      <c r="J122" s="56">
        <f t="shared" si="115"/>
        <v>1</v>
      </c>
      <c r="K122" s="56">
        <f t="shared" si="115"/>
        <v>1</v>
      </c>
      <c r="L122" s="56">
        <f t="shared" ca="1" si="115"/>
        <v>0</v>
      </c>
      <c r="M122" s="56">
        <f t="shared" ca="1" si="115"/>
        <v>1</v>
      </c>
      <c r="N122" s="56">
        <f t="shared" ca="1" si="115"/>
        <v>1</v>
      </c>
      <c r="O122" s="56">
        <f t="shared" ca="1" si="115"/>
        <v>0</v>
      </c>
      <c r="P122" s="56">
        <f t="shared" ca="1" si="115"/>
        <v>0</v>
      </c>
      <c r="Q122" s="56">
        <f t="shared" ca="1" si="115"/>
        <v>0</v>
      </c>
      <c r="R122" s="56">
        <f t="shared" ca="1" si="115"/>
        <v>0</v>
      </c>
      <c r="S122" s="56">
        <f t="shared" ca="1" si="115"/>
        <v>0</v>
      </c>
      <c r="T122" s="56">
        <f t="shared" ca="1" si="115"/>
        <v>0</v>
      </c>
      <c r="U122" s="56">
        <f t="shared" ca="1" si="115"/>
        <v>0</v>
      </c>
      <c r="V122" s="56">
        <f t="shared" ca="1" si="115"/>
        <v>0</v>
      </c>
      <c r="W122" s="56">
        <f t="shared" ca="1" si="115"/>
        <v>0</v>
      </c>
      <c r="X122" s="56">
        <f t="shared" ca="1" si="115"/>
        <v>0</v>
      </c>
      <c r="Y122" s="56">
        <f t="shared" ca="1" si="115"/>
        <v>0</v>
      </c>
      <c r="Z122" s="56">
        <f t="shared" ca="1" si="115"/>
        <v>0</v>
      </c>
      <c r="AA122" s="56">
        <f t="shared" ca="1" si="115"/>
        <v>0</v>
      </c>
      <c r="AB122" s="56">
        <f t="shared" ca="1" si="115"/>
        <v>0</v>
      </c>
      <c r="AC122" s="56">
        <f t="shared" ca="1" si="115"/>
        <v>0</v>
      </c>
      <c r="AD122" s="56">
        <f t="shared" ca="1" si="115"/>
        <v>0</v>
      </c>
      <c r="AE122" s="56">
        <f t="shared" ca="1" si="115"/>
        <v>0</v>
      </c>
      <c r="AF122" s="56">
        <f t="shared" ca="1" si="115"/>
        <v>0</v>
      </c>
      <c r="AG122" s="56">
        <f t="shared" ca="1" si="115"/>
        <v>0</v>
      </c>
      <c r="AH122" s="157"/>
      <c r="AI122" s="155"/>
      <c r="AJ122" s="142"/>
      <c r="AK122" s="19"/>
      <c r="AL122" s="19"/>
      <c r="AM122" s="21"/>
      <c r="AN122" s="19"/>
    </row>
    <row r="123" spans="2:40">
      <c r="B123" s="55" t="s">
        <v>1606</v>
      </c>
      <c r="C123" s="56">
        <f t="shared" ref="C123:K123" si="116">IF(C111="C/I","C/I",CEILING(C121/$AG$5,1))</f>
        <v>0</v>
      </c>
      <c r="D123" s="56">
        <f t="shared" si="116"/>
        <v>0</v>
      </c>
      <c r="E123" s="56">
        <f t="shared" si="116"/>
        <v>0</v>
      </c>
      <c r="F123" s="56">
        <f t="shared" si="116"/>
        <v>1</v>
      </c>
      <c r="G123" s="56">
        <f t="shared" si="116"/>
        <v>1</v>
      </c>
      <c r="H123" s="56">
        <f t="shared" si="116"/>
        <v>1</v>
      </c>
      <c r="I123" s="56">
        <f t="shared" si="116"/>
        <v>1</v>
      </c>
      <c r="J123" s="56">
        <f t="shared" si="116"/>
        <v>2</v>
      </c>
      <c r="K123" s="56">
        <f t="shared" si="116"/>
        <v>3</v>
      </c>
      <c r="L123" s="56">
        <f t="shared" ref="L123:AG123" ca="1" si="117">IF(L111="C/I","C/I",CEILING(L121/$AG$5,1))</f>
        <v>3</v>
      </c>
      <c r="M123" s="56">
        <f t="shared" ca="1" si="117"/>
        <v>4</v>
      </c>
      <c r="N123" s="56">
        <f t="shared" ca="1" si="117"/>
        <v>5</v>
      </c>
      <c r="O123" s="56">
        <f t="shared" ca="1" si="117"/>
        <v>5</v>
      </c>
      <c r="P123" s="56">
        <f t="shared" ca="1" si="117"/>
        <v>5</v>
      </c>
      <c r="Q123" s="56">
        <f t="shared" ca="1" si="117"/>
        <v>5</v>
      </c>
      <c r="R123" s="56">
        <f t="shared" ca="1" si="117"/>
        <v>5</v>
      </c>
      <c r="S123" s="56">
        <f t="shared" ca="1" si="117"/>
        <v>5</v>
      </c>
      <c r="T123" s="56">
        <f t="shared" ca="1" si="117"/>
        <v>5</v>
      </c>
      <c r="U123" s="56">
        <f t="shared" ca="1" si="117"/>
        <v>5</v>
      </c>
      <c r="V123" s="56">
        <f t="shared" ca="1" si="117"/>
        <v>5</v>
      </c>
      <c r="W123" s="56">
        <f t="shared" ca="1" si="117"/>
        <v>5</v>
      </c>
      <c r="X123" s="56">
        <f t="shared" ca="1" si="117"/>
        <v>5</v>
      </c>
      <c r="Y123" s="56">
        <f t="shared" ca="1" si="117"/>
        <v>5</v>
      </c>
      <c r="Z123" s="56">
        <f t="shared" ca="1" si="117"/>
        <v>5</v>
      </c>
      <c r="AA123" s="56">
        <f t="shared" ca="1" si="117"/>
        <v>5</v>
      </c>
      <c r="AB123" s="56">
        <f t="shared" ca="1" si="117"/>
        <v>5</v>
      </c>
      <c r="AC123" s="56">
        <f t="shared" ca="1" si="117"/>
        <v>5</v>
      </c>
      <c r="AD123" s="56">
        <f t="shared" ca="1" si="117"/>
        <v>5</v>
      </c>
      <c r="AE123" s="56">
        <f t="shared" ca="1" si="117"/>
        <v>5</v>
      </c>
      <c r="AF123" s="56">
        <f t="shared" ca="1" si="117"/>
        <v>5</v>
      </c>
      <c r="AG123" s="56">
        <f t="shared" ca="1" si="117"/>
        <v>5</v>
      </c>
      <c r="AH123" s="159"/>
      <c r="AI123" s="155"/>
      <c r="AJ123" s="142"/>
      <c r="AK123" s="19"/>
      <c r="AL123" s="19"/>
      <c r="AM123" s="21"/>
      <c r="AN123" s="19"/>
    </row>
    <row r="124" spans="2:40">
      <c r="B124" s="55" t="s">
        <v>542</v>
      </c>
      <c r="C124" s="77"/>
      <c r="D124" s="77">
        <f t="shared" ref="D124:K124" si="118">IF(C123="C/I",0,IF(AND(D123=C123+1,C123&lt;&gt;0),-$AG$6,0))</f>
        <v>0</v>
      </c>
      <c r="E124" s="77">
        <f t="shared" si="118"/>
        <v>0</v>
      </c>
      <c r="F124" s="77">
        <f t="shared" si="118"/>
        <v>0</v>
      </c>
      <c r="G124" s="77">
        <f t="shared" si="118"/>
        <v>0</v>
      </c>
      <c r="H124" s="77">
        <f t="shared" si="118"/>
        <v>0</v>
      </c>
      <c r="I124" s="77">
        <f t="shared" si="118"/>
        <v>0</v>
      </c>
      <c r="J124" s="77">
        <f t="shared" si="118"/>
        <v>-2</v>
      </c>
      <c r="K124" s="77">
        <f t="shared" si="118"/>
        <v>-2</v>
      </c>
      <c r="L124" s="77">
        <f t="shared" ref="L124:AG124" ca="1" si="119">IF(K123="C/I",0,IF(AND(L123=K123+1,K123&lt;&gt;0),-$AG$6,0))</f>
        <v>0</v>
      </c>
      <c r="M124" s="77">
        <f t="shared" ca="1" si="119"/>
        <v>-2</v>
      </c>
      <c r="N124" s="77">
        <f t="shared" ca="1" si="119"/>
        <v>-2</v>
      </c>
      <c r="O124" s="77">
        <f t="shared" ca="1" si="119"/>
        <v>0</v>
      </c>
      <c r="P124" s="77">
        <f t="shared" ca="1" si="119"/>
        <v>0</v>
      </c>
      <c r="Q124" s="77">
        <f t="shared" ca="1" si="119"/>
        <v>0</v>
      </c>
      <c r="R124" s="77">
        <f t="shared" ca="1" si="119"/>
        <v>0</v>
      </c>
      <c r="S124" s="77">
        <f t="shared" ca="1" si="119"/>
        <v>0</v>
      </c>
      <c r="T124" s="77">
        <f t="shared" ca="1" si="119"/>
        <v>0</v>
      </c>
      <c r="U124" s="77">
        <f t="shared" ca="1" si="119"/>
        <v>0</v>
      </c>
      <c r="V124" s="77">
        <f t="shared" ca="1" si="119"/>
        <v>0</v>
      </c>
      <c r="W124" s="77">
        <f t="shared" ca="1" si="119"/>
        <v>0</v>
      </c>
      <c r="X124" s="77">
        <f t="shared" ca="1" si="119"/>
        <v>0</v>
      </c>
      <c r="Y124" s="77">
        <f t="shared" ca="1" si="119"/>
        <v>0</v>
      </c>
      <c r="Z124" s="77">
        <f t="shared" ca="1" si="119"/>
        <v>0</v>
      </c>
      <c r="AA124" s="77">
        <f t="shared" ca="1" si="119"/>
        <v>0</v>
      </c>
      <c r="AB124" s="77">
        <f t="shared" ca="1" si="119"/>
        <v>0</v>
      </c>
      <c r="AC124" s="77">
        <f t="shared" ca="1" si="119"/>
        <v>0</v>
      </c>
      <c r="AD124" s="77">
        <f t="shared" ca="1" si="119"/>
        <v>0</v>
      </c>
      <c r="AE124" s="77">
        <f t="shared" ca="1" si="119"/>
        <v>0</v>
      </c>
      <c r="AF124" s="77">
        <f t="shared" ca="1" si="119"/>
        <v>0</v>
      </c>
      <c r="AG124" s="77">
        <f t="shared" ca="1" si="119"/>
        <v>0</v>
      </c>
      <c r="AH124" s="157"/>
      <c r="AI124" s="155"/>
      <c r="AJ124" s="142"/>
      <c r="AK124" s="19"/>
      <c r="AL124" s="19"/>
      <c r="AM124" s="21"/>
      <c r="AN124" s="19"/>
    </row>
    <row r="125" spans="2:40">
      <c r="B125" s="28"/>
      <c r="C125" s="164"/>
      <c r="D125" s="19"/>
      <c r="E125" s="19"/>
      <c r="F125" s="19"/>
      <c r="G125" s="19"/>
      <c r="H125" s="19"/>
      <c r="I125" s="19"/>
      <c r="J125" s="132"/>
      <c r="K125" s="137"/>
      <c r="L125" s="132"/>
      <c r="M125" s="137"/>
      <c r="N125" s="28"/>
      <c r="O125" s="28"/>
      <c r="P125" s="19"/>
      <c r="Q125" s="19"/>
      <c r="R125" s="19"/>
      <c r="S125" s="19"/>
      <c r="T125" s="19"/>
      <c r="U125" s="19"/>
      <c r="V125" s="19"/>
      <c r="W125" s="19"/>
      <c r="X125" s="19"/>
      <c r="Y125" s="19"/>
      <c r="Z125" s="19"/>
      <c r="AA125" s="19"/>
      <c r="AB125" s="19"/>
      <c r="AC125" s="19"/>
      <c r="AD125" s="19"/>
      <c r="AE125" s="19"/>
      <c r="AF125" s="19"/>
      <c r="AG125" s="19"/>
      <c r="AH125" s="157"/>
      <c r="AI125" s="155"/>
      <c r="AJ125" s="142"/>
      <c r="AK125" s="19"/>
      <c r="AL125" s="19"/>
      <c r="AM125" s="21"/>
      <c r="AN125" s="19"/>
    </row>
    <row r="126" spans="2:40" ht="13.8" thickBot="1">
      <c r="B126" s="52" t="s">
        <v>1749</v>
      </c>
      <c r="C126" s="32">
        <f t="shared" ref="C126:AG126" si="120">C$30</f>
        <v>2017</v>
      </c>
      <c r="D126" s="32">
        <f t="shared" si="120"/>
        <v>2018</v>
      </c>
      <c r="E126" s="32">
        <f t="shared" si="120"/>
        <v>2019</v>
      </c>
      <c r="F126" s="32">
        <f t="shared" si="120"/>
        <v>2020</v>
      </c>
      <c r="G126" s="32">
        <f t="shared" si="120"/>
        <v>2021</v>
      </c>
      <c r="H126" s="32">
        <f t="shared" si="120"/>
        <v>2022</v>
      </c>
      <c r="I126" s="32">
        <f t="shared" si="120"/>
        <v>2023</v>
      </c>
      <c r="J126" s="32">
        <f t="shared" si="120"/>
        <v>2024</v>
      </c>
      <c r="K126" s="32">
        <f t="shared" si="120"/>
        <v>2025</v>
      </c>
      <c r="L126" s="32">
        <f t="shared" si="120"/>
        <v>2026</v>
      </c>
      <c r="M126" s="32">
        <f t="shared" si="120"/>
        <v>2027</v>
      </c>
      <c r="N126" s="32">
        <f t="shared" si="120"/>
        <v>2028</v>
      </c>
      <c r="O126" s="32">
        <f t="shared" si="120"/>
        <v>2029</v>
      </c>
      <c r="P126" s="32">
        <f t="shared" si="120"/>
        <v>2030</v>
      </c>
      <c r="Q126" s="32">
        <f t="shared" si="120"/>
        <v>2031</v>
      </c>
      <c r="R126" s="32">
        <f t="shared" si="120"/>
        <v>2032</v>
      </c>
      <c r="S126" s="32">
        <f t="shared" si="120"/>
        <v>2033</v>
      </c>
      <c r="T126" s="32">
        <f t="shared" si="120"/>
        <v>2034</v>
      </c>
      <c r="U126" s="32">
        <f t="shared" si="120"/>
        <v>2035</v>
      </c>
      <c r="V126" s="32">
        <f t="shared" si="120"/>
        <v>2036</v>
      </c>
      <c r="W126" s="32">
        <f t="shared" si="120"/>
        <v>2037</v>
      </c>
      <c r="X126" s="32">
        <f t="shared" si="120"/>
        <v>2038</v>
      </c>
      <c r="Y126" s="32">
        <f t="shared" si="120"/>
        <v>2039</v>
      </c>
      <c r="Z126" s="32">
        <f t="shared" si="120"/>
        <v>2040</v>
      </c>
      <c r="AA126" s="32">
        <f t="shared" si="120"/>
        <v>2041</v>
      </c>
      <c r="AB126" s="32">
        <f t="shared" si="120"/>
        <v>2042</v>
      </c>
      <c r="AC126" s="32">
        <f t="shared" si="120"/>
        <v>2043</v>
      </c>
      <c r="AD126" s="32">
        <f t="shared" si="120"/>
        <v>2044</v>
      </c>
      <c r="AE126" s="32">
        <f t="shared" si="120"/>
        <v>2045</v>
      </c>
      <c r="AF126" s="32">
        <f t="shared" si="120"/>
        <v>2046</v>
      </c>
      <c r="AG126" s="32">
        <f t="shared" si="120"/>
        <v>2047</v>
      </c>
      <c r="AH126" s="157"/>
      <c r="AI126" s="155"/>
      <c r="AJ126" s="142"/>
      <c r="AK126" s="19"/>
      <c r="AL126" s="19"/>
      <c r="AM126" s="21"/>
      <c r="AN126" s="19"/>
    </row>
    <row r="127" spans="2:40" ht="13.8" thickTop="1">
      <c r="B127" s="55" t="s">
        <v>1750</v>
      </c>
      <c r="C127" s="59">
        <f>'Well Opex'!C12</f>
        <v>0</v>
      </c>
      <c r="D127" s="59">
        <f>'Well Opex'!D12</f>
        <v>0</v>
      </c>
      <c r="E127" s="59">
        <f>'Well Opex'!E12</f>
        <v>0</v>
      </c>
      <c r="F127" s="59">
        <f>'Well Opex'!F12</f>
        <v>0</v>
      </c>
      <c r="G127" s="59">
        <f>'Well Opex'!G12</f>
        <v>0</v>
      </c>
      <c r="H127" s="59">
        <f>'Well Opex'!H12</f>
        <v>0</v>
      </c>
      <c r="I127" s="59">
        <f>'Well Opex'!I12</f>
        <v>-0.1</v>
      </c>
      <c r="J127" s="59">
        <f>'Well Opex'!J12</f>
        <v>-0.30000000000000004</v>
      </c>
      <c r="K127" s="59">
        <f>'Well Opex'!K12</f>
        <v>-0.4</v>
      </c>
      <c r="L127" s="59">
        <f ca="1">'Well Opex'!L12</f>
        <v>-0.60000000000000009</v>
      </c>
      <c r="M127" s="59">
        <f ca="1">'Well Opex'!M12</f>
        <v>-0.70000000000000007</v>
      </c>
      <c r="N127" s="59">
        <f ca="1">'Well Opex'!N12</f>
        <v>-0.9</v>
      </c>
      <c r="O127" s="59">
        <f ca="1">'Well Opex'!O12</f>
        <v>-0.9</v>
      </c>
      <c r="P127" s="59">
        <f ca="1">'Well Opex'!P12</f>
        <v>-0.9</v>
      </c>
      <c r="Q127" s="59">
        <f ca="1">'Well Opex'!Q12</f>
        <v>-0.9</v>
      </c>
      <c r="R127" s="59">
        <f ca="1">'Well Opex'!R12</f>
        <v>-0.9</v>
      </c>
      <c r="S127" s="59">
        <f ca="1">'Well Opex'!S12</f>
        <v>-0.9</v>
      </c>
      <c r="T127" s="59">
        <f ca="1">'Well Opex'!T12</f>
        <v>-0.9</v>
      </c>
      <c r="U127" s="59">
        <f ca="1">'Well Opex'!U12</f>
        <v>-0.9</v>
      </c>
      <c r="V127" s="59">
        <f ca="1">'Well Opex'!V12</f>
        <v>-0.9</v>
      </c>
      <c r="W127" s="59">
        <f ca="1">'Well Opex'!W12</f>
        <v>-0.9</v>
      </c>
      <c r="X127" s="59">
        <f ca="1">'Well Opex'!X12</f>
        <v>-0.9</v>
      </c>
      <c r="Y127" s="59">
        <f ca="1">'Well Opex'!Y12</f>
        <v>-0.9</v>
      </c>
      <c r="Z127" s="59">
        <f ca="1">'Well Opex'!Z12</f>
        <v>-0.9</v>
      </c>
      <c r="AA127" s="59">
        <f ca="1">'Well Opex'!AA12</f>
        <v>-0.9</v>
      </c>
      <c r="AB127" s="59">
        <f ca="1">'Well Opex'!AB12</f>
        <v>-0.9</v>
      </c>
      <c r="AC127" s="59">
        <f ca="1">'Well Opex'!AC12</f>
        <v>-0.9</v>
      </c>
      <c r="AD127" s="59">
        <f ca="1">'Well Opex'!AD12</f>
        <v>-0.9</v>
      </c>
      <c r="AE127" s="59">
        <f ca="1">'Well Opex'!AE12</f>
        <v>-0.9</v>
      </c>
      <c r="AF127" s="59">
        <f ca="1">'Well Opex'!AF12</f>
        <v>-0.9</v>
      </c>
      <c r="AG127" s="59">
        <f ca="1">'Well Opex'!AG12</f>
        <v>-0.9</v>
      </c>
      <c r="AH127" s="157"/>
      <c r="AI127" s="155"/>
      <c r="AJ127" s="142"/>
      <c r="AK127" s="19"/>
      <c r="AL127" s="19"/>
      <c r="AM127" s="21"/>
      <c r="AN127" s="19"/>
    </row>
    <row r="128" spans="2:40">
      <c r="B128" s="55" t="s">
        <v>1752</v>
      </c>
      <c r="C128" s="59">
        <f>'Well Opex'!C44</f>
        <v>0</v>
      </c>
      <c r="D128" s="59">
        <f>'Well Opex'!D44</f>
        <v>0</v>
      </c>
      <c r="E128" s="59">
        <f>'Well Opex'!E44</f>
        <v>0</v>
      </c>
      <c r="F128" s="59">
        <f>'Well Opex'!F44</f>
        <v>0</v>
      </c>
      <c r="G128" s="59">
        <f>'Well Opex'!G44</f>
        <v>0</v>
      </c>
      <c r="H128" s="59">
        <f>'Well Opex'!H44</f>
        <v>0</v>
      </c>
      <c r="I128" s="59">
        <f>'Well Opex'!I44</f>
        <v>0</v>
      </c>
      <c r="J128" s="59">
        <f>'Well Opex'!J44</f>
        <v>0</v>
      </c>
      <c r="K128" s="59">
        <f>'Well Opex'!K44</f>
        <v>0</v>
      </c>
      <c r="L128" s="59">
        <f ca="1">'Well Opex'!L44</f>
        <v>0</v>
      </c>
      <c r="M128" s="59">
        <f ca="1">'Well Opex'!M44</f>
        <v>0</v>
      </c>
      <c r="N128" s="59">
        <f ca="1">'Well Opex'!N44</f>
        <v>0</v>
      </c>
      <c r="O128" s="59">
        <f ca="1">'Well Opex'!O44</f>
        <v>0</v>
      </c>
      <c r="P128" s="59">
        <f ca="1">'Well Opex'!P44</f>
        <v>0</v>
      </c>
      <c r="Q128" s="59">
        <f ca="1">'Well Opex'!Q44</f>
        <v>-1</v>
      </c>
      <c r="R128" s="59">
        <f ca="1">'Well Opex'!R44</f>
        <v>-2</v>
      </c>
      <c r="S128" s="59">
        <f ca="1">'Well Opex'!S44</f>
        <v>-1</v>
      </c>
      <c r="T128" s="59">
        <f ca="1">'Well Opex'!T44</f>
        <v>-2</v>
      </c>
      <c r="U128" s="59">
        <f ca="1">'Well Opex'!U44</f>
        <v>-1</v>
      </c>
      <c r="V128" s="59">
        <f ca="1">'Well Opex'!V44</f>
        <v>-2</v>
      </c>
      <c r="W128" s="59">
        <f ca="1">'Well Opex'!W44</f>
        <v>0</v>
      </c>
      <c r="X128" s="59">
        <f ca="1">'Well Opex'!X44</f>
        <v>0</v>
      </c>
      <c r="Y128" s="59">
        <f ca="1">'Well Opex'!Y44</f>
        <v>-1</v>
      </c>
      <c r="Z128" s="59">
        <f ca="1">'Well Opex'!Z44</f>
        <v>-2</v>
      </c>
      <c r="AA128" s="59">
        <f ca="1">'Well Opex'!AA44</f>
        <v>-1</v>
      </c>
      <c r="AB128" s="59">
        <f ca="1">'Well Opex'!AB44</f>
        <v>-2</v>
      </c>
      <c r="AC128" s="59">
        <f ca="1">'Well Opex'!AC44</f>
        <v>-1</v>
      </c>
      <c r="AD128" s="59">
        <f ca="1">'Well Opex'!AD44</f>
        <v>-2</v>
      </c>
      <c r="AE128" s="59">
        <f ca="1">'Well Opex'!AE44</f>
        <v>0</v>
      </c>
      <c r="AF128" s="59">
        <f ca="1">'Well Opex'!AF44</f>
        <v>0</v>
      </c>
      <c r="AG128" s="59">
        <f ca="1">'Well Opex'!AG44</f>
        <v>-1</v>
      </c>
      <c r="AH128" s="157"/>
      <c r="AI128" s="155"/>
      <c r="AJ128" s="142"/>
      <c r="AK128" s="19"/>
      <c r="AL128" s="19"/>
      <c r="AM128" s="21"/>
      <c r="AN128" s="19"/>
    </row>
    <row r="129" spans="2:40">
      <c r="B129" s="55" t="s">
        <v>1133</v>
      </c>
      <c r="C129" s="1138">
        <f>'Well Opex'!C45</f>
        <v>0</v>
      </c>
      <c r="D129" s="1138">
        <f>'Well Opex'!D45</f>
        <v>0</v>
      </c>
      <c r="E129" s="1138">
        <f>'Well Opex'!E45</f>
        <v>0</v>
      </c>
      <c r="F129" s="1138">
        <f>'Well Opex'!F45</f>
        <v>0</v>
      </c>
      <c r="G129" s="1138">
        <f>'Well Opex'!G45</f>
        <v>0</v>
      </c>
      <c r="H129" s="1138">
        <f>'Well Opex'!H45</f>
        <v>0</v>
      </c>
      <c r="I129" s="1138">
        <f>'Well Opex'!I45</f>
        <v>0</v>
      </c>
      <c r="J129" s="1138">
        <f>'Well Opex'!J45</f>
        <v>0</v>
      </c>
      <c r="K129" s="1138">
        <f>'Well Opex'!K45</f>
        <v>0</v>
      </c>
      <c r="L129" s="1138">
        <f ca="1">'Well Opex'!L45</f>
        <v>0</v>
      </c>
      <c r="M129" s="1138">
        <f ca="1">'Well Opex'!M45</f>
        <v>0</v>
      </c>
      <c r="N129" s="1138">
        <f ca="1">'Well Opex'!N45</f>
        <v>0</v>
      </c>
      <c r="O129" s="1138">
        <f ca="1">'Well Opex'!O45</f>
        <v>0</v>
      </c>
      <c r="P129" s="1138">
        <f ca="1">'Well Opex'!P45</f>
        <v>0</v>
      </c>
      <c r="Q129" s="1138">
        <f ca="1">'Well Opex'!Q45</f>
        <v>1</v>
      </c>
      <c r="R129" s="1138">
        <f ca="1">'Well Opex'!R45</f>
        <v>2</v>
      </c>
      <c r="S129" s="1138">
        <f ca="1">'Well Opex'!S45</f>
        <v>1</v>
      </c>
      <c r="T129" s="1138">
        <f ca="1">'Well Opex'!T45</f>
        <v>2</v>
      </c>
      <c r="U129" s="1138">
        <f ca="1">'Well Opex'!U45</f>
        <v>1</v>
      </c>
      <c r="V129" s="1138">
        <f ca="1">'Well Opex'!V45</f>
        <v>2</v>
      </c>
      <c r="W129" s="1138">
        <f ca="1">'Well Opex'!W45</f>
        <v>0</v>
      </c>
      <c r="X129" s="1138">
        <f ca="1">'Well Opex'!X45</f>
        <v>0</v>
      </c>
      <c r="Y129" s="1138">
        <f ca="1">'Well Opex'!Y45</f>
        <v>1</v>
      </c>
      <c r="Z129" s="1138">
        <f ca="1">'Well Opex'!Z45</f>
        <v>2</v>
      </c>
      <c r="AA129" s="1138">
        <f ca="1">'Well Opex'!AA45</f>
        <v>1</v>
      </c>
      <c r="AB129" s="1138">
        <f ca="1">'Well Opex'!AB45</f>
        <v>2</v>
      </c>
      <c r="AC129" s="1138">
        <f ca="1">'Well Opex'!AC45</f>
        <v>1</v>
      </c>
      <c r="AD129" s="1138">
        <f ca="1">'Well Opex'!AD45</f>
        <v>2</v>
      </c>
      <c r="AE129" s="1138">
        <f ca="1">'Well Opex'!AE45</f>
        <v>0</v>
      </c>
      <c r="AF129" s="1138">
        <f ca="1">'Well Opex'!AF45</f>
        <v>0</v>
      </c>
      <c r="AG129" s="1138">
        <f ca="1">'Well Opex'!AG45</f>
        <v>1</v>
      </c>
      <c r="AH129" s="157"/>
      <c r="AI129" s="155"/>
      <c r="AJ129" s="142"/>
      <c r="AK129" s="19"/>
      <c r="AL129" s="19"/>
      <c r="AM129" s="21"/>
      <c r="AN129" s="19"/>
    </row>
    <row r="130" spans="2:40">
      <c r="B130" s="55" t="s">
        <v>1751</v>
      </c>
      <c r="C130" s="59">
        <f>'Well Opex'!C50</f>
        <v>0</v>
      </c>
      <c r="D130" s="59">
        <f>'Well Opex'!D50</f>
        <v>0</v>
      </c>
      <c r="E130" s="59">
        <f>'Well Opex'!E50</f>
        <v>0</v>
      </c>
      <c r="F130" s="59">
        <f>'Well Opex'!F50</f>
        <v>0</v>
      </c>
      <c r="G130" s="59">
        <f>'Well Opex'!G50</f>
        <v>0</v>
      </c>
      <c r="H130" s="59">
        <f>'Well Opex'!H50</f>
        <v>0</v>
      </c>
      <c r="I130" s="59">
        <f>'Well Opex'!I50</f>
        <v>-0.1</v>
      </c>
      <c r="J130" s="59">
        <f>'Well Opex'!J50</f>
        <v>-0.30000000000000004</v>
      </c>
      <c r="K130" s="59">
        <f>'Well Opex'!K50</f>
        <v>-0.4</v>
      </c>
      <c r="L130" s="59">
        <f ca="1">'Well Opex'!L50</f>
        <v>-0.60000000000000009</v>
      </c>
      <c r="M130" s="59">
        <f ca="1">'Well Opex'!M50</f>
        <v>-0.70000000000000007</v>
      </c>
      <c r="N130" s="59">
        <f ca="1">'Well Opex'!N50</f>
        <v>-0.9</v>
      </c>
      <c r="O130" s="59">
        <f ca="1">'Well Opex'!O50</f>
        <v>-0.9</v>
      </c>
      <c r="P130" s="59">
        <f ca="1">'Well Opex'!P50</f>
        <v>-0.9</v>
      </c>
      <c r="Q130" s="59">
        <f ca="1">'Well Opex'!Q50</f>
        <v>-0.9</v>
      </c>
      <c r="R130" s="59">
        <f ca="1">'Well Opex'!R50</f>
        <v>-0.9</v>
      </c>
      <c r="S130" s="59">
        <f ca="1">'Well Opex'!S50</f>
        <v>-0.9</v>
      </c>
      <c r="T130" s="59">
        <f ca="1">'Well Opex'!T50</f>
        <v>-0.9</v>
      </c>
      <c r="U130" s="59">
        <f ca="1">'Well Opex'!U50</f>
        <v>-0.9</v>
      </c>
      <c r="V130" s="59">
        <f ca="1">'Well Opex'!V50</f>
        <v>-0.9</v>
      </c>
      <c r="W130" s="59">
        <f ca="1">'Well Opex'!W50</f>
        <v>-0.9</v>
      </c>
      <c r="X130" s="59">
        <f ca="1">'Well Opex'!X50</f>
        <v>-0.9</v>
      </c>
      <c r="Y130" s="59">
        <f ca="1">'Well Opex'!Y50</f>
        <v>-0.9</v>
      </c>
      <c r="Z130" s="59">
        <f ca="1">'Well Opex'!Z50</f>
        <v>-0.9</v>
      </c>
      <c r="AA130" s="59">
        <f ca="1">'Well Opex'!AA50</f>
        <v>-0.9</v>
      </c>
      <c r="AB130" s="59">
        <f ca="1">'Well Opex'!AB50</f>
        <v>-0.9</v>
      </c>
      <c r="AC130" s="59">
        <f ca="1">'Well Opex'!AC50</f>
        <v>-0.9</v>
      </c>
      <c r="AD130" s="59">
        <f ca="1">'Well Opex'!AD50</f>
        <v>-0.9</v>
      </c>
      <c r="AE130" s="59">
        <f ca="1">'Well Opex'!AE50</f>
        <v>-0.9</v>
      </c>
      <c r="AF130" s="59">
        <f ca="1">'Well Opex'!AF50</f>
        <v>-0.9</v>
      </c>
      <c r="AG130" s="59">
        <f ca="1">'Well Opex'!AG50</f>
        <v>-0.9</v>
      </c>
      <c r="AH130" s="157"/>
      <c r="AI130" s="155"/>
      <c r="AJ130" s="142"/>
      <c r="AK130" s="19"/>
      <c r="AL130" s="19"/>
      <c r="AM130" s="21"/>
      <c r="AN130" s="19"/>
    </row>
    <row r="131" spans="2:40">
      <c r="B131" s="55" t="s">
        <v>1753</v>
      </c>
      <c r="C131" s="59">
        <f>'Well Opex'!C82</f>
        <v>0</v>
      </c>
      <c r="D131" s="59">
        <f>'Well Opex'!D82</f>
        <v>0</v>
      </c>
      <c r="E131" s="59">
        <f>'Well Opex'!E82</f>
        <v>0</v>
      </c>
      <c r="F131" s="59">
        <f>'Well Opex'!F82</f>
        <v>0</v>
      </c>
      <c r="G131" s="59">
        <f>'Well Opex'!G82</f>
        <v>0</v>
      </c>
      <c r="H131" s="59">
        <f>'Well Opex'!H82</f>
        <v>0</v>
      </c>
      <c r="I131" s="59">
        <f>'Well Opex'!I82</f>
        <v>0</v>
      </c>
      <c r="J131" s="59">
        <f>'Well Opex'!J82</f>
        <v>0</v>
      </c>
      <c r="K131" s="59">
        <f>'Well Opex'!K82</f>
        <v>0</v>
      </c>
      <c r="L131" s="59">
        <f ca="1">'Well Opex'!L82</f>
        <v>0</v>
      </c>
      <c r="M131" s="59">
        <f ca="1">'Well Opex'!M82</f>
        <v>0</v>
      </c>
      <c r="N131" s="59">
        <f ca="1">'Well Opex'!N82</f>
        <v>0</v>
      </c>
      <c r="O131" s="59">
        <f ca="1">'Well Opex'!O82</f>
        <v>-1</v>
      </c>
      <c r="P131" s="59">
        <f ca="1">'Well Opex'!P82</f>
        <v>-2</v>
      </c>
      <c r="Q131" s="59">
        <f ca="1">'Well Opex'!Q82</f>
        <v>-1</v>
      </c>
      <c r="R131" s="59">
        <f ca="1">'Well Opex'!R82</f>
        <v>-2</v>
      </c>
      <c r="S131" s="59">
        <f ca="1">'Well Opex'!S82</f>
        <v>-1</v>
      </c>
      <c r="T131" s="59">
        <f ca="1">'Well Opex'!T82</f>
        <v>-2</v>
      </c>
      <c r="U131" s="59">
        <f ca="1">'Well Opex'!U82</f>
        <v>-1</v>
      </c>
      <c r="V131" s="59">
        <f ca="1">'Well Opex'!V82</f>
        <v>-2</v>
      </c>
      <c r="W131" s="59">
        <f ca="1">'Well Opex'!W82</f>
        <v>-1</v>
      </c>
      <c r="X131" s="59">
        <f ca="1">'Well Opex'!X82</f>
        <v>-2</v>
      </c>
      <c r="Y131" s="59">
        <f ca="1">'Well Opex'!Y82</f>
        <v>-1</v>
      </c>
      <c r="Z131" s="59">
        <f ca="1">'Well Opex'!Z82</f>
        <v>-2</v>
      </c>
      <c r="AA131" s="59">
        <f ca="1">'Well Opex'!AA82</f>
        <v>-1</v>
      </c>
      <c r="AB131" s="59">
        <f ca="1">'Well Opex'!AB82</f>
        <v>-2</v>
      </c>
      <c r="AC131" s="59">
        <f ca="1">'Well Opex'!AC82</f>
        <v>-1</v>
      </c>
      <c r="AD131" s="59">
        <f ca="1">'Well Opex'!AD82</f>
        <v>-2</v>
      </c>
      <c r="AE131" s="59">
        <f ca="1">'Well Opex'!AE82</f>
        <v>-1</v>
      </c>
      <c r="AF131" s="59">
        <f ca="1">'Well Opex'!AF82</f>
        <v>-2</v>
      </c>
      <c r="AG131" s="59">
        <f ca="1">'Well Opex'!AG82</f>
        <v>-1</v>
      </c>
      <c r="AH131" s="157"/>
      <c r="AI131" s="155"/>
      <c r="AJ131" s="142"/>
      <c r="AK131" s="19"/>
      <c r="AL131" s="19"/>
      <c r="AM131" s="21"/>
      <c r="AN131" s="19"/>
    </row>
    <row r="132" spans="2:40">
      <c r="B132" s="55" t="s">
        <v>1134</v>
      </c>
      <c r="C132" s="1138">
        <f>'Well Opex'!C83</f>
        <v>0</v>
      </c>
      <c r="D132" s="1138">
        <f>'Well Opex'!D83</f>
        <v>0</v>
      </c>
      <c r="E132" s="1138">
        <f>'Well Opex'!E83</f>
        <v>0</v>
      </c>
      <c r="F132" s="1138">
        <f>'Well Opex'!F83</f>
        <v>0</v>
      </c>
      <c r="G132" s="1138">
        <f>'Well Opex'!G83</f>
        <v>0</v>
      </c>
      <c r="H132" s="1138">
        <f>'Well Opex'!H83</f>
        <v>0</v>
      </c>
      <c r="I132" s="1138">
        <f>'Well Opex'!I83</f>
        <v>0</v>
      </c>
      <c r="J132" s="1138">
        <f>'Well Opex'!J83</f>
        <v>0</v>
      </c>
      <c r="K132" s="1138">
        <f>'Well Opex'!K83</f>
        <v>0</v>
      </c>
      <c r="L132" s="1138">
        <f ca="1">'Well Opex'!L83</f>
        <v>0</v>
      </c>
      <c r="M132" s="1138">
        <f ca="1">'Well Opex'!M83</f>
        <v>0</v>
      </c>
      <c r="N132" s="1138">
        <f ca="1">'Well Opex'!N83</f>
        <v>0</v>
      </c>
      <c r="O132" s="1138">
        <f ca="1">'Well Opex'!O83</f>
        <v>1</v>
      </c>
      <c r="P132" s="1138">
        <f ca="1">'Well Opex'!P83</f>
        <v>2</v>
      </c>
      <c r="Q132" s="1138">
        <f ca="1">'Well Opex'!Q83</f>
        <v>1</v>
      </c>
      <c r="R132" s="1138">
        <f ca="1">'Well Opex'!R83</f>
        <v>2</v>
      </c>
      <c r="S132" s="1138">
        <f ca="1">'Well Opex'!S83</f>
        <v>1</v>
      </c>
      <c r="T132" s="1138">
        <f ca="1">'Well Opex'!T83</f>
        <v>2</v>
      </c>
      <c r="U132" s="1138">
        <f ca="1">'Well Opex'!U83</f>
        <v>1</v>
      </c>
      <c r="V132" s="1138">
        <f ca="1">'Well Opex'!V83</f>
        <v>2</v>
      </c>
      <c r="W132" s="1138">
        <f ca="1">'Well Opex'!W83</f>
        <v>1</v>
      </c>
      <c r="X132" s="1138">
        <f ca="1">'Well Opex'!X83</f>
        <v>2</v>
      </c>
      <c r="Y132" s="1138">
        <f ca="1">'Well Opex'!Y83</f>
        <v>1</v>
      </c>
      <c r="Z132" s="1138">
        <f ca="1">'Well Opex'!Z83</f>
        <v>2</v>
      </c>
      <c r="AA132" s="1138">
        <f ca="1">'Well Opex'!AA83</f>
        <v>1</v>
      </c>
      <c r="AB132" s="1138">
        <f ca="1">'Well Opex'!AB83</f>
        <v>2</v>
      </c>
      <c r="AC132" s="1138">
        <f ca="1">'Well Opex'!AC83</f>
        <v>1</v>
      </c>
      <c r="AD132" s="1138">
        <f ca="1">'Well Opex'!AD83</f>
        <v>2</v>
      </c>
      <c r="AE132" s="1138">
        <f ca="1">'Well Opex'!AE83</f>
        <v>1</v>
      </c>
      <c r="AF132" s="1138">
        <f ca="1">'Well Opex'!AF83</f>
        <v>2</v>
      </c>
      <c r="AG132" s="1138">
        <f ca="1">'Well Opex'!AG83</f>
        <v>1</v>
      </c>
      <c r="AH132" s="157"/>
      <c r="AI132" s="155"/>
      <c r="AJ132" s="142"/>
      <c r="AK132" s="19"/>
      <c r="AL132" s="19"/>
      <c r="AM132" s="21"/>
      <c r="AN132" s="19"/>
    </row>
    <row r="133" spans="2:40">
      <c r="B133" s="28"/>
      <c r="C133" s="568"/>
      <c r="D133" s="19"/>
      <c r="E133" s="19"/>
      <c r="F133" s="19"/>
      <c r="G133" s="19"/>
      <c r="H133" s="19"/>
      <c r="I133" s="19"/>
      <c r="J133" s="28"/>
      <c r="K133" s="28"/>
      <c r="L133" s="28"/>
      <c r="M133" s="28"/>
      <c r="N133" s="28"/>
      <c r="O133" s="28"/>
      <c r="P133" s="19"/>
      <c r="Q133" s="19"/>
      <c r="R133" s="19"/>
      <c r="S133" s="19"/>
      <c r="T133" s="19"/>
      <c r="U133" s="19"/>
      <c r="V133" s="19"/>
      <c r="W133" s="19"/>
      <c r="X133" s="19"/>
      <c r="Y133" s="19"/>
      <c r="Z133" s="19"/>
      <c r="AA133" s="19"/>
      <c r="AB133" s="19"/>
      <c r="AC133" s="19"/>
      <c r="AD133" s="19"/>
      <c r="AE133" s="19"/>
      <c r="AF133" s="19"/>
      <c r="AG133" s="19"/>
      <c r="AH133" s="157"/>
      <c r="AI133" s="155"/>
      <c r="AJ133" s="142"/>
      <c r="AK133" s="19"/>
      <c r="AL133" s="19"/>
      <c r="AM133" s="21"/>
      <c r="AN133" s="19"/>
    </row>
    <row r="134" spans="2:40" ht="13.8" thickBot="1">
      <c r="B134" s="52" t="s">
        <v>844</v>
      </c>
      <c r="C134" s="32">
        <f t="shared" ref="C134:AG134" si="121">C$30</f>
        <v>2017</v>
      </c>
      <c r="D134" s="32">
        <f t="shared" si="121"/>
        <v>2018</v>
      </c>
      <c r="E134" s="32">
        <f t="shared" si="121"/>
        <v>2019</v>
      </c>
      <c r="F134" s="32">
        <f t="shared" si="121"/>
        <v>2020</v>
      </c>
      <c r="G134" s="32">
        <f t="shared" si="121"/>
        <v>2021</v>
      </c>
      <c r="H134" s="32">
        <f t="shared" si="121"/>
        <v>2022</v>
      </c>
      <c r="I134" s="32">
        <f t="shared" si="121"/>
        <v>2023</v>
      </c>
      <c r="J134" s="32">
        <f t="shared" si="121"/>
        <v>2024</v>
      </c>
      <c r="K134" s="32">
        <f t="shared" si="121"/>
        <v>2025</v>
      </c>
      <c r="L134" s="32">
        <f t="shared" si="121"/>
        <v>2026</v>
      </c>
      <c r="M134" s="32">
        <f t="shared" si="121"/>
        <v>2027</v>
      </c>
      <c r="N134" s="32">
        <f t="shared" si="121"/>
        <v>2028</v>
      </c>
      <c r="O134" s="32">
        <f t="shared" si="121"/>
        <v>2029</v>
      </c>
      <c r="P134" s="32">
        <f t="shared" si="121"/>
        <v>2030</v>
      </c>
      <c r="Q134" s="32">
        <f t="shared" si="121"/>
        <v>2031</v>
      </c>
      <c r="R134" s="32">
        <f t="shared" si="121"/>
        <v>2032</v>
      </c>
      <c r="S134" s="32">
        <f t="shared" si="121"/>
        <v>2033</v>
      </c>
      <c r="T134" s="32">
        <f t="shared" si="121"/>
        <v>2034</v>
      </c>
      <c r="U134" s="32">
        <f t="shared" si="121"/>
        <v>2035</v>
      </c>
      <c r="V134" s="32">
        <f t="shared" si="121"/>
        <v>2036</v>
      </c>
      <c r="W134" s="32">
        <f t="shared" si="121"/>
        <v>2037</v>
      </c>
      <c r="X134" s="32">
        <f t="shared" si="121"/>
        <v>2038</v>
      </c>
      <c r="Y134" s="32">
        <f t="shared" si="121"/>
        <v>2039</v>
      </c>
      <c r="Z134" s="32">
        <f t="shared" si="121"/>
        <v>2040</v>
      </c>
      <c r="AA134" s="32">
        <f t="shared" si="121"/>
        <v>2041</v>
      </c>
      <c r="AB134" s="32">
        <f t="shared" si="121"/>
        <v>2042</v>
      </c>
      <c r="AC134" s="32">
        <f t="shared" si="121"/>
        <v>2043</v>
      </c>
      <c r="AD134" s="32">
        <f t="shared" si="121"/>
        <v>2044</v>
      </c>
      <c r="AE134" s="32">
        <f t="shared" si="121"/>
        <v>2045</v>
      </c>
      <c r="AF134" s="32">
        <f t="shared" si="121"/>
        <v>2046</v>
      </c>
      <c r="AG134" s="32">
        <f t="shared" si="121"/>
        <v>2047</v>
      </c>
      <c r="AH134" s="157"/>
      <c r="AI134" s="155"/>
      <c r="AJ134" s="142"/>
      <c r="AK134" s="21"/>
      <c r="AL134" s="21"/>
      <c r="AM134" s="19"/>
      <c r="AN134" s="19"/>
    </row>
    <row r="135" spans="2:40" ht="13.8" thickTop="1">
      <c r="B135" s="631" t="s">
        <v>1131</v>
      </c>
      <c r="C135" s="435">
        <f>IF(C$111="C/I",0,'Project-definition'!C47)</f>
        <v>0</v>
      </c>
      <c r="D135" s="435">
        <f>IF(D$111="C/I",0,'Project-definition'!D47)</f>
        <v>0</v>
      </c>
      <c r="E135" s="435">
        <f>IF(E$111="C/I",0,'Project-definition'!E47)</f>
        <v>0</v>
      </c>
      <c r="F135" s="435">
        <f>IF(F$111="C/I",0,'Project-definition'!F47)</f>
        <v>2</v>
      </c>
      <c r="G135" s="435">
        <f>IF(G$111="C/I",0,'Project-definition'!G47)</f>
        <v>0</v>
      </c>
      <c r="H135" s="435">
        <f>IF(H$111="C/I",0,'Project-definition'!H47)</f>
        <v>0</v>
      </c>
      <c r="I135" s="435">
        <f>IF(I$111="C/I",0,'Project-definition'!I47)</f>
        <v>0</v>
      </c>
      <c r="J135" s="435">
        <f>IF(J$111="C/I",0,'Project-definition'!J47)</f>
        <v>0</v>
      </c>
      <c r="K135" s="435">
        <f>IF(K$111="C/I",0,'Project-definition'!K47)</f>
        <v>0</v>
      </c>
      <c r="L135" s="435">
        <f ca="1">IF(L$111="C/I",0,'Project-definition'!L47)</f>
        <v>0</v>
      </c>
      <c r="M135" s="435">
        <f ca="1">IF(M$111="C/I",0,'Project-definition'!M47)</f>
        <v>0</v>
      </c>
      <c r="N135" s="435">
        <f ca="1">IF(N$111="C/I",0,'Project-definition'!N47)</f>
        <v>0</v>
      </c>
      <c r="O135" s="435">
        <f ca="1">IF(O$111="C/I",0,'Project-definition'!O47)</f>
        <v>0</v>
      </c>
      <c r="P135" s="435">
        <f ca="1">IF(P$111="C/I",0,'Project-definition'!P47)</f>
        <v>0</v>
      </c>
      <c r="Q135" s="435">
        <f ca="1">IF(Q$111="C/I",0,'Project-definition'!Q47)</f>
        <v>0</v>
      </c>
      <c r="R135" s="435">
        <f ca="1">IF(R$111="C/I",0,'Project-definition'!R47)</f>
        <v>0</v>
      </c>
      <c r="S135" s="435">
        <f ca="1">IF(S$111="C/I",0,'Project-definition'!S47)</f>
        <v>0</v>
      </c>
      <c r="T135" s="435">
        <f ca="1">IF(T$111="C/I",0,'Project-definition'!T47)</f>
        <v>0</v>
      </c>
      <c r="U135" s="435">
        <f ca="1">IF(U$111="C/I",0,'Project-definition'!U47)</f>
        <v>0</v>
      </c>
      <c r="V135" s="435">
        <f ca="1">IF(V$111="C/I",0,'Project-definition'!V47)</f>
        <v>0</v>
      </c>
      <c r="W135" s="435">
        <f ca="1">IF(W$111="C/I",0,'Project-definition'!W47)</f>
        <v>0</v>
      </c>
      <c r="X135" s="435">
        <f ca="1">IF(X$111="C/I",0,'Project-definition'!X47)</f>
        <v>0</v>
      </c>
      <c r="Y135" s="435">
        <f ca="1">IF(Y$111="C/I",0,'Project-definition'!Y47)</f>
        <v>0</v>
      </c>
      <c r="Z135" s="435">
        <f ca="1">IF(Z$111="C/I",0,'Project-definition'!Z47)</f>
        <v>0</v>
      </c>
      <c r="AA135" s="435">
        <f ca="1">IF(AA$111="C/I",0,'Project-definition'!AA47)</f>
        <v>0</v>
      </c>
      <c r="AB135" s="435">
        <f ca="1">IF(AB$111="C/I",0,'Project-definition'!AB47)</f>
        <v>0</v>
      </c>
      <c r="AC135" s="435">
        <f ca="1">IF(AC$111="C/I",0,'Project-definition'!AC47)</f>
        <v>0</v>
      </c>
      <c r="AD135" s="435">
        <f ca="1">IF(AD$111="C/I",0,'Project-definition'!AD47)</f>
        <v>0</v>
      </c>
      <c r="AE135" s="435">
        <f ca="1">IF(AE$111="C/I",0,'Project-definition'!AE47)</f>
        <v>0</v>
      </c>
      <c r="AF135" s="435">
        <f ca="1">IF(AF$111="C/I",0,'Project-definition'!AF47)</f>
        <v>0</v>
      </c>
      <c r="AG135" s="435">
        <f ca="1">IF(AG$111="C/I",0,'Project-definition'!AG47)</f>
        <v>0</v>
      </c>
      <c r="AH135" s="157"/>
      <c r="AI135" s="155"/>
      <c r="AJ135" s="142"/>
      <c r="AK135" s="21"/>
      <c r="AL135" s="21"/>
      <c r="AM135" s="19"/>
      <c r="AN135" s="19"/>
    </row>
    <row r="136" spans="2:40">
      <c r="B136" s="434" t="s">
        <v>793</v>
      </c>
      <c r="C136" s="239">
        <f>C135</f>
        <v>0</v>
      </c>
      <c r="D136" s="239">
        <f t="shared" ref="D136:AG136" si="122">D135+C136</f>
        <v>0</v>
      </c>
      <c r="E136" s="239">
        <f t="shared" si="122"/>
        <v>0</v>
      </c>
      <c r="F136" s="239">
        <f t="shared" si="122"/>
        <v>2</v>
      </c>
      <c r="G136" s="239">
        <f t="shared" si="122"/>
        <v>2</v>
      </c>
      <c r="H136" s="239">
        <f t="shared" si="122"/>
        <v>2</v>
      </c>
      <c r="I136" s="239">
        <f t="shared" si="122"/>
        <v>2</v>
      </c>
      <c r="J136" s="239">
        <f t="shared" si="122"/>
        <v>2</v>
      </c>
      <c r="K136" s="239">
        <f t="shared" si="122"/>
        <v>2</v>
      </c>
      <c r="L136" s="239">
        <f t="shared" ca="1" si="122"/>
        <v>2</v>
      </c>
      <c r="M136" s="239">
        <f t="shared" ca="1" si="122"/>
        <v>2</v>
      </c>
      <c r="N136" s="239">
        <f t="shared" ca="1" si="122"/>
        <v>2</v>
      </c>
      <c r="O136" s="239">
        <f t="shared" ca="1" si="122"/>
        <v>2</v>
      </c>
      <c r="P136" s="239">
        <f t="shared" ca="1" si="122"/>
        <v>2</v>
      </c>
      <c r="Q136" s="239">
        <f t="shared" ca="1" si="122"/>
        <v>2</v>
      </c>
      <c r="R136" s="239">
        <f t="shared" ca="1" si="122"/>
        <v>2</v>
      </c>
      <c r="S136" s="239">
        <f t="shared" ca="1" si="122"/>
        <v>2</v>
      </c>
      <c r="T136" s="239">
        <f t="shared" ca="1" si="122"/>
        <v>2</v>
      </c>
      <c r="U136" s="239">
        <f t="shared" ca="1" si="122"/>
        <v>2</v>
      </c>
      <c r="V136" s="239">
        <f t="shared" ca="1" si="122"/>
        <v>2</v>
      </c>
      <c r="W136" s="239">
        <f t="shared" ca="1" si="122"/>
        <v>2</v>
      </c>
      <c r="X136" s="239">
        <f t="shared" ca="1" si="122"/>
        <v>2</v>
      </c>
      <c r="Y136" s="239">
        <f t="shared" ca="1" si="122"/>
        <v>2</v>
      </c>
      <c r="Z136" s="239">
        <f t="shared" ca="1" si="122"/>
        <v>2</v>
      </c>
      <c r="AA136" s="239">
        <f t="shared" ca="1" si="122"/>
        <v>2</v>
      </c>
      <c r="AB136" s="239">
        <f t="shared" ca="1" si="122"/>
        <v>2</v>
      </c>
      <c r="AC136" s="239">
        <f t="shared" ca="1" si="122"/>
        <v>2</v>
      </c>
      <c r="AD136" s="239">
        <f t="shared" ca="1" si="122"/>
        <v>2</v>
      </c>
      <c r="AE136" s="239">
        <f t="shared" ca="1" si="122"/>
        <v>2</v>
      </c>
      <c r="AF136" s="239">
        <f t="shared" ca="1" si="122"/>
        <v>2</v>
      </c>
      <c r="AG136" s="239">
        <f t="shared" ca="1" si="122"/>
        <v>2</v>
      </c>
      <c r="AH136" s="1127">
        <f ca="1">AG136</f>
        <v>2</v>
      </c>
      <c r="AI136" s="309" t="s">
        <v>1786</v>
      </c>
      <c r="AJ136" s="142"/>
      <c r="AK136" s="21"/>
      <c r="AL136" s="21"/>
      <c r="AM136" s="19"/>
      <c r="AN136" s="19"/>
    </row>
    <row r="137" spans="2:40">
      <c r="B137" s="434" t="s">
        <v>1599</v>
      </c>
      <c r="C137" s="239">
        <f>'Well Success'!C63</f>
        <v>0</v>
      </c>
      <c r="D137" s="239">
        <f>'Well Success'!D63</f>
        <v>0</v>
      </c>
      <c r="E137" s="239">
        <f>'Well Success'!E63</f>
        <v>0</v>
      </c>
      <c r="F137" s="239">
        <f>'Well Success'!F63</f>
        <v>1</v>
      </c>
      <c r="G137" s="239">
        <f>'Well Success'!G63</f>
        <v>0</v>
      </c>
      <c r="H137" s="239">
        <f>'Well Success'!H63</f>
        <v>0</v>
      </c>
      <c r="I137" s="239">
        <f>'Well Success'!I63</f>
        <v>0</v>
      </c>
      <c r="J137" s="239">
        <f>'Well Success'!J63</f>
        <v>0</v>
      </c>
      <c r="K137" s="239">
        <f>'Well Success'!K63</f>
        <v>0</v>
      </c>
      <c r="L137" s="239">
        <f ca="1">'Well Success'!L63</f>
        <v>0</v>
      </c>
      <c r="M137" s="239">
        <f ca="1">'Well Success'!M63</f>
        <v>0</v>
      </c>
      <c r="N137" s="239">
        <f ca="1">'Well Success'!N63</f>
        <v>0</v>
      </c>
      <c r="O137" s="239">
        <f ca="1">'Well Success'!O63</f>
        <v>0</v>
      </c>
      <c r="P137" s="239">
        <f ca="1">'Well Success'!P63</f>
        <v>0</v>
      </c>
      <c r="Q137" s="239">
        <f ca="1">'Well Success'!Q63</f>
        <v>0</v>
      </c>
      <c r="R137" s="239">
        <f ca="1">'Well Success'!R63</f>
        <v>0</v>
      </c>
      <c r="S137" s="239">
        <f ca="1">'Well Success'!S63</f>
        <v>0</v>
      </c>
      <c r="T137" s="239">
        <f ca="1">'Well Success'!T63</f>
        <v>0</v>
      </c>
      <c r="U137" s="239">
        <f ca="1">'Well Success'!U63</f>
        <v>0</v>
      </c>
      <c r="V137" s="239">
        <f ca="1">'Well Success'!V63</f>
        <v>0</v>
      </c>
      <c r="W137" s="239">
        <f ca="1">'Well Success'!W63</f>
        <v>0</v>
      </c>
      <c r="X137" s="239">
        <f ca="1">'Well Success'!X63</f>
        <v>0</v>
      </c>
      <c r="Y137" s="239">
        <f ca="1">'Well Success'!Y63</f>
        <v>0</v>
      </c>
      <c r="Z137" s="239">
        <f ca="1">'Well Success'!Z63</f>
        <v>0</v>
      </c>
      <c r="AA137" s="239">
        <f ca="1">'Well Success'!AA63</f>
        <v>0</v>
      </c>
      <c r="AB137" s="239">
        <f ca="1">'Well Success'!AB63</f>
        <v>0</v>
      </c>
      <c r="AC137" s="239">
        <f ca="1">'Well Success'!AC63</f>
        <v>0</v>
      </c>
      <c r="AD137" s="239">
        <f ca="1">'Well Success'!AD63</f>
        <v>0</v>
      </c>
      <c r="AE137" s="239">
        <f ca="1">'Well Success'!AE63</f>
        <v>0</v>
      </c>
      <c r="AF137" s="239">
        <f ca="1">'Well Success'!AF63</f>
        <v>0</v>
      </c>
      <c r="AG137" s="239">
        <f ca="1">'Well Success'!AG63</f>
        <v>0</v>
      </c>
      <c r="AH137" s="157"/>
      <c r="AI137" s="155"/>
      <c r="AJ137" s="142"/>
      <c r="AK137" s="21"/>
      <c r="AL137" s="21"/>
      <c r="AM137" s="19"/>
      <c r="AN137" s="19"/>
    </row>
    <row r="138" spans="2:40">
      <c r="B138" s="434" t="s">
        <v>1600</v>
      </c>
      <c r="C138" s="239">
        <f>C137</f>
        <v>0</v>
      </c>
      <c r="D138" s="239">
        <f>D137+C138</f>
        <v>0</v>
      </c>
      <c r="E138" s="239">
        <f t="shared" ref="E138:AG138" si="123">E137+D138</f>
        <v>0</v>
      </c>
      <c r="F138" s="239">
        <f t="shared" si="123"/>
        <v>1</v>
      </c>
      <c r="G138" s="239">
        <f t="shared" si="123"/>
        <v>1</v>
      </c>
      <c r="H138" s="239">
        <f t="shared" si="123"/>
        <v>1</v>
      </c>
      <c r="I138" s="239">
        <f t="shared" si="123"/>
        <v>1</v>
      </c>
      <c r="J138" s="239">
        <f t="shared" si="123"/>
        <v>1</v>
      </c>
      <c r="K138" s="239">
        <f t="shared" si="123"/>
        <v>1</v>
      </c>
      <c r="L138" s="239">
        <f t="shared" ca="1" si="123"/>
        <v>1</v>
      </c>
      <c r="M138" s="239">
        <f t="shared" ca="1" si="123"/>
        <v>1</v>
      </c>
      <c r="N138" s="239">
        <f t="shared" ca="1" si="123"/>
        <v>1</v>
      </c>
      <c r="O138" s="239">
        <f t="shared" ca="1" si="123"/>
        <v>1</v>
      </c>
      <c r="P138" s="239">
        <f t="shared" ca="1" si="123"/>
        <v>1</v>
      </c>
      <c r="Q138" s="239">
        <f t="shared" ca="1" si="123"/>
        <v>1</v>
      </c>
      <c r="R138" s="239">
        <f t="shared" ca="1" si="123"/>
        <v>1</v>
      </c>
      <c r="S138" s="239">
        <f t="shared" ca="1" si="123"/>
        <v>1</v>
      </c>
      <c r="T138" s="239">
        <f t="shared" ca="1" si="123"/>
        <v>1</v>
      </c>
      <c r="U138" s="239">
        <f t="shared" ca="1" si="123"/>
        <v>1</v>
      </c>
      <c r="V138" s="239">
        <f t="shared" ca="1" si="123"/>
        <v>1</v>
      </c>
      <c r="W138" s="239">
        <f t="shared" ca="1" si="123"/>
        <v>1</v>
      </c>
      <c r="X138" s="239">
        <f t="shared" ca="1" si="123"/>
        <v>1</v>
      </c>
      <c r="Y138" s="239">
        <f t="shared" ca="1" si="123"/>
        <v>1</v>
      </c>
      <c r="Z138" s="239">
        <f t="shared" ca="1" si="123"/>
        <v>1</v>
      </c>
      <c r="AA138" s="239">
        <f t="shared" ca="1" si="123"/>
        <v>1</v>
      </c>
      <c r="AB138" s="239">
        <f t="shared" ca="1" si="123"/>
        <v>1</v>
      </c>
      <c r="AC138" s="239">
        <f t="shared" ca="1" si="123"/>
        <v>1</v>
      </c>
      <c r="AD138" s="239">
        <f t="shared" ca="1" si="123"/>
        <v>1</v>
      </c>
      <c r="AE138" s="239">
        <f t="shared" ca="1" si="123"/>
        <v>1</v>
      </c>
      <c r="AF138" s="239">
        <f t="shared" ca="1" si="123"/>
        <v>1</v>
      </c>
      <c r="AG138" s="239">
        <f t="shared" ca="1" si="123"/>
        <v>1</v>
      </c>
      <c r="AH138" s="1127">
        <f ca="1">AG138</f>
        <v>1</v>
      </c>
      <c r="AI138" s="309" t="s">
        <v>1779</v>
      </c>
      <c r="AJ138" s="142"/>
      <c r="AK138" s="21"/>
      <c r="AL138" s="21"/>
      <c r="AM138" s="19"/>
      <c r="AN138" s="19"/>
    </row>
    <row r="139" spans="2:40">
      <c r="B139" s="434" t="s">
        <v>1128</v>
      </c>
      <c r="C139" s="239">
        <f>C135-C137</f>
        <v>0</v>
      </c>
      <c r="D139" s="239">
        <f t="shared" ref="D139:AG139" si="124">D135-D137</f>
        <v>0</v>
      </c>
      <c r="E139" s="239">
        <f t="shared" si="124"/>
        <v>0</v>
      </c>
      <c r="F139" s="239">
        <f t="shared" si="124"/>
        <v>1</v>
      </c>
      <c r="G139" s="239">
        <f t="shared" si="124"/>
        <v>0</v>
      </c>
      <c r="H139" s="239">
        <f t="shared" si="124"/>
        <v>0</v>
      </c>
      <c r="I139" s="239">
        <f t="shared" si="124"/>
        <v>0</v>
      </c>
      <c r="J139" s="239">
        <f t="shared" si="124"/>
        <v>0</v>
      </c>
      <c r="K139" s="239">
        <f t="shared" si="124"/>
        <v>0</v>
      </c>
      <c r="L139" s="239">
        <f t="shared" ca="1" si="124"/>
        <v>0</v>
      </c>
      <c r="M139" s="239">
        <f t="shared" ca="1" si="124"/>
        <v>0</v>
      </c>
      <c r="N139" s="239">
        <f t="shared" ca="1" si="124"/>
        <v>0</v>
      </c>
      <c r="O139" s="239">
        <f t="shared" ca="1" si="124"/>
        <v>0</v>
      </c>
      <c r="P139" s="239">
        <f t="shared" ca="1" si="124"/>
        <v>0</v>
      </c>
      <c r="Q139" s="239">
        <f t="shared" ca="1" si="124"/>
        <v>0</v>
      </c>
      <c r="R139" s="239">
        <f t="shared" ca="1" si="124"/>
        <v>0</v>
      </c>
      <c r="S139" s="239">
        <f t="shared" ca="1" si="124"/>
        <v>0</v>
      </c>
      <c r="T139" s="239">
        <f t="shared" ca="1" si="124"/>
        <v>0</v>
      </c>
      <c r="U139" s="239">
        <f t="shared" ca="1" si="124"/>
        <v>0</v>
      </c>
      <c r="V139" s="239">
        <f t="shared" ca="1" si="124"/>
        <v>0</v>
      </c>
      <c r="W139" s="239">
        <f t="shared" ca="1" si="124"/>
        <v>0</v>
      </c>
      <c r="X139" s="239">
        <f t="shared" ca="1" si="124"/>
        <v>0</v>
      </c>
      <c r="Y139" s="239">
        <f t="shared" ca="1" si="124"/>
        <v>0</v>
      </c>
      <c r="Z139" s="239">
        <f t="shared" ca="1" si="124"/>
        <v>0</v>
      </c>
      <c r="AA139" s="239">
        <f t="shared" ca="1" si="124"/>
        <v>0</v>
      </c>
      <c r="AB139" s="239">
        <f t="shared" ca="1" si="124"/>
        <v>0</v>
      </c>
      <c r="AC139" s="239">
        <f t="shared" ca="1" si="124"/>
        <v>0</v>
      </c>
      <c r="AD139" s="239">
        <f t="shared" ca="1" si="124"/>
        <v>0</v>
      </c>
      <c r="AE139" s="239">
        <f t="shared" ca="1" si="124"/>
        <v>0</v>
      </c>
      <c r="AF139" s="239">
        <f t="shared" ca="1" si="124"/>
        <v>0</v>
      </c>
      <c r="AG139" s="239">
        <f t="shared" ca="1" si="124"/>
        <v>0</v>
      </c>
      <c r="AH139" s="157"/>
      <c r="AI139" s="155"/>
      <c r="AJ139" s="142"/>
      <c r="AK139" s="21"/>
      <c r="AL139" s="21"/>
      <c r="AM139" s="19"/>
      <c r="AN139" s="19"/>
    </row>
    <row r="140" spans="2:40">
      <c r="B140" s="434" t="s">
        <v>1715</v>
      </c>
      <c r="C140" s="239">
        <f>C139</f>
        <v>0</v>
      </c>
      <c r="D140" s="239">
        <f>D139+C140</f>
        <v>0</v>
      </c>
      <c r="E140" s="239">
        <f t="shared" ref="E140:AG140" si="125">E139+D140</f>
        <v>0</v>
      </c>
      <c r="F140" s="239">
        <f t="shared" si="125"/>
        <v>1</v>
      </c>
      <c r="G140" s="239">
        <f t="shared" si="125"/>
        <v>1</v>
      </c>
      <c r="H140" s="239">
        <f t="shared" si="125"/>
        <v>1</v>
      </c>
      <c r="I140" s="239">
        <f t="shared" si="125"/>
        <v>1</v>
      </c>
      <c r="J140" s="239">
        <f t="shared" si="125"/>
        <v>1</v>
      </c>
      <c r="K140" s="239">
        <f t="shared" si="125"/>
        <v>1</v>
      </c>
      <c r="L140" s="239">
        <f t="shared" ca="1" si="125"/>
        <v>1</v>
      </c>
      <c r="M140" s="239">
        <f t="shared" ca="1" si="125"/>
        <v>1</v>
      </c>
      <c r="N140" s="239">
        <f t="shared" ca="1" si="125"/>
        <v>1</v>
      </c>
      <c r="O140" s="239">
        <f t="shared" ca="1" si="125"/>
        <v>1</v>
      </c>
      <c r="P140" s="239">
        <f t="shared" ca="1" si="125"/>
        <v>1</v>
      </c>
      <c r="Q140" s="239">
        <f t="shared" ca="1" si="125"/>
        <v>1</v>
      </c>
      <c r="R140" s="239">
        <f t="shared" ca="1" si="125"/>
        <v>1</v>
      </c>
      <c r="S140" s="239">
        <f t="shared" ca="1" si="125"/>
        <v>1</v>
      </c>
      <c r="T140" s="239">
        <f t="shared" ca="1" si="125"/>
        <v>1</v>
      </c>
      <c r="U140" s="239">
        <f t="shared" ca="1" si="125"/>
        <v>1</v>
      </c>
      <c r="V140" s="239">
        <f t="shared" ca="1" si="125"/>
        <v>1</v>
      </c>
      <c r="W140" s="239">
        <f t="shared" ca="1" si="125"/>
        <v>1</v>
      </c>
      <c r="X140" s="239">
        <f t="shared" ca="1" si="125"/>
        <v>1</v>
      </c>
      <c r="Y140" s="239">
        <f t="shared" ca="1" si="125"/>
        <v>1</v>
      </c>
      <c r="Z140" s="239">
        <f t="shared" ca="1" si="125"/>
        <v>1</v>
      </c>
      <c r="AA140" s="239">
        <f t="shared" ca="1" si="125"/>
        <v>1</v>
      </c>
      <c r="AB140" s="239">
        <f t="shared" ca="1" si="125"/>
        <v>1</v>
      </c>
      <c r="AC140" s="239">
        <f t="shared" ca="1" si="125"/>
        <v>1</v>
      </c>
      <c r="AD140" s="239">
        <f t="shared" ca="1" si="125"/>
        <v>1</v>
      </c>
      <c r="AE140" s="239">
        <f t="shared" ca="1" si="125"/>
        <v>1</v>
      </c>
      <c r="AF140" s="239">
        <f t="shared" ca="1" si="125"/>
        <v>1</v>
      </c>
      <c r="AG140" s="239">
        <f t="shared" ca="1" si="125"/>
        <v>1</v>
      </c>
      <c r="AH140" s="1131">
        <f ca="1">AG140</f>
        <v>1</v>
      </c>
      <c r="AI140" s="1132" t="s">
        <v>1782</v>
      </c>
      <c r="AJ140" s="1129"/>
      <c r="AK140" s="21"/>
      <c r="AL140" s="21"/>
      <c r="AM140" s="19"/>
      <c r="AN140" s="19"/>
    </row>
    <row r="141" spans="2:40">
      <c r="B141" s="631" t="s">
        <v>1130</v>
      </c>
      <c r="C141" s="435">
        <f>IF(C$111="C/I",0,'Project-definition'!C54)</f>
        <v>0</v>
      </c>
      <c r="D141" s="435">
        <f>IF(D$111="C/I",0,'Project-definition'!D54)</f>
        <v>0</v>
      </c>
      <c r="E141" s="435">
        <f>IF(E$111="C/I",0,'Project-definition'!E54)</f>
        <v>0</v>
      </c>
      <c r="F141" s="435">
        <f>IF(F$111="C/I",0,'Project-definition'!F54)</f>
        <v>0</v>
      </c>
      <c r="G141" s="435">
        <f>IF(G$111="C/I",0,'Project-definition'!G54)</f>
        <v>2</v>
      </c>
      <c r="H141" s="435">
        <f>IF(H$111="C/I",0,'Project-definition'!H54)</f>
        <v>0</v>
      </c>
      <c r="I141" s="435">
        <f>IF(I$111="C/I",0,'Project-definition'!I54)</f>
        <v>0</v>
      </c>
      <c r="J141" s="435">
        <f>IF(J$111="C/I",0,'Project-definition'!J54)</f>
        <v>0</v>
      </c>
      <c r="K141" s="435">
        <f>IF(K$111="C/I",0,'Project-definition'!K54)</f>
        <v>0</v>
      </c>
      <c r="L141" s="435">
        <f ca="1">IF(L$111="C/I",0,'Project-definition'!L54)</f>
        <v>0</v>
      </c>
      <c r="M141" s="435">
        <f ca="1">IF(M$111="C/I",0,'Project-definition'!M54)</f>
        <v>0</v>
      </c>
      <c r="N141" s="435">
        <f ca="1">IF(N$111="C/I",0,'Project-definition'!N54)</f>
        <v>0</v>
      </c>
      <c r="O141" s="435">
        <f ca="1">IF(O$111="C/I",0,'Project-definition'!O54)</f>
        <v>0</v>
      </c>
      <c r="P141" s="435">
        <f ca="1">IF(P$111="C/I",0,'Project-definition'!P54)</f>
        <v>0</v>
      </c>
      <c r="Q141" s="435">
        <f ca="1">IF(Q$111="C/I",0,'Project-definition'!Q54)</f>
        <v>0</v>
      </c>
      <c r="R141" s="435">
        <f ca="1">IF(R$111="C/I",0,'Project-definition'!R54)</f>
        <v>0</v>
      </c>
      <c r="S141" s="435">
        <f ca="1">IF(S$111="C/I",0,'Project-definition'!S54)</f>
        <v>0</v>
      </c>
      <c r="T141" s="435">
        <f ca="1">IF(T$111="C/I",0,'Project-definition'!T54)</f>
        <v>0</v>
      </c>
      <c r="U141" s="435">
        <f ca="1">IF(U$111="C/I",0,'Project-definition'!U54)</f>
        <v>0</v>
      </c>
      <c r="V141" s="435">
        <f ca="1">IF(V$111="C/I",0,'Project-definition'!V54)</f>
        <v>0</v>
      </c>
      <c r="W141" s="435">
        <f ca="1">IF(W$111="C/I",0,'Project-definition'!W54)</f>
        <v>0</v>
      </c>
      <c r="X141" s="435">
        <f ca="1">IF(X$111="C/I",0,'Project-definition'!X54)</f>
        <v>0</v>
      </c>
      <c r="Y141" s="435">
        <f ca="1">IF(Y$111="C/I",0,'Project-definition'!Y54)</f>
        <v>0</v>
      </c>
      <c r="Z141" s="435">
        <f ca="1">IF(Z$111="C/I",0,'Project-definition'!Z54)</f>
        <v>0</v>
      </c>
      <c r="AA141" s="435">
        <f ca="1">IF(AA$111="C/I",0,'Project-definition'!AA54)</f>
        <v>0</v>
      </c>
      <c r="AB141" s="435">
        <f ca="1">IF(AB$111="C/I",0,'Project-definition'!AB54)</f>
        <v>0</v>
      </c>
      <c r="AC141" s="435">
        <f ca="1">IF(AC$111="C/I",0,'Project-definition'!AC54)</f>
        <v>0</v>
      </c>
      <c r="AD141" s="435">
        <f ca="1">IF(AD$111="C/I",0,'Project-definition'!AD54)</f>
        <v>0</v>
      </c>
      <c r="AE141" s="435">
        <f ca="1">IF(AE$111="C/I",0,'Project-definition'!AE54)</f>
        <v>0</v>
      </c>
      <c r="AF141" s="435">
        <f ca="1">IF(AF$111="C/I",0,'Project-definition'!AF54)</f>
        <v>0</v>
      </c>
      <c r="AG141" s="435">
        <f ca="1">IF(AG$111="C/I",0,'Project-definition'!AG54)</f>
        <v>0</v>
      </c>
      <c r="AH141" s="1130"/>
      <c r="AI141" s="163"/>
      <c r="AJ141" s="142"/>
      <c r="AK141" s="21"/>
      <c r="AL141" s="21"/>
      <c r="AM141" s="19"/>
      <c r="AN141" s="19"/>
    </row>
    <row r="142" spans="2:40">
      <c r="B142" s="55" t="s">
        <v>792</v>
      </c>
      <c r="C142" s="239">
        <f>C141</f>
        <v>0</v>
      </c>
      <c r="D142" s="239">
        <f t="shared" ref="D142:AG142" si="126">D141+C142</f>
        <v>0</v>
      </c>
      <c r="E142" s="239">
        <f t="shared" si="126"/>
        <v>0</v>
      </c>
      <c r="F142" s="239">
        <f t="shared" si="126"/>
        <v>0</v>
      </c>
      <c r="G142" s="239">
        <f t="shared" si="126"/>
        <v>2</v>
      </c>
      <c r="H142" s="239">
        <f t="shared" si="126"/>
        <v>2</v>
      </c>
      <c r="I142" s="239">
        <f t="shared" si="126"/>
        <v>2</v>
      </c>
      <c r="J142" s="239">
        <f t="shared" si="126"/>
        <v>2</v>
      </c>
      <c r="K142" s="239">
        <f t="shared" si="126"/>
        <v>2</v>
      </c>
      <c r="L142" s="239">
        <f t="shared" ca="1" si="126"/>
        <v>2</v>
      </c>
      <c r="M142" s="239">
        <f t="shared" ca="1" si="126"/>
        <v>2</v>
      </c>
      <c r="N142" s="239">
        <f t="shared" ca="1" si="126"/>
        <v>2</v>
      </c>
      <c r="O142" s="239">
        <f t="shared" ca="1" si="126"/>
        <v>2</v>
      </c>
      <c r="P142" s="239">
        <f t="shared" ca="1" si="126"/>
        <v>2</v>
      </c>
      <c r="Q142" s="239">
        <f t="shared" ca="1" si="126"/>
        <v>2</v>
      </c>
      <c r="R142" s="239">
        <f t="shared" ca="1" si="126"/>
        <v>2</v>
      </c>
      <c r="S142" s="239">
        <f t="shared" ca="1" si="126"/>
        <v>2</v>
      </c>
      <c r="T142" s="239">
        <f t="shared" ca="1" si="126"/>
        <v>2</v>
      </c>
      <c r="U142" s="239">
        <f t="shared" ca="1" si="126"/>
        <v>2</v>
      </c>
      <c r="V142" s="239">
        <f t="shared" ca="1" si="126"/>
        <v>2</v>
      </c>
      <c r="W142" s="239">
        <f t="shared" ca="1" si="126"/>
        <v>2</v>
      </c>
      <c r="X142" s="239">
        <f t="shared" ca="1" si="126"/>
        <v>2</v>
      </c>
      <c r="Y142" s="239">
        <f t="shared" ca="1" si="126"/>
        <v>2</v>
      </c>
      <c r="Z142" s="239">
        <f t="shared" ca="1" si="126"/>
        <v>2</v>
      </c>
      <c r="AA142" s="239">
        <f t="shared" ca="1" si="126"/>
        <v>2</v>
      </c>
      <c r="AB142" s="239">
        <f t="shared" ca="1" si="126"/>
        <v>2</v>
      </c>
      <c r="AC142" s="239">
        <f t="shared" ca="1" si="126"/>
        <v>2</v>
      </c>
      <c r="AD142" s="239">
        <f t="shared" ca="1" si="126"/>
        <v>2</v>
      </c>
      <c r="AE142" s="239">
        <f t="shared" ca="1" si="126"/>
        <v>2</v>
      </c>
      <c r="AF142" s="239">
        <f t="shared" ca="1" si="126"/>
        <v>2</v>
      </c>
      <c r="AG142" s="239">
        <f t="shared" ca="1" si="126"/>
        <v>2</v>
      </c>
      <c r="AH142" s="1127">
        <f ca="1">AG142</f>
        <v>2</v>
      </c>
      <c r="AI142" s="309" t="s">
        <v>1787</v>
      </c>
      <c r="AJ142" s="142"/>
      <c r="AK142" s="21"/>
      <c r="AL142" s="21"/>
      <c r="AM142" s="19"/>
      <c r="AN142" s="19"/>
    </row>
    <row r="143" spans="2:40">
      <c r="B143" s="434" t="s">
        <v>1601</v>
      </c>
      <c r="C143" s="239">
        <f>'Well Success'!C87</f>
        <v>0</v>
      </c>
      <c r="D143" s="239">
        <f>'Well Success'!D87</f>
        <v>0</v>
      </c>
      <c r="E143" s="239">
        <f>'Well Success'!E87</f>
        <v>0</v>
      </c>
      <c r="F143" s="239">
        <f>'Well Success'!F87</f>
        <v>0</v>
      </c>
      <c r="G143" s="239">
        <f>'Well Success'!G87</f>
        <v>1</v>
      </c>
      <c r="H143" s="239">
        <f>'Well Success'!H87</f>
        <v>0</v>
      </c>
      <c r="I143" s="239">
        <f>'Well Success'!I87</f>
        <v>0</v>
      </c>
      <c r="J143" s="239">
        <f>'Well Success'!J87</f>
        <v>0</v>
      </c>
      <c r="K143" s="239">
        <f>'Well Success'!K87</f>
        <v>0</v>
      </c>
      <c r="L143" s="239">
        <f ca="1">'Well Success'!L87</f>
        <v>0</v>
      </c>
      <c r="M143" s="239">
        <f ca="1">'Well Success'!M87</f>
        <v>0</v>
      </c>
      <c r="N143" s="239">
        <f ca="1">'Well Success'!N87</f>
        <v>0</v>
      </c>
      <c r="O143" s="239">
        <f ca="1">'Well Success'!O87</f>
        <v>0</v>
      </c>
      <c r="P143" s="239">
        <f ca="1">'Well Success'!P87</f>
        <v>0</v>
      </c>
      <c r="Q143" s="239">
        <f ca="1">'Well Success'!Q87</f>
        <v>0</v>
      </c>
      <c r="R143" s="239">
        <f ca="1">'Well Success'!R87</f>
        <v>0</v>
      </c>
      <c r="S143" s="239">
        <f ca="1">'Well Success'!S87</f>
        <v>0</v>
      </c>
      <c r="T143" s="239">
        <f ca="1">'Well Success'!T87</f>
        <v>0</v>
      </c>
      <c r="U143" s="239">
        <f ca="1">'Well Success'!U87</f>
        <v>0</v>
      </c>
      <c r="V143" s="239">
        <f ca="1">'Well Success'!V87</f>
        <v>0</v>
      </c>
      <c r="W143" s="239">
        <f ca="1">'Well Success'!W87</f>
        <v>0</v>
      </c>
      <c r="X143" s="239">
        <f ca="1">'Well Success'!X87</f>
        <v>0</v>
      </c>
      <c r="Y143" s="239">
        <f ca="1">'Well Success'!Y87</f>
        <v>0</v>
      </c>
      <c r="Z143" s="239">
        <f ca="1">'Well Success'!Z87</f>
        <v>0</v>
      </c>
      <c r="AA143" s="239">
        <f ca="1">'Well Success'!AA87</f>
        <v>0</v>
      </c>
      <c r="AB143" s="239">
        <f ca="1">'Well Success'!AB87</f>
        <v>0</v>
      </c>
      <c r="AC143" s="239">
        <f ca="1">'Well Success'!AC87</f>
        <v>0</v>
      </c>
      <c r="AD143" s="239">
        <f ca="1">'Well Success'!AD87</f>
        <v>0</v>
      </c>
      <c r="AE143" s="239">
        <f ca="1">'Well Success'!AE87</f>
        <v>0</v>
      </c>
      <c r="AF143" s="239">
        <f ca="1">'Well Success'!AF87</f>
        <v>0</v>
      </c>
      <c r="AG143" s="239">
        <f ca="1">'Well Success'!AG87</f>
        <v>0</v>
      </c>
      <c r="AH143" s="157"/>
      <c r="AI143" s="155"/>
      <c r="AJ143" s="142"/>
      <c r="AK143" s="21"/>
      <c r="AL143" s="21"/>
      <c r="AM143" s="19"/>
      <c r="AN143" s="19"/>
    </row>
    <row r="144" spans="2:40">
      <c r="B144" s="434" t="s">
        <v>1602</v>
      </c>
      <c r="C144" s="239">
        <f>C143</f>
        <v>0</v>
      </c>
      <c r="D144" s="239">
        <f>D143+C144</f>
        <v>0</v>
      </c>
      <c r="E144" s="239">
        <f t="shared" ref="E144:AG144" si="127">E143+D144</f>
        <v>0</v>
      </c>
      <c r="F144" s="239">
        <f t="shared" si="127"/>
        <v>0</v>
      </c>
      <c r="G144" s="239">
        <f t="shared" si="127"/>
        <v>1</v>
      </c>
      <c r="H144" s="239">
        <f t="shared" si="127"/>
        <v>1</v>
      </c>
      <c r="I144" s="239">
        <f t="shared" si="127"/>
        <v>1</v>
      </c>
      <c r="J144" s="239">
        <f t="shared" si="127"/>
        <v>1</v>
      </c>
      <c r="K144" s="239">
        <f t="shared" si="127"/>
        <v>1</v>
      </c>
      <c r="L144" s="239">
        <f t="shared" ca="1" si="127"/>
        <v>1</v>
      </c>
      <c r="M144" s="239">
        <f t="shared" ca="1" si="127"/>
        <v>1</v>
      </c>
      <c r="N144" s="239">
        <f t="shared" ca="1" si="127"/>
        <v>1</v>
      </c>
      <c r="O144" s="239">
        <f t="shared" ca="1" si="127"/>
        <v>1</v>
      </c>
      <c r="P144" s="239">
        <f t="shared" ca="1" si="127"/>
        <v>1</v>
      </c>
      <c r="Q144" s="239">
        <f t="shared" ca="1" si="127"/>
        <v>1</v>
      </c>
      <c r="R144" s="239">
        <f t="shared" ca="1" si="127"/>
        <v>1</v>
      </c>
      <c r="S144" s="239">
        <f t="shared" ca="1" si="127"/>
        <v>1</v>
      </c>
      <c r="T144" s="239">
        <f t="shared" ca="1" si="127"/>
        <v>1</v>
      </c>
      <c r="U144" s="239">
        <f t="shared" ca="1" si="127"/>
        <v>1</v>
      </c>
      <c r="V144" s="239">
        <f t="shared" ca="1" si="127"/>
        <v>1</v>
      </c>
      <c r="W144" s="239">
        <f t="shared" ca="1" si="127"/>
        <v>1</v>
      </c>
      <c r="X144" s="239">
        <f t="shared" ca="1" si="127"/>
        <v>1</v>
      </c>
      <c r="Y144" s="239">
        <f t="shared" ca="1" si="127"/>
        <v>1</v>
      </c>
      <c r="Z144" s="239">
        <f t="shared" ca="1" si="127"/>
        <v>1</v>
      </c>
      <c r="AA144" s="239">
        <f t="shared" ca="1" si="127"/>
        <v>1</v>
      </c>
      <c r="AB144" s="239">
        <f t="shared" ca="1" si="127"/>
        <v>1</v>
      </c>
      <c r="AC144" s="239">
        <f t="shared" ca="1" si="127"/>
        <v>1</v>
      </c>
      <c r="AD144" s="239">
        <f t="shared" ca="1" si="127"/>
        <v>1</v>
      </c>
      <c r="AE144" s="239">
        <f t="shared" ca="1" si="127"/>
        <v>1</v>
      </c>
      <c r="AF144" s="239">
        <f t="shared" ca="1" si="127"/>
        <v>1</v>
      </c>
      <c r="AG144" s="239">
        <f t="shared" ca="1" si="127"/>
        <v>1</v>
      </c>
      <c r="AH144" s="1127">
        <f ca="1">AG144</f>
        <v>1</v>
      </c>
      <c r="AI144" s="309" t="s">
        <v>1780</v>
      </c>
      <c r="AJ144" s="142"/>
      <c r="AK144" s="21"/>
      <c r="AL144" s="21"/>
      <c r="AM144" s="19"/>
      <c r="AN144" s="19"/>
    </row>
    <row r="145" spans="1:40">
      <c r="B145" s="434" t="s">
        <v>1129</v>
      </c>
      <c r="C145" s="239">
        <f>C141-C143</f>
        <v>0</v>
      </c>
      <c r="D145" s="239">
        <f t="shared" ref="D145:AG145" si="128">D141-D143</f>
        <v>0</v>
      </c>
      <c r="E145" s="239">
        <f t="shared" si="128"/>
        <v>0</v>
      </c>
      <c r="F145" s="239">
        <f t="shared" si="128"/>
        <v>0</v>
      </c>
      <c r="G145" s="239">
        <f t="shared" si="128"/>
        <v>1</v>
      </c>
      <c r="H145" s="239">
        <f t="shared" si="128"/>
        <v>0</v>
      </c>
      <c r="I145" s="239">
        <f t="shared" si="128"/>
        <v>0</v>
      </c>
      <c r="J145" s="239">
        <f t="shared" si="128"/>
        <v>0</v>
      </c>
      <c r="K145" s="239">
        <f t="shared" si="128"/>
        <v>0</v>
      </c>
      <c r="L145" s="239">
        <f t="shared" ca="1" si="128"/>
        <v>0</v>
      </c>
      <c r="M145" s="239">
        <f t="shared" ca="1" si="128"/>
        <v>0</v>
      </c>
      <c r="N145" s="239">
        <f t="shared" ca="1" si="128"/>
        <v>0</v>
      </c>
      <c r="O145" s="239">
        <f t="shared" ca="1" si="128"/>
        <v>0</v>
      </c>
      <c r="P145" s="239">
        <f t="shared" ca="1" si="128"/>
        <v>0</v>
      </c>
      <c r="Q145" s="239">
        <f t="shared" ca="1" si="128"/>
        <v>0</v>
      </c>
      <c r="R145" s="239">
        <f t="shared" ca="1" si="128"/>
        <v>0</v>
      </c>
      <c r="S145" s="239">
        <f t="shared" ca="1" si="128"/>
        <v>0</v>
      </c>
      <c r="T145" s="239">
        <f t="shared" ca="1" si="128"/>
        <v>0</v>
      </c>
      <c r="U145" s="239">
        <f t="shared" ca="1" si="128"/>
        <v>0</v>
      </c>
      <c r="V145" s="239">
        <f t="shared" ca="1" si="128"/>
        <v>0</v>
      </c>
      <c r="W145" s="239">
        <f t="shared" ca="1" si="128"/>
        <v>0</v>
      </c>
      <c r="X145" s="239">
        <f t="shared" ca="1" si="128"/>
        <v>0</v>
      </c>
      <c r="Y145" s="239">
        <f t="shared" ca="1" si="128"/>
        <v>0</v>
      </c>
      <c r="Z145" s="239">
        <f t="shared" ca="1" si="128"/>
        <v>0</v>
      </c>
      <c r="AA145" s="239">
        <f t="shared" ca="1" si="128"/>
        <v>0</v>
      </c>
      <c r="AB145" s="239">
        <f t="shared" ca="1" si="128"/>
        <v>0</v>
      </c>
      <c r="AC145" s="239">
        <f t="shared" ca="1" si="128"/>
        <v>0</v>
      </c>
      <c r="AD145" s="239">
        <f t="shared" ca="1" si="128"/>
        <v>0</v>
      </c>
      <c r="AE145" s="239">
        <f t="shared" ca="1" si="128"/>
        <v>0</v>
      </c>
      <c r="AF145" s="239">
        <f t="shared" ca="1" si="128"/>
        <v>0</v>
      </c>
      <c r="AG145" s="239">
        <f t="shared" ca="1" si="128"/>
        <v>0</v>
      </c>
      <c r="AH145" s="157"/>
      <c r="AI145" s="155"/>
      <c r="AJ145" s="142"/>
      <c r="AK145" s="21"/>
      <c r="AL145" s="21"/>
      <c r="AM145" s="19"/>
      <c r="AN145" s="19"/>
    </row>
    <row r="146" spans="1:40">
      <c r="B146" s="434" t="s">
        <v>1716</v>
      </c>
      <c r="C146" s="239">
        <f>C145</f>
        <v>0</v>
      </c>
      <c r="D146" s="239">
        <f>D145+C146</f>
        <v>0</v>
      </c>
      <c r="E146" s="239">
        <f t="shared" ref="E146" si="129">E145+D146</f>
        <v>0</v>
      </c>
      <c r="F146" s="239">
        <f t="shared" ref="F146" si="130">F145+E146</f>
        <v>0</v>
      </c>
      <c r="G146" s="239">
        <f t="shared" ref="G146" si="131">G145+F146</f>
        <v>1</v>
      </c>
      <c r="H146" s="239">
        <f t="shared" ref="H146" si="132">H145+G146</f>
        <v>1</v>
      </c>
      <c r="I146" s="239">
        <f t="shared" ref="I146" si="133">I145+H146</f>
        <v>1</v>
      </c>
      <c r="J146" s="239">
        <f t="shared" ref="J146" si="134">J145+I146</f>
        <v>1</v>
      </c>
      <c r="K146" s="239">
        <f t="shared" ref="K146" si="135">K145+J146</f>
        <v>1</v>
      </c>
      <c r="L146" s="239">
        <f t="shared" ref="L146" ca="1" si="136">L145+K146</f>
        <v>1</v>
      </c>
      <c r="M146" s="239">
        <f t="shared" ref="M146" ca="1" si="137">M145+L146</f>
        <v>1</v>
      </c>
      <c r="N146" s="239">
        <f t="shared" ref="N146" ca="1" si="138">N145+M146</f>
        <v>1</v>
      </c>
      <c r="O146" s="239">
        <f t="shared" ref="O146" ca="1" si="139">O145+N146</f>
        <v>1</v>
      </c>
      <c r="P146" s="239">
        <f t="shared" ref="P146" ca="1" si="140">P145+O146</f>
        <v>1</v>
      </c>
      <c r="Q146" s="239">
        <f t="shared" ref="Q146" ca="1" si="141">Q145+P146</f>
        <v>1</v>
      </c>
      <c r="R146" s="239">
        <f t="shared" ref="R146" ca="1" si="142">R145+Q146</f>
        <v>1</v>
      </c>
      <c r="S146" s="239">
        <f t="shared" ref="S146" ca="1" si="143">S145+R146</f>
        <v>1</v>
      </c>
      <c r="T146" s="239">
        <f t="shared" ref="T146" ca="1" si="144">T145+S146</f>
        <v>1</v>
      </c>
      <c r="U146" s="239">
        <f t="shared" ref="U146" ca="1" si="145">U145+T146</f>
        <v>1</v>
      </c>
      <c r="V146" s="239">
        <f t="shared" ref="V146" ca="1" si="146">V145+U146</f>
        <v>1</v>
      </c>
      <c r="W146" s="239">
        <f t="shared" ref="W146" ca="1" si="147">W145+V146</f>
        <v>1</v>
      </c>
      <c r="X146" s="239">
        <f t="shared" ref="X146" ca="1" si="148">X145+W146</f>
        <v>1</v>
      </c>
      <c r="Y146" s="239">
        <f t="shared" ref="Y146" ca="1" si="149">Y145+X146</f>
        <v>1</v>
      </c>
      <c r="Z146" s="239">
        <f t="shared" ref="Z146" ca="1" si="150">Z145+Y146</f>
        <v>1</v>
      </c>
      <c r="AA146" s="239">
        <f t="shared" ref="AA146" ca="1" si="151">AA145+Z146</f>
        <v>1</v>
      </c>
      <c r="AB146" s="239">
        <f t="shared" ref="AB146" ca="1" si="152">AB145+AA146</f>
        <v>1</v>
      </c>
      <c r="AC146" s="239">
        <f t="shared" ref="AC146" ca="1" si="153">AC145+AB146</f>
        <v>1</v>
      </c>
      <c r="AD146" s="239">
        <f t="shared" ref="AD146" ca="1" si="154">AD145+AC146</f>
        <v>1</v>
      </c>
      <c r="AE146" s="239">
        <f t="shared" ref="AE146" ca="1" si="155">AE145+AD146</f>
        <v>1</v>
      </c>
      <c r="AF146" s="239">
        <f t="shared" ref="AF146" ca="1" si="156">AF145+AE146</f>
        <v>1</v>
      </c>
      <c r="AG146" s="239">
        <f t="shared" ref="AG146" ca="1" si="157">AG145+AF146</f>
        <v>1</v>
      </c>
      <c r="AH146" s="1131">
        <f ca="1">AG146</f>
        <v>1</v>
      </c>
      <c r="AI146" s="1132" t="s">
        <v>1783</v>
      </c>
      <c r="AJ146" s="1129"/>
      <c r="AK146" s="21"/>
      <c r="AL146" s="21"/>
      <c r="AM146" s="19"/>
      <c r="AN146" s="19"/>
    </row>
    <row r="147" spans="1:40">
      <c r="B147" s="185" t="s">
        <v>1605</v>
      </c>
      <c r="C147" s="435">
        <f>IF(C$111="C/I",0,'Project-definition'!C62+'Project-definition'!C72)</f>
        <v>0</v>
      </c>
      <c r="D147" s="435">
        <f>IF(D$111="C/I",0,'Project-definition'!D62+'Project-definition'!D72)</f>
        <v>0</v>
      </c>
      <c r="E147" s="435">
        <f>IF(E$111="C/I",0,'Project-definition'!E62+'Project-definition'!E72)</f>
        <v>0</v>
      </c>
      <c r="F147" s="435">
        <f>IF(F$111="C/I",0,'Project-definition'!F62+'Project-definition'!F72)</f>
        <v>0</v>
      </c>
      <c r="G147" s="435">
        <f>IF(G$111="C/I",0,'Project-definition'!G62+'Project-definition'!G72)</f>
        <v>0</v>
      </c>
      <c r="H147" s="435">
        <f>IF(H$111="C/I",0,'Project-definition'!H62+'Project-definition'!H72)</f>
        <v>0</v>
      </c>
      <c r="I147" s="435">
        <f>IF(I$111="C/I",0,'Project-definition'!I62+'Project-definition'!I72)</f>
        <v>1</v>
      </c>
      <c r="J147" s="435">
        <f>IF(J$111="C/I",0,'Project-definition'!J62+'Project-definition'!J72)</f>
        <v>2</v>
      </c>
      <c r="K147" s="435">
        <f>IF(K$111="C/I",0,'Project-definition'!K62+'Project-definition'!K72)</f>
        <v>2</v>
      </c>
      <c r="L147" s="435">
        <f ca="1">IF(L$111="C/I",0,'Project-definition'!L62+'Project-definition'!L72)</f>
        <v>2</v>
      </c>
      <c r="M147" s="435">
        <f ca="1">IF(M$111="C/I",0,'Project-definition'!M62+'Project-definition'!M72)</f>
        <v>2</v>
      </c>
      <c r="N147" s="435">
        <f ca="1">IF(N$111="C/I",0,'Project-definition'!N62+'Project-definition'!N72)</f>
        <v>2</v>
      </c>
      <c r="O147" s="435">
        <f ca="1">IF(O$111="C/I",0,'Project-definition'!O62+'Project-definition'!O72)</f>
        <v>0</v>
      </c>
      <c r="P147" s="435">
        <f ca="1">IF(P$111="C/I",0,'Project-definition'!P62+'Project-definition'!P72)</f>
        <v>0</v>
      </c>
      <c r="Q147" s="435">
        <f ca="1">IF(Q$111="C/I",0,'Project-definition'!Q62+'Project-definition'!Q72)</f>
        <v>0</v>
      </c>
      <c r="R147" s="435">
        <f ca="1">IF(R$111="C/I",0,'Project-definition'!R62+'Project-definition'!R72)</f>
        <v>0</v>
      </c>
      <c r="S147" s="435">
        <f ca="1">IF(S$111="C/I",0,'Project-definition'!S62+'Project-definition'!S72)</f>
        <v>0</v>
      </c>
      <c r="T147" s="435">
        <f ca="1">IF(T$111="C/I",0,'Project-definition'!T62+'Project-definition'!T72)</f>
        <v>0</v>
      </c>
      <c r="U147" s="435">
        <f ca="1">IF(U$111="C/I",0,'Project-definition'!U62+'Project-definition'!U72)</f>
        <v>0</v>
      </c>
      <c r="V147" s="435">
        <f ca="1">IF(V$111="C/I",0,'Project-definition'!V62+'Project-definition'!V72)</f>
        <v>0</v>
      </c>
      <c r="W147" s="435">
        <f ca="1">IF(W$111="C/I",0,'Project-definition'!W62+'Project-definition'!W72)</f>
        <v>0</v>
      </c>
      <c r="X147" s="435">
        <f ca="1">IF(X$111="C/I",0,'Project-definition'!X62+'Project-definition'!X72)</f>
        <v>0</v>
      </c>
      <c r="Y147" s="435">
        <f ca="1">IF(Y$111="C/I",0,'Project-definition'!Y62+'Project-definition'!Y72)</f>
        <v>0</v>
      </c>
      <c r="Z147" s="435">
        <f ca="1">IF(Z$111="C/I",0,'Project-definition'!Z62+'Project-definition'!Z72)</f>
        <v>0</v>
      </c>
      <c r="AA147" s="435">
        <f ca="1">IF(AA$111="C/I",0,'Project-definition'!AA62+'Project-definition'!AA72)</f>
        <v>0</v>
      </c>
      <c r="AB147" s="435">
        <f ca="1">IF(AB$111="C/I",0,'Project-definition'!AB62+'Project-definition'!AB72)</f>
        <v>0</v>
      </c>
      <c r="AC147" s="435">
        <f ca="1">IF(AC$111="C/I",0,'Project-definition'!AC62+'Project-definition'!AC72)</f>
        <v>0</v>
      </c>
      <c r="AD147" s="435">
        <f ca="1">IF(AD$111="C/I",0,'Project-definition'!AD62+'Project-definition'!AD72)</f>
        <v>0</v>
      </c>
      <c r="AE147" s="435">
        <f ca="1">IF(AE$111="C/I",0,'Project-definition'!AE62+'Project-definition'!AE72)</f>
        <v>0</v>
      </c>
      <c r="AF147" s="435">
        <f ca="1">IF(AF$111="C/I",0,'Project-definition'!AF62+'Project-definition'!AF72)</f>
        <v>0</v>
      </c>
      <c r="AG147" s="435">
        <f ca="1">IF(AG$111="C/I",0,'Project-definition'!AG62+'Project-definition'!AG72)</f>
        <v>0</v>
      </c>
      <c r="AH147" s="1130"/>
      <c r="AI147" s="163"/>
      <c r="AJ147" s="142"/>
      <c r="AK147" s="21"/>
      <c r="AL147" s="21"/>
      <c r="AM147" s="19"/>
      <c r="AN147" s="19"/>
    </row>
    <row r="148" spans="1:40">
      <c r="B148" s="55" t="s">
        <v>784</v>
      </c>
      <c r="C148" s="239">
        <f>C147</f>
        <v>0</v>
      </c>
      <c r="D148" s="239">
        <f>C148+D147</f>
        <v>0</v>
      </c>
      <c r="E148" s="239">
        <f t="shared" ref="E148:AG148" si="158">D148+E147</f>
        <v>0</v>
      </c>
      <c r="F148" s="239">
        <f t="shared" si="158"/>
        <v>0</v>
      </c>
      <c r="G148" s="239">
        <f t="shared" si="158"/>
        <v>0</v>
      </c>
      <c r="H148" s="239">
        <f t="shared" si="158"/>
        <v>0</v>
      </c>
      <c r="I148" s="239">
        <f t="shared" si="158"/>
        <v>1</v>
      </c>
      <c r="J148" s="239">
        <f t="shared" si="158"/>
        <v>3</v>
      </c>
      <c r="K148" s="239">
        <f t="shared" si="158"/>
        <v>5</v>
      </c>
      <c r="L148" s="239">
        <f t="shared" ca="1" si="158"/>
        <v>7</v>
      </c>
      <c r="M148" s="239">
        <f t="shared" ca="1" si="158"/>
        <v>9</v>
      </c>
      <c r="N148" s="239">
        <f t="shared" ca="1" si="158"/>
        <v>11</v>
      </c>
      <c r="O148" s="239">
        <f t="shared" ca="1" si="158"/>
        <v>11</v>
      </c>
      <c r="P148" s="239">
        <f t="shared" ca="1" si="158"/>
        <v>11</v>
      </c>
      <c r="Q148" s="239">
        <f t="shared" ca="1" si="158"/>
        <v>11</v>
      </c>
      <c r="R148" s="239">
        <f t="shared" ca="1" si="158"/>
        <v>11</v>
      </c>
      <c r="S148" s="239">
        <f t="shared" ca="1" si="158"/>
        <v>11</v>
      </c>
      <c r="T148" s="239">
        <f t="shared" ca="1" si="158"/>
        <v>11</v>
      </c>
      <c r="U148" s="239">
        <f t="shared" ca="1" si="158"/>
        <v>11</v>
      </c>
      <c r="V148" s="239">
        <f t="shared" ca="1" si="158"/>
        <v>11</v>
      </c>
      <c r="W148" s="239">
        <f t="shared" ca="1" si="158"/>
        <v>11</v>
      </c>
      <c r="X148" s="239">
        <f t="shared" ca="1" si="158"/>
        <v>11</v>
      </c>
      <c r="Y148" s="239">
        <f t="shared" ca="1" si="158"/>
        <v>11</v>
      </c>
      <c r="Z148" s="239">
        <f t="shared" ca="1" si="158"/>
        <v>11</v>
      </c>
      <c r="AA148" s="239">
        <f t="shared" ca="1" si="158"/>
        <v>11</v>
      </c>
      <c r="AB148" s="239">
        <f t="shared" ca="1" si="158"/>
        <v>11</v>
      </c>
      <c r="AC148" s="239">
        <f t="shared" ca="1" si="158"/>
        <v>11</v>
      </c>
      <c r="AD148" s="239">
        <f t="shared" ca="1" si="158"/>
        <v>11</v>
      </c>
      <c r="AE148" s="239">
        <f t="shared" ca="1" si="158"/>
        <v>11</v>
      </c>
      <c r="AF148" s="239">
        <f t="shared" ca="1" si="158"/>
        <v>11</v>
      </c>
      <c r="AG148" s="239">
        <f t="shared" ca="1" si="158"/>
        <v>11</v>
      </c>
      <c r="AH148" s="1127">
        <f ca="1">AG148</f>
        <v>11</v>
      </c>
      <c r="AI148" s="309" t="s">
        <v>1785</v>
      </c>
      <c r="AJ148" s="142"/>
      <c r="AK148" s="21"/>
      <c r="AL148" s="21"/>
      <c r="AM148" s="19"/>
      <c r="AN148" s="19"/>
    </row>
    <row r="149" spans="1:40">
      <c r="B149" s="55" t="s">
        <v>1603</v>
      </c>
      <c r="C149" s="239">
        <f>'Well Success'!C111</f>
        <v>0</v>
      </c>
      <c r="D149" s="239">
        <f>'Well Success'!D111</f>
        <v>0</v>
      </c>
      <c r="E149" s="239">
        <f>'Well Success'!E111</f>
        <v>0</v>
      </c>
      <c r="F149" s="239">
        <f>'Well Success'!F111</f>
        <v>0</v>
      </c>
      <c r="G149" s="239">
        <f>'Well Success'!G111</f>
        <v>0</v>
      </c>
      <c r="H149" s="239">
        <f>'Well Success'!H111</f>
        <v>0</v>
      </c>
      <c r="I149" s="239">
        <f>'Well Success'!I111</f>
        <v>1</v>
      </c>
      <c r="J149" s="239">
        <f>'Well Success'!J111</f>
        <v>2</v>
      </c>
      <c r="K149" s="239">
        <f>'Well Success'!K111</f>
        <v>1</v>
      </c>
      <c r="L149" s="239">
        <f ca="1">'Well Success'!L111</f>
        <v>2</v>
      </c>
      <c r="M149" s="239">
        <f ca="1">'Well Success'!M111</f>
        <v>1</v>
      </c>
      <c r="N149" s="239">
        <f ca="1">'Well Success'!N111</f>
        <v>2</v>
      </c>
      <c r="O149" s="239">
        <f ca="1">'Well Success'!O111</f>
        <v>0</v>
      </c>
      <c r="P149" s="239">
        <f ca="1">'Well Success'!P111</f>
        <v>0</v>
      </c>
      <c r="Q149" s="239">
        <f ca="1">'Well Success'!Q111</f>
        <v>0</v>
      </c>
      <c r="R149" s="239">
        <f ca="1">'Well Success'!R111</f>
        <v>0</v>
      </c>
      <c r="S149" s="239">
        <f ca="1">'Well Success'!S111</f>
        <v>0</v>
      </c>
      <c r="T149" s="239">
        <f ca="1">'Well Success'!T111</f>
        <v>0</v>
      </c>
      <c r="U149" s="239">
        <f ca="1">'Well Success'!U111</f>
        <v>0</v>
      </c>
      <c r="V149" s="239">
        <f ca="1">'Well Success'!V111</f>
        <v>0</v>
      </c>
      <c r="W149" s="239">
        <f ca="1">'Well Success'!W111</f>
        <v>0</v>
      </c>
      <c r="X149" s="239">
        <f ca="1">'Well Success'!X111</f>
        <v>0</v>
      </c>
      <c r="Y149" s="239">
        <f ca="1">'Well Success'!Y111</f>
        <v>0</v>
      </c>
      <c r="Z149" s="239">
        <f ca="1">'Well Success'!Z111</f>
        <v>0</v>
      </c>
      <c r="AA149" s="239">
        <f ca="1">'Well Success'!AA111</f>
        <v>0</v>
      </c>
      <c r="AB149" s="239">
        <f ca="1">'Well Success'!AB111</f>
        <v>0</v>
      </c>
      <c r="AC149" s="239">
        <f ca="1">'Well Success'!AC111</f>
        <v>0</v>
      </c>
      <c r="AD149" s="239">
        <f ca="1">'Well Success'!AD111</f>
        <v>0</v>
      </c>
      <c r="AE149" s="239">
        <f ca="1">'Well Success'!AE111</f>
        <v>0</v>
      </c>
      <c r="AF149" s="239">
        <f ca="1">'Well Success'!AF111</f>
        <v>0</v>
      </c>
      <c r="AG149" s="239">
        <f ca="1">'Well Success'!AG111</f>
        <v>0</v>
      </c>
      <c r="AH149" s="157"/>
      <c r="AI149" s="155"/>
      <c r="AJ149" s="142"/>
      <c r="AK149" s="21"/>
      <c r="AL149" s="21"/>
      <c r="AM149" s="19"/>
      <c r="AN149" s="19"/>
    </row>
    <row r="150" spans="1:40">
      <c r="B150" s="55" t="s">
        <v>1604</v>
      </c>
      <c r="C150" s="239">
        <f>C149</f>
        <v>0</v>
      </c>
      <c r="D150" s="239">
        <f>D149+C150</f>
        <v>0</v>
      </c>
      <c r="E150" s="239">
        <f t="shared" ref="E150:AG150" si="159">E149+D150</f>
        <v>0</v>
      </c>
      <c r="F150" s="239">
        <f t="shared" si="159"/>
        <v>0</v>
      </c>
      <c r="G150" s="239">
        <f t="shared" si="159"/>
        <v>0</v>
      </c>
      <c r="H150" s="239">
        <f t="shared" si="159"/>
        <v>0</v>
      </c>
      <c r="I150" s="239">
        <f t="shared" si="159"/>
        <v>1</v>
      </c>
      <c r="J150" s="239">
        <f t="shared" si="159"/>
        <v>3</v>
      </c>
      <c r="K150" s="239">
        <f t="shared" si="159"/>
        <v>4</v>
      </c>
      <c r="L150" s="239">
        <f t="shared" ca="1" si="159"/>
        <v>6</v>
      </c>
      <c r="M150" s="239">
        <f t="shared" ca="1" si="159"/>
        <v>7</v>
      </c>
      <c r="N150" s="239">
        <f t="shared" ca="1" si="159"/>
        <v>9</v>
      </c>
      <c r="O150" s="239">
        <f t="shared" ca="1" si="159"/>
        <v>9</v>
      </c>
      <c r="P150" s="239">
        <f t="shared" ca="1" si="159"/>
        <v>9</v>
      </c>
      <c r="Q150" s="239">
        <f t="shared" ca="1" si="159"/>
        <v>9</v>
      </c>
      <c r="R150" s="239">
        <f t="shared" ca="1" si="159"/>
        <v>9</v>
      </c>
      <c r="S150" s="239">
        <f t="shared" ca="1" si="159"/>
        <v>9</v>
      </c>
      <c r="T150" s="239">
        <f t="shared" ca="1" si="159"/>
        <v>9</v>
      </c>
      <c r="U150" s="239">
        <f t="shared" ca="1" si="159"/>
        <v>9</v>
      </c>
      <c r="V150" s="239">
        <f t="shared" ca="1" si="159"/>
        <v>9</v>
      </c>
      <c r="W150" s="239">
        <f t="shared" ca="1" si="159"/>
        <v>9</v>
      </c>
      <c r="X150" s="239">
        <f t="shared" ca="1" si="159"/>
        <v>9</v>
      </c>
      <c r="Y150" s="239">
        <f t="shared" ca="1" si="159"/>
        <v>9</v>
      </c>
      <c r="Z150" s="239">
        <f t="shared" ca="1" si="159"/>
        <v>9</v>
      </c>
      <c r="AA150" s="239">
        <f t="shared" ca="1" si="159"/>
        <v>9</v>
      </c>
      <c r="AB150" s="239">
        <f t="shared" ca="1" si="159"/>
        <v>9</v>
      </c>
      <c r="AC150" s="239">
        <f t="shared" ca="1" si="159"/>
        <v>9</v>
      </c>
      <c r="AD150" s="239">
        <f t="shared" ca="1" si="159"/>
        <v>9</v>
      </c>
      <c r="AE150" s="239">
        <f t="shared" ca="1" si="159"/>
        <v>9</v>
      </c>
      <c r="AF150" s="239">
        <f t="shared" ca="1" si="159"/>
        <v>9</v>
      </c>
      <c r="AG150" s="239">
        <f t="shared" ca="1" si="159"/>
        <v>9</v>
      </c>
      <c r="AH150" s="1127">
        <f ca="1">AG150</f>
        <v>9</v>
      </c>
      <c r="AI150" s="309" t="s">
        <v>1781</v>
      </c>
      <c r="AJ150" s="142"/>
      <c r="AK150" s="21"/>
      <c r="AL150" s="21"/>
      <c r="AM150" s="19"/>
      <c r="AN150" s="19"/>
    </row>
    <row r="151" spans="1:40">
      <c r="B151" s="434" t="s">
        <v>1132</v>
      </c>
      <c r="C151" s="239">
        <f>C147-C149</f>
        <v>0</v>
      </c>
      <c r="D151" s="239">
        <f t="shared" ref="D151:AG151" si="160">D147-D149</f>
        <v>0</v>
      </c>
      <c r="E151" s="239">
        <f t="shared" si="160"/>
        <v>0</v>
      </c>
      <c r="F151" s="239">
        <f t="shared" si="160"/>
        <v>0</v>
      </c>
      <c r="G151" s="239">
        <f t="shared" si="160"/>
        <v>0</v>
      </c>
      <c r="H151" s="239">
        <f t="shared" si="160"/>
        <v>0</v>
      </c>
      <c r="I151" s="239">
        <f t="shared" si="160"/>
        <v>0</v>
      </c>
      <c r="J151" s="239">
        <f t="shared" si="160"/>
        <v>0</v>
      </c>
      <c r="K151" s="239">
        <f t="shared" si="160"/>
        <v>1</v>
      </c>
      <c r="L151" s="239">
        <f t="shared" ca="1" si="160"/>
        <v>0</v>
      </c>
      <c r="M151" s="239">
        <f t="shared" ca="1" si="160"/>
        <v>1</v>
      </c>
      <c r="N151" s="239">
        <f t="shared" ca="1" si="160"/>
        <v>0</v>
      </c>
      <c r="O151" s="239">
        <f t="shared" ca="1" si="160"/>
        <v>0</v>
      </c>
      <c r="P151" s="239">
        <f t="shared" ca="1" si="160"/>
        <v>0</v>
      </c>
      <c r="Q151" s="239">
        <f t="shared" ca="1" si="160"/>
        <v>0</v>
      </c>
      <c r="R151" s="239">
        <f t="shared" ca="1" si="160"/>
        <v>0</v>
      </c>
      <c r="S151" s="239">
        <f t="shared" ca="1" si="160"/>
        <v>0</v>
      </c>
      <c r="T151" s="239">
        <f t="shared" ca="1" si="160"/>
        <v>0</v>
      </c>
      <c r="U151" s="239">
        <f t="shared" ca="1" si="160"/>
        <v>0</v>
      </c>
      <c r="V151" s="239">
        <f t="shared" ca="1" si="160"/>
        <v>0</v>
      </c>
      <c r="W151" s="239">
        <f t="shared" ca="1" si="160"/>
        <v>0</v>
      </c>
      <c r="X151" s="239">
        <f t="shared" ca="1" si="160"/>
        <v>0</v>
      </c>
      <c r="Y151" s="239">
        <f t="shared" ca="1" si="160"/>
        <v>0</v>
      </c>
      <c r="Z151" s="239">
        <f t="shared" ca="1" si="160"/>
        <v>0</v>
      </c>
      <c r="AA151" s="239">
        <f t="shared" ca="1" si="160"/>
        <v>0</v>
      </c>
      <c r="AB151" s="239">
        <f t="shared" ca="1" si="160"/>
        <v>0</v>
      </c>
      <c r="AC151" s="239">
        <f t="shared" ca="1" si="160"/>
        <v>0</v>
      </c>
      <c r="AD151" s="239">
        <f t="shared" ca="1" si="160"/>
        <v>0</v>
      </c>
      <c r="AE151" s="239">
        <f t="shared" ca="1" si="160"/>
        <v>0</v>
      </c>
      <c r="AF151" s="239">
        <f t="shared" ca="1" si="160"/>
        <v>0</v>
      </c>
      <c r="AG151" s="239">
        <f t="shared" ca="1" si="160"/>
        <v>0</v>
      </c>
      <c r="AH151" s="157"/>
      <c r="AI151" s="155"/>
      <c r="AJ151" s="142"/>
      <c r="AK151" s="21"/>
      <c r="AL151" s="21"/>
      <c r="AM151" s="19"/>
      <c r="AN151" s="19"/>
    </row>
    <row r="152" spans="1:40" ht="13.8" thickBot="1">
      <c r="B152" s="57" t="s">
        <v>1717</v>
      </c>
      <c r="C152" s="1114">
        <f>C151</f>
        <v>0</v>
      </c>
      <c r="D152" s="1114">
        <f>D151+C152</f>
        <v>0</v>
      </c>
      <c r="E152" s="1114">
        <f t="shared" ref="E152" si="161">E151+D152</f>
        <v>0</v>
      </c>
      <c r="F152" s="1114">
        <f t="shared" ref="F152" si="162">F151+E152</f>
        <v>0</v>
      </c>
      <c r="G152" s="1114">
        <f t="shared" ref="G152" si="163">G151+F152</f>
        <v>0</v>
      </c>
      <c r="H152" s="1114">
        <f t="shared" ref="H152" si="164">H151+G152</f>
        <v>0</v>
      </c>
      <c r="I152" s="1114">
        <f t="shared" ref="I152" si="165">I151+H152</f>
        <v>0</v>
      </c>
      <c r="J152" s="1114">
        <f t="shared" ref="J152" si="166">J151+I152</f>
        <v>0</v>
      </c>
      <c r="K152" s="1114">
        <f t="shared" ref="K152" si="167">K151+J152</f>
        <v>1</v>
      </c>
      <c r="L152" s="1114">
        <f t="shared" ref="L152" ca="1" si="168">L151+K152</f>
        <v>1</v>
      </c>
      <c r="M152" s="1114">
        <f t="shared" ref="M152" ca="1" si="169">M151+L152</f>
        <v>2</v>
      </c>
      <c r="N152" s="1114">
        <f t="shared" ref="N152" ca="1" si="170">N151+M152</f>
        <v>2</v>
      </c>
      <c r="O152" s="1114">
        <f t="shared" ref="O152" ca="1" si="171">O151+N152</f>
        <v>2</v>
      </c>
      <c r="P152" s="1114">
        <f t="shared" ref="P152" ca="1" si="172">P151+O152</f>
        <v>2</v>
      </c>
      <c r="Q152" s="1114">
        <f t="shared" ref="Q152" ca="1" si="173">Q151+P152</f>
        <v>2</v>
      </c>
      <c r="R152" s="1114">
        <f t="shared" ref="R152" ca="1" si="174">R151+Q152</f>
        <v>2</v>
      </c>
      <c r="S152" s="1114">
        <f t="shared" ref="S152" ca="1" si="175">S151+R152</f>
        <v>2</v>
      </c>
      <c r="T152" s="1114">
        <f t="shared" ref="T152" ca="1" si="176">T151+S152</f>
        <v>2</v>
      </c>
      <c r="U152" s="1114">
        <f t="shared" ref="U152" ca="1" si="177">U151+T152</f>
        <v>2</v>
      </c>
      <c r="V152" s="1114">
        <f t="shared" ref="V152" ca="1" si="178">V151+U152</f>
        <v>2</v>
      </c>
      <c r="W152" s="1114">
        <f t="shared" ref="W152" ca="1" si="179">W151+V152</f>
        <v>2</v>
      </c>
      <c r="X152" s="1114">
        <f t="shared" ref="X152" ca="1" si="180">X151+W152</f>
        <v>2</v>
      </c>
      <c r="Y152" s="1114">
        <f t="shared" ref="Y152" ca="1" si="181">Y151+X152</f>
        <v>2</v>
      </c>
      <c r="Z152" s="1114">
        <f t="shared" ref="Z152" ca="1" si="182">Z151+Y152</f>
        <v>2</v>
      </c>
      <c r="AA152" s="1114">
        <f t="shared" ref="AA152" ca="1" si="183">AA151+Z152</f>
        <v>2</v>
      </c>
      <c r="AB152" s="1114">
        <f t="shared" ref="AB152" ca="1" si="184">AB151+AA152</f>
        <v>2</v>
      </c>
      <c r="AC152" s="1114">
        <f t="shared" ref="AC152" ca="1" si="185">AC151+AB152</f>
        <v>2</v>
      </c>
      <c r="AD152" s="1114">
        <f t="shared" ref="AD152" ca="1" si="186">AD151+AC152</f>
        <v>2</v>
      </c>
      <c r="AE152" s="1114">
        <f t="shared" ref="AE152" ca="1" si="187">AE151+AD152</f>
        <v>2</v>
      </c>
      <c r="AF152" s="1114">
        <f t="shared" ref="AF152" ca="1" si="188">AF151+AE152</f>
        <v>2</v>
      </c>
      <c r="AG152" s="1114">
        <f t="shared" ref="AG152" ca="1" si="189">AG151+AF152</f>
        <v>2</v>
      </c>
      <c r="AH152" s="1131">
        <f ca="1">AG152</f>
        <v>2</v>
      </c>
      <c r="AI152" s="1132" t="s">
        <v>1784</v>
      </c>
      <c r="AJ152" s="1129"/>
      <c r="AK152" s="21"/>
      <c r="AL152" s="21"/>
      <c r="AM152" s="19"/>
      <c r="AN152" s="19"/>
    </row>
    <row r="153" spans="1:40" ht="13.8" thickTop="1">
      <c r="B153" s="631" t="s">
        <v>1710</v>
      </c>
      <c r="C153" s="1113">
        <f t="shared" ref="C153:AG153" si="190">C149</f>
        <v>0</v>
      </c>
      <c r="D153" s="1113">
        <f t="shared" si="190"/>
        <v>0</v>
      </c>
      <c r="E153" s="1113">
        <f t="shared" si="190"/>
        <v>0</v>
      </c>
      <c r="F153" s="1113">
        <f t="shared" si="190"/>
        <v>0</v>
      </c>
      <c r="G153" s="1113">
        <f t="shared" si="190"/>
        <v>0</v>
      </c>
      <c r="H153" s="1113">
        <f t="shared" si="190"/>
        <v>0</v>
      </c>
      <c r="I153" s="1113">
        <f>I149</f>
        <v>1</v>
      </c>
      <c r="J153" s="1113">
        <f t="shared" si="190"/>
        <v>2</v>
      </c>
      <c r="K153" s="1113">
        <f t="shared" si="190"/>
        <v>1</v>
      </c>
      <c r="L153" s="1113">
        <f t="shared" ca="1" si="190"/>
        <v>2</v>
      </c>
      <c r="M153" s="1113">
        <f t="shared" ca="1" si="190"/>
        <v>1</v>
      </c>
      <c r="N153" s="1113">
        <f t="shared" ca="1" si="190"/>
        <v>2</v>
      </c>
      <c r="O153" s="1113">
        <f t="shared" ca="1" si="190"/>
        <v>0</v>
      </c>
      <c r="P153" s="1113">
        <f t="shared" ca="1" si="190"/>
        <v>0</v>
      </c>
      <c r="Q153" s="1113">
        <f t="shared" ca="1" si="190"/>
        <v>0</v>
      </c>
      <c r="R153" s="1113">
        <f t="shared" ca="1" si="190"/>
        <v>0</v>
      </c>
      <c r="S153" s="1113">
        <f t="shared" ca="1" si="190"/>
        <v>0</v>
      </c>
      <c r="T153" s="1113">
        <f t="shared" ca="1" si="190"/>
        <v>0</v>
      </c>
      <c r="U153" s="1113">
        <f t="shared" ca="1" si="190"/>
        <v>0</v>
      </c>
      <c r="V153" s="1113">
        <f t="shared" ca="1" si="190"/>
        <v>0</v>
      </c>
      <c r="W153" s="1113">
        <f t="shared" ca="1" si="190"/>
        <v>0</v>
      </c>
      <c r="X153" s="1113">
        <f t="shared" ca="1" si="190"/>
        <v>0</v>
      </c>
      <c r="Y153" s="1113">
        <f t="shared" ca="1" si="190"/>
        <v>0</v>
      </c>
      <c r="Z153" s="1113">
        <f t="shared" ca="1" si="190"/>
        <v>0</v>
      </c>
      <c r="AA153" s="1113">
        <f t="shared" ca="1" si="190"/>
        <v>0</v>
      </c>
      <c r="AB153" s="1113">
        <f t="shared" ca="1" si="190"/>
        <v>0</v>
      </c>
      <c r="AC153" s="1113">
        <f t="shared" ca="1" si="190"/>
        <v>0</v>
      </c>
      <c r="AD153" s="1113">
        <f t="shared" ca="1" si="190"/>
        <v>0</v>
      </c>
      <c r="AE153" s="1113">
        <f t="shared" ca="1" si="190"/>
        <v>0</v>
      </c>
      <c r="AF153" s="1113">
        <f t="shared" ca="1" si="190"/>
        <v>0</v>
      </c>
      <c r="AG153" s="1113">
        <f t="shared" ca="1" si="190"/>
        <v>0</v>
      </c>
      <c r="AH153" s="1130"/>
      <c r="AI153" s="163"/>
      <c r="AJ153" s="142"/>
      <c r="AK153" s="21"/>
      <c r="AL153" s="21"/>
      <c r="AM153" s="19"/>
      <c r="AN153" s="19"/>
    </row>
    <row r="154" spans="1:40">
      <c r="B154" s="55" t="s">
        <v>1711</v>
      </c>
      <c r="C154" s="239">
        <f>C153</f>
        <v>0</v>
      </c>
      <c r="D154" s="239">
        <f>C154+D153</f>
        <v>0</v>
      </c>
      <c r="E154" s="239">
        <f>D154+E153</f>
        <v>0</v>
      </c>
      <c r="F154" s="239">
        <f>E154+F153</f>
        <v>0</v>
      </c>
      <c r="G154" s="239">
        <f>F154+G153</f>
        <v>0</v>
      </c>
      <c r="H154" s="239">
        <f>G154+H153</f>
        <v>0</v>
      </c>
      <c r="I154" s="239">
        <f t="shared" ref="I154:AG154" si="191">H154+I153</f>
        <v>1</v>
      </c>
      <c r="J154" s="239">
        <f t="shared" si="191"/>
        <v>3</v>
      </c>
      <c r="K154" s="239">
        <f t="shared" si="191"/>
        <v>4</v>
      </c>
      <c r="L154" s="239">
        <f t="shared" ca="1" si="191"/>
        <v>6</v>
      </c>
      <c r="M154" s="239">
        <f t="shared" ca="1" si="191"/>
        <v>7</v>
      </c>
      <c r="N154" s="239">
        <f t="shared" ca="1" si="191"/>
        <v>9</v>
      </c>
      <c r="O154" s="239">
        <f t="shared" ca="1" si="191"/>
        <v>9</v>
      </c>
      <c r="P154" s="239">
        <f t="shared" ca="1" si="191"/>
        <v>9</v>
      </c>
      <c r="Q154" s="239">
        <f t="shared" ca="1" si="191"/>
        <v>9</v>
      </c>
      <c r="R154" s="239">
        <f t="shared" ca="1" si="191"/>
        <v>9</v>
      </c>
      <c r="S154" s="239">
        <f t="shared" ca="1" si="191"/>
        <v>9</v>
      </c>
      <c r="T154" s="239">
        <f t="shared" ca="1" si="191"/>
        <v>9</v>
      </c>
      <c r="U154" s="239">
        <f t="shared" ca="1" si="191"/>
        <v>9</v>
      </c>
      <c r="V154" s="239">
        <f t="shared" ca="1" si="191"/>
        <v>9</v>
      </c>
      <c r="W154" s="239">
        <f t="shared" ca="1" si="191"/>
        <v>9</v>
      </c>
      <c r="X154" s="239">
        <f t="shared" ca="1" si="191"/>
        <v>9</v>
      </c>
      <c r="Y154" s="239">
        <f t="shared" ca="1" si="191"/>
        <v>9</v>
      </c>
      <c r="Z154" s="239">
        <f t="shared" ca="1" si="191"/>
        <v>9</v>
      </c>
      <c r="AA154" s="239">
        <f t="shared" ca="1" si="191"/>
        <v>9</v>
      </c>
      <c r="AB154" s="239">
        <f t="shared" ca="1" si="191"/>
        <v>9</v>
      </c>
      <c r="AC154" s="239">
        <f t="shared" ca="1" si="191"/>
        <v>9</v>
      </c>
      <c r="AD154" s="239">
        <f t="shared" ca="1" si="191"/>
        <v>9</v>
      </c>
      <c r="AE154" s="239">
        <f t="shared" ca="1" si="191"/>
        <v>9</v>
      </c>
      <c r="AF154" s="239">
        <f t="shared" ca="1" si="191"/>
        <v>9</v>
      </c>
      <c r="AG154" s="239">
        <f t="shared" ca="1" si="191"/>
        <v>9</v>
      </c>
      <c r="AH154" s="874">
        <f ca="1">AG154</f>
        <v>9</v>
      </c>
      <c r="AI154" s="309" t="s">
        <v>1790</v>
      </c>
      <c r="AJ154" s="142"/>
      <c r="AK154" s="19"/>
      <c r="AL154" s="19"/>
      <c r="AM154" s="21"/>
      <c r="AN154" s="19"/>
    </row>
    <row r="155" spans="1:40">
      <c r="B155" s="55" t="s">
        <v>846</v>
      </c>
      <c r="C155" s="239">
        <f>IF(C154=0,0,CEILING(C154/$Q$8,1))</f>
        <v>0</v>
      </c>
      <c r="D155" s="239">
        <f t="shared" ref="D155:AF155" si="192">IF(D154=0,0,CEILING(D154/$Q$8,1))</f>
        <v>0</v>
      </c>
      <c r="E155" s="239">
        <f t="shared" si="192"/>
        <v>0</v>
      </c>
      <c r="F155" s="239">
        <f t="shared" si="192"/>
        <v>0</v>
      </c>
      <c r="G155" s="239">
        <f t="shared" si="192"/>
        <v>0</v>
      </c>
      <c r="H155" s="239">
        <f t="shared" si="192"/>
        <v>0</v>
      </c>
      <c r="I155" s="239">
        <f t="shared" si="192"/>
        <v>1</v>
      </c>
      <c r="J155" s="239">
        <f t="shared" si="192"/>
        <v>3</v>
      </c>
      <c r="K155" s="239">
        <f t="shared" si="192"/>
        <v>4</v>
      </c>
      <c r="L155" s="239">
        <f t="shared" ca="1" si="192"/>
        <v>6</v>
      </c>
      <c r="M155" s="239">
        <f t="shared" ca="1" si="192"/>
        <v>7</v>
      </c>
      <c r="N155" s="239">
        <f t="shared" ca="1" si="192"/>
        <v>9</v>
      </c>
      <c r="O155" s="239">
        <f t="shared" ca="1" si="192"/>
        <v>9</v>
      </c>
      <c r="P155" s="239">
        <f t="shared" ca="1" si="192"/>
        <v>9</v>
      </c>
      <c r="Q155" s="239">
        <f t="shared" ca="1" si="192"/>
        <v>9</v>
      </c>
      <c r="R155" s="239">
        <f t="shared" ca="1" si="192"/>
        <v>9</v>
      </c>
      <c r="S155" s="239">
        <f t="shared" ca="1" si="192"/>
        <v>9</v>
      </c>
      <c r="T155" s="239">
        <f t="shared" ca="1" si="192"/>
        <v>9</v>
      </c>
      <c r="U155" s="239">
        <f t="shared" ca="1" si="192"/>
        <v>9</v>
      </c>
      <c r="V155" s="239">
        <f t="shared" ca="1" si="192"/>
        <v>9</v>
      </c>
      <c r="W155" s="239">
        <f t="shared" ca="1" si="192"/>
        <v>9</v>
      </c>
      <c r="X155" s="239">
        <f t="shared" ca="1" si="192"/>
        <v>9</v>
      </c>
      <c r="Y155" s="239">
        <f t="shared" ca="1" si="192"/>
        <v>9</v>
      </c>
      <c r="Z155" s="239">
        <f t="shared" ca="1" si="192"/>
        <v>9</v>
      </c>
      <c r="AA155" s="239">
        <f t="shared" ca="1" si="192"/>
        <v>9</v>
      </c>
      <c r="AB155" s="239">
        <f t="shared" ca="1" si="192"/>
        <v>9</v>
      </c>
      <c r="AC155" s="239">
        <f t="shared" ca="1" si="192"/>
        <v>9</v>
      </c>
      <c r="AD155" s="239">
        <f t="shared" ca="1" si="192"/>
        <v>9</v>
      </c>
      <c r="AE155" s="239">
        <f t="shared" ca="1" si="192"/>
        <v>9</v>
      </c>
      <c r="AF155" s="239">
        <f t="shared" ca="1" si="192"/>
        <v>9</v>
      </c>
      <c r="AG155" s="239">
        <f ca="1">IF(AG154=0,0,CEILING(AG154/$Q$8,1))</f>
        <v>9</v>
      </c>
      <c r="AH155" s="1127">
        <f ca="1">AG155</f>
        <v>9</v>
      </c>
      <c r="AI155" s="309" t="s">
        <v>1791</v>
      </c>
      <c r="AJ155" s="142"/>
      <c r="AK155" s="19"/>
      <c r="AL155" s="19"/>
      <c r="AM155" s="21"/>
      <c r="AN155" s="19"/>
    </row>
    <row r="156" spans="1:40">
      <c r="B156" s="55" t="s">
        <v>773</v>
      </c>
      <c r="C156" s="239">
        <f>IF(OR($Q$8=0,$Q$8=""),0,IF($Q$7="Yes",IF(C138+C144&gt;=C155,0,C155),C155))</f>
        <v>0</v>
      </c>
      <c r="D156" s="239">
        <f t="shared" ref="D156:AG156" si="193">IF(OR($Q$8=0,$Q$8=""),0,IF($Q$7="Yes",IF(D155-(D138+D144)&lt;=0,0,IF(AND(C155&lt;(D138+D144),D155&gt;(D138+D144)),D155-(D138+D144),D155-C155)),(D155-C155)))</f>
        <v>0</v>
      </c>
      <c r="E156" s="239">
        <f t="shared" si="193"/>
        <v>0</v>
      </c>
      <c r="F156" s="239">
        <f t="shared" si="193"/>
        <v>0</v>
      </c>
      <c r="G156" s="239">
        <f t="shared" si="193"/>
        <v>0</v>
      </c>
      <c r="H156" s="239">
        <f t="shared" si="193"/>
        <v>0</v>
      </c>
      <c r="I156" s="239">
        <f t="shared" si="193"/>
        <v>0</v>
      </c>
      <c r="J156" s="239">
        <f t="shared" si="193"/>
        <v>1</v>
      </c>
      <c r="K156" s="239">
        <f t="shared" si="193"/>
        <v>1</v>
      </c>
      <c r="L156" s="239">
        <f t="shared" ca="1" si="193"/>
        <v>2</v>
      </c>
      <c r="M156" s="239">
        <f t="shared" ca="1" si="193"/>
        <v>1</v>
      </c>
      <c r="N156" s="239">
        <f t="shared" ca="1" si="193"/>
        <v>2</v>
      </c>
      <c r="O156" s="239">
        <f t="shared" ca="1" si="193"/>
        <v>0</v>
      </c>
      <c r="P156" s="239">
        <f t="shared" ca="1" si="193"/>
        <v>0</v>
      </c>
      <c r="Q156" s="239">
        <f t="shared" ca="1" si="193"/>
        <v>0</v>
      </c>
      <c r="R156" s="239">
        <f t="shared" ca="1" si="193"/>
        <v>0</v>
      </c>
      <c r="S156" s="239">
        <f t="shared" ca="1" si="193"/>
        <v>0</v>
      </c>
      <c r="T156" s="239">
        <f t="shared" ca="1" si="193"/>
        <v>0</v>
      </c>
      <c r="U156" s="239">
        <f t="shared" ca="1" si="193"/>
        <v>0</v>
      </c>
      <c r="V156" s="239">
        <f t="shared" ca="1" si="193"/>
        <v>0</v>
      </c>
      <c r="W156" s="239">
        <f t="shared" ca="1" si="193"/>
        <v>0</v>
      </c>
      <c r="X156" s="239">
        <f t="shared" ca="1" si="193"/>
        <v>0</v>
      </c>
      <c r="Y156" s="239">
        <f t="shared" ca="1" si="193"/>
        <v>0</v>
      </c>
      <c r="Z156" s="239">
        <f t="shared" ca="1" si="193"/>
        <v>0</v>
      </c>
      <c r="AA156" s="239">
        <f t="shared" ca="1" si="193"/>
        <v>0</v>
      </c>
      <c r="AB156" s="239">
        <f t="shared" ca="1" si="193"/>
        <v>0</v>
      </c>
      <c r="AC156" s="239">
        <f t="shared" ca="1" si="193"/>
        <v>0</v>
      </c>
      <c r="AD156" s="239">
        <f t="shared" ca="1" si="193"/>
        <v>0</v>
      </c>
      <c r="AE156" s="239">
        <f t="shared" ca="1" si="193"/>
        <v>0</v>
      </c>
      <c r="AF156" s="239">
        <f t="shared" ca="1" si="193"/>
        <v>0</v>
      </c>
      <c r="AG156" s="239">
        <f t="shared" ca="1" si="193"/>
        <v>0</v>
      </c>
      <c r="AH156" s="1127">
        <f ca="1">SUM(C156:AG156)</f>
        <v>7</v>
      </c>
      <c r="AI156" s="309" t="s">
        <v>1792</v>
      </c>
      <c r="AJ156" s="142"/>
      <c r="AK156" s="19"/>
      <c r="AL156" s="19"/>
      <c r="AM156" s="21"/>
      <c r="AN156" s="19"/>
    </row>
    <row r="157" spans="1:40">
      <c r="B157" s="55" t="s">
        <v>1055</v>
      </c>
      <c r="C157" s="239">
        <f>C155</f>
        <v>0</v>
      </c>
      <c r="D157" s="239">
        <f>D155-C155</f>
        <v>0</v>
      </c>
      <c r="E157" s="239">
        <f t="shared" ref="E157:AG157" si="194">E155-D155</f>
        <v>0</v>
      </c>
      <c r="F157" s="239">
        <f t="shared" si="194"/>
        <v>0</v>
      </c>
      <c r="G157" s="239">
        <f t="shared" si="194"/>
        <v>0</v>
      </c>
      <c r="H157" s="239">
        <f t="shared" si="194"/>
        <v>0</v>
      </c>
      <c r="I157" s="239">
        <f t="shared" si="194"/>
        <v>1</v>
      </c>
      <c r="J157" s="239">
        <f t="shared" si="194"/>
        <v>2</v>
      </c>
      <c r="K157" s="239">
        <f t="shared" si="194"/>
        <v>1</v>
      </c>
      <c r="L157" s="239">
        <f t="shared" ca="1" si="194"/>
        <v>2</v>
      </c>
      <c r="M157" s="239">
        <f t="shared" ca="1" si="194"/>
        <v>1</v>
      </c>
      <c r="N157" s="239">
        <f t="shared" ca="1" si="194"/>
        <v>2</v>
      </c>
      <c r="O157" s="239">
        <f t="shared" ca="1" si="194"/>
        <v>0</v>
      </c>
      <c r="P157" s="239">
        <f t="shared" ca="1" si="194"/>
        <v>0</v>
      </c>
      <c r="Q157" s="239">
        <f t="shared" ca="1" si="194"/>
        <v>0</v>
      </c>
      <c r="R157" s="239">
        <f t="shared" ca="1" si="194"/>
        <v>0</v>
      </c>
      <c r="S157" s="239">
        <f ca="1">S155-R155</f>
        <v>0</v>
      </c>
      <c r="T157" s="239">
        <f t="shared" ca="1" si="194"/>
        <v>0</v>
      </c>
      <c r="U157" s="239">
        <f t="shared" ca="1" si="194"/>
        <v>0</v>
      </c>
      <c r="V157" s="239">
        <f t="shared" ca="1" si="194"/>
        <v>0</v>
      </c>
      <c r="W157" s="239">
        <f t="shared" ca="1" si="194"/>
        <v>0</v>
      </c>
      <c r="X157" s="239">
        <f t="shared" ca="1" si="194"/>
        <v>0</v>
      </c>
      <c r="Y157" s="239">
        <f t="shared" ca="1" si="194"/>
        <v>0</v>
      </c>
      <c r="Z157" s="239">
        <f t="shared" ca="1" si="194"/>
        <v>0</v>
      </c>
      <c r="AA157" s="239">
        <f t="shared" ca="1" si="194"/>
        <v>0</v>
      </c>
      <c r="AB157" s="239">
        <f t="shared" ca="1" si="194"/>
        <v>0</v>
      </c>
      <c r="AC157" s="239">
        <f t="shared" ca="1" si="194"/>
        <v>0</v>
      </c>
      <c r="AD157" s="239">
        <f t="shared" ca="1" si="194"/>
        <v>0</v>
      </c>
      <c r="AE157" s="239">
        <f t="shared" ca="1" si="194"/>
        <v>0</v>
      </c>
      <c r="AF157" s="239">
        <f t="shared" ca="1" si="194"/>
        <v>0</v>
      </c>
      <c r="AG157" s="239">
        <f t="shared" ca="1" si="194"/>
        <v>0</v>
      </c>
      <c r="AH157" s="157"/>
      <c r="AI157" s="155"/>
      <c r="AJ157" s="142"/>
      <c r="AK157" s="19"/>
      <c r="AL157" s="19"/>
      <c r="AM157" s="21"/>
      <c r="AN157" s="19"/>
    </row>
    <row r="158" spans="1:40" s="68" customFormat="1">
      <c r="A158" s="19"/>
      <c r="B158" s="632" t="s">
        <v>1719</v>
      </c>
      <c r="C158" s="240">
        <f>IF($Q$7="Yes",C137+C143+C149+C156,C149+C156)</f>
        <v>0</v>
      </c>
      <c r="D158" s="240">
        <f t="shared" ref="D158:AG158" si="195">IF($Q$7="Yes",D137+D143+D149+D156,D149+D156)</f>
        <v>0</v>
      </c>
      <c r="E158" s="240">
        <f t="shared" si="195"/>
        <v>0</v>
      </c>
      <c r="F158" s="240">
        <f t="shared" si="195"/>
        <v>1</v>
      </c>
      <c r="G158" s="240">
        <f t="shared" si="195"/>
        <v>1</v>
      </c>
      <c r="H158" s="240">
        <f t="shared" si="195"/>
        <v>0</v>
      </c>
      <c r="I158" s="240">
        <f t="shared" si="195"/>
        <v>1</v>
      </c>
      <c r="J158" s="240">
        <f t="shared" si="195"/>
        <v>3</v>
      </c>
      <c r="K158" s="240">
        <f t="shared" si="195"/>
        <v>2</v>
      </c>
      <c r="L158" s="240">
        <f t="shared" ca="1" si="195"/>
        <v>4</v>
      </c>
      <c r="M158" s="240">
        <f t="shared" ca="1" si="195"/>
        <v>2</v>
      </c>
      <c r="N158" s="240">
        <f t="shared" ca="1" si="195"/>
        <v>4</v>
      </c>
      <c r="O158" s="240">
        <f t="shared" ca="1" si="195"/>
        <v>0</v>
      </c>
      <c r="P158" s="240">
        <f t="shared" ca="1" si="195"/>
        <v>0</v>
      </c>
      <c r="Q158" s="240">
        <f t="shared" ca="1" si="195"/>
        <v>0</v>
      </c>
      <c r="R158" s="240">
        <f t="shared" ca="1" si="195"/>
        <v>0</v>
      </c>
      <c r="S158" s="240">
        <f t="shared" ca="1" si="195"/>
        <v>0</v>
      </c>
      <c r="T158" s="240">
        <f t="shared" ca="1" si="195"/>
        <v>0</v>
      </c>
      <c r="U158" s="240">
        <f t="shared" ca="1" si="195"/>
        <v>0</v>
      </c>
      <c r="V158" s="240">
        <f t="shared" ca="1" si="195"/>
        <v>0</v>
      </c>
      <c r="W158" s="240">
        <f t="shared" ca="1" si="195"/>
        <v>0</v>
      </c>
      <c r="X158" s="240">
        <f t="shared" ca="1" si="195"/>
        <v>0</v>
      </c>
      <c r="Y158" s="240">
        <f t="shared" ca="1" si="195"/>
        <v>0</v>
      </c>
      <c r="Z158" s="240">
        <f t="shared" ca="1" si="195"/>
        <v>0</v>
      </c>
      <c r="AA158" s="240">
        <f t="shared" ca="1" si="195"/>
        <v>0</v>
      </c>
      <c r="AB158" s="240">
        <f t="shared" ca="1" si="195"/>
        <v>0</v>
      </c>
      <c r="AC158" s="240">
        <f t="shared" ca="1" si="195"/>
        <v>0</v>
      </c>
      <c r="AD158" s="240">
        <f t="shared" ca="1" si="195"/>
        <v>0</v>
      </c>
      <c r="AE158" s="240">
        <f t="shared" ca="1" si="195"/>
        <v>0</v>
      </c>
      <c r="AF158" s="240">
        <f t="shared" ca="1" si="195"/>
        <v>0</v>
      </c>
      <c r="AG158" s="240">
        <f t="shared" ca="1" si="195"/>
        <v>0</v>
      </c>
      <c r="AH158" s="162"/>
      <c r="AI158" s="155"/>
    </row>
    <row r="159" spans="1:40" s="68" customFormat="1">
      <c r="A159" s="19"/>
      <c r="B159" s="71" t="s">
        <v>1712</v>
      </c>
      <c r="C159" s="240">
        <f>C158</f>
        <v>0</v>
      </c>
      <c r="D159" s="240">
        <f t="shared" ref="D159:AG159" si="196">C159+D158</f>
        <v>0</v>
      </c>
      <c r="E159" s="240">
        <f t="shared" si="196"/>
        <v>0</v>
      </c>
      <c r="F159" s="240">
        <f t="shared" si="196"/>
        <v>1</v>
      </c>
      <c r="G159" s="240">
        <f t="shared" si="196"/>
        <v>2</v>
      </c>
      <c r="H159" s="240">
        <f t="shared" si="196"/>
        <v>2</v>
      </c>
      <c r="I159" s="240">
        <f t="shared" si="196"/>
        <v>3</v>
      </c>
      <c r="J159" s="240">
        <f t="shared" si="196"/>
        <v>6</v>
      </c>
      <c r="K159" s="240">
        <f t="shared" si="196"/>
        <v>8</v>
      </c>
      <c r="L159" s="240">
        <f t="shared" ca="1" si="196"/>
        <v>12</v>
      </c>
      <c r="M159" s="240">
        <f t="shared" ca="1" si="196"/>
        <v>14</v>
      </c>
      <c r="N159" s="240">
        <f t="shared" ca="1" si="196"/>
        <v>18</v>
      </c>
      <c r="O159" s="240">
        <f t="shared" ca="1" si="196"/>
        <v>18</v>
      </c>
      <c r="P159" s="240">
        <f t="shared" ca="1" si="196"/>
        <v>18</v>
      </c>
      <c r="Q159" s="240">
        <f t="shared" ca="1" si="196"/>
        <v>18</v>
      </c>
      <c r="R159" s="240">
        <f t="shared" ca="1" si="196"/>
        <v>18</v>
      </c>
      <c r="S159" s="240">
        <f t="shared" ca="1" si="196"/>
        <v>18</v>
      </c>
      <c r="T159" s="240">
        <f t="shared" ca="1" si="196"/>
        <v>18</v>
      </c>
      <c r="U159" s="240">
        <f t="shared" ca="1" si="196"/>
        <v>18</v>
      </c>
      <c r="V159" s="240">
        <f t="shared" ca="1" si="196"/>
        <v>18</v>
      </c>
      <c r="W159" s="240">
        <f t="shared" ca="1" si="196"/>
        <v>18</v>
      </c>
      <c r="X159" s="240">
        <f t="shared" ca="1" si="196"/>
        <v>18</v>
      </c>
      <c r="Y159" s="240">
        <f t="shared" ca="1" si="196"/>
        <v>18</v>
      </c>
      <c r="Z159" s="240">
        <f t="shared" ca="1" si="196"/>
        <v>18</v>
      </c>
      <c r="AA159" s="240">
        <f t="shared" ca="1" si="196"/>
        <v>18</v>
      </c>
      <c r="AB159" s="240">
        <f t="shared" ca="1" si="196"/>
        <v>18</v>
      </c>
      <c r="AC159" s="240">
        <f t="shared" ca="1" si="196"/>
        <v>18</v>
      </c>
      <c r="AD159" s="240">
        <f t="shared" ca="1" si="196"/>
        <v>18</v>
      </c>
      <c r="AE159" s="240">
        <f t="shared" ca="1" si="196"/>
        <v>18</v>
      </c>
      <c r="AF159" s="240">
        <f t="shared" ca="1" si="196"/>
        <v>18</v>
      </c>
      <c r="AG159" s="240">
        <f t="shared" ca="1" si="196"/>
        <v>18</v>
      </c>
      <c r="AH159" s="162">
        <f ca="1">AG159</f>
        <v>18</v>
      </c>
      <c r="AI159" s="1128" t="s">
        <v>1788</v>
      </c>
    </row>
    <row r="160" spans="1:40" s="78" customFormat="1">
      <c r="A160" s="19"/>
      <c r="B160" s="632" t="s">
        <v>1718</v>
      </c>
      <c r="C160" s="240">
        <f>IF($Q$7="Yes",C139+C145+C151+C158,C151+C158)</f>
        <v>0</v>
      </c>
      <c r="D160" s="240">
        <f t="shared" ref="D160:AG160" si="197">IF($Q$7="Yes",D139+D145+D151+D158,D151+D158)</f>
        <v>0</v>
      </c>
      <c r="E160" s="240">
        <f t="shared" si="197"/>
        <v>0</v>
      </c>
      <c r="F160" s="240">
        <f t="shared" si="197"/>
        <v>2</v>
      </c>
      <c r="G160" s="240">
        <f t="shared" si="197"/>
        <v>2</v>
      </c>
      <c r="H160" s="240">
        <f t="shared" si="197"/>
        <v>0</v>
      </c>
      <c r="I160" s="240">
        <f t="shared" si="197"/>
        <v>1</v>
      </c>
      <c r="J160" s="240">
        <f t="shared" si="197"/>
        <v>3</v>
      </c>
      <c r="K160" s="240">
        <f t="shared" si="197"/>
        <v>3</v>
      </c>
      <c r="L160" s="240">
        <f t="shared" ca="1" si="197"/>
        <v>4</v>
      </c>
      <c r="M160" s="240">
        <f t="shared" ca="1" si="197"/>
        <v>3</v>
      </c>
      <c r="N160" s="240">
        <f t="shared" ca="1" si="197"/>
        <v>4</v>
      </c>
      <c r="O160" s="240">
        <f t="shared" ca="1" si="197"/>
        <v>0</v>
      </c>
      <c r="P160" s="240">
        <f t="shared" ca="1" si="197"/>
        <v>0</v>
      </c>
      <c r="Q160" s="240">
        <f t="shared" ca="1" si="197"/>
        <v>0</v>
      </c>
      <c r="R160" s="240">
        <f t="shared" ca="1" si="197"/>
        <v>0</v>
      </c>
      <c r="S160" s="240">
        <f t="shared" ca="1" si="197"/>
        <v>0</v>
      </c>
      <c r="T160" s="240">
        <f t="shared" ca="1" si="197"/>
        <v>0</v>
      </c>
      <c r="U160" s="240">
        <f t="shared" ca="1" si="197"/>
        <v>0</v>
      </c>
      <c r="V160" s="240">
        <f t="shared" ca="1" si="197"/>
        <v>0</v>
      </c>
      <c r="W160" s="240">
        <f t="shared" ca="1" si="197"/>
        <v>0</v>
      </c>
      <c r="X160" s="240">
        <f t="shared" ca="1" si="197"/>
        <v>0</v>
      </c>
      <c r="Y160" s="240">
        <f t="shared" ca="1" si="197"/>
        <v>0</v>
      </c>
      <c r="Z160" s="240">
        <f t="shared" ca="1" si="197"/>
        <v>0</v>
      </c>
      <c r="AA160" s="240">
        <f t="shared" ca="1" si="197"/>
        <v>0</v>
      </c>
      <c r="AB160" s="240">
        <f t="shared" ca="1" si="197"/>
        <v>0</v>
      </c>
      <c r="AC160" s="240">
        <f t="shared" ca="1" si="197"/>
        <v>0</v>
      </c>
      <c r="AD160" s="240">
        <f t="shared" ca="1" si="197"/>
        <v>0</v>
      </c>
      <c r="AE160" s="240">
        <f t="shared" ca="1" si="197"/>
        <v>0</v>
      </c>
      <c r="AF160" s="240">
        <f t="shared" ca="1" si="197"/>
        <v>0</v>
      </c>
      <c r="AG160" s="240">
        <f t="shared" ca="1" si="197"/>
        <v>0</v>
      </c>
      <c r="AH160" s="162"/>
      <c r="AI160" s="163"/>
      <c r="AJ160" s="1112"/>
      <c r="AK160" s="68"/>
      <c r="AL160" s="865"/>
      <c r="AN160" s="68"/>
    </row>
    <row r="161" spans="1:40" s="78" customFormat="1">
      <c r="A161" s="19"/>
      <c r="B161" s="71" t="s">
        <v>1713</v>
      </c>
      <c r="C161" s="240">
        <f>C160</f>
        <v>0</v>
      </c>
      <c r="D161" s="240">
        <f t="shared" ref="D161" si="198">C161+D160</f>
        <v>0</v>
      </c>
      <c r="E161" s="240">
        <f t="shared" ref="E161" si="199">D161+E160</f>
        <v>0</v>
      </c>
      <c r="F161" s="240">
        <f t="shared" ref="F161" si="200">E161+F160</f>
        <v>2</v>
      </c>
      <c r="G161" s="240">
        <f t="shared" ref="G161" si="201">F161+G160</f>
        <v>4</v>
      </c>
      <c r="H161" s="240">
        <f t="shared" ref="H161" si="202">G161+H160</f>
        <v>4</v>
      </c>
      <c r="I161" s="240">
        <f t="shared" ref="I161" si="203">H161+I160</f>
        <v>5</v>
      </c>
      <c r="J161" s="240">
        <f t="shared" ref="J161" si="204">I161+J160</f>
        <v>8</v>
      </c>
      <c r="K161" s="240">
        <f t="shared" ref="K161" si="205">J161+K160</f>
        <v>11</v>
      </c>
      <c r="L161" s="240">
        <f t="shared" ref="L161" ca="1" si="206">K161+L160</f>
        <v>15</v>
      </c>
      <c r="M161" s="240">
        <f t="shared" ref="M161" ca="1" si="207">L161+M160</f>
        <v>18</v>
      </c>
      <c r="N161" s="240">
        <f t="shared" ref="N161" ca="1" si="208">M161+N160</f>
        <v>22</v>
      </c>
      <c r="O161" s="240">
        <f t="shared" ref="O161" ca="1" si="209">N161+O160</f>
        <v>22</v>
      </c>
      <c r="P161" s="240">
        <f t="shared" ref="P161" ca="1" si="210">O161+P160</f>
        <v>22</v>
      </c>
      <c r="Q161" s="240">
        <f t="shared" ref="Q161" ca="1" si="211">P161+Q160</f>
        <v>22</v>
      </c>
      <c r="R161" s="240">
        <f t="shared" ref="R161" ca="1" si="212">Q161+R160</f>
        <v>22</v>
      </c>
      <c r="S161" s="240">
        <f t="shared" ref="S161" ca="1" si="213">R161+S160</f>
        <v>22</v>
      </c>
      <c r="T161" s="240">
        <f t="shared" ref="T161" ca="1" si="214">S161+T160</f>
        <v>22</v>
      </c>
      <c r="U161" s="240">
        <f t="shared" ref="U161" ca="1" si="215">T161+U160</f>
        <v>22</v>
      </c>
      <c r="V161" s="240">
        <f t="shared" ref="V161" ca="1" si="216">U161+V160</f>
        <v>22</v>
      </c>
      <c r="W161" s="240">
        <f t="shared" ref="W161" ca="1" si="217">V161+W160</f>
        <v>22</v>
      </c>
      <c r="X161" s="240">
        <f t="shared" ref="X161" ca="1" si="218">W161+X160</f>
        <v>22</v>
      </c>
      <c r="Y161" s="240">
        <f t="shared" ref="Y161" ca="1" si="219">X161+Y160</f>
        <v>22</v>
      </c>
      <c r="Z161" s="240">
        <f t="shared" ref="Z161" ca="1" si="220">Y161+Z160</f>
        <v>22</v>
      </c>
      <c r="AA161" s="240">
        <f t="shared" ref="AA161" ca="1" si="221">Z161+AA160</f>
        <v>22</v>
      </c>
      <c r="AB161" s="240">
        <f t="shared" ref="AB161" ca="1" si="222">AA161+AB160</f>
        <v>22</v>
      </c>
      <c r="AC161" s="240">
        <f t="shared" ref="AC161" ca="1" si="223">AB161+AC160</f>
        <v>22</v>
      </c>
      <c r="AD161" s="240">
        <f t="shared" ref="AD161" ca="1" si="224">AC161+AD160</f>
        <v>22</v>
      </c>
      <c r="AE161" s="240">
        <f t="shared" ref="AE161" ca="1" si="225">AD161+AE160</f>
        <v>22</v>
      </c>
      <c r="AF161" s="240">
        <f t="shared" ref="AF161" ca="1" si="226">AE161+AF160</f>
        <v>22</v>
      </c>
      <c r="AG161" s="240">
        <f t="shared" ref="AG161" ca="1" si="227">AF161+AG160</f>
        <v>22</v>
      </c>
      <c r="AH161" s="162">
        <f ca="1">AG161</f>
        <v>22</v>
      </c>
      <c r="AI161" s="1128" t="s">
        <v>1789</v>
      </c>
      <c r="AJ161" s="1112"/>
      <c r="AK161" s="68"/>
      <c r="AL161" s="865"/>
      <c r="AM161" s="19"/>
    </row>
    <row r="162" spans="1:40">
      <c r="B162" s="133"/>
      <c r="C162" s="133"/>
      <c r="D162" s="133"/>
      <c r="E162" s="133"/>
      <c r="F162" s="133"/>
      <c r="G162" s="173"/>
      <c r="H162" s="142"/>
      <c r="I162" s="133"/>
      <c r="J162" s="133"/>
      <c r="K162" s="133"/>
      <c r="L162" s="173"/>
      <c r="M162" s="133"/>
      <c r="N162" s="133"/>
      <c r="O162" s="133"/>
      <c r="P162" s="133"/>
      <c r="Q162" s="133"/>
      <c r="R162" s="133"/>
      <c r="S162" s="173"/>
      <c r="T162" s="142"/>
      <c r="U162" s="133"/>
      <c r="V162" s="133"/>
      <c r="W162" s="133"/>
      <c r="X162" s="173"/>
      <c r="Y162" s="133"/>
      <c r="Z162" s="133"/>
      <c r="AA162" s="133"/>
      <c r="AB162" s="133"/>
      <c r="AC162" s="133"/>
      <c r="AD162" s="133"/>
      <c r="AE162" s="173"/>
      <c r="AF162" s="142"/>
      <c r="AG162" s="133"/>
      <c r="AH162" s="133"/>
      <c r="AI162" s="133"/>
      <c r="AJ162" s="173"/>
      <c r="AK162" s="133"/>
      <c r="AL162" s="142"/>
      <c r="AM162" s="21"/>
      <c r="AN162" s="19"/>
    </row>
    <row r="163" spans="1:40">
      <c r="B163" s="67" t="s">
        <v>178</v>
      </c>
      <c r="C163" s="28"/>
      <c r="D163" s="164"/>
      <c r="E163" s="19"/>
      <c r="F163" s="19"/>
      <c r="G163" s="19"/>
      <c r="H163" s="19"/>
      <c r="I163" s="19"/>
      <c r="J163" s="19"/>
      <c r="K163" s="132"/>
      <c r="L163" s="137"/>
      <c r="M163" s="132"/>
      <c r="N163" s="137"/>
      <c r="O163" s="28"/>
      <c r="P163" s="28"/>
      <c r="Q163" s="19"/>
      <c r="R163" s="19"/>
      <c r="S163" s="19"/>
      <c r="T163" s="19"/>
      <c r="U163" s="19"/>
      <c r="V163" s="19"/>
      <c r="W163" s="19"/>
      <c r="X163" s="19"/>
      <c r="Y163" s="19"/>
      <c r="Z163" s="19"/>
      <c r="AA163" s="19"/>
      <c r="AB163" s="19"/>
      <c r="AC163" s="19"/>
      <c r="AD163" s="19"/>
      <c r="AE163" s="19"/>
      <c r="AF163" s="19"/>
      <c r="AG163" s="19"/>
      <c r="AH163" s="19"/>
      <c r="AI163" s="155"/>
      <c r="AJ163" s="142"/>
      <c r="AK163" s="19"/>
      <c r="AL163" s="19"/>
      <c r="AM163" s="21"/>
      <c r="AN163" s="19"/>
    </row>
    <row r="164" spans="1:40" ht="13.8" thickBot="1">
      <c r="B164" s="193" t="s">
        <v>166</v>
      </c>
      <c r="C164" s="32">
        <f t="shared" ref="C164:AG164" si="228">C$30</f>
        <v>2017</v>
      </c>
      <c r="D164" s="32">
        <f t="shared" si="228"/>
        <v>2018</v>
      </c>
      <c r="E164" s="32">
        <f t="shared" si="228"/>
        <v>2019</v>
      </c>
      <c r="F164" s="32">
        <f t="shared" si="228"/>
        <v>2020</v>
      </c>
      <c r="G164" s="32">
        <f t="shared" si="228"/>
        <v>2021</v>
      </c>
      <c r="H164" s="32">
        <f t="shared" si="228"/>
        <v>2022</v>
      </c>
      <c r="I164" s="32">
        <f t="shared" si="228"/>
        <v>2023</v>
      </c>
      <c r="J164" s="32">
        <f t="shared" si="228"/>
        <v>2024</v>
      </c>
      <c r="K164" s="32">
        <f t="shared" si="228"/>
        <v>2025</v>
      </c>
      <c r="L164" s="32">
        <f t="shared" si="228"/>
        <v>2026</v>
      </c>
      <c r="M164" s="32">
        <f t="shared" si="228"/>
        <v>2027</v>
      </c>
      <c r="N164" s="32">
        <f t="shared" si="228"/>
        <v>2028</v>
      </c>
      <c r="O164" s="32">
        <f t="shared" si="228"/>
        <v>2029</v>
      </c>
      <c r="P164" s="32">
        <f t="shared" si="228"/>
        <v>2030</v>
      </c>
      <c r="Q164" s="32">
        <f t="shared" si="228"/>
        <v>2031</v>
      </c>
      <c r="R164" s="32">
        <f t="shared" si="228"/>
        <v>2032</v>
      </c>
      <c r="S164" s="32">
        <f t="shared" si="228"/>
        <v>2033</v>
      </c>
      <c r="T164" s="32">
        <f t="shared" si="228"/>
        <v>2034</v>
      </c>
      <c r="U164" s="32">
        <f t="shared" si="228"/>
        <v>2035</v>
      </c>
      <c r="V164" s="32">
        <f t="shared" si="228"/>
        <v>2036</v>
      </c>
      <c r="W164" s="32">
        <f t="shared" si="228"/>
        <v>2037</v>
      </c>
      <c r="X164" s="32">
        <f t="shared" si="228"/>
        <v>2038</v>
      </c>
      <c r="Y164" s="32">
        <f t="shared" si="228"/>
        <v>2039</v>
      </c>
      <c r="Z164" s="32">
        <f t="shared" si="228"/>
        <v>2040</v>
      </c>
      <c r="AA164" s="32">
        <f t="shared" si="228"/>
        <v>2041</v>
      </c>
      <c r="AB164" s="32">
        <f t="shared" si="228"/>
        <v>2042</v>
      </c>
      <c r="AC164" s="32">
        <f t="shared" si="228"/>
        <v>2043</v>
      </c>
      <c r="AD164" s="32">
        <f t="shared" si="228"/>
        <v>2044</v>
      </c>
      <c r="AE164" s="32">
        <f t="shared" si="228"/>
        <v>2045</v>
      </c>
      <c r="AF164" s="32">
        <f t="shared" si="228"/>
        <v>2046</v>
      </c>
      <c r="AG164" s="32">
        <f t="shared" si="228"/>
        <v>2047</v>
      </c>
      <c r="AH164" s="160" t="s">
        <v>181</v>
      </c>
      <c r="AI164" s="155" t="s">
        <v>179</v>
      </c>
      <c r="AJ164" s="155" t="s">
        <v>180</v>
      </c>
      <c r="AK164" s="19"/>
      <c r="AL164" s="19"/>
      <c r="AM164" s="21"/>
      <c r="AN164" s="19"/>
    </row>
    <row r="165" spans="1:40" ht="13.8" thickTop="1">
      <c r="B165" s="191" t="str">
        <f>"Capital spent in Year "&amp;C$164</f>
        <v>Capital spent in Year 2017</v>
      </c>
      <c r="C165" s="192">
        <f t="shared" ref="C165:AG165" si="229">IF(((C$164+1)-$C$164)&gt;$AA$10,0,IF($AA$9="SLN", SLN($C$81,-$C$81*$AA$11,$AA$10), IF($AA$9="DB", DB(-$C$81,-$C$81*$AA$11,$AA$10,(C$164+1)-$C$164), IF($AA$9="DDB", DDB(-$C$81,-$C$81*$AA$11,$AA$10,(C$164+1)-$C$164),"Error"))))</f>
        <v>3.1</v>
      </c>
      <c r="D165" s="36">
        <f t="shared" si="229"/>
        <v>2.4800000000000004</v>
      </c>
      <c r="E165" s="36">
        <f t="shared" si="229"/>
        <v>1.9840000000000004</v>
      </c>
      <c r="F165" s="36">
        <f t="shared" si="229"/>
        <v>1.5872000000000004</v>
      </c>
      <c r="G165" s="36">
        <f t="shared" si="229"/>
        <v>1.2697600000000007</v>
      </c>
      <c r="H165" s="36">
        <f t="shared" si="229"/>
        <v>1.0158080000000005</v>
      </c>
      <c r="I165" s="36">
        <f t="shared" si="229"/>
        <v>0.81264640000000066</v>
      </c>
      <c r="J165" s="36">
        <f t="shared" si="229"/>
        <v>0.65011712000000055</v>
      </c>
      <c r="K165" s="36">
        <f t="shared" si="229"/>
        <v>0.52009369600000044</v>
      </c>
      <c r="L165" s="36">
        <f t="shared" si="229"/>
        <v>0.4160749568000004</v>
      </c>
      <c r="M165" s="36">
        <f t="shared" si="229"/>
        <v>0</v>
      </c>
      <c r="N165" s="36">
        <f t="shared" si="229"/>
        <v>0</v>
      </c>
      <c r="O165" s="36">
        <f t="shared" si="229"/>
        <v>0</v>
      </c>
      <c r="P165" s="36">
        <f t="shared" si="229"/>
        <v>0</v>
      </c>
      <c r="Q165" s="36">
        <f t="shared" si="229"/>
        <v>0</v>
      </c>
      <c r="R165" s="36">
        <f t="shared" si="229"/>
        <v>0</v>
      </c>
      <c r="S165" s="36">
        <f t="shared" si="229"/>
        <v>0</v>
      </c>
      <c r="T165" s="36">
        <f t="shared" si="229"/>
        <v>0</v>
      </c>
      <c r="U165" s="36">
        <f t="shared" si="229"/>
        <v>0</v>
      </c>
      <c r="V165" s="36">
        <f t="shared" si="229"/>
        <v>0</v>
      </c>
      <c r="W165" s="36">
        <f t="shared" si="229"/>
        <v>0</v>
      </c>
      <c r="X165" s="36">
        <f t="shared" si="229"/>
        <v>0</v>
      </c>
      <c r="Y165" s="36">
        <f t="shared" si="229"/>
        <v>0</v>
      </c>
      <c r="Z165" s="36">
        <f t="shared" si="229"/>
        <v>0</v>
      </c>
      <c r="AA165" s="36">
        <f t="shared" si="229"/>
        <v>0</v>
      </c>
      <c r="AB165" s="36">
        <f t="shared" si="229"/>
        <v>0</v>
      </c>
      <c r="AC165" s="36">
        <f t="shared" si="229"/>
        <v>0</v>
      </c>
      <c r="AD165" s="36">
        <f t="shared" si="229"/>
        <v>0</v>
      </c>
      <c r="AE165" s="36">
        <f t="shared" si="229"/>
        <v>0</v>
      </c>
      <c r="AF165" s="36">
        <f t="shared" si="229"/>
        <v>0</v>
      </c>
      <c r="AG165" s="36">
        <f t="shared" si="229"/>
        <v>0</v>
      </c>
      <c r="AH165" s="76">
        <f t="shared" ref="AH165:AH173" si="230">-SUM(C165:AG165)</f>
        <v>-13.835700172800003</v>
      </c>
      <c r="AI165" s="76">
        <f>C$81</f>
        <v>-15.5</v>
      </c>
      <c r="AJ165" s="76">
        <f t="shared" ref="AJ165:AJ173" si="231">AI165-AH165</f>
        <v>-1.6642998271999971</v>
      </c>
      <c r="AK165" s="19"/>
      <c r="AL165" s="19"/>
      <c r="AM165" s="21"/>
      <c r="AN165" s="19"/>
    </row>
    <row r="166" spans="1:40">
      <c r="B166" s="175" t="str">
        <f>"Capital spent in Year "&amp;D$164</f>
        <v>Capital spent in Year 2018</v>
      </c>
      <c r="C166" s="51"/>
      <c r="D166" s="37">
        <f t="shared" ref="D166:AG166" si="232">IF(((D$164+1)-$D$164)&gt;$AA$10,0,IF($AA$9="SLN", SLN($D$81,-$D$81*$AA$11,$AA$10), IF($AA$9="DB", DB(-$D$81,-$D$81*$AA$11,$AA$10,(D$164+1)-$D$164), IF($AA$9="DDB", DDB(-$D$81,-$D$81*$AA$11,$AA$10,(D$164+1)-$D$164),"Error"))))</f>
        <v>2.2000000000000002</v>
      </c>
      <c r="E166" s="75">
        <f t="shared" si="232"/>
        <v>1.7600000000000002</v>
      </c>
      <c r="F166" s="75">
        <f t="shared" si="232"/>
        <v>1.4080000000000004</v>
      </c>
      <c r="G166" s="75">
        <f t="shared" si="232"/>
        <v>1.1264000000000003</v>
      </c>
      <c r="H166" s="75">
        <f t="shared" si="232"/>
        <v>0.90112000000000048</v>
      </c>
      <c r="I166" s="75">
        <f t="shared" si="232"/>
        <v>0.72089600000000054</v>
      </c>
      <c r="J166" s="75">
        <f t="shared" si="232"/>
        <v>0.57671680000000036</v>
      </c>
      <c r="K166" s="75">
        <f t="shared" si="232"/>
        <v>0.46137344000000041</v>
      </c>
      <c r="L166" s="75">
        <f t="shared" si="232"/>
        <v>0.36909875200000036</v>
      </c>
      <c r="M166" s="75">
        <f t="shared" si="232"/>
        <v>0.29527900160000026</v>
      </c>
      <c r="N166" s="75">
        <f t="shared" si="232"/>
        <v>0</v>
      </c>
      <c r="O166" s="75">
        <f t="shared" si="232"/>
        <v>0</v>
      </c>
      <c r="P166" s="75">
        <f t="shared" si="232"/>
        <v>0</v>
      </c>
      <c r="Q166" s="75">
        <f t="shared" si="232"/>
        <v>0</v>
      </c>
      <c r="R166" s="75">
        <f t="shared" si="232"/>
        <v>0</v>
      </c>
      <c r="S166" s="75">
        <f t="shared" si="232"/>
        <v>0</v>
      </c>
      <c r="T166" s="75">
        <f t="shared" si="232"/>
        <v>0</v>
      </c>
      <c r="U166" s="75">
        <f t="shared" si="232"/>
        <v>0</v>
      </c>
      <c r="V166" s="75">
        <f t="shared" si="232"/>
        <v>0</v>
      </c>
      <c r="W166" s="75">
        <f t="shared" si="232"/>
        <v>0</v>
      </c>
      <c r="X166" s="75">
        <f t="shared" si="232"/>
        <v>0</v>
      </c>
      <c r="Y166" s="75">
        <f t="shared" si="232"/>
        <v>0</v>
      </c>
      <c r="Z166" s="75">
        <f t="shared" si="232"/>
        <v>0</v>
      </c>
      <c r="AA166" s="75">
        <f t="shared" si="232"/>
        <v>0</v>
      </c>
      <c r="AB166" s="75">
        <f t="shared" si="232"/>
        <v>0</v>
      </c>
      <c r="AC166" s="75">
        <f t="shared" si="232"/>
        <v>0</v>
      </c>
      <c r="AD166" s="75">
        <f t="shared" si="232"/>
        <v>0</v>
      </c>
      <c r="AE166" s="75">
        <f t="shared" si="232"/>
        <v>0</v>
      </c>
      <c r="AF166" s="75">
        <f t="shared" si="232"/>
        <v>0</v>
      </c>
      <c r="AG166" s="75">
        <f t="shared" si="232"/>
        <v>0</v>
      </c>
      <c r="AH166" s="76">
        <f t="shared" si="230"/>
        <v>-9.8188839936000036</v>
      </c>
      <c r="AI166" s="76">
        <f>D$81</f>
        <v>-11</v>
      </c>
      <c r="AJ166" s="76">
        <f t="shared" si="231"/>
        <v>-1.1811160063999964</v>
      </c>
      <c r="AK166" s="19"/>
      <c r="AL166" s="19"/>
      <c r="AM166" s="21"/>
      <c r="AN166" s="19"/>
    </row>
    <row r="167" spans="1:40">
      <c r="B167" s="175" t="str">
        <f>"Capital spent in Year "&amp;E$164</f>
        <v>Capital spent in Year 2019</v>
      </c>
      <c r="C167" s="51"/>
      <c r="D167" s="51"/>
      <c r="E167" s="37">
        <f t="shared" ref="E167:AG167" si="233">IF(((E$164+1)-$E$164)&gt;$AA$10,0,IF($AA$9="SLN", SLN($E$81,-$E$81*$AA$11,$AA$10), IF($AA$9="DB", DB(-$E$81,-$E$81*$AA$11,$AA$10,(E$164+1)-$E$164), IF($AA$9="DDB", DDB(-$E$81,-$E$81*$AA$11,$AA$10,(E$164+1)-$E$164),"Error"))))</f>
        <v>1</v>
      </c>
      <c r="F167" s="75">
        <f t="shared" si="233"/>
        <v>0.8</v>
      </c>
      <c r="G167" s="75">
        <f t="shared" si="233"/>
        <v>0.64000000000000012</v>
      </c>
      <c r="H167" s="75">
        <f t="shared" si="233"/>
        <v>0.51200000000000012</v>
      </c>
      <c r="I167" s="75">
        <f t="shared" si="233"/>
        <v>0.40960000000000019</v>
      </c>
      <c r="J167" s="75">
        <f t="shared" si="233"/>
        <v>0.32768000000000019</v>
      </c>
      <c r="K167" s="75">
        <f t="shared" si="233"/>
        <v>0.26214400000000015</v>
      </c>
      <c r="L167" s="75">
        <f t="shared" si="233"/>
        <v>0.20971520000000018</v>
      </c>
      <c r="M167" s="75">
        <f t="shared" si="233"/>
        <v>0.16777216000000017</v>
      </c>
      <c r="N167" s="75">
        <f t="shared" si="233"/>
        <v>0.13421772800000012</v>
      </c>
      <c r="O167" s="75">
        <f t="shared" si="233"/>
        <v>0</v>
      </c>
      <c r="P167" s="75">
        <f t="shared" si="233"/>
        <v>0</v>
      </c>
      <c r="Q167" s="75">
        <f t="shared" si="233"/>
        <v>0</v>
      </c>
      <c r="R167" s="75">
        <f t="shared" si="233"/>
        <v>0</v>
      </c>
      <c r="S167" s="75">
        <f t="shared" si="233"/>
        <v>0</v>
      </c>
      <c r="T167" s="75">
        <f t="shared" si="233"/>
        <v>0</v>
      </c>
      <c r="U167" s="75">
        <f t="shared" si="233"/>
        <v>0</v>
      </c>
      <c r="V167" s="75">
        <f t="shared" si="233"/>
        <v>0</v>
      </c>
      <c r="W167" s="75">
        <f t="shared" si="233"/>
        <v>0</v>
      </c>
      <c r="X167" s="75">
        <f t="shared" si="233"/>
        <v>0</v>
      </c>
      <c r="Y167" s="75">
        <f t="shared" si="233"/>
        <v>0</v>
      </c>
      <c r="Z167" s="75">
        <f t="shared" si="233"/>
        <v>0</v>
      </c>
      <c r="AA167" s="75">
        <f t="shared" si="233"/>
        <v>0</v>
      </c>
      <c r="AB167" s="75">
        <f t="shared" si="233"/>
        <v>0</v>
      </c>
      <c r="AC167" s="75">
        <f t="shared" si="233"/>
        <v>0</v>
      </c>
      <c r="AD167" s="75">
        <f t="shared" si="233"/>
        <v>0</v>
      </c>
      <c r="AE167" s="75">
        <f t="shared" si="233"/>
        <v>0</v>
      </c>
      <c r="AF167" s="75">
        <f t="shared" si="233"/>
        <v>0</v>
      </c>
      <c r="AG167" s="75">
        <f t="shared" si="233"/>
        <v>0</v>
      </c>
      <c r="AH167" s="76">
        <f t="shared" si="230"/>
        <v>-4.4631290880000014</v>
      </c>
      <c r="AI167" s="76">
        <f>E$81</f>
        <v>-5</v>
      </c>
      <c r="AJ167" s="76">
        <f t="shared" si="231"/>
        <v>-0.53687091199999859</v>
      </c>
      <c r="AK167" s="19"/>
      <c r="AL167" s="19"/>
      <c r="AM167" s="21"/>
      <c r="AN167" s="19"/>
    </row>
    <row r="168" spans="1:40">
      <c r="B168" s="175" t="str">
        <f>"Capital spent in Year "&amp;F$164</f>
        <v>Capital spent in Year 2020</v>
      </c>
      <c r="C168" s="51"/>
      <c r="D168" s="51"/>
      <c r="E168" s="51"/>
      <c r="F168" s="37">
        <f t="shared" ref="F168:AG168" si="234">IF(((F$164+1)-$F$164)&gt;$AA$10,0,IF($AA$9="SLN", SLN($F$81,-$F$81*$AA$11,$AA$10), IF($AA$9="DB", DB(-$F$81,-$F$81*$AA$11,$AA$10,(F$164+1)-$F$164), IF($AA$9="DDB", DDB(-$F$81,-$F$81*$AA$11,$AA$10,(F$164+1)-$F$164),"Error"))))</f>
        <v>7.4</v>
      </c>
      <c r="G168" s="37">
        <f t="shared" si="234"/>
        <v>5.9200000000000008</v>
      </c>
      <c r="H168" s="37">
        <f t="shared" si="234"/>
        <v>4.7360000000000007</v>
      </c>
      <c r="I168" s="37">
        <f t="shared" si="234"/>
        <v>3.7888000000000015</v>
      </c>
      <c r="J168" s="37">
        <f t="shared" si="234"/>
        <v>3.0310400000000017</v>
      </c>
      <c r="K168" s="37">
        <f t="shared" si="234"/>
        <v>2.4248320000000017</v>
      </c>
      <c r="L168" s="37">
        <f t="shared" si="234"/>
        <v>1.939865600000001</v>
      </c>
      <c r="M168" s="37">
        <f t="shared" si="234"/>
        <v>1.5518924800000011</v>
      </c>
      <c r="N168" s="37">
        <f t="shared" si="234"/>
        <v>1.2415139840000011</v>
      </c>
      <c r="O168" s="37">
        <f t="shared" si="234"/>
        <v>0.9932111872000009</v>
      </c>
      <c r="P168" s="37">
        <f t="shared" si="234"/>
        <v>0</v>
      </c>
      <c r="Q168" s="37">
        <f t="shared" si="234"/>
        <v>0</v>
      </c>
      <c r="R168" s="37">
        <f t="shared" si="234"/>
        <v>0</v>
      </c>
      <c r="S168" s="37">
        <f t="shared" si="234"/>
        <v>0</v>
      </c>
      <c r="T168" s="37">
        <f t="shared" si="234"/>
        <v>0</v>
      </c>
      <c r="U168" s="37">
        <f t="shared" si="234"/>
        <v>0</v>
      </c>
      <c r="V168" s="37">
        <f t="shared" si="234"/>
        <v>0</v>
      </c>
      <c r="W168" s="37">
        <f t="shared" si="234"/>
        <v>0</v>
      </c>
      <c r="X168" s="37">
        <f t="shared" si="234"/>
        <v>0</v>
      </c>
      <c r="Y168" s="37">
        <f t="shared" si="234"/>
        <v>0</v>
      </c>
      <c r="Z168" s="37">
        <f t="shared" si="234"/>
        <v>0</v>
      </c>
      <c r="AA168" s="37">
        <f t="shared" si="234"/>
        <v>0</v>
      </c>
      <c r="AB168" s="37">
        <f t="shared" si="234"/>
        <v>0</v>
      </c>
      <c r="AC168" s="37">
        <f t="shared" si="234"/>
        <v>0</v>
      </c>
      <c r="AD168" s="37">
        <f t="shared" si="234"/>
        <v>0</v>
      </c>
      <c r="AE168" s="37">
        <f t="shared" si="234"/>
        <v>0</v>
      </c>
      <c r="AF168" s="37">
        <f t="shared" si="234"/>
        <v>0</v>
      </c>
      <c r="AG168" s="37">
        <f t="shared" si="234"/>
        <v>0</v>
      </c>
      <c r="AH168" s="76">
        <f t="shared" si="230"/>
        <v>-33.027155251200014</v>
      </c>
      <c r="AI168" s="76">
        <f>F$81</f>
        <v>-37</v>
      </c>
      <c r="AJ168" s="76">
        <f t="shared" si="231"/>
        <v>-3.9728447487999858</v>
      </c>
      <c r="AK168" s="19"/>
      <c r="AL168" s="19"/>
      <c r="AM168" s="21"/>
      <c r="AN168" s="19"/>
    </row>
    <row r="169" spans="1:40">
      <c r="B169" s="175" t="str">
        <f>"Capital spent in Year "&amp;G$164</f>
        <v>Capital spent in Year 2021</v>
      </c>
      <c r="C169" s="51"/>
      <c r="D169" s="51"/>
      <c r="E169" s="51"/>
      <c r="F169" s="51"/>
      <c r="G169" s="37">
        <f t="shared" ref="G169:AG169" si="235">IF(((G$164+1)-$G$164)&gt;$AA$10,0,IF($AA$9="SLN", SLN($G$81,-$G$81*$AA$11,$AA$10), IF($AA$9="DB", DB(-$G$81,-$G$81*$AA$11,$AA$10,(G$164+1)-$G$164), IF($AA$9="DDB", DDB(-$G$81,-$G$81*$AA$11,$AA$10,(G$164+1)-$G$164),"Error"))))</f>
        <v>26.200000000000003</v>
      </c>
      <c r="H169" s="37">
        <f t="shared" si="235"/>
        <v>20.960000000000004</v>
      </c>
      <c r="I169" s="37">
        <f t="shared" si="235"/>
        <v>16.768000000000004</v>
      </c>
      <c r="J169" s="37">
        <f t="shared" si="235"/>
        <v>13.414400000000004</v>
      </c>
      <c r="K169" s="37">
        <f t="shared" si="235"/>
        <v>10.731520000000005</v>
      </c>
      <c r="L169" s="37">
        <f t="shared" si="235"/>
        <v>8.5852160000000062</v>
      </c>
      <c r="M169" s="37">
        <f t="shared" si="235"/>
        <v>6.8681728000000035</v>
      </c>
      <c r="N169" s="37">
        <f t="shared" si="235"/>
        <v>5.4945382400000042</v>
      </c>
      <c r="O169" s="37">
        <f t="shared" si="235"/>
        <v>4.3956305920000034</v>
      </c>
      <c r="P169" s="37">
        <f t="shared" si="235"/>
        <v>3.5165044736000035</v>
      </c>
      <c r="Q169" s="37">
        <f t="shared" si="235"/>
        <v>0</v>
      </c>
      <c r="R169" s="37">
        <f t="shared" si="235"/>
        <v>0</v>
      </c>
      <c r="S169" s="37">
        <f t="shared" si="235"/>
        <v>0</v>
      </c>
      <c r="T169" s="37">
        <f t="shared" si="235"/>
        <v>0</v>
      </c>
      <c r="U169" s="37">
        <f t="shared" si="235"/>
        <v>0</v>
      </c>
      <c r="V169" s="37">
        <f t="shared" si="235"/>
        <v>0</v>
      </c>
      <c r="W169" s="37">
        <f t="shared" si="235"/>
        <v>0</v>
      </c>
      <c r="X169" s="37">
        <f t="shared" si="235"/>
        <v>0</v>
      </c>
      <c r="Y169" s="37">
        <f t="shared" si="235"/>
        <v>0</v>
      </c>
      <c r="Z169" s="37">
        <f t="shared" si="235"/>
        <v>0</v>
      </c>
      <c r="AA169" s="37">
        <f t="shared" si="235"/>
        <v>0</v>
      </c>
      <c r="AB169" s="37">
        <f t="shared" si="235"/>
        <v>0</v>
      </c>
      <c r="AC169" s="37">
        <f t="shared" si="235"/>
        <v>0</v>
      </c>
      <c r="AD169" s="37">
        <f t="shared" si="235"/>
        <v>0</v>
      </c>
      <c r="AE169" s="37">
        <f t="shared" si="235"/>
        <v>0</v>
      </c>
      <c r="AF169" s="37">
        <f t="shared" si="235"/>
        <v>0</v>
      </c>
      <c r="AG169" s="37">
        <f t="shared" si="235"/>
        <v>0</v>
      </c>
      <c r="AH169" s="76">
        <f t="shared" si="230"/>
        <v>-116.93398210560002</v>
      </c>
      <c r="AI169" s="76">
        <f>G$81</f>
        <v>-131</v>
      </c>
      <c r="AJ169" s="76">
        <f t="shared" si="231"/>
        <v>-14.066017894399977</v>
      </c>
      <c r="AK169" s="19"/>
      <c r="AL169" s="19"/>
      <c r="AM169" s="21"/>
      <c r="AN169" s="19"/>
    </row>
    <row r="170" spans="1:40">
      <c r="B170" s="175" t="str">
        <f>"Capital spent in Year "&amp;H$164</f>
        <v>Capital spent in Year 2022</v>
      </c>
      <c r="C170" s="51"/>
      <c r="D170" s="51"/>
      <c r="E170" s="51"/>
      <c r="F170" s="51"/>
      <c r="G170" s="51"/>
      <c r="H170" s="37">
        <f t="shared" ref="H170:AG170" si="236">IF(((H$164+1)-$H$164)&gt;$AA$10,0,IF($AA$9="SLN", SLN($H$81,-$H$81*$AA$11,$AA$10), IF($AA$9="DB", DB(-$H$81,-$H$81*$AA$11,$AA$10,(H$164+1)-$H$164), IF($AA$9="DDB", DDB(-$H$81,-$H$81*$AA$11,$AA$10,(H$164+1)-$H$164),"Error"))))</f>
        <v>16</v>
      </c>
      <c r="I170" s="37">
        <f t="shared" si="236"/>
        <v>12.8</v>
      </c>
      <c r="J170" s="37">
        <f t="shared" si="236"/>
        <v>10.240000000000002</v>
      </c>
      <c r="K170" s="37">
        <f t="shared" si="236"/>
        <v>8.1920000000000019</v>
      </c>
      <c r="L170" s="37">
        <f t="shared" si="236"/>
        <v>6.553600000000003</v>
      </c>
      <c r="M170" s="37">
        <f t="shared" si="236"/>
        <v>5.2428800000000031</v>
      </c>
      <c r="N170" s="37">
        <f t="shared" si="236"/>
        <v>4.1943040000000025</v>
      </c>
      <c r="O170" s="37">
        <f t="shared" si="236"/>
        <v>3.355443200000003</v>
      </c>
      <c r="P170" s="37">
        <f t="shared" si="236"/>
        <v>2.6843545600000027</v>
      </c>
      <c r="Q170" s="37">
        <f t="shared" si="236"/>
        <v>2.1474836480000019</v>
      </c>
      <c r="R170" s="37">
        <f t="shared" si="236"/>
        <v>0</v>
      </c>
      <c r="S170" s="37">
        <f t="shared" si="236"/>
        <v>0</v>
      </c>
      <c r="T170" s="37">
        <f t="shared" si="236"/>
        <v>0</v>
      </c>
      <c r="U170" s="37">
        <f t="shared" si="236"/>
        <v>0</v>
      </c>
      <c r="V170" s="37">
        <f t="shared" si="236"/>
        <v>0</v>
      </c>
      <c r="W170" s="37">
        <f t="shared" si="236"/>
        <v>0</v>
      </c>
      <c r="X170" s="37">
        <f t="shared" si="236"/>
        <v>0</v>
      </c>
      <c r="Y170" s="37">
        <f t="shared" si="236"/>
        <v>0</v>
      </c>
      <c r="Z170" s="37">
        <f t="shared" si="236"/>
        <v>0</v>
      </c>
      <c r="AA170" s="37">
        <f t="shared" si="236"/>
        <v>0</v>
      </c>
      <c r="AB170" s="37">
        <f t="shared" si="236"/>
        <v>0</v>
      </c>
      <c r="AC170" s="37">
        <f t="shared" si="236"/>
        <v>0</v>
      </c>
      <c r="AD170" s="37">
        <f t="shared" si="236"/>
        <v>0</v>
      </c>
      <c r="AE170" s="37">
        <f t="shared" si="236"/>
        <v>0</v>
      </c>
      <c r="AF170" s="37">
        <f t="shared" si="236"/>
        <v>0</v>
      </c>
      <c r="AG170" s="37">
        <f t="shared" si="236"/>
        <v>0</v>
      </c>
      <c r="AH170" s="76">
        <f t="shared" si="230"/>
        <v>-71.410065408000023</v>
      </c>
      <c r="AI170" s="76">
        <f>H$81</f>
        <v>-80</v>
      </c>
      <c r="AJ170" s="76">
        <f t="shared" si="231"/>
        <v>-8.5899345919999774</v>
      </c>
      <c r="AK170" s="21"/>
      <c r="AL170" s="21"/>
      <c r="AM170" s="19"/>
      <c r="AN170" s="19"/>
    </row>
    <row r="171" spans="1:40">
      <c r="B171" s="175" t="str">
        <f>"Capital spent in Year "&amp;I$164</f>
        <v>Capital spent in Year 2023</v>
      </c>
      <c r="C171" s="51"/>
      <c r="D171" s="51"/>
      <c r="E171" s="51"/>
      <c r="F171" s="51"/>
      <c r="G171" s="51"/>
      <c r="H171" s="51"/>
      <c r="I171" s="37">
        <f t="shared" ref="I171:AG171" si="237">IF(((I$164+1)-$I$164)&gt;$AA$10,0,IF($AA$9="SLN", SLN($I$81,-$I$81*$AA$11,$AA$10), IF($AA$9="DB", DB(-$I$81,-$I$81*$AA$11,$AA$10,(I$164+1)-$I$164), IF($AA$9="DDB", DDB(-$I$81,-$I$81*$AA$11,$AA$10,(I$164+1)-$I$164),"Error"))))</f>
        <v>11.100000000000001</v>
      </c>
      <c r="J171" s="37">
        <f t="shared" si="237"/>
        <v>8.8800000000000008</v>
      </c>
      <c r="K171" s="37">
        <f t="shared" si="237"/>
        <v>7.1040000000000028</v>
      </c>
      <c r="L171" s="37">
        <f t="shared" si="237"/>
        <v>5.683200000000002</v>
      </c>
      <c r="M171" s="37">
        <f t="shared" si="237"/>
        <v>4.5465600000000022</v>
      </c>
      <c r="N171" s="37">
        <f t="shared" si="237"/>
        <v>3.6372480000000027</v>
      </c>
      <c r="O171" s="37">
        <f t="shared" si="237"/>
        <v>2.9097984000000019</v>
      </c>
      <c r="P171" s="37">
        <f t="shared" si="237"/>
        <v>2.3278387200000021</v>
      </c>
      <c r="Q171" s="37">
        <f t="shared" si="237"/>
        <v>1.8622709760000018</v>
      </c>
      <c r="R171" s="37">
        <f t="shared" si="237"/>
        <v>1.4898167808000014</v>
      </c>
      <c r="S171" s="37">
        <f t="shared" si="237"/>
        <v>0</v>
      </c>
      <c r="T171" s="37">
        <f t="shared" si="237"/>
        <v>0</v>
      </c>
      <c r="U171" s="37">
        <f t="shared" si="237"/>
        <v>0</v>
      </c>
      <c r="V171" s="37">
        <f t="shared" si="237"/>
        <v>0</v>
      </c>
      <c r="W171" s="37">
        <f t="shared" si="237"/>
        <v>0</v>
      </c>
      <c r="X171" s="37">
        <f t="shared" si="237"/>
        <v>0</v>
      </c>
      <c r="Y171" s="37">
        <f t="shared" si="237"/>
        <v>0</v>
      </c>
      <c r="Z171" s="37">
        <f t="shared" si="237"/>
        <v>0</v>
      </c>
      <c r="AA171" s="37">
        <f t="shared" si="237"/>
        <v>0</v>
      </c>
      <c r="AB171" s="37">
        <f t="shared" si="237"/>
        <v>0</v>
      </c>
      <c r="AC171" s="37">
        <f t="shared" si="237"/>
        <v>0</v>
      </c>
      <c r="AD171" s="37">
        <f t="shared" si="237"/>
        <v>0</v>
      </c>
      <c r="AE171" s="37">
        <f t="shared" si="237"/>
        <v>0</v>
      </c>
      <c r="AF171" s="37">
        <f t="shared" si="237"/>
        <v>0</v>
      </c>
      <c r="AG171" s="37">
        <f t="shared" si="237"/>
        <v>0</v>
      </c>
      <c r="AH171" s="76">
        <f t="shared" si="230"/>
        <v>-49.540732876800014</v>
      </c>
      <c r="AI171" s="76">
        <f>I$81</f>
        <v>-55.5</v>
      </c>
      <c r="AJ171" s="76">
        <f t="shared" si="231"/>
        <v>-5.9592671231999859</v>
      </c>
      <c r="AK171" s="21"/>
      <c r="AL171" s="21"/>
      <c r="AM171" s="19"/>
      <c r="AN171" s="19"/>
    </row>
    <row r="172" spans="1:40">
      <c r="B172" s="175" t="str">
        <f>"Capital spent in Year "&amp;J$164</f>
        <v>Capital spent in Year 2024</v>
      </c>
      <c r="C172" s="51"/>
      <c r="D172" s="51"/>
      <c r="E172" s="51"/>
      <c r="F172" s="51"/>
      <c r="G172" s="51"/>
      <c r="H172" s="51"/>
      <c r="I172" s="51"/>
      <c r="J172" s="37">
        <f t="shared" ref="J172:AG172" si="238">IF(((J$164+1)-$J$164)&gt;$AA$10,0,IF($AA$9="SLN", SLN($J$81,-$J$81*$AA$11,$AA$10), IF($AA$9="DB", DB(-$J$81,-$J$81*$AA$11,$AA$10,(J$164+1)-$J$164), IF($AA$9="DDB", DDB(-$J$81,-$J$81*$AA$11,$AA$10,(J$164+1)-$J$164),"Error"))))</f>
        <v>8.5</v>
      </c>
      <c r="K172" s="37">
        <f t="shared" si="238"/>
        <v>6.8000000000000007</v>
      </c>
      <c r="L172" s="37">
        <f t="shared" si="238"/>
        <v>5.4400000000000013</v>
      </c>
      <c r="M172" s="37">
        <f t="shared" si="238"/>
        <v>4.3520000000000012</v>
      </c>
      <c r="N172" s="37">
        <f t="shared" si="238"/>
        <v>3.481600000000002</v>
      </c>
      <c r="O172" s="37">
        <f t="shared" si="238"/>
        <v>2.785280000000002</v>
      </c>
      <c r="P172" s="37">
        <f t="shared" si="238"/>
        <v>2.2282240000000013</v>
      </c>
      <c r="Q172" s="37">
        <f t="shared" si="238"/>
        <v>1.7825792000000016</v>
      </c>
      <c r="R172" s="37">
        <f t="shared" si="238"/>
        <v>1.4260633600000014</v>
      </c>
      <c r="S172" s="37">
        <f t="shared" si="238"/>
        <v>1.1408506880000011</v>
      </c>
      <c r="T172" s="37">
        <f t="shared" si="238"/>
        <v>0</v>
      </c>
      <c r="U172" s="37">
        <f t="shared" si="238"/>
        <v>0</v>
      </c>
      <c r="V172" s="37">
        <f t="shared" si="238"/>
        <v>0</v>
      </c>
      <c r="W172" s="37">
        <f t="shared" si="238"/>
        <v>0</v>
      </c>
      <c r="X172" s="37">
        <f t="shared" si="238"/>
        <v>0</v>
      </c>
      <c r="Y172" s="37">
        <f t="shared" si="238"/>
        <v>0</v>
      </c>
      <c r="Z172" s="37">
        <f t="shared" si="238"/>
        <v>0</v>
      </c>
      <c r="AA172" s="37">
        <f t="shared" si="238"/>
        <v>0</v>
      </c>
      <c r="AB172" s="37">
        <f t="shared" si="238"/>
        <v>0</v>
      </c>
      <c r="AC172" s="37">
        <f t="shared" si="238"/>
        <v>0</v>
      </c>
      <c r="AD172" s="37">
        <f t="shared" si="238"/>
        <v>0</v>
      </c>
      <c r="AE172" s="37">
        <f t="shared" si="238"/>
        <v>0</v>
      </c>
      <c r="AF172" s="37">
        <f t="shared" si="238"/>
        <v>0</v>
      </c>
      <c r="AG172" s="37">
        <f t="shared" si="238"/>
        <v>0</v>
      </c>
      <c r="AH172" s="76">
        <f t="shared" si="230"/>
        <v>-37.936597248000012</v>
      </c>
      <c r="AI172" s="76">
        <f>J$81</f>
        <v>-42.5</v>
      </c>
      <c r="AJ172" s="76">
        <f t="shared" si="231"/>
        <v>-4.5634027519999876</v>
      </c>
      <c r="AK172" s="21"/>
      <c r="AL172" s="21"/>
      <c r="AM172" s="19"/>
      <c r="AN172" s="19"/>
    </row>
    <row r="173" spans="1:40">
      <c r="B173" s="175" t="str">
        <f>"Capital spent in Year "&amp;K$164</f>
        <v>Capital spent in Year 2025</v>
      </c>
      <c r="C173" s="51"/>
      <c r="D173" s="51"/>
      <c r="E173" s="51"/>
      <c r="F173" s="51"/>
      <c r="G173" s="51"/>
      <c r="H173" s="51"/>
      <c r="I173" s="51"/>
      <c r="J173" s="51"/>
      <c r="K173" s="37">
        <f t="shared" ref="K173:AG173" si="239">IF(((K$164+1)-$K$164)&gt;$AA$10,0,IF($AA$9="SLN", SLN($K$81,-$K$81*$AA$11,$AA$10), IF($AA$9="DB", DB(-$K$81,-$K$81*$AA$11,$AA$10,(K$164+1)-$K$164), IF($AA$9="DDB", DDB(-$K$81,-$K$81*$AA$11,$AA$10,(K$164+1)-$K$164),"Error"))))</f>
        <v>7.7</v>
      </c>
      <c r="L173" s="37">
        <f t="shared" si="239"/>
        <v>6.16</v>
      </c>
      <c r="M173" s="37">
        <f t="shared" si="239"/>
        <v>4.9280000000000008</v>
      </c>
      <c r="N173" s="37">
        <f t="shared" si="239"/>
        <v>3.942400000000001</v>
      </c>
      <c r="O173" s="37">
        <f t="shared" si="239"/>
        <v>3.1539200000000016</v>
      </c>
      <c r="P173" s="37">
        <f t="shared" si="239"/>
        <v>2.5231360000000018</v>
      </c>
      <c r="Q173" s="37">
        <f t="shared" si="239"/>
        <v>2.0185088000000011</v>
      </c>
      <c r="R173" s="37">
        <f t="shared" si="239"/>
        <v>1.6148070400000014</v>
      </c>
      <c r="S173" s="37">
        <f t="shared" si="239"/>
        <v>1.2918456320000011</v>
      </c>
      <c r="T173" s="37">
        <f t="shared" si="239"/>
        <v>1.033476505600001</v>
      </c>
      <c r="U173" s="37">
        <f t="shared" si="239"/>
        <v>0</v>
      </c>
      <c r="V173" s="37">
        <f t="shared" si="239"/>
        <v>0</v>
      </c>
      <c r="W173" s="37">
        <f t="shared" si="239"/>
        <v>0</v>
      </c>
      <c r="X173" s="37">
        <f t="shared" si="239"/>
        <v>0</v>
      </c>
      <c r="Y173" s="37">
        <f t="shared" si="239"/>
        <v>0</v>
      </c>
      <c r="Z173" s="37">
        <f t="shared" si="239"/>
        <v>0</v>
      </c>
      <c r="AA173" s="37">
        <f t="shared" si="239"/>
        <v>0</v>
      </c>
      <c r="AB173" s="37">
        <f t="shared" si="239"/>
        <v>0</v>
      </c>
      <c r="AC173" s="37">
        <f t="shared" si="239"/>
        <v>0</v>
      </c>
      <c r="AD173" s="37">
        <f t="shared" si="239"/>
        <v>0</v>
      </c>
      <c r="AE173" s="37">
        <f t="shared" si="239"/>
        <v>0</v>
      </c>
      <c r="AF173" s="37">
        <f t="shared" si="239"/>
        <v>0</v>
      </c>
      <c r="AG173" s="37">
        <f t="shared" si="239"/>
        <v>0</v>
      </c>
      <c r="AH173" s="76">
        <f t="shared" si="230"/>
        <v>-34.366093977600009</v>
      </c>
      <c r="AI173" s="76">
        <f>K$81</f>
        <v>-38.5</v>
      </c>
      <c r="AJ173" s="76">
        <f t="shared" si="231"/>
        <v>-4.1339060223999908</v>
      </c>
      <c r="AK173" s="21"/>
      <c r="AL173" s="21"/>
      <c r="AM173" s="19"/>
      <c r="AN173" s="19"/>
    </row>
    <row r="174" spans="1:40">
      <c r="B174" s="175" t="str">
        <f>"Capital spent in Year "&amp;L$164</f>
        <v>Capital spent in Year 2026</v>
      </c>
      <c r="C174" s="51"/>
      <c r="D174" s="51"/>
      <c r="E174" s="51"/>
      <c r="F174" s="51"/>
      <c r="G174" s="51"/>
      <c r="H174" s="51"/>
      <c r="I174" s="51"/>
      <c r="J174" s="51"/>
      <c r="K174" s="51"/>
      <c r="L174" s="37">
        <f t="shared" ref="L174:AG174" ca="1" si="240">IF(((L$164+1)-$L$164)&gt;$AA$10,0,IF($AA$9="SLN", SLN($L$81,-$L$81*$AA$11,$AA$10), IF($AA$9="DB", DB(-$L$81,-$L$81*$AA$11,$AA$10,(L$164+1)-$L$164), IF($AA$9="DDB", DDB(-$L$81,-$L$81*$AA$11,$AA$10,(L$164+1)-$L$164),"Error"))))</f>
        <v>7</v>
      </c>
      <c r="M174" s="37">
        <f t="shared" ca="1" si="240"/>
        <v>5.6000000000000005</v>
      </c>
      <c r="N174" s="37">
        <f t="shared" ca="1" si="240"/>
        <v>4.4800000000000013</v>
      </c>
      <c r="O174" s="37">
        <f t="shared" ca="1" si="240"/>
        <v>3.5840000000000014</v>
      </c>
      <c r="P174" s="37">
        <f t="shared" ca="1" si="240"/>
        <v>2.8672000000000013</v>
      </c>
      <c r="Q174" s="37">
        <f t="shared" ca="1" si="240"/>
        <v>2.2937600000000016</v>
      </c>
      <c r="R174" s="37">
        <f t="shared" ca="1" si="240"/>
        <v>1.8350080000000013</v>
      </c>
      <c r="S174" s="37">
        <f t="shared" ca="1" si="240"/>
        <v>1.468006400000001</v>
      </c>
      <c r="T174" s="37">
        <f t="shared" ca="1" si="240"/>
        <v>1.174405120000001</v>
      </c>
      <c r="U174" s="37">
        <f t="shared" ca="1" si="240"/>
        <v>0.93952409600000086</v>
      </c>
      <c r="V174" s="37">
        <f t="shared" si="240"/>
        <v>0</v>
      </c>
      <c r="W174" s="37">
        <f t="shared" si="240"/>
        <v>0</v>
      </c>
      <c r="X174" s="37">
        <f t="shared" si="240"/>
        <v>0</v>
      </c>
      <c r="Y174" s="37">
        <f t="shared" si="240"/>
        <v>0</v>
      </c>
      <c r="Z174" s="37">
        <f t="shared" si="240"/>
        <v>0</v>
      </c>
      <c r="AA174" s="37">
        <f t="shared" si="240"/>
        <v>0</v>
      </c>
      <c r="AB174" s="37">
        <f t="shared" si="240"/>
        <v>0</v>
      </c>
      <c r="AC174" s="37">
        <f t="shared" si="240"/>
        <v>0</v>
      </c>
      <c r="AD174" s="37">
        <f t="shared" si="240"/>
        <v>0</v>
      </c>
      <c r="AE174" s="37">
        <f t="shared" si="240"/>
        <v>0</v>
      </c>
      <c r="AF174" s="37">
        <f t="shared" si="240"/>
        <v>0</v>
      </c>
      <c r="AG174" s="37">
        <f t="shared" si="240"/>
        <v>0</v>
      </c>
      <c r="AH174" s="76">
        <f t="shared" ref="AH174:AH195" ca="1" si="241">-SUM(C174:AG174)</f>
        <v>-31.241903616000005</v>
      </c>
      <c r="AI174" s="76">
        <f ca="1">L$81</f>
        <v>-35</v>
      </c>
      <c r="AJ174" s="76">
        <f t="shared" ref="AJ174:AJ196" ca="1" si="242">AI174-AH174</f>
        <v>-3.7580963839999946</v>
      </c>
      <c r="AK174" s="21"/>
      <c r="AL174" s="21"/>
      <c r="AM174" s="19"/>
      <c r="AN174" s="19"/>
    </row>
    <row r="175" spans="1:40">
      <c r="B175" s="175" t="str">
        <f>"Capital spent in Year "&amp;M$164</f>
        <v>Capital spent in Year 2027</v>
      </c>
      <c r="C175" s="51"/>
      <c r="D175" s="51"/>
      <c r="E175" s="51"/>
      <c r="F175" s="51"/>
      <c r="G175" s="51"/>
      <c r="H175" s="51"/>
      <c r="I175" s="51"/>
      <c r="J175" s="51"/>
      <c r="K175" s="51"/>
      <c r="L175" s="51"/>
      <c r="M175" s="37">
        <f t="shared" ref="M175:AG175" ca="1" si="243">IF(((M$164+1)-$M$164)&gt;$AA$10,0,IF($AA$9="SLN", SLN($M$81,-$M$81*$AA$11,$AA$10), IF($AA$9="DB", DB(-$M$81,-$M$81*$AA$11,$AA$10,(M$164+1)-$M$164), IF($AA$9="DDB", DDB(-$M$81,-$M$81*$AA$11,$AA$10,(M$164+1)-$M$164),"Error"))))</f>
        <v>4.5</v>
      </c>
      <c r="N175" s="37">
        <f t="shared" ca="1" si="243"/>
        <v>3.6</v>
      </c>
      <c r="O175" s="37">
        <f t="shared" ca="1" si="243"/>
        <v>2.8800000000000008</v>
      </c>
      <c r="P175" s="37">
        <f t="shared" ca="1" si="243"/>
        <v>2.3040000000000007</v>
      </c>
      <c r="Q175" s="37">
        <f t="shared" ca="1" si="243"/>
        <v>1.8432000000000011</v>
      </c>
      <c r="R175" s="37">
        <f t="shared" ca="1" si="243"/>
        <v>1.474560000000001</v>
      </c>
      <c r="S175" s="37">
        <f t="shared" ca="1" si="243"/>
        <v>1.1796480000000007</v>
      </c>
      <c r="T175" s="37">
        <f t="shared" ca="1" si="243"/>
        <v>0.94371840000000073</v>
      </c>
      <c r="U175" s="37">
        <f t="shared" ca="1" si="243"/>
        <v>0.75497472000000077</v>
      </c>
      <c r="V175" s="37">
        <f t="shared" ca="1" si="243"/>
        <v>0.60397977600000052</v>
      </c>
      <c r="W175" s="37">
        <f t="shared" si="243"/>
        <v>0</v>
      </c>
      <c r="X175" s="37">
        <f t="shared" si="243"/>
        <v>0</v>
      </c>
      <c r="Y175" s="37">
        <f t="shared" si="243"/>
        <v>0</v>
      </c>
      <c r="Z175" s="37">
        <f t="shared" si="243"/>
        <v>0</v>
      </c>
      <c r="AA175" s="37">
        <f t="shared" si="243"/>
        <v>0</v>
      </c>
      <c r="AB175" s="37">
        <f t="shared" si="243"/>
        <v>0</v>
      </c>
      <c r="AC175" s="37">
        <f t="shared" si="243"/>
        <v>0</v>
      </c>
      <c r="AD175" s="37">
        <f t="shared" si="243"/>
        <v>0</v>
      </c>
      <c r="AE175" s="37">
        <f t="shared" si="243"/>
        <v>0</v>
      </c>
      <c r="AF175" s="37">
        <f t="shared" si="243"/>
        <v>0</v>
      </c>
      <c r="AG175" s="37">
        <f t="shared" si="243"/>
        <v>0</v>
      </c>
      <c r="AH175" s="76">
        <f t="shared" ca="1" si="241"/>
        <v>-20.084080896000003</v>
      </c>
      <c r="AI175" s="76">
        <f ca="1">M$81</f>
        <v>-22.5</v>
      </c>
      <c r="AJ175" s="76">
        <f t="shared" ca="1" si="242"/>
        <v>-2.4159191039999968</v>
      </c>
      <c r="AK175" s="21"/>
      <c r="AL175" s="21"/>
      <c r="AM175" s="19"/>
      <c r="AN175" s="19"/>
    </row>
    <row r="176" spans="1:40">
      <c r="B176" s="175" t="str">
        <f>"Capital spent in Year "&amp;N$164</f>
        <v>Capital spent in Year 2028</v>
      </c>
      <c r="C176" s="51"/>
      <c r="D176" s="51"/>
      <c r="E176" s="51"/>
      <c r="F176" s="51"/>
      <c r="G176" s="51"/>
      <c r="H176" s="51"/>
      <c r="I176" s="51"/>
      <c r="J176" s="51"/>
      <c r="K176" s="51"/>
      <c r="L176" s="51"/>
      <c r="M176" s="51"/>
      <c r="N176" s="37">
        <f t="shared" ref="N176:AG176" ca="1" si="244">IF(((N$164+1)-$N$164)&gt;$AA$10,0,IF($AA$9="SLN", SLN($N$81,-$N$81*$AA$11,$AA$10), IF($AA$9="DB", DB(-$N$81,-$N$81*$AA$11,$AA$10,(N$164+1)-$N$164), IF($AA$9="DDB", DDB(-$N$81,-$N$81*$AA$11,$AA$10,(N$164+1)-$N$164),"Error"))))</f>
        <v>6.4</v>
      </c>
      <c r="O176" s="37">
        <f t="shared" ca="1" si="244"/>
        <v>5.120000000000001</v>
      </c>
      <c r="P176" s="37">
        <f t="shared" ca="1" si="244"/>
        <v>4.096000000000001</v>
      </c>
      <c r="Q176" s="37">
        <f t="shared" ca="1" si="244"/>
        <v>3.276800000000001</v>
      </c>
      <c r="R176" s="37">
        <f t="shared" ca="1" si="244"/>
        <v>2.6214400000000015</v>
      </c>
      <c r="S176" s="37">
        <f t="shared" ca="1" si="244"/>
        <v>2.0971520000000012</v>
      </c>
      <c r="T176" s="37">
        <f t="shared" ca="1" si="244"/>
        <v>1.677721600000001</v>
      </c>
      <c r="U176" s="37">
        <f t="shared" ca="1" si="244"/>
        <v>1.3421772800000011</v>
      </c>
      <c r="V176" s="37">
        <f t="shared" ca="1" si="244"/>
        <v>1.073741824000001</v>
      </c>
      <c r="W176" s="37">
        <f t="shared" ca="1" si="244"/>
        <v>0.85899345920000081</v>
      </c>
      <c r="X176" s="37">
        <f t="shared" si="244"/>
        <v>0</v>
      </c>
      <c r="Y176" s="37">
        <f t="shared" si="244"/>
        <v>0</v>
      </c>
      <c r="Z176" s="37">
        <f t="shared" si="244"/>
        <v>0</v>
      </c>
      <c r="AA176" s="37">
        <f t="shared" si="244"/>
        <v>0</v>
      </c>
      <c r="AB176" s="37">
        <f t="shared" si="244"/>
        <v>0</v>
      </c>
      <c r="AC176" s="37">
        <f t="shared" si="244"/>
        <v>0</v>
      </c>
      <c r="AD176" s="37">
        <f t="shared" si="244"/>
        <v>0</v>
      </c>
      <c r="AE176" s="37">
        <f t="shared" si="244"/>
        <v>0</v>
      </c>
      <c r="AF176" s="37">
        <f t="shared" si="244"/>
        <v>0</v>
      </c>
      <c r="AG176" s="37">
        <f t="shared" si="244"/>
        <v>0</v>
      </c>
      <c r="AH176" s="76">
        <f t="shared" ca="1" si="241"/>
        <v>-28.564026163200015</v>
      </c>
      <c r="AI176" s="76">
        <f ca="1">N$81</f>
        <v>-32</v>
      </c>
      <c r="AJ176" s="76">
        <f t="shared" ca="1" si="242"/>
        <v>-3.4359738367999846</v>
      </c>
      <c r="AK176" s="21"/>
      <c r="AL176" s="21"/>
      <c r="AM176" s="19"/>
      <c r="AN176" s="19"/>
    </row>
    <row r="177" spans="2:40">
      <c r="B177" s="175" t="str">
        <f>"Capital spent in Year "&amp;O$164</f>
        <v>Capital spent in Year 2029</v>
      </c>
      <c r="C177" s="51"/>
      <c r="D177" s="51"/>
      <c r="E177" s="51"/>
      <c r="F177" s="51"/>
      <c r="G177" s="51"/>
      <c r="H177" s="51"/>
      <c r="I177" s="51"/>
      <c r="J177" s="51"/>
      <c r="K177" s="51"/>
      <c r="L177" s="51"/>
      <c r="M177" s="51"/>
      <c r="N177" s="51"/>
      <c r="O177" s="37">
        <f t="shared" ref="O177:AG177" ca="1" si="245">IF(((O$164+1)-$O$164)&gt;$AA$10,0,IF($AA$9="SLN", SLN($O$81,-$O$81*$AA$11,$AA$10), IF($AA$9="DB", DB(-$O$81,-$O$81*$AA$11,$AA$10,(O$164+1)-$O$164), IF($AA$9="DDB", DDB(-$O$81,-$O$81*$AA$11,$AA$10,(O$164+1)-$O$164),"Error"))))</f>
        <v>0</v>
      </c>
      <c r="P177" s="37">
        <f t="shared" ca="1" si="245"/>
        <v>0</v>
      </c>
      <c r="Q177" s="37">
        <f t="shared" ca="1" si="245"/>
        <v>0</v>
      </c>
      <c r="R177" s="37">
        <f t="shared" ca="1" si="245"/>
        <v>0</v>
      </c>
      <c r="S177" s="37">
        <f t="shared" ca="1" si="245"/>
        <v>0</v>
      </c>
      <c r="T177" s="37">
        <f t="shared" ca="1" si="245"/>
        <v>0</v>
      </c>
      <c r="U177" s="37">
        <f t="shared" ca="1" si="245"/>
        <v>0</v>
      </c>
      <c r="V177" s="37">
        <f t="shared" ca="1" si="245"/>
        <v>0</v>
      </c>
      <c r="W177" s="37">
        <f t="shared" ca="1" si="245"/>
        <v>0</v>
      </c>
      <c r="X177" s="37">
        <f t="shared" ca="1" si="245"/>
        <v>0</v>
      </c>
      <c r="Y177" s="37">
        <f t="shared" si="245"/>
        <v>0</v>
      </c>
      <c r="Z177" s="37">
        <f t="shared" si="245"/>
        <v>0</v>
      </c>
      <c r="AA177" s="37">
        <f t="shared" si="245"/>
        <v>0</v>
      </c>
      <c r="AB177" s="37">
        <f t="shared" si="245"/>
        <v>0</v>
      </c>
      <c r="AC177" s="37">
        <f t="shared" si="245"/>
        <v>0</v>
      </c>
      <c r="AD177" s="37">
        <f t="shared" si="245"/>
        <v>0</v>
      </c>
      <c r="AE177" s="37">
        <f t="shared" si="245"/>
        <v>0</v>
      </c>
      <c r="AF177" s="37">
        <f t="shared" si="245"/>
        <v>0</v>
      </c>
      <c r="AG177" s="37">
        <f t="shared" si="245"/>
        <v>0</v>
      </c>
      <c r="AH177" s="76">
        <f t="shared" ca="1" si="241"/>
        <v>0</v>
      </c>
      <c r="AI177" s="76">
        <f ca="1">O$81</f>
        <v>0</v>
      </c>
      <c r="AJ177" s="76">
        <f t="shared" ca="1" si="242"/>
        <v>0</v>
      </c>
      <c r="AK177" s="21"/>
      <c r="AL177" s="21"/>
      <c r="AM177" s="19"/>
      <c r="AN177" s="19"/>
    </row>
    <row r="178" spans="2:40">
      <c r="B178" s="175" t="str">
        <f>"Capital spent in Year "&amp;P$164</f>
        <v>Capital spent in Year 2030</v>
      </c>
      <c r="C178" s="51"/>
      <c r="D178" s="51"/>
      <c r="E178" s="51"/>
      <c r="F178" s="51"/>
      <c r="G178" s="51"/>
      <c r="H178" s="51"/>
      <c r="I178" s="51"/>
      <c r="J178" s="51"/>
      <c r="K178" s="51"/>
      <c r="L178" s="51"/>
      <c r="M178" s="51"/>
      <c r="N178" s="51"/>
      <c r="O178" s="51"/>
      <c r="P178" s="37">
        <f t="shared" ref="P178:AG178" ca="1" si="246">IF(((P$164+1)-$P$164)&gt;$AA$10,0,IF($AA$9="SLN", SLN($P$81,-$P$81*$AA$11,$AA$10), IF($AA$9="DB", DB(-$P$81,-$P$81*$AA$11,$AA$10,(P$164+1)-$P$164), IF($AA$9="DDB", DDB(-$P$81,-$P$81*$AA$11,$AA$10,(P$164+1)-$P$164),"Error"))))</f>
        <v>0</v>
      </c>
      <c r="Q178" s="37">
        <f t="shared" ca="1" si="246"/>
        <v>0</v>
      </c>
      <c r="R178" s="37">
        <f t="shared" ca="1" si="246"/>
        <v>0</v>
      </c>
      <c r="S178" s="37">
        <f t="shared" ca="1" si="246"/>
        <v>0</v>
      </c>
      <c r="T178" s="37">
        <f t="shared" ca="1" si="246"/>
        <v>0</v>
      </c>
      <c r="U178" s="37">
        <f t="shared" ca="1" si="246"/>
        <v>0</v>
      </c>
      <c r="V178" s="37">
        <f t="shared" ca="1" si="246"/>
        <v>0</v>
      </c>
      <c r="W178" s="37">
        <f t="shared" ca="1" si="246"/>
        <v>0</v>
      </c>
      <c r="X178" s="37">
        <f t="shared" ca="1" si="246"/>
        <v>0</v>
      </c>
      <c r="Y178" s="37">
        <f t="shared" ca="1" si="246"/>
        <v>0</v>
      </c>
      <c r="Z178" s="37">
        <f t="shared" si="246"/>
        <v>0</v>
      </c>
      <c r="AA178" s="37">
        <f t="shared" si="246"/>
        <v>0</v>
      </c>
      <c r="AB178" s="37">
        <f t="shared" si="246"/>
        <v>0</v>
      </c>
      <c r="AC178" s="37">
        <f t="shared" si="246"/>
        <v>0</v>
      </c>
      <c r="AD178" s="37">
        <f t="shared" si="246"/>
        <v>0</v>
      </c>
      <c r="AE178" s="37">
        <f t="shared" si="246"/>
        <v>0</v>
      </c>
      <c r="AF178" s="37">
        <f t="shared" si="246"/>
        <v>0</v>
      </c>
      <c r="AG178" s="37">
        <f t="shared" si="246"/>
        <v>0</v>
      </c>
      <c r="AH178" s="76">
        <f t="shared" ca="1" si="241"/>
        <v>0</v>
      </c>
      <c r="AI178" s="76">
        <f ca="1">P$81</f>
        <v>0</v>
      </c>
      <c r="AJ178" s="76">
        <f t="shared" ca="1" si="242"/>
        <v>0</v>
      </c>
      <c r="AK178" s="21"/>
      <c r="AL178" s="21"/>
      <c r="AM178" s="19"/>
      <c r="AN178" s="19"/>
    </row>
    <row r="179" spans="2:40">
      <c r="B179" s="175" t="str">
        <f>"Capital spent in Year "&amp;Q$164</f>
        <v>Capital spent in Year 2031</v>
      </c>
      <c r="C179" s="51"/>
      <c r="D179" s="51"/>
      <c r="E179" s="51"/>
      <c r="F179" s="51"/>
      <c r="G179" s="51"/>
      <c r="H179" s="51"/>
      <c r="I179" s="51"/>
      <c r="J179" s="51"/>
      <c r="K179" s="51"/>
      <c r="L179" s="51"/>
      <c r="M179" s="51"/>
      <c r="N179" s="51"/>
      <c r="O179" s="51"/>
      <c r="P179" s="51"/>
      <c r="Q179" s="37">
        <f t="shared" ref="Q179:AG179" ca="1" si="247">IF(((Q$164+1)-$Q$164)&gt;$AA$10,0,IF($AA$9="SLN", SLN($Q$81,-$Q$81*$AA$11,$AA$10), IF($AA$9="DB", DB(-$Q$81,-$Q$81*$AA$11,$AA$10,(Q$164+1)-$Q$164), IF($AA$9="DDB", DDB(-$Q$81,-$Q$81*$AA$11,$AA$10,(Q$164+1)-$Q$164),"Error"))))</f>
        <v>0</v>
      </c>
      <c r="R179" s="37">
        <f t="shared" ca="1" si="247"/>
        <v>0</v>
      </c>
      <c r="S179" s="37">
        <f t="shared" ca="1" si="247"/>
        <v>0</v>
      </c>
      <c r="T179" s="37">
        <f t="shared" ca="1" si="247"/>
        <v>0</v>
      </c>
      <c r="U179" s="37">
        <f t="shared" ca="1" si="247"/>
        <v>0</v>
      </c>
      <c r="V179" s="37">
        <f t="shared" ca="1" si="247"/>
        <v>0</v>
      </c>
      <c r="W179" s="37">
        <f t="shared" ca="1" si="247"/>
        <v>0</v>
      </c>
      <c r="X179" s="37">
        <f t="shared" ca="1" si="247"/>
        <v>0</v>
      </c>
      <c r="Y179" s="37">
        <f t="shared" ca="1" si="247"/>
        <v>0</v>
      </c>
      <c r="Z179" s="37">
        <f t="shared" ca="1" si="247"/>
        <v>0</v>
      </c>
      <c r="AA179" s="37">
        <f t="shared" si="247"/>
        <v>0</v>
      </c>
      <c r="AB179" s="37">
        <f t="shared" si="247"/>
        <v>0</v>
      </c>
      <c r="AC179" s="37">
        <f t="shared" si="247"/>
        <v>0</v>
      </c>
      <c r="AD179" s="37">
        <f t="shared" si="247"/>
        <v>0</v>
      </c>
      <c r="AE179" s="37">
        <f t="shared" si="247"/>
        <v>0</v>
      </c>
      <c r="AF179" s="37">
        <f t="shared" si="247"/>
        <v>0</v>
      </c>
      <c r="AG179" s="37">
        <f t="shared" si="247"/>
        <v>0</v>
      </c>
      <c r="AH179" s="76">
        <f t="shared" ca="1" si="241"/>
        <v>0</v>
      </c>
      <c r="AI179" s="76">
        <f ca="1">Q$81</f>
        <v>0</v>
      </c>
      <c r="AJ179" s="76">
        <f t="shared" ca="1" si="242"/>
        <v>0</v>
      </c>
      <c r="AK179" s="21"/>
      <c r="AL179" s="21"/>
      <c r="AM179" s="19"/>
      <c r="AN179" s="19"/>
    </row>
    <row r="180" spans="2:40">
      <c r="B180" s="175" t="str">
        <f>"Capital spent in Year "&amp;R$164</f>
        <v>Capital spent in Year 2032</v>
      </c>
      <c r="C180" s="51"/>
      <c r="D180" s="51"/>
      <c r="E180" s="51"/>
      <c r="F180" s="51"/>
      <c r="G180" s="51"/>
      <c r="H180" s="51"/>
      <c r="I180" s="51"/>
      <c r="J180" s="51"/>
      <c r="K180" s="51"/>
      <c r="L180" s="51"/>
      <c r="M180" s="51"/>
      <c r="N180" s="51"/>
      <c r="O180" s="51"/>
      <c r="P180" s="51"/>
      <c r="Q180" s="51"/>
      <c r="R180" s="37">
        <f t="shared" ref="R180:AG180" ca="1" si="248">IF(((R$164+1)-$R$164)&gt;$AA$10,0,IF($AA$9="SLN", SLN($R$81,-$R$81*$AA$11,$AA$10), IF($AA$9="DB", DB(-$R$81,-$R$81*$AA$11,$AA$10,(R$164+1)-$R$164), IF($AA$9="DDB", DDB(-$R$81,-$R$81*$AA$11,$AA$10,(R$164+1)-$R$164),"Error"))))</f>
        <v>0</v>
      </c>
      <c r="S180" s="37">
        <f t="shared" ca="1" si="248"/>
        <v>0</v>
      </c>
      <c r="T180" s="37">
        <f t="shared" ca="1" si="248"/>
        <v>0</v>
      </c>
      <c r="U180" s="37">
        <f t="shared" ca="1" si="248"/>
        <v>0</v>
      </c>
      <c r="V180" s="37">
        <f t="shared" ca="1" si="248"/>
        <v>0</v>
      </c>
      <c r="W180" s="37">
        <f t="shared" ca="1" si="248"/>
        <v>0</v>
      </c>
      <c r="X180" s="37">
        <f t="shared" ca="1" si="248"/>
        <v>0</v>
      </c>
      <c r="Y180" s="37">
        <f t="shared" ca="1" si="248"/>
        <v>0</v>
      </c>
      <c r="Z180" s="37">
        <f t="shared" ca="1" si="248"/>
        <v>0</v>
      </c>
      <c r="AA180" s="37">
        <f t="shared" ca="1" si="248"/>
        <v>0</v>
      </c>
      <c r="AB180" s="37">
        <f t="shared" si="248"/>
        <v>0</v>
      </c>
      <c r="AC180" s="37">
        <f t="shared" si="248"/>
        <v>0</v>
      </c>
      <c r="AD180" s="37">
        <f t="shared" si="248"/>
        <v>0</v>
      </c>
      <c r="AE180" s="37">
        <f t="shared" si="248"/>
        <v>0</v>
      </c>
      <c r="AF180" s="37">
        <f t="shared" si="248"/>
        <v>0</v>
      </c>
      <c r="AG180" s="37">
        <f t="shared" si="248"/>
        <v>0</v>
      </c>
      <c r="AH180" s="76">
        <f t="shared" ca="1" si="241"/>
        <v>0</v>
      </c>
      <c r="AI180" s="76">
        <f ca="1">R$81</f>
        <v>0</v>
      </c>
      <c r="AJ180" s="76">
        <f t="shared" ca="1" si="242"/>
        <v>0</v>
      </c>
      <c r="AK180" s="21"/>
      <c r="AL180" s="21"/>
      <c r="AM180" s="19"/>
      <c r="AN180" s="19"/>
    </row>
    <row r="181" spans="2:40">
      <c r="B181" s="175" t="str">
        <f>"Capital spent in Year "&amp;S$164</f>
        <v>Capital spent in Year 2033</v>
      </c>
      <c r="C181" s="51"/>
      <c r="D181" s="51"/>
      <c r="E181" s="51"/>
      <c r="F181" s="51"/>
      <c r="G181" s="51"/>
      <c r="H181" s="51"/>
      <c r="I181" s="51"/>
      <c r="J181" s="51"/>
      <c r="K181" s="51"/>
      <c r="L181" s="51"/>
      <c r="M181" s="51"/>
      <c r="N181" s="51"/>
      <c r="O181" s="51"/>
      <c r="P181" s="51"/>
      <c r="Q181" s="51"/>
      <c r="R181" s="51"/>
      <c r="S181" s="37">
        <f t="shared" ref="S181:AG181" ca="1" si="249">IF(((S$164+1)-$S$164)&gt;$AA$10,0,IF($AA$9="SLN", SLN($S$81,-$S$81*$AA$11,$AA$10), IF($AA$9="DB", DB(-$S$81,-$S$81*$AA$11,$AA$10,(S$164+1)-$S$164), IF($AA$9="DDB", DDB(-$S$81,-$S$81*$AA$11,$AA$10,(S$164+1)-$S$164),"Error"))))</f>
        <v>0</v>
      </c>
      <c r="T181" s="37">
        <f t="shared" ca="1" si="249"/>
        <v>0</v>
      </c>
      <c r="U181" s="37">
        <f t="shared" ca="1" si="249"/>
        <v>0</v>
      </c>
      <c r="V181" s="37">
        <f t="shared" ca="1" si="249"/>
        <v>0</v>
      </c>
      <c r="W181" s="37">
        <f t="shared" ca="1" si="249"/>
        <v>0</v>
      </c>
      <c r="X181" s="37">
        <f t="shared" ca="1" si="249"/>
        <v>0</v>
      </c>
      <c r="Y181" s="37">
        <f t="shared" ca="1" si="249"/>
        <v>0</v>
      </c>
      <c r="Z181" s="37">
        <f t="shared" ca="1" si="249"/>
        <v>0</v>
      </c>
      <c r="AA181" s="37">
        <f t="shared" ca="1" si="249"/>
        <v>0</v>
      </c>
      <c r="AB181" s="37">
        <f t="shared" ca="1" si="249"/>
        <v>0</v>
      </c>
      <c r="AC181" s="37">
        <f t="shared" si="249"/>
        <v>0</v>
      </c>
      <c r="AD181" s="37">
        <f t="shared" si="249"/>
        <v>0</v>
      </c>
      <c r="AE181" s="37">
        <f t="shared" si="249"/>
        <v>0</v>
      </c>
      <c r="AF181" s="37">
        <f t="shared" si="249"/>
        <v>0</v>
      </c>
      <c r="AG181" s="37">
        <f t="shared" si="249"/>
        <v>0</v>
      </c>
      <c r="AH181" s="76">
        <f t="shared" ca="1" si="241"/>
        <v>0</v>
      </c>
      <c r="AI181" s="76">
        <f ca="1">S$81</f>
        <v>0</v>
      </c>
      <c r="AJ181" s="76">
        <f t="shared" ca="1" si="242"/>
        <v>0</v>
      </c>
      <c r="AK181" s="21"/>
      <c r="AL181" s="21"/>
      <c r="AM181" s="19"/>
      <c r="AN181" s="19"/>
    </row>
    <row r="182" spans="2:40">
      <c r="B182" s="175" t="str">
        <f>"Capital spent in Year "&amp;T$164</f>
        <v>Capital spent in Year 2034</v>
      </c>
      <c r="C182" s="51"/>
      <c r="D182" s="51"/>
      <c r="E182" s="51"/>
      <c r="F182" s="51"/>
      <c r="G182" s="51"/>
      <c r="H182" s="51"/>
      <c r="I182" s="51"/>
      <c r="J182" s="51"/>
      <c r="K182" s="51"/>
      <c r="L182" s="51"/>
      <c r="M182" s="51"/>
      <c r="N182" s="51"/>
      <c r="O182" s="51"/>
      <c r="P182" s="51"/>
      <c r="Q182" s="51"/>
      <c r="R182" s="51"/>
      <c r="S182" s="51"/>
      <c r="T182" s="37">
        <f t="shared" ref="T182:AG182" ca="1" si="250">IF(((T$164+1)-$T$164)&gt;$AA$10,0,IF($AA$9="SLN", SLN($T$81,-$T$81*$AA$11,$AA$10), IF($AA$9="DB", DB(-$T$81,-$T$81*$AA$11,$AA$10,(T$164+1)-$T$164), IF($AA$9="DDB", DDB(-$T$81,-$T$81*$AA$11,$AA$10,(T$164+1)-$T$164),"Error"))))</f>
        <v>0</v>
      </c>
      <c r="U182" s="37">
        <f t="shared" ca="1" si="250"/>
        <v>0</v>
      </c>
      <c r="V182" s="37">
        <f t="shared" ca="1" si="250"/>
        <v>0</v>
      </c>
      <c r="W182" s="37">
        <f t="shared" ca="1" si="250"/>
        <v>0</v>
      </c>
      <c r="X182" s="37">
        <f t="shared" ca="1" si="250"/>
        <v>0</v>
      </c>
      <c r="Y182" s="37">
        <f t="shared" ca="1" si="250"/>
        <v>0</v>
      </c>
      <c r="Z182" s="37">
        <f t="shared" ca="1" si="250"/>
        <v>0</v>
      </c>
      <c r="AA182" s="37">
        <f t="shared" ca="1" si="250"/>
        <v>0</v>
      </c>
      <c r="AB182" s="37">
        <f t="shared" ca="1" si="250"/>
        <v>0</v>
      </c>
      <c r="AC182" s="37">
        <f t="shared" ca="1" si="250"/>
        <v>0</v>
      </c>
      <c r="AD182" s="37">
        <f t="shared" si="250"/>
        <v>0</v>
      </c>
      <c r="AE182" s="37">
        <f t="shared" si="250"/>
        <v>0</v>
      </c>
      <c r="AF182" s="37">
        <f t="shared" si="250"/>
        <v>0</v>
      </c>
      <c r="AG182" s="37">
        <f t="shared" si="250"/>
        <v>0</v>
      </c>
      <c r="AH182" s="76">
        <f t="shared" ca="1" si="241"/>
        <v>0</v>
      </c>
      <c r="AI182" s="76">
        <f ca="1">T$81</f>
        <v>0</v>
      </c>
      <c r="AJ182" s="76">
        <f t="shared" ca="1" si="242"/>
        <v>0</v>
      </c>
      <c r="AK182" s="21"/>
      <c r="AL182" s="21"/>
      <c r="AM182" s="19"/>
      <c r="AN182" s="19"/>
    </row>
    <row r="183" spans="2:40">
      <c r="B183" s="175" t="str">
        <f>"Capital spent in Year "&amp;U$164</f>
        <v>Capital spent in Year 2035</v>
      </c>
      <c r="C183" s="51"/>
      <c r="D183" s="51"/>
      <c r="E183" s="51"/>
      <c r="F183" s="51"/>
      <c r="G183" s="51"/>
      <c r="H183" s="51"/>
      <c r="I183" s="51"/>
      <c r="J183" s="51"/>
      <c r="K183" s="51"/>
      <c r="L183" s="51"/>
      <c r="M183" s="51"/>
      <c r="N183" s="51"/>
      <c r="O183" s="51"/>
      <c r="P183" s="51"/>
      <c r="Q183" s="51"/>
      <c r="R183" s="51"/>
      <c r="S183" s="51"/>
      <c r="T183" s="51"/>
      <c r="U183" s="37">
        <f t="shared" ref="U183:AG183" ca="1" si="251">IF(((U$164+1)-$U$164)&gt;$AA$10,0,IF($AA$9="SLN", SLN($U$81,-$U$81*$AA$11,$AA$10), IF($AA$9="DB", DB(-$U$81,-$U$81*$AA$11,$AA$10,(U$164+1)-$U$164), IF($AA$9="DDB", DDB(-$U$81,-$U$81*$AA$11,$AA$10,(U$164+1)-$U$164),"Error"))))</f>
        <v>0</v>
      </c>
      <c r="V183" s="37">
        <f t="shared" ca="1" si="251"/>
        <v>0</v>
      </c>
      <c r="W183" s="37">
        <f t="shared" ca="1" si="251"/>
        <v>0</v>
      </c>
      <c r="X183" s="37">
        <f t="shared" ca="1" si="251"/>
        <v>0</v>
      </c>
      <c r="Y183" s="37">
        <f t="shared" ca="1" si="251"/>
        <v>0</v>
      </c>
      <c r="Z183" s="37">
        <f t="shared" ca="1" si="251"/>
        <v>0</v>
      </c>
      <c r="AA183" s="37">
        <f t="shared" ca="1" si="251"/>
        <v>0</v>
      </c>
      <c r="AB183" s="37">
        <f t="shared" ca="1" si="251"/>
        <v>0</v>
      </c>
      <c r="AC183" s="37">
        <f t="shared" ca="1" si="251"/>
        <v>0</v>
      </c>
      <c r="AD183" s="37">
        <f t="shared" ca="1" si="251"/>
        <v>0</v>
      </c>
      <c r="AE183" s="37">
        <f t="shared" si="251"/>
        <v>0</v>
      </c>
      <c r="AF183" s="37">
        <f t="shared" si="251"/>
        <v>0</v>
      </c>
      <c r="AG183" s="37">
        <f t="shared" si="251"/>
        <v>0</v>
      </c>
      <c r="AH183" s="76">
        <f t="shared" ca="1" si="241"/>
        <v>0</v>
      </c>
      <c r="AI183" s="76">
        <f ca="1">U$81</f>
        <v>0</v>
      </c>
      <c r="AJ183" s="76">
        <f t="shared" ca="1" si="242"/>
        <v>0</v>
      </c>
      <c r="AK183" s="19"/>
      <c r="AL183" s="19"/>
      <c r="AM183" s="21"/>
      <c r="AN183" s="19"/>
    </row>
    <row r="184" spans="2:40">
      <c r="B184" s="175" t="str">
        <f>"Capital spent in Year "&amp;V$164</f>
        <v>Capital spent in Year 2036</v>
      </c>
      <c r="C184" s="51"/>
      <c r="D184" s="51"/>
      <c r="E184" s="51"/>
      <c r="F184" s="51"/>
      <c r="G184" s="51"/>
      <c r="H184" s="51"/>
      <c r="I184" s="51"/>
      <c r="J184" s="51"/>
      <c r="K184" s="51"/>
      <c r="L184" s="51"/>
      <c r="M184" s="51"/>
      <c r="N184" s="51"/>
      <c r="O184" s="51"/>
      <c r="P184" s="51"/>
      <c r="Q184" s="51"/>
      <c r="R184" s="51"/>
      <c r="S184" s="51"/>
      <c r="T184" s="51"/>
      <c r="U184" s="51"/>
      <c r="V184" s="37">
        <f t="shared" ref="V184:AG184" ca="1" si="252">IF(((V$164+1)-$V$164)&gt;$AA$10,0,IF($AA$9="SLN", SLN($V$81,-$V$81*$AA$11,$AA$10), IF($AA$9="DB", DB(-$V$81,-$V$81*$AA$11,$AA$10,(V$164+1)-$V$164), IF($AA$9="DDB", DDB(-$V$81,-$V$81*$AA$11,$AA$10,(V$164+1)-$V$164),"Error"))))</f>
        <v>0</v>
      </c>
      <c r="W184" s="37">
        <f t="shared" ca="1" si="252"/>
        <v>0</v>
      </c>
      <c r="X184" s="37">
        <f t="shared" ca="1" si="252"/>
        <v>0</v>
      </c>
      <c r="Y184" s="37">
        <f t="shared" ca="1" si="252"/>
        <v>0</v>
      </c>
      <c r="Z184" s="37">
        <f t="shared" ca="1" si="252"/>
        <v>0</v>
      </c>
      <c r="AA184" s="37">
        <f t="shared" ca="1" si="252"/>
        <v>0</v>
      </c>
      <c r="AB184" s="37">
        <f t="shared" ca="1" si="252"/>
        <v>0</v>
      </c>
      <c r="AC184" s="37">
        <f t="shared" ca="1" si="252"/>
        <v>0</v>
      </c>
      <c r="AD184" s="37">
        <f t="shared" ca="1" si="252"/>
        <v>0</v>
      </c>
      <c r="AE184" s="37">
        <f t="shared" ca="1" si="252"/>
        <v>0</v>
      </c>
      <c r="AF184" s="37">
        <f t="shared" si="252"/>
        <v>0</v>
      </c>
      <c r="AG184" s="37">
        <f t="shared" si="252"/>
        <v>0</v>
      </c>
      <c r="AH184" s="76">
        <f t="shared" ca="1" si="241"/>
        <v>0</v>
      </c>
      <c r="AI184" s="76">
        <f ca="1">V$81</f>
        <v>0</v>
      </c>
      <c r="AJ184" s="76">
        <f t="shared" ca="1" si="242"/>
        <v>0</v>
      </c>
      <c r="AK184" s="19"/>
      <c r="AL184" s="19"/>
      <c r="AM184" s="21"/>
      <c r="AN184" s="19"/>
    </row>
    <row r="185" spans="2:40">
      <c r="B185" s="175" t="str">
        <f>"Capital spent in Year "&amp;W$164</f>
        <v>Capital spent in Year 2037</v>
      </c>
      <c r="C185" s="51"/>
      <c r="D185" s="51"/>
      <c r="E185" s="51"/>
      <c r="F185" s="51"/>
      <c r="G185" s="51"/>
      <c r="H185" s="51"/>
      <c r="I185" s="51"/>
      <c r="J185" s="51"/>
      <c r="K185" s="51"/>
      <c r="L185" s="51"/>
      <c r="M185" s="51"/>
      <c r="N185" s="51"/>
      <c r="O185" s="51"/>
      <c r="P185" s="51"/>
      <c r="Q185" s="51"/>
      <c r="R185" s="51"/>
      <c r="S185" s="51"/>
      <c r="T185" s="51"/>
      <c r="U185" s="51"/>
      <c r="V185" s="51"/>
      <c r="W185" s="37">
        <f t="shared" ref="W185:AG185" ca="1" si="253">IF(((W$164+1)-$W$164)&gt;$AA$10,0,IF($AA$9="SLN", SLN($W$81,-$W$81*$AA$11,$AA$10), IF($AA$9="DB", DB(-$W$81,-$W$81*$AA$11,$AA$10,(W$164+1)-$W$164), IF($AA$9="DDB", DDB(-$W$81,-$W$81*$AA$11,$AA$10,(W$164+1)-$W$164),"Error"))))</f>
        <v>0</v>
      </c>
      <c r="X185" s="37">
        <f t="shared" ca="1" si="253"/>
        <v>0</v>
      </c>
      <c r="Y185" s="37">
        <f t="shared" ca="1" si="253"/>
        <v>0</v>
      </c>
      <c r="Z185" s="37">
        <f t="shared" ca="1" si="253"/>
        <v>0</v>
      </c>
      <c r="AA185" s="37">
        <f t="shared" ca="1" si="253"/>
        <v>0</v>
      </c>
      <c r="AB185" s="37">
        <f t="shared" ca="1" si="253"/>
        <v>0</v>
      </c>
      <c r="AC185" s="37">
        <f t="shared" ca="1" si="253"/>
        <v>0</v>
      </c>
      <c r="AD185" s="37">
        <f t="shared" ca="1" si="253"/>
        <v>0</v>
      </c>
      <c r="AE185" s="37">
        <f t="shared" ca="1" si="253"/>
        <v>0</v>
      </c>
      <c r="AF185" s="37">
        <f t="shared" ca="1" si="253"/>
        <v>0</v>
      </c>
      <c r="AG185" s="37">
        <f t="shared" si="253"/>
        <v>0</v>
      </c>
      <c r="AH185" s="76">
        <f t="shared" ca="1" si="241"/>
        <v>0</v>
      </c>
      <c r="AI185" s="76">
        <f ca="1">W$81</f>
        <v>0</v>
      </c>
      <c r="AJ185" s="76">
        <f t="shared" ca="1" si="242"/>
        <v>0</v>
      </c>
      <c r="AK185" s="19"/>
      <c r="AL185" s="19"/>
      <c r="AM185" s="21"/>
      <c r="AN185" s="19"/>
    </row>
    <row r="186" spans="2:40">
      <c r="B186" s="175" t="str">
        <f>"Capital spent in Year "&amp;X$164</f>
        <v>Capital spent in Year 2038</v>
      </c>
      <c r="C186" s="51"/>
      <c r="D186" s="51"/>
      <c r="E186" s="51"/>
      <c r="F186" s="51"/>
      <c r="G186" s="51"/>
      <c r="H186" s="51"/>
      <c r="I186" s="51"/>
      <c r="J186" s="51"/>
      <c r="K186" s="51"/>
      <c r="L186" s="51"/>
      <c r="M186" s="51"/>
      <c r="N186" s="51"/>
      <c r="O186" s="51"/>
      <c r="P186" s="51"/>
      <c r="Q186" s="51"/>
      <c r="R186" s="51"/>
      <c r="S186" s="51"/>
      <c r="T186" s="51"/>
      <c r="U186" s="51"/>
      <c r="V186" s="51"/>
      <c r="W186" s="51"/>
      <c r="X186" s="37">
        <f t="shared" ref="X186:AG186" ca="1" si="254">IF(((X$164+1)-$X$164)&gt;$AA$10,0,IF($AA$9="SLN", SLN($X$81,-$X$81*$AA$11,$AA$10), IF($AA$9="DB", DB(-$X$81,-$X$81*$AA$11,$AA$10,(X$164+1)-$X$164), IF($AA$9="DDB", DDB(-$X$81,-$X$81*$AA$11,$AA$10,(X$164+1)-$X$164),"Error"))))</f>
        <v>3</v>
      </c>
      <c r="Y186" s="37">
        <f t="shared" ca="1" si="254"/>
        <v>2.4000000000000004</v>
      </c>
      <c r="Z186" s="37">
        <f t="shared" ca="1" si="254"/>
        <v>1.9200000000000004</v>
      </c>
      <c r="AA186" s="37">
        <f t="shared" ca="1" si="254"/>
        <v>1.5360000000000005</v>
      </c>
      <c r="AB186" s="37">
        <f t="shared" ca="1" si="254"/>
        <v>1.2288000000000006</v>
      </c>
      <c r="AC186" s="37">
        <f t="shared" ca="1" si="254"/>
        <v>0.98304000000000069</v>
      </c>
      <c r="AD186" s="37">
        <f t="shared" ca="1" si="254"/>
        <v>0.78643200000000046</v>
      </c>
      <c r="AE186" s="37">
        <f t="shared" ca="1" si="254"/>
        <v>0.62914560000000053</v>
      </c>
      <c r="AF186" s="37">
        <f t="shared" ca="1" si="254"/>
        <v>0.5033164800000004</v>
      </c>
      <c r="AG186" s="37">
        <f t="shared" ca="1" si="254"/>
        <v>0.40265318400000033</v>
      </c>
      <c r="AH186" s="76">
        <f t="shared" ca="1" si="241"/>
        <v>-13.389387264000003</v>
      </c>
      <c r="AI186" s="76">
        <f ca="1">X$81</f>
        <v>-15</v>
      </c>
      <c r="AJ186" s="76">
        <f t="shared" ca="1" si="242"/>
        <v>-1.6106127359999967</v>
      </c>
      <c r="AK186" s="19"/>
      <c r="AL186" s="19"/>
      <c r="AM186" s="21"/>
      <c r="AN186" s="19"/>
    </row>
    <row r="187" spans="2:40">
      <c r="B187" s="175" t="str">
        <f>"Capital spent in Year "&amp;Y$164</f>
        <v>Capital spent in Year 2039</v>
      </c>
      <c r="C187" s="51"/>
      <c r="D187" s="51"/>
      <c r="E187" s="51"/>
      <c r="F187" s="51"/>
      <c r="G187" s="51"/>
      <c r="H187" s="51"/>
      <c r="I187" s="51"/>
      <c r="J187" s="51"/>
      <c r="K187" s="51"/>
      <c r="L187" s="51"/>
      <c r="M187" s="51"/>
      <c r="N187" s="51"/>
      <c r="O187" s="51"/>
      <c r="P187" s="51"/>
      <c r="Q187" s="51"/>
      <c r="R187" s="51"/>
      <c r="S187" s="51"/>
      <c r="T187" s="51"/>
      <c r="U187" s="51"/>
      <c r="V187" s="51"/>
      <c r="W187" s="51"/>
      <c r="X187" s="51"/>
      <c r="Y187" s="37">
        <f t="shared" ref="Y187:AG187" ca="1" si="255">IF(((Y$164+1)-$Y$164)&gt;$AA$10,0,IF($AA$9="SLN", SLN($Y$81,-$Y$81*$AA$11,$AA$10), IF($AA$9="DB", DB(-$Y$81,-$Y$81*$AA$11,$AA$10,(Y$164+1)-$Y$164), IF($AA$9="DDB", DDB(-$Y$81,-$Y$81*$AA$11,$AA$10,(Y$164+1)-$Y$164),"Error"))))</f>
        <v>0</v>
      </c>
      <c r="Z187" s="37">
        <f t="shared" ca="1" si="255"/>
        <v>0</v>
      </c>
      <c r="AA187" s="37">
        <f t="shared" ca="1" si="255"/>
        <v>0</v>
      </c>
      <c r="AB187" s="37">
        <f t="shared" ca="1" si="255"/>
        <v>0</v>
      </c>
      <c r="AC187" s="37">
        <f t="shared" ca="1" si="255"/>
        <v>0</v>
      </c>
      <c r="AD187" s="37">
        <f t="shared" ca="1" si="255"/>
        <v>0</v>
      </c>
      <c r="AE187" s="37">
        <f t="shared" ca="1" si="255"/>
        <v>0</v>
      </c>
      <c r="AF187" s="37">
        <f t="shared" ca="1" si="255"/>
        <v>0</v>
      </c>
      <c r="AG187" s="37">
        <f t="shared" ca="1" si="255"/>
        <v>0</v>
      </c>
      <c r="AH187" s="76">
        <f t="shared" ca="1" si="241"/>
        <v>0</v>
      </c>
      <c r="AI187" s="76">
        <f ca="1">Y$81</f>
        <v>0</v>
      </c>
      <c r="AJ187" s="76">
        <f t="shared" ca="1" si="242"/>
        <v>0</v>
      </c>
      <c r="AK187" s="19"/>
      <c r="AL187" s="19"/>
      <c r="AM187" s="21"/>
      <c r="AN187" s="19"/>
    </row>
    <row r="188" spans="2:40">
      <c r="B188" s="175" t="str">
        <f>"Capital spent in Year "&amp;Z$164</f>
        <v>Capital spent in Year 2040</v>
      </c>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37">
        <f t="shared" ref="Z188:AG188" ca="1" si="256">IF(((Z$164+1)-$Z$164)&gt;$AA$10,0,IF($AA$9="SLN", SLN($Z$81,-$Z$81*$AA$11,$AA$10), IF($AA$9="DB", DB(-$Z$81,-$Z$81*$AA$11,$AA$10,(Z$164+1)-$Z$164), IF($AA$9="DDB", DDB(-$Z$81,-$Z$81*$AA$11,$AA$10,(Z$164+1)-$Z$164),"Error"))))</f>
        <v>0</v>
      </c>
      <c r="AA188" s="37">
        <f t="shared" ca="1" si="256"/>
        <v>0</v>
      </c>
      <c r="AB188" s="37">
        <f t="shared" ca="1" si="256"/>
        <v>0</v>
      </c>
      <c r="AC188" s="37">
        <f t="shared" ca="1" si="256"/>
        <v>0</v>
      </c>
      <c r="AD188" s="37">
        <f t="shared" ca="1" si="256"/>
        <v>0</v>
      </c>
      <c r="AE188" s="37">
        <f t="shared" ca="1" si="256"/>
        <v>0</v>
      </c>
      <c r="AF188" s="37">
        <f t="shared" ca="1" si="256"/>
        <v>0</v>
      </c>
      <c r="AG188" s="37">
        <f t="shared" ca="1" si="256"/>
        <v>0</v>
      </c>
      <c r="AH188" s="76">
        <f t="shared" ca="1" si="241"/>
        <v>0</v>
      </c>
      <c r="AI188" s="76">
        <f ca="1">Z$81</f>
        <v>0</v>
      </c>
      <c r="AJ188" s="76">
        <f t="shared" ca="1" si="242"/>
        <v>0</v>
      </c>
      <c r="AK188" s="19"/>
      <c r="AL188" s="19"/>
      <c r="AM188" s="21"/>
      <c r="AN188" s="19"/>
    </row>
    <row r="189" spans="2:40">
      <c r="B189" s="175" t="str">
        <f>"Capital spent in Year "&amp;AA$164</f>
        <v>Capital spent in Year 2041</v>
      </c>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37">
        <f t="shared" ref="AA189:AG189" ca="1" si="257">IF(((AA$164+1)-$AA$164)&gt;$AA$10,0,IF($AA$9="SLN", SLN($AA$81,-$AA$81*$AA$11,$AA$10), IF($AA$9="DB", DB(-$AA$81,-$AA$81*$AA$11,$AA$10,(AA$164+1)-$AA$164), IF($AA$9="DDB", DDB(-$AA$81,-$AA$81*$AA$11,$AA$10,(AA$164+1)-$AA$164),"Error"))))</f>
        <v>0</v>
      </c>
      <c r="AB189" s="37">
        <f t="shared" ca="1" si="257"/>
        <v>0</v>
      </c>
      <c r="AC189" s="37">
        <f t="shared" ca="1" si="257"/>
        <v>0</v>
      </c>
      <c r="AD189" s="37">
        <f t="shared" ca="1" si="257"/>
        <v>0</v>
      </c>
      <c r="AE189" s="37">
        <f t="shared" ca="1" si="257"/>
        <v>0</v>
      </c>
      <c r="AF189" s="37">
        <f t="shared" ca="1" si="257"/>
        <v>0</v>
      </c>
      <c r="AG189" s="37">
        <f t="shared" ca="1" si="257"/>
        <v>0</v>
      </c>
      <c r="AH189" s="76">
        <f t="shared" ca="1" si="241"/>
        <v>0</v>
      </c>
      <c r="AI189" s="76">
        <f ca="1">AA$81</f>
        <v>0</v>
      </c>
      <c r="AJ189" s="76">
        <f t="shared" ca="1" si="242"/>
        <v>0</v>
      </c>
      <c r="AK189" s="19"/>
      <c r="AL189" s="19"/>
      <c r="AM189" s="21"/>
      <c r="AN189" s="19"/>
    </row>
    <row r="190" spans="2:40">
      <c r="B190" s="175" t="str">
        <f>"Capital spent in Year "&amp;AB$164</f>
        <v>Capital spent in Year 2042</v>
      </c>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37">
        <f t="shared" ref="AB190:AG190" ca="1" si="258">IF(((AB$164+1)-$AB$164)&gt;$AA$10,0,IF($AA$9="SLN", SLN($AB$81,-$AB$81*$AA$11,$AA$10), IF($AA$9="DB", DB(-$AB$81,-$AB$81*$AA$11,$AA$10,(AB$164+1)-$AB$164), IF($AA$9="DDB", DDB(-$AB$81,-$AB$81*$AA$11,$AA$10,(AB$164+1)-$AB$164),"Error"))))</f>
        <v>0</v>
      </c>
      <c r="AC190" s="37">
        <f t="shared" ca="1" si="258"/>
        <v>0</v>
      </c>
      <c r="AD190" s="37">
        <f t="shared" ca="1" si="258"/>
        <v>0</v>
      </c>
      <c r="AE190" s="37">
        <f t="shared" ca="1" si="258"/>
        <v>0</v>
      </c>
      <c r="AF190" s="37">
        <f t="shared" ca="1" si="258"/>
        <v>0</v>
      </c>
      <c r="AG190" s="37">
        <f t="shared" ca="1" si="258"/>
        <v>0</v>
      </c>
      <c r="AH190" s="76">
        <f t="shared" ca="1" si="241"/>
        <v>0</v>
      </c>
      <c r="AI190" s="76">
        <f ca="1">AB$81</f>
        <v>0</v>
      </c>
      <c r="AJ190" s="76">
        <f t="shared" ca="1" si="242"/>
        <v>0</v>
      </c>
      <c r="AK190" s="19"/>
      <c r="AL190" s="19"/>
      <c r="AM190" s="21"/>
      <c r="AN190" s="19"/>
    </row>
    <row r="191" spans="2:40">
      <c r="B191" s="175" t="str">
        <f>"Capital spent in Year "&amp;AC$164</f>
        <v>Capital spent in Year 2043</v>
      </c>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37">
        <f ca="1">IF(((AC$164+1)-$AC$164)&gt;$AA$10,0,IF($AA$9="SLN", SLN($AC$81,-$AC$81*$AA$11,$AA$10), IF($AA$9="DB", DB(-$AC$81,-$AC$81*$AA$11,$AA$10,(AC$164+1)-$AC$164), IF($AA$9="DDB", DDB(-$AC$81,-$AC$81*$AA$11,$AA$10,(AC$164+1)-$AC$164),"Error"))))</f>
        <v>0</v>
      </c>
      <c r="AD191" s="37">
        <f ca="1">IF(((AD$164+1)-$AC$164)&gt;$AA$10,0,IF($AA$9="SLN", SLN($AC$81,-$AC$81*$AA$11,$AA$10), IF($AA$9="DB", DB(-$AC$81,-$AC$81*$AA$11,$AA$10,(AD$164+1)-$AC$164), IF($AA$9="DDB", DDB(-$AC$81,-$AC$81*$AA$11,$AA$10,(AD$164+1)-$AC$164),"Error"))))</f>
        <v>0</v>
      </c>
      <c r="AE191" s="37">
        <f ca="1">IF(((AE$164+1)-$AC$164)&gt;$AA$10,0,IF($AA$9="SLN", SLN($AC$81,-$AC$81*$AA$11,$AA$10), IF($AA$9="DB", DB(-$AC$81,-$AC$81*$AA$11,$AA$10,(AE$164+1)-$AC$164), IF($AA$9="DDB", DDB(-$AC$81,-$AC$81*$AA$11,$AA$10,(AE$164+1)-$AC$164),"Error"))))</f>
        <v>0</v>
      </c>
      <c r="AF191" s="37">
        <f ca="1">IF(((AF$164+1)-$AC$164)&gt;$AA$10,0,IF($AA$9="SLN", SLN($AC$81,-$AC$81*$AA$11,$AA$10), IF($AA$9="DB", DB(-$AC$81,-$AC$81*$AA$11,$AA$10,(AF$164+1)-$AC$164), IF($AA$9="DDB", DDB(-$AC$81,-$AC$81*$AA$11,$AA$10,(AF$164+1)-$AC$164),"Error"))))</f>
        <v>0</v>
      </c>
      <c r="AG191" s="37">
        <f ca="1">IF(((AG$164+1)-$AC$164)&gt;$AA$10,0,IF($AA$9="SLN", SLN($AC$81,-$AC$81*$AA$11,$AA$10), IF($AA$9="DB", DB(-$AC$81,-$AC$81*$AA$11,$AA$10,(AG$164+1)-$AC$164), IF($AA$9="DDB", DDB(-$AC$81,-$AC$81*$AA$11,$AA$10,(AG$164+1)-$AC$164),"Error"))))</f>
        <v>0</v>
      </c>
      <c r="AH191" s="76">
        <f t="shared" ca="1" si="241"/>
        <v>0</v>
      </c>
      <c r="AI191" s="76">
        <f ca="1">AC$81</f>
        <v>0</v>
      </c>
      <c r="AJ191" s="76">
        <f t="shared" ca="1" si="242"/>
        <v>0</v>
      </c>
      <c r="AK191" s="19"/>
      <c r="AL191" s="19"/>
      <c r="AM191" s="21"/>
      <c r="AN191" s="19"/>
    </row>
    <row r="192" spans="2:40">
      <c r="B192" s="175" t="str">
        <f>"Capital spent in Year "&amp;AD$164</f>
        <v>Capital spent in Year 2044</v>
      </c>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37">
        <f ca="1">IF(((AD$164+1)-$AD$164)&gt;$AA$10,0,IF($AA$9="SLN", SLN($AD$81,-$AD$81*$AA$11,$AA$10), IF($AA$9="DB", DB(-$AD$81,-$AD$81*$AA$11,$AA$10,(AD$164+1)-$AD$164), IF($AA$9="DDB", DDB(-$AD$81,-$AD$81*$AA$11,$AA$10,(AD$164+1)-$AD$164),"Error"))))</f>
        <v>0</v>
      </c>
      <c r="AE192" s="37">
        <f ca="1">IF(((AE$164+1)-$AD$164)&gt;$AA$10,0,IF($AA$9="SLN", SLN($AD$81,-$AD$81*$AA$11,$AA$10), IF($AA$9="DB", DB(-$AD$81,-$AD$81*$AA$11,$AA$10,(AE$164+1)-$AD$164), IF($AA$9="DDB", DDB(-$AD$81,-$AD$81*$AA$11,$AA$10,(AE$164+1)-$AD$164),"Error"))))</f>
        <v>0</v>
      </c>
      <c r="AF192" s="37">
        <f ca="1">IF(((AF$164+1)-$AD$164)&gt;$AA$10,0,IF($AA$9="SLN", SLN($AD$81,-$AD$81*$AA$11,$AA$10), IF($AA$9="DB", DB(-$AD$81,-$AD$81*$AA$11,$AA$10,(AF$164+1)-$AD$164), IF($AA$9="DDB", DDB(-$AD$81,-$AD$81*$AA$11,$AA$10,(AF$164+1)-$AD$164),"Error"))))</f>
        <v>0</v>
      </c>
      <c r="AG192" s="37">
        <f ca="1">IF(((AG$164+1)-$AD$164)&gt;$AA$10,0,IF($AA$9="SLN", SLN($AD$81,-$AD$81*$AA$11,$AA$10), IF($AA$9="DB", DB(-$AD$81,-$AD$81*$AA$11,$AA$10,(AG$164+1)-$AD$164), IF($AA$9="DDB", DDB(-$AD$81,-$AD$81*$AA$11,$AA$10,(AG$164+1)-$AD$164),"Error"))))</f>
        <v>0</v>
      </c>
      <c r="AH192" s="76">
        <f t="shared" ca="1" si="241"/>
        <v>0</v>
      </c>
      <c r="AI192" s="76">
        <f ca="1">AD$81</f>
        <v>0</v>
      </c>
      <c r="AJ192" s="76">
        <f t="shared" ca="1" si="242"/>
        <v>0</v>
      </c>
      <c r="AK192" s="19"/>
      <c r="AL192" s="19"/>
      <c r="AM192" s="21"/>
      <c r="AN192" s="19"/>
    </row>
    <row r="193" spans="2:40">
      <c r="B193" s="175" t="str">
        <f>"Capital spent in Year "&amp;AE$164</f>
        <v>Capital spent in Year 2045</v>
      </c>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37">
        <f ca="1">IF(((AE$164+1)-$AE$164)&gt;$AA$10,0,IF($AA$9="SLN", SLN($AE$81,-$AE$81*$AA$11,$AA$10), IF($AA$9="DB", DB(-$AE$81,-$AE$81*$AA$11,$AA$10,(AE$164+1)-$AE$164), IF($AA$9="DDB", DDB(-$AE$81,-$AE$81*$AA$11,$AA$10,(AE$164+1)-$AE$164),"Error"))))</f>
        <v>0</v>
      </c>
      <c r="AF193" s="37">
        <f ca="1">IF(((AF$164+1)-$AE$164)&gt;$AA$10,0,IF($AA$9="SLN", SLN($AE$81,-$AE$81*$AA$11,$AA$10), IF($AA$9="DB", DB(-$AE$81,-$AE$81*$AA$11,$AA$10,(AF$164+1)-$AE$164), IF($AA$9="DDB", DDB(-$AE$81,-$AE$81*$AA$11,$AA$10,(AF$164+1)-$AE$164),"Error"))))</f>
        <v>0</v>
      </c>
      <c r="AG193" s="37">
        <f ca="1">IF(((AG$164+1)-$AE$164)&gt;$AA$10,0,IF($AA$9="SLN", SLN($AE$81,-$AE$81*$AA$11,$AA$10), IF($AA$9="DB", DB(-$AE$81,-$AE$81*$AA$11,$AA$10,(AG$164+1)-$AE$164), IF($AA$9="DDB", DDB(-$AE$81,-$AE$81*$AA$11,$AA$10,(AG$164+1)-$AE$164),"Error"))))</f>
        <v>0</v>
      </c>
      <c r="AH193" s="76">
        <f t="shared" ca="1" si="241"/>
        <v>0</v>
      </c>
      <c r="AI193" s="76">
        <f ca="1">AE$81</f>
        <v>0</v>
      </c>
      <c r="AJ193" s="76">
        <f t="shared" ca="1" si="242"/>
        <v>0</v>
      </c>
      <c r="AK193" s="19"/>
      <c r="AL193" s="19"/>
      <c r="AM193" s="21"/>
      <c r="AN193" s="19"/>
    </row>
    <row r="194" spans="2:40">
      <c r="B194" s="175" t="str">
        <f>"Capital spent in Year "&amp;AF$164</f>
        <v>Capital spent in Year 2046</v>
      </c>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37">
        <f ca="1">IF(((AF$164+1)-$AF$164)&gt;$AA$10,0,IF($AA$9="SLN", SLN($AF$81,-$AF$81*$AA$11,$AA$10), IF($AA$9="DB", DB(-$AF$81,-$AF$81*$AA$11,$AA$10,(AF$164+1)-$AF$164), IF($AA$9="DDB", DDB(-$AF$81,-$AF$81*$AA$11,$AA$10,(AF$164+1)-$AF$164),"Error"))))</f>
        <v>0</v>
      </c>
      <c r="AG194" s="37">
        <f ca="1">IF(((AG$164+1)-$AF$164)&gt;$AA$10,0,IF($AA$9="SLN", SLN($AF$81,-$AF$81*$AA$11,$AA$10), IF($AA$9="DB", DB(-$AF$81,-$AF$81*$AA$11,$AA$10,(AG$164+1)-$AF$164), IF($AA$9="DDB", DDB(-$AF$81,-$AF$81*$AA$11,$AA$10,(AG$164+1)-$AF$164),"Error"))))</f>
        <v>0</v>
      </c>
      <c r="AH194" s="76">
        <f t="shared" ca="1" si="241"/>
        <v>0</v>
      </c>
      <c r="AI194" s="76">
        <f ca="1">AF$81</f>
        <v>0</v>
      </c>
      <c r="AJ194" s="76">
        <f t="shared" ca="1" si="242"/>
        <v>0</v>
      </c>
      <c r="AK194" s="19"/>
      <c r="AL194" s="19"/>
      <c r="AM194" s="21"/>
      <c r="AN194" s="19"/>
    </row>
    <row r="195" spans="2:40">
      <c r="B195" s="175" t="str">
        <f>"Capital spent in Year "&amp;AG$164</f>
        <v>Capital spent in Year 2047</v>
      </c>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37">
        <f ca="1">IF(((AG$164+1)-$AG$164)&gt;$AA$10,0,IF($AA$9="SLN", SLN($AG$81,-$AG$81*$AA$11,$AA$10), IF($AA$9="DB", DB(-$AG$81,-$AG$81*$AA$11,$AA$10,(AG$164+1)-$AG$164), IF($AA$9="DDB", DDB(-$AG$81,-$AG$81*$AA$11,$AA$10,(AG$164+1)-$AG$164),"Error"))))</f>
        <v>0</v>
      </c>
      <c r="AH195" s="76">
        <f t="shared" ca="1" si="241"/>
        <v>0</v>
      </c>
      <c r="AI195" s="76">
        <f ca="1">AG$81</f>
        <v>0</v>
      </c>
      <c r="AJ195" s="76">
        <f t="shared" ca="1" si="242"/>
        <v>0</v>
      </c>
      <c r="AK195" s="19"/>
      <c r="AL195" s="19"/>
      <c r="AM195" s="21"/>
      <c r="AN195" s="19"/>
    </row>
    <row r="196" spans="2:40">
      <c r="B196" s="618" t="s">
        <v>167</v>
      </c>
      <c r="C196" s="59">
        <f>SUM(C165:C195)</f>
        <v>3.1</v>
      </c>
      <c r="D196" s="59">
        <f t="shared" ref="D196:K196" si="259">SUM(D165:D195)</f>
        <v>4.6800000000000006</v>
      </c>
      <c r="E196" s="59">
        <f t="shared" si="259"/>
        <v>4.7440000000000007</v>
      </c>
      <c r="F196" s="59">
        <f t="shared" si="259"/>
        <v>11.1952</v>
      </c>
      <c r="G196" s="59">
        <f t="shared" si="259"/>
        <v>35.156160000000007</v>
      </c>
      <c r="H196" s="59">
        <f t="shared" si="259"/>
        <v>44.124928000000004</v>
      </c>
      <c r="I196" s="59">
        <f t="shared" si="259"/>
        <v>46.399942400000008</v>
      </c>
      <c r="J196" s="59">
        <f t="shared" si="259"/>
        <v>45.619953920000007</v>
      </c>
      <c r="K196" s="59">
        <f t="shared" si="259"/>
        <v>44.195963136000017</v>
      </c>
      <c r="L196" s="59">
        <f t="shared" ref="L196:AF196" ca="1" si="260">SUM(L165:L195)</f>
        <v>42.356770508800011</v>
      </c>
      <c r="M196" s="59">
        <f t="shared" ca="1" si="260"/>
        <v>38.052556441600011</v>
      </c>
      <c r="N196" s="59">
        <f t="shared" ca="1" si="260"/>
        <v>36.605821952000014</v>
      </c>
      <c r="O196" s="59">
        <f t="shared" ca="1" si="260"/>
        <v>29.177283379200016</v>
      </c>
      <c r="P196" s="59">
        <f t="shared" ca="1" si="260"/>
        <v>22.547257753600014</v>
      </c>
      <c r="Q196" s="59">
        <f t="shared" ca="1" si="260"/>
        <v>15.224602624000012</v>
      </c>
      <c r="R196" s="59">
        <f t="shared" ca="1" si="260"/>
        <v>10.461695180800008</v>
      </c>
      <c r="S196" s="59">
        <f t="shared" ca="1" si="260"/>
        <v>7.177502720000005</v>
      </c>
      <c r="T196" s="59">
        <f t="shared" ca="1" si="260"/>
        <v>4.829321625600004</v>
      </c>
      <c r="U196" s="59">
        <f t="shared" ca="1" si="260"/>
        <v>3.0366760960000025</v>
      </c>
      <c r="V196" s="59">
        <f t="shared" ca="1" si="260"/>
        <v>1.6777216000000015</v>
      </c>
      <c r="W196" s="59">
        <f t="shared" ca="1" si="260"/>
        <v>0.85899345920000081</v>
      </c>
      <c r="X196" s="59">
        <f t="shared" ca="1" si="260"/>
        <v>3</v>
      </c>
      <c r="Y196" s="59">
        <f t="shared" ca="1" si="260"/>
        <v>2.4000000000000004</v>
      </c>
      <c r="Z196" s="59">
        <f t="shared" ca="1" si="260"/>
        <v>1.9200000000000004</v>
      </c>
      <c r="AA196" s="59">
        <f t="shared" ca="1" si="260"/>
        <v>1.5360000000000005</v>
      </c>
      <c r="AB196" s="59">
        <f t="shared" ca="1" si="260"/>
        <v>1.2288000000000006</v>
      </c>
      <c r="AC196" s="59">
        <f t="shared" ca="1" si="260"/>
        <v>0.98304000000000069</v>
      </c>
      <c r="AD196" s="59">
        <f t="shared" ca="1" si="260"/>
        <v>0.78643200000000046</v>
      </c>
      <c r="AE196" s="59">
        <f t="shared" ca="1" si="260"/>
        <v>0.62914560000000053</v>
      </c>
      <c r="AF196" s="59">
        <f t="shared" ca="1" si="260"/>
        <v>0.5033164800000004</v>
      </c>
      <c r="AG196" s="75">
        <f ca="1">-SUM(AG165:AG195)</f>
        <v>-0.40265318400000033</v>
      </c>
      <c r="AH196" s="76">
        <f ca="1">SUM(C196:AG196)</f>
        <v>463.80643169280017</v>
      </c>
      <c r="AI196" s="76">
        <f ca="1">SUM(AI165:AI195)</f>
        <v>-520.5</v>
      </c>
      <c r="AJ196" s="76">
        <f t="shared" ca="1" si="242"/>
        <v>-984.30643169280017</v>
      </c>
      <c r="AK196" s="19"/>
      <c r="AL196" s="19"/>
      <c r="AM196" s="21"/>
      <c r="AN196" s="19"/>
    </row>
    <row r="197" spans="2:40">
      <c r="B197" s="133"/>
      <c r="C197" s="133"/>
      <c r="D197" s="133"/>
      <c r="E197" s="133"/>
      <c r="F197" s="133"/>
      <c r="G197" s="173"/>
      <c r="H197" s="142"/>
      <c r="I197" s="133"/>
      <c r="J197" s="133"/>
      <c r="K197" s="133"/>
      <c r="L197" s="173"/>
      <c r="M197" s="133"/>
      <c r="N197" s="133"/>
      <c r="O197" s="133"/>
      <c r="P197" s="133"/>
      <c r="Q197" s="133"/>
      <c r="R197" s="133"/>
      <c r="S197" s="173"/>
      <c r="T197" s="142"/>
      <c r="U197" s="133"/>
      <c r="V197" s="133"/>
      <c r="W197" s="133"/>
      <c r="X197" s="173"/>
      <c r="Y197" s="133"/>
      <c r="Z197" s="133"/>
      <c r="AA197" s="133"/>
      <c r="AB197" s="133"/>
      <c r="AC197" s="133"/>
      <c r="AD197" s="133"/>
      <c r="AE197" s="173"/>
      <c r="AF197" s="142"/>
      <c r="AG197" s="133"/>
      <c r="AH197" s="133"/>
      <c r="AI197" s="133"/>
      <c r="AJ197" s="173"/>
      <c r="AK197" s="133"/>
      <c r="AL197" s="142"/>
      <c r="AM197" s="21"/>
      <c r="AN197" s="19"/>
    </row>
    <row r="198" spans="2:40">
      <c r="B198" s="133"/>
      <c r="C198" s="133"/>
      <c r="D198" s="133"/>
      <c r="E198" s="133"/>
      <c r="F198" s="133"/>
      <c r="G198" s="173"/>
      <c r="H198" s="142"/>
      <c r="I198" s="133"/>
      <c r="J198" s="133"/>
      <c r="K198" s="133"/>
      <c r="L198" s="173"/>
      <c r="M198" s="133"/>
      <c r="N198" s="133"/>
      <c r="O198" s="133"/>
      <c r="P198" s="133"/>
      <c r="Q198" s="133"/>
      <c r="R198" s="133"/>
      <c r="S198" s="173"/>
      <c r="T198" s="142"/>
      <c r="U198" s="133"/>
      <c r="V198" s="133"/>
      <c r="W198" s="133"/>
      <c r="X198" s="173"/>
      <c r="Y198" s="133"/>
      <c r="Z198" s="133"/>
      <c r="AA198" s="133"/>
      <c r="AB198" s="133"/>
      <c r="AC198" s="133"/>
      <c r="AD198" s="133"/>
      <c r="AE198" s="173"/>
      <c r="AF198" s="142"/>
      <c r="AG198" s="133"/>
      <c r="AH198" s="133"/>
      <c r="AI198" s="133"/>
      <c r="AJ198" s="173"/>
      <c r="AK198" s="133"/>
      <c r="AL198" s="142"/>
      <c r="AM198" s="21"/>
      <c r="AN198" s="19"/>
    </row>
    <row r="199" spans="2:40">
      <c r="B199" s="133"/>
      <c r="C199" s="133"/>
      <c r="D199" s="133"/>
      <c r="E199" s="133"/>
      <c r="F199" s="133"/>
      <c r="G199" s="173"/>
      <c r="H199" s="142"/>
      <c r="I199" s="133"/>
      <c r="J199" s="133"/>
      <c r="K199" s="133"/>
      <c r="L199" s="173"/>
      <c r="M199" s="133"/>
      <c r="N199" s="133"/>
      <c r="O199" s="133"/>
      <c r="P199" s="133"/>
      <c r="Q199" s="133"/>
      <c r="R199" s="133"/>
      <c r="S199" s="173"/>
      <c r="T199" s="142"/>
      <c r="U199" s="133"/>
      <c r="V199" s="133"/>
      <c r="W199" s="133"/>
      <c r="X199" s="173"/>
      <c r="Y199" s="133"/>
      <c r="Z199" s="133"/>
      <c r="AA199" s="133"/>
      <c r="AB199" s="133"/>
      <c r="AC199" s="133"/>
      <c r="AD199" s="133"/>
      <c r="AE199" s="173"/>
      <c r="AF199" s="142"/>
      <c r="AG199" s="133"/>
      <c r="AH199" s="133"/>
      <c r="AI199" s="133"/>
      <c r="AJ199" s="173"/>
      <c r="AK199" s="133"/>
      <c r="AL199" s="142"/>
      <c r="AM199" s="21"/>
      <c r="AN199" s="19"/>
    </row>
    <row r="200" spans="2:40">
      <c r="B200" s="133"/>
      <c r="C200" s="133"/>
      <c r="D200" s="133"/>
      <c r="E200" s="133"/>
      <c r="F200" s="133"/>
      <c r="G200" s="173"/>
      <c r="H200" s="142"/>
      <c r="I200" s="133"/>
      <c r="J200" s="133"/>
      <c r="K200" s="133"/>
      <c r="L200" s="173"/>
      <c r="M200" s="133"/>
      <c r="N200" s="133"/>
      <c r="O200" s="133"/>
      <c r="P200" s="133"/>
      <c r="Q200" s="133"/>
      <c r="R200" s="133"/>
      <c r="S200" s="133"/>
      <c r="T200" s="133"/>
      <c r="U200" s="133"/>
      <c r="V200" s="133"/>
      <c r="W200" s="133"/>
      <c r="X200" s="173"/>
      <c r="Y200" s="133"/>
      <c r="Z200" s="133"/>
      <c r="AA200" s="133"/>
      <c r="AB200" s="133"/>
      <c r="AC200" s="133"/>
      <c r="AD200" s="133"/>
      <c r="AE200" s="173"/>
      <c r="AF200" s="142"/>
      <c r="AG200" s="133"/>
      <c r="AH200" s="133"/>
      <c r="AI200" s="133"/>
      <c r="AJ200" s="173"/>
      <c r="AK200" s="133"/>
      <c r="AL200" s="142"/>
      <c r="AM200" s="21"/>
      <c r="AN200" s="19"/>
    </row>
    <row r="201" spans="2:40">
      <c r="B201" s="133"/>
      <c r="C201" s="133"/>
      <c r="D201" s="133"/>
      <c r="E201" s="133"/>
      <c r="F201" s="133"/>
      <c r="G201" s="173"/>
      <c r="H201" s="142"/>
      <c r="I201" s="133"/>
      <c r="J201" s="133"/>
      <c r="K201" s="133"/>
      <c r="L201" s="173"/>
      <c r="M201" s="133"/>
      <c r="N201" s="133"/>
      <c r="O201" s="133"/>
      <c r="P201" s="133"/>
      <c r="Q201" s="133"/>
      <c r="R201" s="133"/>
      <c r="S201" s="173"/>
      <c r="T201" s="142"/>
      <c r="U201" s="133"/>
      <c r="V201" s="133"/>
      <c r="W201" s="133"/>
      <c r="X201" s="173"/>
      <c r="Y201" s="133"/>
      <c r="Z201" s="133"/>
      <c r="AA201" s="133"/>
      <c r="AB201" s="133"/>
      <c r="AC201" s="133"/>
      <c r="AD201" s="133"/>
      <c r="AE201" s="173"/>
      <c r="AF201" s="142"/>
      <c r="AG201" s="133"/>
      <c r="AH201" s="133"/>
      <c r="AI201" s="133"/>
      <c r="AJ201" s="173"/>
      <c r="AK201" s="133"/>
      <c r="AL201" s="142"/>
      <c r="AM201" s="21"/>
      <c r="AN201" s="19"/>
    </row>
    <row r="202" spans="2:40">
      <c r="B202" s="133"/>
      <c r="C202" s="133"/>
      <c r="D202" s="133"/>
      <c r="E202" s="133"/>
      <c r="F202" s="133"/>
      <c r="G202" s="173"/>
      <c r="H202" s="142"/>
      <c r="I202" s="133"/>
      <c r="J202" s="133"/>
      <c r="K202" s="133"/>
      <c r="L202" s="173"/>
      <c r="M202" s="133"/>
      <c r="N202" s="133"/>
      <c r="O202" s="133"/>
      <c r="P202" s="133"/>
      <c r="Q202" s="133"/>
      <c r="R202" s="133"/>
      <c r="S202" s="173"/>
      <c r="T202" s="142"/>
      <c r="U202" s="133"/>
      <c r="V202" s="133"/>
      <c r="W202" s="133"/>
      <c r="X202" s="173"/>
      <c r="Y202" s="133"/>
      <c r="Z202" s="133"/>
      <c r="AA202" s="133"/>
      <c r="AB202" s="133"/>
      <c r="AC202" s="133"/>
      <c r="AD202" s="133"/>
      <c r="AE202" s="173"/>
      <c r="AF202" s="142"/>
      <c r="AG202" s="133"/>
      <c r="AH202" s="133"/>
      <c r="AI202" s="133"/>
      <c r="AJ202" s="173"/>
      <c r="AK202" s="133"/>
      <c r="AL202" s="142"/>
      <c r="AM202" s="21"/>
      <c r="AN202" s="19"/>
    </row>
    <row r="203" spans="2:40">
      <c r="B203" s="133"/>
      <c r="C203" s="133"/>
      <c r="D203" s="133"/>
      <c r="E203" s="133"/>
      <c r="F203" s="133"/>
      <c r="G203" s="173"/>
      <c r="H203" s="142"/>
      <c r="I203" s="133"/>
      <c r="J203" s="133"/>
      <c r="K203" s="133"/>
      <c r="L203" s="173"/>
      <c r="M203" s="133"/>
      <c r="N203" s="133"/>
      <c r="O203" s="133"/>
      <c r="P203" s="133"/>
      <c r="Q203" s="133"/>
      <c r="R203" s="133"/>
      <c r="S203" s="173"/>
      <c r="T203" s="142"/>
      <c r="U203" s="133"/>
      <c r="V203" s="133"/>
      <c r="W203" s="133"/>
      <c r="X203" s="173"/>
      <c r="Y203" s="133"/>
      <c r="Z203" s="133"/>
      <c r="AA203" s="133"/>
      <c r="AB203" s="133"/>
      <c r="AC203" s="133"/>
      <c r="AD203" s="133"/>
      <c r="AE203" s="173"/>
      <c r="AF203" s="142"/>
      <c r="AG203" s="133"/>
      <c r="AH203" s="133"/>
      <c r="AI203" s="133"/>
      <c r="AJ203" s="173"/>
      <c r="AK203" s="133"/>
      <c r="AL203" s="142"/>
      <c r="AM203" s="21"/>
      <c r="AN203" s="19"/>
    </row>
    <row r="204" spans="2:40">
      <c r="B204" s="133"/>
      <c r="C204" s="133"/>
      <c r="D204" s="133"/>
      <c r="E204" s="133"/>
      <c r="F204" s="133"/>
      <c r="G204" s="173"/>
      <c r="H204" s="142"/>
      <c r="I204" s="133"/>
      <c r="J204" s="133"/>
      <c r="K204" s="133"/>
      <c r="L204" s="173"/>
      <c r="M204" s="133"/>
      <c r="N204" s="133"/>
      <c r="O204" s="133"/>
      <c r="P204" s="133"/>
      <c r="Q204" s="133"/>
      <c r="R204" s="133"/>
      <c r="S204" s="173"/>
      <c r="T204" s="142"/>
      <c r="U204" s="133"/>
      <c r="V204" s="133"/>
      <c r="W204" s="133"/>
      <c r="X204" s="173"/>
      <c r="Y204" s="133"/>
      <c r="Z204" s="133"/>
      <c r="AA204" s="133"/>
      <c r="AB204" s="133"/>
      <c r="AC204" s="133"/>
      <c r="AD204" s="133"/>
      <c r="AE204" s="173"/>
      <c r="AF204" s="142"/>
      <c r="AG204" s="133"/>
      <c r="AH204" s="133"/>
      <c r="AI204" s="133"/>
      <c r="AJ204" s="173"/>
      <c r="AK204" s="133"/>
      <c r="AL204" s="142"/>
      <c r="AM204" s="21"/>
      <c r="AN204" s="19"/>
    </row>
    <row r="205" spans="2:40">
      <c r="B205" s="133"/>
      <c r="C205" s="133"/>
      <c r="D205" s="133"/>
      <c r="E205" s="133"/>
      <c r="F205" s="133"/>
      <c r="G205" s="173"/>
      <c r="H205" s="142"/>
      <c r="I205" s="133"/>
      <c r="J205" s="133"/>
      <c r="K205" s="133"/>
      <c r="L205" s="173"/>
      <c r="M205" s="133"/>
      <c r="N205" s="133"/>
      <c r="O205" s="133"/>
      <c r="P205" s="133"/>
      <c r="Q205" s="133"/>
      <c r="R205" s="133"/>
      <c r="S205" s="173"/>
      <c r="T205" s="142"/>
      <c r="U205" s="133"/>
      <c r="V205" s="133"/>
      <c r="W205" s="133"/>
      <c r="X205" s="173"/>
      <c r="Y205" s="133"/>
      <c r="Z205" s="133"/>
      <c r="AA205" s="133"/>
      <c r="AB205" s="133"/>
      <c r="AC205" s="133"/>
      <c r="AD205" s="133"/>
      <c r="AE205" s="173"/>
      <c r="AF205" s="142"/>
      <c r="AG205" s="133"/>
      <c r="AH205" s="133"/>
      <c r="AI205" s="133"/>
      <c r="AJ205" s="173"/>
      <c r="AK205" s="133"/>
      <c r="AL205" s="142"/>
      <c r="AM205" s="21"/>
      <c r="AN205" s="19"/>
    </row>
    <row r="206" spans="2:40">
      <c r="B206" s="133"/>
      <c r="C206" s="133"/>
      <c r="D206" s="133"/>
      <c r="E206" s="133"/>
      <c r="F206" s="133"/>
      <c r="G206" s="173"/>
      <c r="H206" s="142"/>
      <c r="I206" s="133"/>
      <c r="J206" s="133"/>
      <c r="K206" s="133"/>
      <c r="L206" s="173"/>
      <c r="M206" s="133"/>
      <c r="N206" s="133"/>
      <c r="O206" s="133"/>
      <c r="P206" s="133"/>
      <c r="Q206" s="133"/>
      <c r="R206" s="133"/>
      <c r="S206" s="173"/>
      <c r="T206" s="142"/>
      <c r="U206" s="133"/>
      <c r="V206" s="133"/>
      <c r="W206" s="133"/>
      <c r="X206" s="173"/>
      <c r="Y206" s="133"/>
      <c r="Z206" s="133"/>
      <c r="AA206" s="133"/>
      <c r="AB206" s="133"/>
      <c r="AC206" s="133"/>
      <c r="AD206" s="133"/>
      <c r="AE206" s="173"/>
      <c r="AF206" s="142"/>
      <c r="AG206" s="133"/>
      <c r="AH206" s="133"/>
      <c r="AI206" s="133"/>
      <c r="AJ206" s="173"/>
      <c r="AK206" s="133"/>
      <c r="AL206" s="142"/>
      <c r="AM206" s="21"/>
      <c r="AN206" s="19"/>
    </row>
    <row r="207" spans="2:40">
      <c r="B207" s="133"/>
      <c r="C207" s="133"/>
      <c r="D207" s="133"/>
      <c r="E207" s="133"/>
      <c r="F207" s="133"/>
      <c r="G207" s="173"/>
      <c r="H207" s="142"/>
      <c r="I207" s="133"/>
      <c r="J207" s="133"/>
      <c r="K207" s="133"/>
      <c r="L207" s="173"/>
      <c r="M207" s="133"/>
      <c r="N207" s="133"/>
      <c r="O207" s="133"/>
      <c r="P207" s="133"/>
      <c r="Q207" s="133"/>
      <c r="R207" s="133"/>
      <c r="S207" s="173"/>
      <c r="T207" s="142"/>
      <c r="U207" s="133"/>
      <c r="V207" s="133"/>
      <c r="W207" s="133"/>
      <c r="X207" s="173"/>
      <c r="Y207" s="133"/>
      <c r="Z207" s="133"/>
      <c r="AA207" s="133"/>
      <c r="AB207" s="133"/>
      <c r="AC207" s="133"/>
      <c r="AD207" s="133"/>
      <c r="AE207" s="173"/>
      <c r="AF207" s="142"/>
      <c r="AG207" s="133"/>
      <c r="AH207" s="133"/>
      <c r="AI207" s="133"/>
      <c r="AJ207" s="173"/>
      <c r="AK207" s="133"/>
      <c r="AL207" s="142"/>
      <c r="AM207" s="21"/>
      <c r="AN207" s="19"/>
    </row>
    <row r="208" spans="2:40">
      <c r="B208" s="133"/>
      <c r="C208" s="133"/>
      <c r="D208" s="133"/>
      <c r="E208" s="133"/>
      <c r="F208" s="133"/>
      <c r="G208" s="173"/>
      <c r="H208" s="142"/>
      <c r="I208" s="133"/>
      <c r="J208" s="133"/>
      <c r="K208" s="133"/>
      <c r="L208" s="173"/>
      <c r="M208" s="133"/>
      <c r="N208" s="133"/>
      <c r="O208" s="133"/>
      <c r="P208" s="133"/>
      <c r="Q208" s="133"/>
      <c r="R208" s="133"/>
      <c r="S208" s="173"/>
      <c r="T208" s="142"/>
      <c r="U208" s="133"/>
      <c r="V208" s="133"/>
      <c r="W208" s="133"/>
      <c r="X208" s="173"/>
      <c r="Y208" s="133"/>
      <c r="Z208" s="133"/>
      <c r="AA208" s="133"/>
      <c r="AB208" s="133"/>
      <c r="AC208" s="133"/>
      <c r="AD208" s="133"/>
      <c r="AE208" s="173"/>
      <c r="AF208" s="142"/>
      <c r="AG208" s="133"/>
      <c r="AH208" s="133"/>
      <c r="AI208" s="133"/>
      <c r="AJ208" s="173"/>
      <c r="AK208" s="133"/>
      <c r="AL208" s="142"/>
      <c r="AM208" s="21"/>
      <c r="AN208" s="19"/>
    </row>
    <row r="209" spans="2:40">
      <c r="B209" s="133"/>
      <c r="C209" s="133"/>
      <c r="D209" s="133"/>
      <c r="E209" s="133"/>
      <c r="F209" s="133"/>
      <c r="G209" s="173"/>
      <c r="H209" s="142"/>
      <c r="I209" s="133"/>
      <c r="J209" s="133"/>
      <c r="K209" s="133"/>
      <c r="L209" s="173"/>
      <c r="M209" s="133"/>
      <c r="N209" s="133"/>
      <c r="O209" s="133"/>
      <c r="P209" s="133"/>
      <c r="Q209" s="133"/>
      <c r="R209" s="133"/>
      <c r="S209" s="173"/>
      <c r="T209" s="142"/>
      <c r="U209" s="133"/>
      <c r="V209" s="133"/>
      <c r="W209" s="133"/>
      <c r="X209" s="173"/>
      <c r="Y209" s="133"/>
      <c r="Z209" s="133"/>
      <c r="AA209" s="133"/>
      <c r="AB209" s="133"/>
      <c r="AC209" s="133"/>
      <c r="AD209" s="133"/>
      <c r="AE209" s="173"/>
      <c r="AF209" s="142"/>
      <c r="AG209" s="133"/>
      <c r="AH209" s="133"/>
      <c r="AI209" s="133"/>
      <c r="AJ209" s="173"/>
      <c r="AK209" s="133"/>
      <c r="AL209" s="142"/>
      <c r="AM209" s="21"/>
      <c r="AN209" s="19"/>
    </row>
    <row r="210" spans="2:40">
      <c r="B210" s="133"/>
      <c r="C210" s="133"/>
      <c r="D210" s="133"/>
      <c r="E210" s="133"/>
      <c r="F210" s="133"/>
      <c r="G210" s="173"/>
      <c r="H210" s="142"/>
      <c r="I210" s="133"/>
      <c r="J210" s="133"/>
      <c r="K210" s="133"/>
      <c r="L210" s="173"/>
      <c r="M210" s="133"/>
      <c r="N210" s="133"/>
      <c r="O210" s="133"/>
      <c r="P210" s="133"/>
      <c r="Q210" s="133"/>
      <c r="R210" s="133"/>
      <c r="S210" s="173"/>
      <c r="T210" s="142"/>
      <c r="U210" s="133"/>
      <c r="V210" s="133"/>
      <c r="W210" s="133"/>
      <c r="X210" s="173"/>
      <c r="Y210" s="133"/>
      <c r="Z210" s="133"/>
      <c r="AA210" s="133"/>
      <c r="AB210" s="133"/>
      <c r="AC210" s="133"/>
      <c r="AD210" s="133"/>
      <c r="AE210" s="173"/>
      <c r="AF210" s="142"/>
      <c r="AG210" s="133"/>
      <c r="AH210" s="133"/>
      <c r="AI210" s="133"/>
      <c r="AJ210" s="173"/>
      <c r="AK210" s="133"/>
      <c r="AL210" s="142"/>
      <c r="AM210" s="21"/>
      <c r="AN210" s="19"/>
    </row>
    <row r="211" spans="2:40">
      <c r="B211" s="133"/>
      <c r="C211" s="133"/>
      <c r="D211" s="133"/>
      <c r="E211" s="133"/>
      <c r="F211" s="133"/>
      <c r="G211" s="173"/>
      <c r="H211" s="142"/>
      <c r="I211" s="133"/>
      <c r="J211" s="133"/>
      <c r="K211" s="133"/>
      <c r="L211" s="173"/>
      <c r="M211" s="133"/>
      <c r="N211" s="133"/>
      <c r="O211" s="133"/>
      <c r="P211" s="133"/>
      <c r="Q211" s="133"/>
      <c r="R211" s="133"/>
      <c r="S211" s="173"/>
      <c r="T211" s="142"/>
      <c r="U211" s="133"/>
      <c r="V211" s="133"/>
      <c r="W211" s="133"/>
      <c r="X211" s="173"/>
      <c r="Y211" s="133"/>
      <c r="Z211" s="133"/>
      <c r="AA211" s="133"/>
      <c r="AB211" s="133"/>
      <c r="AC211" s="133"/>
      <c r="AD211" s="133"/>
      <c r="AE211" s="173"/>
      <c r="AF211" s="142"/>
      <c r="AG211" s="133"/>
      <c r="AH211" s="133"/>
      <c r="AI211" s="133"/>
      <c r="AJ211" s="173"/>
      <c r="AK211" s="133"/>
      <c r="AL211" s="142"/>
      <c r="AM211" s="21"/>
      <c r="AN211" s="19"/>
    </row>
    <row r="212" spans="2:40">
      <c r="B212" s="133"/>
      <c r="C212" s="133"/>
      <c r="D212" s="133"/>
      <c r="E212" s="133"/>
      <c r="F212" s="133"/>
      <c r="G212" s="173"/>
      <c r="H212" s="142"/>
      <c r="I212" s="133"/>
      <c r="J212" s="133"/>
      <c r="K212" s="133"/>
      <c r="L212" s="173"/>
      <c r="M212" s="133"/>
      <c r="N212" s="133"/>
      <c r="O212" s="133"/>
      <c r="P212" s="133"/>
      <c r="Q212" s="133"/>
      <c r="R212" s="133"/>
      <c r="S212" s="173"/>
      <c r="T212" s="142"/>
      <c r="U212" s="133"/>
      <c r="V212" s="133"/>
      <c r="W212" s="133"/>
      <c r="X212" s="173"/>
      <c r="Y212" s="133"/>
      <c r="Z212" s="133"/>
      <c r="AA212" s="133"/>
      <c r="AB212" s="133"/>
      <c r="AC212" s="133"/>
      <c r="AD212" s="133"/>
      <c r="AE212" s="173"/>
      <c r="AF212" s="142"/>
      <c r="AG212" s="133"/>
      <c r="AH212" s="133"/>
      <c r="AI212" s="133"/>
      <c r="AJ212" s="173"/>
      <c r="AK212" s="133"/>
      <c r="AL212" s="142"/>
      <c r="AM212" s="21"/>
      <c r="AN212" s="19"/>
    </row>
    <row r="213" spans="2:40">
      <c r="B213" s="133"/>
      <c r="C213" s="133"/>
      <c r="D213" s="133"/>
      <c r="E213" s="133"/>
      <c r="F213" s="133"/>
      <c r="G213" s="173"/>
      <c r="H213" s="142"/>
      <c r="I213" s="133"/>
      <c r="J213" s="133"/>
      <c r="K213" s="133"/>
      <c r="L213" s="173"/>
      <c r="M213" s="133"/>
      <c r="N213" s="133"/>
      <c r="O213" s="133"/>
      <c r="P213" s="133"/>
      <c r="Q213" s="133"/>
      <c r="R213" s="133"/>
      <c r="S213" s="173"/>
      <c r="T213" s="142"/>
      <c r="U213" s="133"/>
      <c r="V213" s="133"/>
      <c r="W213" s="133"/>
      <c r="X213" s="173"/>
      <c r="Y213" s="133"/>
      <c r="Z213" s="133"/>
      <c r="AA213" s="133"/>
      <c r="AB213" s="133"/>
      <c r="AC213" s="133"/>
      <c r="AD213" s="133"/>
      <c r="AE213" s="173"/>
      <c r="AF213" s="142"/>
      <c r="AG213" s="133"/>
      <c r="AH213" s="133"/>
      <c r="AI213" s="133"/>
      <c r="AJ213" s="173"/>
      <c r="AK213" s="133"/>
      <c r="AL213" s="142"/>
      <c r="AM213" s="21"/>
      <c r="AN213" s="19"/>
    </row>
    <row r="214" spans="2:40">
      <c r="B214" s="133"/>
      <c r="C214" s="133"/>
      <c r="D214" s="133"/>
      <c r="E214" s="133"/>
      <c r="F214" s="133"/>
      <c r="G214" s="173"/>
      <c r="H214" s="142"/>
      <c r="I214" s="133"/>
      <c r="J214" s="133"/>
      <c r="K214" s="133"/>
      <c r="L214" s="173"/>
      <c r="M214" s="133"/>
      <c r="N214" s="133"/>
      <c r="O214" s="133"/>
      <c r="P214" s="133"/>
      <c r="Q214" s="133"/>
      <c r="R214" s="133"/>
      <c r="S214" s="173"/>
      <c r="T214" s="142"/>
      <c r="U214" s="133"/>
      <c r="V214" s="133"/>
      <c r="W214" s="133"/>
      <c r="X214" s="173"/>
      <c r="Y214" s="133"/>
      <c r="Z214" s="133"/>
      <c r="AA214" s="133"/>
      <c r="AB214" s="133"/>
      <c r="AC214" s="133"/>
      <c r="AD214" s="133"/>
      <c r="AE214" s="173"/>
      <c r="AF214" s="142"/>
      <c r="AG214" s="133"/>
      <c r="AH214" s="133"/>
      <c r="AI214" s="133"/>
      <c r="AJ214" s="173"/>
      <c r="AK214" s="133"/>
      <c r="AL214" s="142"/>
      <c r="AM214" s="21"/>
      <c r="AN214" s="19"/>
    </row>
    <row r="215" spans="2:40">
      <c r="B215" s="133"/>
      <c r="C215" s="133"/>
      <c r="D215" s="133"/>
      <c r="E215" s="133"/>
      <c r="F215" s="133"/>
      <c r="G215" s="173"/>
      <c r="H215" s="142"/>
      <c r="I215" s="133"/>
      <c r="J215" s="133"/>
      <c r="K215" s="133"/>
      <c r="L215" s="173"/>
      <c r="M215" s="133"/>
      <c r="N215" s="133"/>
      <c r="O215" s="133"/>
      <c r="P215" s="133"/>
      <c r="Q215" s="133"/>
      <c r="R215" s="133"/>
      <c r="S215" s="173"/>
      <c r="T215" s="142"/>
      <c r="U215" s="133"/>
      <c r="V215" s="133"/>
      <c r="W215" s="133"/>
      <c r="X215" s="173"/>
      <c r="Y215" s="133"/>
      <c r="Z215" s="133"/>
      <c r="AA215" s="133"/>
      <c r="AB215" s="133"/>
      <c r="AC215" s="133"/>
      <c r="AD215" s="133"/>
      <c r="AE215" s="173"/>
      <c r="AF215" s="142"/>
      <c r="AG215" s="133"/>
      <c r="AH215" s="133"/>
      <c r="AI215" s="133"/>
      <c r="AJ215" s="173"/>
      <c r="AK215" s="133"/>
      <c r="AL215" s="142"/>
      <c r="AM215" s="21"/>
      <c r="AN215" s="19"/>
    </row>
    <row r="216" spans="2:40">
      <c r="B216" s="133"/>
      <c r="C216" s="133"/>
      <c r="D216" s="133"/>
      <c r="E216" s="133"/>
      <c r="F216" s="133"/>
      <c r="G216" s="173"/>
      <c r="H216" s="142"/>
      <c r="I216" s="133"/>
      <c r="J216" s="133"/>
      <c r="K216" s="133"/>
      <c r="L216" s="173"/>
      <c r="M216" s="133"/>
      <c r="N216" s="133"/>
      <c r="O216" s="133"/>
      <c r="P216" s="133"/>
      <c r="Q216" s="133"/>
      <c r="R216" s="133"/>
      <c r="S216" s="173"/>
      <c r="T216" s="142"/>
      <c r="U216" s="133"/>
      <c r="V216" s="133"/>
      <c r="W216" s="133"/>
      <c r="X216" s="173"/>
      <c r="Y216" s="133"/>
      <c r="Z216" s="133"/>
      <c r="AA216" s="133"/>
      <c r="AB216" s="133"/>
      <c r="AC216" s="133"/>
      <c r="AD216" s="133"/>
      <c r="AE216" s="173"/>
      <c r="AF216" s="142"/>
      <c r="AG216" s="133"/>
      <c r="AH216" s="133"/>
      <c r="AI216" s="133"/>
      <c r="AJ216" s="173"/>
      <c r="AK216" s="133"/>
      <c r="AL216" s="142"/>
      <c r="AM216" s="21"/>
      <c r="AN216" s="19"/>
    </row>
    <row r="217" spans="2:40">
      <c r="B217" s="133"/>
      <c r="C217" s="133"/>
      <c r="D217" s="133"/>
      <c r="E217" s="133"/>
      <c r="F217" s="133"/>
      <c r="G217" s="173"/>
      <c r="H217" s="142"/>
      <c r="I217" s="133"/>
      <c r="J217" s="133"/>
      <c r="K217" s="133"/>
      <c r="L217" s="173"/>
      <c r="M217" s="133"/>
      <c r="N217" s="133"/>
      <c r="O217" s="133"/>
      <c r="P217" s="133"/>
      <c r="Q217" s="133"/>
      <c r="R217" s="133"/>
      <c r="S217" s="173"/>
      <c r="T217" s="142"/>
      <c r="U217" s="133"/>
      <c r="V217" s="133"/>
      <c r="W217" s="133"/>
      <c r="X217" s="173"/>
      <c r="Y217" s="133"/>
      <c r="Z217" s="133"/>
      <c r="AA217" s="133"/>
      <c r="AB217" s="133"/>
      <c r="AC217" s="133"/>
      <c r="AD217" s="133"/>
      <c r="AE217" s="173"/>
      <c r="AF217" s="142"/>
      <c r="AG217" s="133"/>
      <c r="AH217" s="133"/>
      <c r="AI217" s="133"/>
      <c r="AJ217" s="173"/>
      <c r="AK217" s="133"/>
      <c r="AL217" s="142"/>
      <c r="AM217" s="21"/>
      <c r="AN217" s="19"/>
    </row>
    <row r="218" spans="2:40">
      <c r="B218" s="133"/>
      <c r="C218" s="133"/>
      <c r="D218" s="133"/>
      <c r="E218" s="133"/>
      <c r="F218" s="133"/>
      <c r="G218" s="173"/>
      <c r="H218" s="142"/>
      <c r="I218" s="133"/>
      <c r="J218" s="133"/>
      <c r="K218" s="133"/>
      <c r="L218" s="173"/>
      <c r="M218" s="133"/>
      <c r="N218" s="133"/>
      <c r="O218" s="133"/>
      <c r="P218" s="133"/>
      <c r="Q218" s="133"/>
      <c r="R218" s="133"/>
      <c r="S218" s="173"/>
      <c r="T218" s="142"/>
      <c r="U218" s="133"/>
      <c r="V218" s="133"/>
      <c r="W218" s="133"/>
      <c r="X218" s="173"/>
      <c r="Y218" s="133"/>
      <c r="Z218" s="133"/>
      <c r="AA218" s="133"/>
      <c r="AB218" s="133"/>
      <c r="AC218" s="133"/>
      <c r="AD218" s="133"/>
      <c r="AE218" s="173"/>
      <c r="AF218" s="142"/>
      <c r="AG218" s="133"/>
      <c r="AH218" s="133"/>
      <c r="AI218" s="133"/>
      <c r="AJ218" s="173"/>
      <c r="AK218" s="133"/>
      <c r="AL218" s="142"/>
      <c r="AM218" s="21"/>
      <c r="AN218" s="19"/>
    </row>
    <row r="219" spans="2:40">
      <c r="B219" s="133"/>
      <c r="C219" s="133"/>
      <c r="D219" s="133"/>
      <c r="E219" s="133"/>
      <c r="F219" s="133"/>
      <c r="G219" s="173"/>
      <c r="H219" s="142"/>
      <c r="I219" s="133"/>
      <c r="J219" s="133"/>
      <c r="K219" s="133"/>
      <c r="L219" s="173"/>
      <c r="M219" s="133"/>
      <c r="N219" s="133"/>
      <c r="O219" s="133"/>
      <c r="P219" s="133"/>
      <c r="Q219" s="133"/>
      <c r="R219" s="133"/>
      <c r="S219" s="173"/>
      <c r="T219" s="142"/>
      <c r="U219" s="133"/>
      <c r="V219" s="133"/>
      <c r="W219" s="133"/>
      <c r="X219" s="173"/>
      <c r="Y219" s="133"/>
      <c r="Z219" s="133"/>
      <c r="AA219" s="133"/>
      <c r="AB219" s="133"/>
      <c r="AC219" s="133"/>
      <c r="AD219" s="133"/>
      <c r="AE219" s="173"/>
      <c r="AF219" s="142"/>
      <c r="AG219" s="133"/>
      <c r="AH219" s="133"/>
      <c r="AI219" s="133"/>
      <c r="AJ219" s="173"/>
      <c r="AK219" s="133"/>
      <c r="AL219" s="142"/>
      <c r="AM219" s="21"/>
      <c r="AN219" s="19"/>
    </row>
    <row r="220" spans="2:40">
      <c r="B220" s="133"/>
      <c r="C220" s="133"/>
      <c r="D220" s="133"/>
      <c r="E220" s="133"/>
      <c r="F220" s="133"/>
      <c r="G220" s="173"/>
      <c r="H220" s="142"/>
      <c r="I220" s="133"/>
      <c r="J220" s="133"/>
      <c r="K220" s="133"/>
      <c r="L220" s="173"/>
      <c r="M220" s="133"/>
      <c r="N220" s="133"/>
      <c r="O220" s="133"/>
      <c r="P220" s="133"/>
      <c r="Q220" s="133"/>
      <c r="R220" s="133"/>
      <c r="S220" s="173"/>
      <c r="T220" s="142"/>
      <c r="U220" s="133"/>
      <c r="V220" s="133"/>
      <c r="W220" s="133"/>
      <c r="X220" s="173"/>
      <c r="Y220" s="133"/>
      <c r="Z220" s="133"/>
      <c r="AA220" s="133"/>
      <c r="AB220" s="133"/>
      <c r="AC220" s="133"/>
      <c r="AD220" s="133"/>
      <c r="AE220" s="173"/>
      <c r="AF220" s="142"/>
      <c r="AG220" s="133"/>
      <c r="AH220" s="133"/>
      <c r="AI220" s="133"/>
      <c r="AJ220" s="173"/>
      <c r="AK220" s="133"/>
      <c r="AL220" s="142"/>
      <c r="AM220" s="21"/>
      <c r="AN220" s="19"/>
    </row>
    <row r="221" spans="2:40">
      <c r="B221" s="133"/>
      <c r="C221" s="133"/>
      <c r="D221" s="133"/>
      <c r="E221" s="133"/>
      <c r="F221" s="133"/>
      <c r="G221" s="173"/>
      <c r="H221" s="142"/>
      <c r="I221" s="133"/>
      <c r="J221" s="133"/>
      <c r="K221" s="133"/>
      <c r="L221" s="173"/>
      <c r="M221" s="133"/>
      <c r="N221" s="133"/>
      <c r="O221" s="133"/>
      <c r="P221" s="133"/>
      <c r="Q221" s="133"/>
      <c r="R221" s="133"/>
      <c r="S221" s="173"/>
      <c r="T221" s="142"/>
      <c r="U221" s="133"/>
      <c r="V221" s="133"/>
      <c r="W221" s="133"/>
      <c r="X221" s="173"/>
      <c r="Y221" s="133"/>
      <c r="Z221" s="133"/>
      <c r="AA221" s="133"/>
      <c r="AB221" s="133"/>
      <c r="AC221" s="133"/>
      <c r="AD221" s="133"/>
      <c r="AE221" s="173"/>
      <c r="AF221" s="142"/>
      <c r="AG221" s="133"/>
      <c r="AH221" s="133"/>
      <c r="AI221" s="133"/>
      <c r="AJ221" s="173"/>
      <c r="AK221" s="133"/>
      <c r="AL221" s="142"/>
      <c r="AM221" s="21"/>
      <c r="AN221" s="19"/>
    </row>
    <row r="222" spans="2:40">
      <c r="B222" s="133"/>
      <c r="C222" s="133"/>
      <c r="D222" s="133"/>
      <c r="E222" s="133"/>
      <c r="F222" s="133"/>
      <c r="G222" s="173"/>
      <c r="H222" s="142"/>
      <c r="I222" s="133"/>
      <c r="J222" s="133"/>
      <c r="K222" s="133"/>
      <c r="L222" s="173"/>
      <c r="M222" s="133"/>
      <c r="N222" s="133"/>
      <c r="O222" s="133"/>
      <c r="P222" s="133"/>
      <c r="Q222" s="133"/>
      <c r="R222" s="133"/>
      <c r="S222" s="173"/>
      <c r="T222" s="142"/>
      <c r="U222" s="133"/>
      <c r="V222" s="133"/>
      <c r="W222" s="133"/>
      <c r="X222" s="173"/>
      <c r="Y222" s="133"/>
      <c r="Z222" s="133"/>
      <c r="AA222" s="133"/>
      <c r="AB222" s="133"/>
      <c r="AC222" s="133"/>
      <c r="AD222" s="133"/>
      <c r="AE222" s="173"/>
      <c r="AF222" s="142"/>
      <c r="AG222" s="133"/>
      <c r="AH222" s="133"/>
      <c r="AI222" s="133"/>
      <c r="AJ222" s="173"/>
      <c r="AK222" s="133"/>
      <c r="AL222" s="142"/>
      <c r="AM222" s="21"/>
      <c r="AN222" s="19"/>
    </row>
    <row r="223" spans="2:40">
      <c r="B223" s="133"/>
      <c r="C223" s="133"/>
      <c r="D223" s="133"/>
      <c r="E223" s="133"/>
      <c r="F223" s="133"/>
      <c r="G223" s="173"/>
      <c r="H223" s="142"/>
      <c r="I223" s="133"/>
      <c r="J223" s="133"/>
      <c r="K223" s="133"/>
      <c r="L223" s="173"/>
      <c r="M223" s="133"/>
      <c r="N223" s="133"/>
      <c r="O223" s="133"/>
      <c r="P223" s="133"/>
      <c r="Q223" s="133"/>
      <c r="R223" s="133"/>
      <c r="S223" s="173"/>
      <c r="T223" s="142"/>
      <c r="U223" s="133"/>
      <c r="V223" s="133"/>
      <c r="W223" s="133"/>
      <c r="X223" s="173"/>
      <c r="Y223" s="133"/>
      <c r="Z223" s="133"/>
      <c r="AA223" s="133"/>
      <c r="AB223" s="133"/>
      <c r="AC223" s="133"/>
      <c r="AD223" s="133"/>
      <c r="AE223" s="173"/>
      <c r="AF223" s="142"/>
      <c r="AG223" s="133"/>
      <c r="AH223" s="133"/>
      <c r="AI223" s="133"/>
      <c r="AJ223" s="173"/>
      <c r="AK223" s="133"/>
      <c r="AL223" s="142"/>
      <c r="AM223" s="21"/>
      <c r="AN223" s="19"/>
    </row>
    <row r="224" spans="2:40">
      <c r="B224" s="133"/>
      <c r="C224" s="133"/>
      <c r="D224" s="133"/>
      <c r="E224" s="133"/>
      <c r="F224" s="133"/>
      <c r="G224" s="173"/>
      <c r="H224" s="142"/>
      <c r="I224" s="133"/>
      <c r="J224" s="133"/>
      <c r="K224" s="133"/>
      <c r="L224" s="173"/>
      <c r="M224" s="133"/>
      <c r="N224" s="133"/>
      <c r="O224" s="133"/>
      <c r="P224" s="133"/>
      <c r="Q224" s="133"/>
      <c r="R224" s="133"/>
      <c r="S224" s="173"/>
      <c r="T224" s="142"/>
      <c r="U224" s="133"/>
      <c r="V224" s="133"/>
      <c r="W224" s="133"/>
      <c r="X224" s="173"/>
      <c r="Y224" s="133"/>
      <c r="Z224" s="133"/>
      <c r="AA224" s="133"/>
      <c r="AB224" s="133"/>
      <c r="AC224" s="133"/>
      <c r="AD224" s="133"/>
      <c r="AE224" s="173"/>
      <c r="AF224" s="142"/>
      <c r="AG224" s="133"/>
      <c r="AH224" s="133"/>
      <c r="AI224" s="133"/>
      <c r="AJ224" s="173"/>
      <c r="AK224" s="133"/>
      <c r="AL224" s="142"/>
      <c r="AM224" s="21"/>
      <c r="AN224" s="19"/>
    </row>
    <row r="225" spans="2:40">
      <c r="B225" s="133"/>
      <c r="C225" s="133"/>
      <c r="D225" s="133"/>
      <c r="E225" s="133"/>
      <c r="F225" s="133"/>
      <c r="G225" s="173"/>
      <c r="H225" s="142"/>
      <c r="I225" s="133"/>
      <c r="J225" s="133"/>
      <c r="K225" s="133"/>
      <c r="L225" s="173"/>
      <c r="M225" s="133"/>
      <c r="N225" s="133"/>
      <c r="O225" s="133"/>
      <c r="P225" s="133"/>
      <c r="Q225" s="133"/>
      <c r="R225" s="133"/>
      <c r="S225" s="173"/>
      <c r="T225" s="142"/>
      <c r="U225" s="133"/>
      <c r="V225" s="133"/>
      <c r="W225" s="133"/>
      <c r="X225" s="173"/>
      <c r="Y225" s="133"/>
      <c r="Z225" s="133"/>
      <c r="AA225" s="133"/>
      <c r="AB225" s="133"/>
      <c r="AC225" s="133"/>
      <c r="AD225" s="133"/>
      <c r="AE225" s="173"/>
      <c r="AF225" s="142"/>
      <c r="AG225" s="133"/>
      <c r="AH225" s="133"/>
      <c r="AI225" s="133"/>
      <c r="AJ225" s="173"/>
      <c r="AK225" s="133"/>
      <c r="AL225" s="142"/>
      <c r="AM225" s="21"/>
      <c r="AN225" s="19"/>
    </row>
    <row r="226" spans="2:40">
      <c r="B226" s="133"/>
      <c r="C226" s="133"/>
      <c r="D226" s="133"/>
      <c r="E226" s="133"/>
      <c r="F226" s="133"/>
      <c r="G226" s="173"/>
      <c r="H226" s="142"/>
      <c r="I226" s="133"/>
      <c r="J226" s="133"/>
      <c r="K226" s="133"/>
      <c r="L226" s="173"/>
      <c r="M226" s="133"/>
      <c r="N226" s="133"/>
      <c r="O226" s="133"/>
      <c r="P226" s="133"/>
      <c r="Q226" s="133"/>
      <c r="R226" s="133"/>
      <c r="S226" s="173"/>
      <c r="T226" s="142"/>
      <c r="U226" s="133"/>
      <c r="V226" s="133"/>
      <c r="W226" s="133"/>
      <c r="X226" s="173"/>
      <c r="Y226" s="133"/>
      <c r="Z226" s="133"/>
      <c r="AA226" s="133"/>
      <c r="AB226" s="133"/>
      <c r="AC226" s="133"/>
      <c r="AD226" s="133"/>
      <c r="AE226" s="173"/>
      <c r="AF226" s="142"/>
      <c r="AG226" s="133"/>
      <c r="AH226" s="133"/>
      <c r="AI226" s="133"/>
      <c r="AJ226" s="173"/>
      <c r="AK226" s="133"/>
      <c r="AL226" s="142"/>
      <c r="AM226" s="21"/>
      <c r="AN226" s="19"/>
    </row>
    <row r="227" spans="2:40">
      <c r="B227" s="133"/>
      <c r="C227" s="133"/>
      <c r="D227" s="133"/>
      <c r="E227" s="133"/>
      <c r="F227" s="133"/>
      <c r="G227" s="173"/>
      <c r="H227" s="142"/>
      <c r="I227" s="133"/>
      <c r="J227" s="133"/>
      <c r="K227" s="133"/>
      <c r="L227" s="173"/>
      <c r="M227" s="133"/>
      <c r="N227" s="133"/>
      <c r="O227" s="133"/>
      <c r="P227" s="133"/>
      <c r="Q227" s="133"/>
      <c r="R227" s="133"/>
      <c r="S227" s="173"/>
      <c r="T227" s="142"/>
      <c r="U227" s="133"/>
      <c r="V227" s="133"/>
      <c r="W227" s="133"/>
      <c r="X227" s="173"/>
      <c r="Y227" s="133"/>
      <c r="Z227" s="133"/>
      <c r="AA227" s="133"/>
      <c r="AB227" s="133"/>
      <c r="AC227" s="133"/>
      <c r="AD227" s="133"/>
      <c r="AE227" s="173"/>
      <c r="AF227" s="142"/>
      <c r="AG227" s="133"/>
      <c r="AH227" s="133"/>
      <c r="AI227" s="133"/>
      <c r="AJ227" s="173"/>
      <c r="AK227" s="133"/>
      <c r="AL227" s="142"/>
      <c r="AM227" s="21"/>
      <c r="AN227" s="19"/>
    </row>
    <row r="228" spans="2:40">
      <c r="B228" s="133"/>
      <c r="C228" s="133"/>
      <c r="D228" s="133"/>
      <c r="E228" s="133"/>
      <c r="F228" s="133"/>
      <c r="G228" s="173"/>
      <c r="H228" s="142"/>
      <c r="I228" s="133"/>
      <c r="J228" s="133"/>
      <c r="K228" s="133"/>
      <c r="L228" s="173"/>
      <c r="M228" s="133"/>
      <c r="N228" s="133"/>
      <c r="O228" s="133"/>
      <c r="P228" s="133"/>
      <c r="Q228" s="133"/>
      <c r="R228" s="133"/>
      <c r="S228" s="173"/>
      <c r="T228" s="142"/>
      <c r="U228" s="133"/>
      <c r="V228" s="133"/>
      <c r="W228" s="133"/>
      <c r="X228" s="173"/>
      <c r="Y228" s="133"/>
      <c r="Z228" s="133"/>
      <c r="AA228" s="133"/>
      <c r="AB228" s="133"/>
      <c r="AC228" s="133"/>
      <c r="AD228" s="133"/>
      <c r="AE228" s="173"/>
      <c r="AF228" s="142"/>
      <c r="AG228" s="133"/>
      <c r="AH228" s="133"/>
      <c r="AI228" s="133"/>
      <c r="AJ228" s="173"/>
      <c r="AK228" s="133"/>
      <c r="AL228" s="142"/>
      <c r="AM228" s="21"/>
      <c r="AN228" s="19"/>
    </row>
    <row r="229" spans="2:40">
      <c r="B229" s="133"/>
      <c r="C229" s="133"/>
      <c r="D229" s="133"/>
      <c r="E229" s="133"/>
      <c r="F229" s="133"/>
      <c r="G229" s="173"/>
      <c r="H229" s="142"/>
      <c r="I229" s="133"/>
      <c r="J229" s="133"/>
      <c r="K229" s="133"/>
      <c r="L229" s="173"/>
      <c r="M229" s="133"/>
      <c r="N229" s="133"/>
      <c r="O229" s="133"/>
      <c r="P229" s="133"/>
      <c r="Q229" s="133"/>
      <c r="R229" s="133"/>
      <c r="S229" s="173"/>
      <c r="T229" s="142"/>
      <c r="U229" s="133"/>
      <c r="V229" s="133"/>
      <c r="W229" s="133"/>
      <c r="X229" s="173"/>
      <c r="Y229" s="133"/>
      <c r="Z229" s="133"/>
      <c r="AA229" s="133"/>
      <c r="AB229" s="133"/>
      <c r="AC229" s="133"/>
      <c r="AD229" s="133"/>
      <c r="AE229" s="173"/>
      <c r="AF229" s="142"/>
      <c r="AG229" s="133"/>
      <c r="AH229" s="133"/>
      <c r="AI229" s="133"/>
      <c r="AJ229" s="173"/>
      <c r="AK229" s="133"/>
      <c r="AL229" s="142"/>
      <c r="AM229" s="21"/>
      <c r="AN229" s="19"/>
    </row>
    <row r="230" spans="2:40">
      <c r="B230" s="133"/>
      <c r="C230" s="133"/>
      <c r="D230" s="133"/>
      <c r="E230" s="133"/>
      <c r="F230" s="133"/>
      <c r="G230" s="173"/>
      <c r="H230" s="142"/>
      <c r="I230" s="133"/>
      <c r="J230" s="133"/>
      <c r="K230" s="133"/>
      <c r="L230" s="173"/>
      <c r="M230" s="133"/>
      <c r="N230" s="133"/>
      <c r="O230" s="133"/>
      <c r="P230" s="133"/>
      <c r="Q230" s="133"/>
      <c r="R230" s="133"/>
      <c r="S230" s="173"/>
      <c r="T230" s="142"/>
      <c r="U230" s="133"/>
      <c r="V230" s="133"/>
      <c r="W230" s="133"/>
      <c r="X230" s="173"/>
      <c r="Y230" s="133"/>
      <c r="Z230" s="133"/>
      <c r="AA230" s="133"/>
      <c r="AB230" s="133"/>
      <c r="AC230" s="133"/>
      <c r="AD230" s="133"/>
      <c r="AE230" s="173"/>
      <c r="AF230" s="142"/>
      <c r="AG230" s="133"/>
      <c r="AH230" s="133"/>
      <c r="AI230" s="133"/>
      <c r="AJ230" s="173"/>
      <c r="AK230" s="133"/>
      <c r="AL230" s="142"/>
      <c r="AM230" s="21"/>
      <c r="AN230" s="19"/>
    </row>
    <row r="231" spans="2:40">
      <c r="B231" s="133"/>
      <c r="C231" s="133"/>
      <c r="D231" s="133"/>
      <c r="E231" s="133"/>
      <c r="F231" s="133"/>
      <c r="G231" s="173"/>
      <c r="H231" s="142"/>
      <c r="I231" s="133"/>
      <c r="J231" s="133"/>
      <c r="K231" s="133"/>
      <c r="L231" s="173"/>
      <c r="M231" s="133"/>
      <c r="N231" s="133"/>
      <c r="O231" s="133"/>
      <c r="P231" s="133"/>
      <c r="Q231" s="133"/>
      <c r="R231" s="133"/>
      <c r="S231" s="173"/>
      <c r="T231" s="142"/>
      <c r="U231" s="133"/>
      <c r="V231" s="133"/>
      <c r="W231" s="133"/>
      <c r="X231" s="173"/>
      <c r="Y231" s="133"/>
      <c r="Z231" s="133"/>
      <c r="AA231" s="133"/>
      <c r="AB231" s="133"/>
      <c r="AC231" s="133"/>
      <c r="AD231" s="133"/>
      <c r="AE231" s="173"/>
      <c r="AF231" s="142"/>
      <c r="AG231" s="133"/>
      <c r="AH231" s="133"/>
      <c r="AI231" s="133"/>
      <c r="AJ231" s="173"/>
      <c r="AK231" s="133"/>
      <c r="AL231" s="142"/>
      <c r="AM231" s="21"/>
      <c r="AN231" s="19"/>
    </row>
    <row r="232" spans="2:40">
      <c r="B232" s="133"/>
      <c r="C232" s="133"/>
      <c r="D232" s="133"/>
      <c r="E232" s="133"/>
      <c r="F232" s="133"/>
      <c r="G232" s="173"/>
      <c r="H232" s="142"/>
      <c r="I232" s="133"/>
      <c r="J232" s="133"/>
      <c r="K232" s="133"/>
      <c r="L232" s="173"/>
      <c r="M232" s="133"/>
      <c r="N232" s="133"/>
      <c r="O232" s="133"/>
      <c r="P232" s="133"/>
      <c r="Q232" s="133"/>
      <c r="R232" s="133"/>
      <c r="S232" s="173"/>
      <c r="T232" s="142"/>
      <c r="U232" s="133"/>
      <c r="V232" s="133"/>
      <c r="W232" s="133"/>
      <c r="X232" s="173"/>
      <c r="Y232" s="133"/>
      <c r="Z232" s="133"/>
      <c r="AA232" s="133"/>
      <c r="AB232" s="133"/>
      <c r="AC232" s="133"/>
      <c r="AD232" s="133"/>
      <c r="AE232" s="173"/>
      <c r="AF232" s="142"/>
      <c r="AG232" s="133"/>
      <c r="AH232" s="133"/>
      <c r="AI232" s="133"/>
      <c r="AJ232" s="173"/>
      <c r="AK232" s="133"/>
      <c r="AL232" s="142"/>
      <c r="AM232" s="21"/>
      <c r="AN232" s="19"/>
    </row>
    <row r="233" spans="2:40">
      <c r="B233" s="133"/>
      <c r="C233" s="133"/>
      <c r="D233" s="133"/>
      <c r="E233" s="133"/>
      <c r="F233" s="133"/>
      <c r="G233" s="173"/>
      <c r="H233" s="142"/>
      <c r="I233" s="133"/>
      <c r="J233" s="133"/>
      <c r="K233" s="133"/>
      <c r="L233" s="173"/>
      <c r="M233" s="133"/>
      <c r="N233" s="133"/>
      <c r="O233" s="133"/>
      <c r="P233" s="133"/>
      <c r="Q233" s="133"/>
      <c r="R233" s="133"/>
      <c r="S233" s="173"/>
      <c r="T233" s="142"/>
      <c r="U233" s="133"/>
      <c r="V233" s="133"/>
      <c r="W233" s="133"/>
      <c r="X233" s="173"/>
      <c r="Y233" s="133"/>
      <c r="Z233" s="133"/>
      <c r="AA233" s="133"/>
      <c r="AB233" s="133"/>
      <c r="AC233" s="133"/>
      <c r="AD233" s="133"/>
      <c r="AE233" s="173"/>
      <c r="AF233" s="142"/>
      <c r="AG233" s="133"/>
      <c r="AH233" s="133"/>
      <c r="AI233" s="133"/>
      <c r="AJ233" s="173"/>
      <c r="AK233" s="133"/>
      <c r="AL233" s="142"/>
      <c r="AM233" s="21"/>
      <c r="AN233" s="19"/>
    </row>
    <row r="234" spans="2:40">
      <c r="B234" s="133"/>
      <c r="C234" s="133"/>
      <c r="D234" s="133"/>
      <c r="E234" s="133"/>
      <c r="F234" s="133"/>
      <c r="G234" s="173"/>
      <c r="H234" s="142"/>
      <c r="I234" s="133"/>
      <c r="J234" s="133"/>
      <c r="K234" s="133"/>
      <c r="L234" s="173"/>
      <c r="M234" s="133"/>
      <c r="N234" s="133"/>
      <c r="O234" s="133"/>
      <c r="P234" s="133"/>
      <c r="Q234" s="133"/>
      <c r="R234" s="133"/>
      <c r="S234" s="173"/>
      <c r="T234" s="142"/>
      <c r="U234" s="133"/>
      <c r="V234" s="133"/>
      <c r="W234" s="133"/>
      <c r="X234" s="173"/>
      <c r="Y234" s="133"/>
      <c r="Z234" s="133"/>
      <c r="AA234" s="133"/>
      <c r="AB234" s="133"/>
      <c r="AC234" s="133"/>
      <c r="AD234" s="133"/>
      <c r="AE234" s="173"/>
      <c r="AF234" s="142"/>
      <c r="AG234" s="133"/>
      <c r="AH234" s="133"/>
      <c r="AI234" s="133"/>
      <c r="AJ234" s="173"/>
      <c r="AK234" s="133"/>
      <c r="AL234" s="142"/>
      <c r="AM234" s="21"/>
      <c r="AN234" s="19"/>
    </row>
    <row r="235" spans="2:40">
      <c r="B235" s="133"/>
      <c r="C235" s="133"/>
      <c r="D235" s="133"/>
      <c r="E235" s="133"/>
      <c r="F235" s="133"/>
      <c r="G235" s="173"/>
      <c r="H235" s="142"/>
      <c r="I235" s="133"/>
      <c r="J235" s="133"/>
      <c r="K235" s="133"/>
      <c r="L235" s="173"/>
      <c r="M235" s="133"/>
      <c r="N235" s="133"/>
      <c r="O235" s="133"/>
      <c r="P235" s="133"/>
      <c r="Q235" s="133"/>
      <c r="R235" s="133"/>
      <c r="S235" s="173"/>
      <c r="T235" s="142"/>
      <c r="U235" s="133"/>
      <c r="V235" s="133"/>
      <c r="W235" s="133"/>
      <c r="X235" s="173"/>
      <c r="Y235" s="133"/>
      <c r="Z235" s="133"/>
      <c r="AA235" s="133"/>
      <c r="AB235" s="133"/>
      <c r="AC235" s="133"/>
      <c r="AD235" s="133"/>
      <c r="AE235" s="173"/>
      <c r="AF235" s="142"/>
      <c r="AG235" s="133"/>
      <c r="AH235" s="133"/>
      <c r="AI235" s="133"/>
      <c r="AJ235" s="173"/>
      <c r="AK235" s="133"/>
      <c r="AL235" s="142"/>
      <c r="AM235" s="21"/>
      <c r="AN235" s="19"/>
    </row>
    <row r="236" spans="2:40">
      <c r="B236" s="133"/>
      <c r="C236" s="133"/>
      <c r="D236" s="133"/>
      <c r="E236" s="133"/>
      <c r="F236" s="133"/>
      <c r="G236" s="173"/>
      <c r="H236" s="142"/>
      <c r="I236" s="133"/>
      <c r="J236" s="133"/>
      <c r="K236" s="133"/>
      <c r="L236" s="173"/>
      <c r="M236" s="133"/>
      <c r="N236" s="133"/>
      <c r="O236" s="133"/>
      <c r="P236" s="133"/>
      <c r="Q236" s="133"/>
      <c r="R236" s="133"/>
      <c r="S236" s="173"/>
      <c r="T236" s="142"/>
      <c r="U236" s="133"/>
      <c r="V236" s="133"/>
      <c r="W236" s="133"/>
      <c r="X236" s="173"/>
      <c r="Y236" s="133"/>
      <c r="Z236" s="133"/>
      <c r="AA236" s="133"/>
      <c r="AB236" s="133"/>
      <c r="AC236" s="133"/>
      <c r="AD236" s="133"/>
      <c r="AE236" s="173"/>
      <c r="AF236" s="142"/>
      <c r="AG236" s="133"/>
      <c r="AH236" s="133"/>
      <c r="AI236" s="133"/>
      <c r="AJ236" s="173"/>
      <c r="AK236" s="133"/>
      <c r="AL236" s="142"/>
      <c r="AM236" s="21"/>
      <c r="AN236" s="19"/>
    </row>
    <row r="237" spans="2:40">
      <c r="B237" s="133"/>
      <c r="C237" s="133"/>
      <c r="D237" s="133"/>
      <c r="E237" s="133"/>
      <c r="F237" s="133"/>
      <c r="G237" s="173"/>
      <c r="H237" s="142"/>
      <c r="I237" s="133"/>
      <c r="J237" s="133"/>
      <c r="K237" s="133"/>
      <c r="L237" s="173"/>
      <c r="M237" s="133"/>
      <c r="N237" s="133"/>
      <c r="O237" s="133"/>
      <c r="P237" s="133"/>
      <c r="Q237" s="133"/>
      <c r="R237" s="133"/>
      <c r="S237" s="173"/>
      <c r="T237" s="142"/>
      <c r="U237" s="133"/>
      <c r="V237" s="133"/>
      <c r="W237" s="133"/>
      <c r="X237" s="173"/>
      <c r="Y237" s="133"/>
      <c r="Z237" s="133"/>
      <c r="AA237" s="133"/>
      <c r="AB237" s="133"/>
      <c r="AC237" s="133"/>
      <c r="AD237" s="133"/>
      <c r="AE237" s="173"/>
      <c r="AF237" s="142"/>
      <c r="AG237" s="133"/>
      <c r="AH237" s="133"/>
      <c r="AI237" s="133"/>
      <c r="AJ237" s="173"/>
      <c r="AK237" s="133"/>
      <c r="AL237" s="142"/>
      <c r="AM237" s="21"/>
      <c r="AN237" s="19"/>
    </row>
    <row r="238" spans="2:40">
      <c r="B238" s="133"/>
      <c r="C238" s="133"/>
      <c r="D238" s="133"/>
      <c r="E238" s="133"/>
      <c r="F238" s="133"/>
      <c r="G238" s="173"/>
      <c r="H238" s="142"/>
      <c r="I238" s="133"/>
      <c r="J238" s="133"/>
      <c r="K238" s="133"/>
      <c r="L238" s="173"/>
      <c r="M238" s="133"/>
      <c r="N238" s="133"/>
      <c r="O238" s="133"/>
      <c r="P238" s="133"/>
      <c r="Q238" s="133"/>
      <c r="R238" s="133"/>
      <c r="S238" s="173"/>
      <c r="T238" s="142"/>
      <c r="U238" s="133"/>
      <c r="V238" s="133"/>
      <c r="W238" s="133"/>
      <c r="X238" s="173"/>
      <c r="Y238" s="133"/>
      <c r="Z238" s="133"/>
      <c r="AA238" s="133"/>
      <c r="AB238" s="133"/>
      <c r="AC238" s="133"/>
      <c r="AD238" s="133"/>
      <c r="AE238" s="173"/>
      <c r="AF238" s="142"/>
      <c r="AG238" s="133"/>
      <c r="AH238" s="133"/>
      <c r="AI238" s="133"/>
      <c r="AJ238" s="173"/>
      <c r="AK238" s="133"/>
      <c r="AL238" s="142"/>
      <c r="AM238" s="21"/>
      <c r="AN238" s="19"/>
    </row>
    <row r="239" spans="2:40">
      <c r="B239" s="133"/>
      <c r="C239" s="133"/>
      <c r="D239" s="133"/>
      <c r="E239" s="133"/>
      <c r="F239" s="133"/>
      <c r="G239" s="173"/>
      <c r="H239" s="142"/>
      <c r="I239" s="133"/>
      <c r="J239" s="133"/>
      <c r="K239" s="133"/>
      <c r="L239" s="173"/>
      <c r="M239" s="133"/>
      <c r="N239" s="133"/>
      <c r="O239" s="133"/>
      <c r="P239" s="133"/>
      <c r="Q239" s="133"/>
      <c r="R239" s="133"/>
      <c r="S239" s="173"/>
      <c r="T239" s="142"/>
      <c r="U239" s="133"/>
      <c r="V239" s="133"/>
      <c r="W239" s="133"/>
      <c r="X239" s="173"/>
      <c r="Y239" s="133"/>
      <c r="Z239" s="133"/>
      <c r="AA239" s="133"/>
      <c r="AB239" s="133"/>
      <c r="AC239" s="133"/>
      <c r="AD239" s="133"/>
      <c r="AE239" s="173"/>
      <c r="AF239" s="142"/>
      <c r="AG239" s="133"/>
      <c r="AH239" s="133"/>
      <c r="AI239" s="133"/>
      <c r="AJ239" s="173"/>
      <c r="AK239" s="133"/>
      <c r="AL239" s="142"/>
      <c r="AM239" s="21"/>
      <c r="AN239" s="19"/>
    </row>
    <row r="240" spans="2:40">
      <c r="B240" s="133"/>
      <c r="C240" s="133"/>
      <c r="D240" s="133"/>
      <c r="E240" s="133"/>
      <c r="F240" s="133"/>
      <c r="G240" s="173"/>
      <c r="H240" s="142"/>
      <c r="I240" s="133"/>
      <c r="J240" s="133"/>
      <c r="K240" s="133"/>
      <c r="L240" s="173"/>
      <c r="M240" s="133"/>
      <c r="N240" s="133"/>
      <c r="O240" s="133"/>
      <c r="P240" s="133"/>
      <c r="Q240" s="133"/>
      <c r="R240" s="133"/>
      <c r="S240" s="173"/>
      <c r="T240" s="142"/>
      <c r="U240" s="133"/>
      <c r="V240" s="133"/>
      <c r="W240" s="133"/>
      <c r="X240" s="173"/>
      <c r="Y240" s="133"/>
      <c r="Z240" s="133"/>
      <c r="AA240" s="133"/>
      <c r="AB240" s="133"/>
      <c r="AC240" s="133"/>
      <c r="AD240" s="133"/>
      <c r="AE240" s="173"/>
      <c r="AF240" s="142"/>
      <c r="AG240" s="133"/>
      <c r="AH240" s="133"/>
      <c r="AI240" s="133"/>
      <c r="AJ240" s="173"/>
      <c r="AK240" s="133"/>
      <c r="AL240" s="142"/>
      <c r="AM240" s="21"/>
      <c r="AN240" s="19"/>
    </row>
  </sheetData>
  <conditionalFormatting sqref="C84:AG85 C74:AG74 C76:AG77 C135:AG135 C141:AG141 C147:AG147">
    <cfRule type="cellIs" dxfId="277" priority="97" operator="equal">
      <formula>0</formula>
    </cfRule>
  </conditionalFormatting>
  <conditionalFormatting sqref="C78:AG78 C96:AG96 C115:AG116 C33:AG34 C142:AG144 C150:AG150 C37:AG40 C165:AG196 C93:AG93 C99:AG107 C111:AG112 C75:AG75 C136:AG140 C153:AG160 C121:AG124 C81:AG83 C86:AG90 C55:AG56 C42:AG43 C60:AG71">
    <cfRule type="cellIs" dxfId="276" priority="60" operator="equal">
      <formula>0</formula>
    </cfRule>
  </conditionalFormatting>
  <conditionalFormatting sqref="C58:AG58">
    <cfRule type="cellIs" dxfId="275" priority="42" operator="equal">
      <formula>0</formula>
    </cfRule>
  </conditionalFormatting>
  <conditionalFormatting sqref="C95:AG95">
    <cfRule type="cellIs" dxfId="274" priority="38" operator="equal">
      <formula>0</formula>
    </cfRule>
  </conditionalFormatting>
  <conditionalFormatting sqref="C31:AG31">
    <cfRule type="cellIs" dxfId="273" priority="37" operator="equal">
      <formula>0</formula>
    </cfRule>
  </conditionalFormatting>
  <conditionalFormatting sqref="C32:AG32">
    <cfRule type="cellIs" dxfId="272" priority="36" operator="equal">
      <formula>0</formula>
    </cfRule>
  </conditionalFormatting>
  <conditionalFormatting sqref="C149:AG149">
    <cfRule type="cellIs" dxfId="271" priority="35" operator="equal">
      <formula>0</formula>
    </cfRule>
  </conditionalFormatting>
  <conditionalFormatting sqref="C148:AG148">
    <cfRule type="cellIs" dxfId="270" priority="34" operator="equal">
      <formula>0</formula>
    </cfRule>
  </conditionalFormatting>
  <conditionalFormatting sqref="C44:AG44">
    <cfRule type="cellIs" dxfId="269" priority="32" operator="equal">
      <formula>0</formula>
    </cfRule>
  </conditionalFormatting>
  <conditionalFormatting sqref="C35:AG36">
    <cfRule type="cellIs" dxfId="268" priority="30" operator="equal">
      <formula>0</formula>
    </cfRule>
  </conditionalFormatting>
  <conditionalFormatting sqref="C145:AG145">
    <cfRule type="cellIs" dxfId="267" priority="29" operator="equal">
      <formula>0</formula>
    </cfRule>
  </conditionalFormatting>
  <conditionalFormatting sqref="C151:AG151">
    <cfRule type="cellIs" dxfId="266" priority="28" operator="equal">
      <formula>0</formula>
    </cfRule>
  </conditionalFormatting>
  <conditionalFormatting sqref="C92:AG92">
    <cfRule type="cellIs" dxfId="265" priority="27" operator="equal">
      <formula>0</formula>
    </cfRule>
  </conditionalFormatting>
  <conditionalFormatting sqref="C91:AG91">
    <cfRule type="cellIs" dxfId="264" priority="26" operator="equal">
      <formula>0</formula>
    </cfRule>
  </conditionalFormatting>
  <conditionalFormatting sqref="C59:AG59">
    <cfRule type="cellIs" dxfId="263" priority="25" operator="equal">
      <formula>0</formula>
    </cfRule>
  </conditionalFormatting>
  <conditionalFormatting sqref="C48:AG48">
    <cfRule type="cellIs" dxfId="262" priority="24" operator="equal">
      <formula>0</formula>
    </cfRule>
  </conditionalFormatting>
  <conditionalFormatting sqref="C49:AG49">
    <cfRule type="cellIs" dxfId="261" priority="22" operator="equal">
      <formula>0</formula>
    </cfRule>
  </conditionalFormatting>
  <conditionalFormatting sqref="C52:AG52">
    <cfRule type="cellIs" dxfId="260" priority="19" operator="equal">
      <formula>0</formula>
    </cfRule>
  </conditionalFormatting>
  <conditionalFormatting sqref="C51:AG51">
    <cfRule type="cellIs" dxfId="259" priority="21" operator="equal">
      <formula>0</formula>
    </cfRule>
  </conditionalFormatting>
  <conditionalFormatting sqref="C47:AG47">
    <cfRule type="cellIs" dxfId="258" priority="18" operator="equal">
      <formula>0</formula>
    </cfRule>
  </conditionalFormatting>
  <conditionalFormatting sqref="C50:AG50">
    <cfRule type="cellIs" dxfId="257" priority="17" operator="equal">
      <formula>0</formula>
    </cfRule>
  </conditionalFormatting>
  <conditionalFormatting sqref="C57:AG57">
    <cfRule type="cellIs" dxfId="256" priority="16" operator="equal">
      <formula>0</formula>
    </cfRule>
  </conditionalFormatting>
  <conditionalFormatting sqref="C117">
    <cfRule type="expression" dxfId="255" priority="11">
      <formula>$C$117=0</formula>
    </cfRule>
  </conditionalFormatting>
  <conditionalFormatting sqref="C146:AG146">
    <cfRule type="cellIs" dxfId="254" priority="10" operator="equal">
      <formula>0</formula>
    </cfRule>
  </conditionalFormatting>
  <conditionalFormatting sqref="C152:AG152">
    <cfRule type="cellIs" dxfId="253" priority="9" operator="equal">
      <formula>0</formula>
    </cfRule>
  </conditionalFormatting>
  <conditionalFormatting sqref="C161:AG161">
    <cfRule type="cellIs" dxfId="252" priority="7" operator="equal">
      <formula>0</formula>
    </cfRule>
  </conditionalFormatting>
  <conditionalFormatting sqref="C127:AG129">
    <cfRule type="cellIs" dxfId="251" priority="5" operator="equal">
      <formula>0</formula>
    </cfRule>
  </conditionalFormatting>
  <conditionalFormatting sqref="C130:AG130">
    <cfRule type="cellIs" dxfId="250" priority="4" operator="equal">
      <formula>0</formula>
    </cfRule>
  </conditionalFormatting>
  <conditionalFormatting sqref="C131:AG131">
    <cfRule type="cellIs" dxfId="249" priority="3" operator="equal">
      <formula>0</formula>
    </cfRule>
  </conditionalFormatting>
  <conditionalFormatting sqref="C41:AG41">
    <cfRule type="cellIs" dxfId="248" priority="2" operator="equal">
      <formula>0</formula>
    </cfRule>
  </conditionalFormatting>
  <conditionalFormatting sqref="C132:AG132">
    <cfRule type="cellIs" dxfId="247" priority="1" operator="equal">
      <formula>0</formula>
    </cfRule>
  </conditionalFormatting>
  <dataValidations disablePrompts="1" count="1">
    <dataValidation type="list" allowBlank="1" showInputMessage="1" showErrorMessage="1" sqref="AA9">
      <formula1>"SLN, DB, DDB"</formula1>
    </dataValidation>
  </dataValidations>
  <pageMargins left="0.75" right="0.75" top="1" bottom="1" header="0.5" footer="0.5"/>
  <pageSetup paperSize="9" scale="70" orientation="landscape" verticalDpi="96" r:id="rId1"/>
  <headerFooter alignWithMargins="0">
    <oddHeader>&amp;COil field probabilistic life-cycle model&amp;R&amp;D</oddHeader>
    <oddFooter>&amp;Remail : christian.bos@tno.nl</oddFooter>
  </headerFooter>
  <ignoredErrors>
    <ignoredError sqref="C34:E34" unlockedFormula="1"/>
  </ignoredError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sheetPr>
  <dimension ref="A1:BB196"/>
  <sheetViews>
    <sheetView topLeftCell="A46" workbookViewId="0">
      <selection activeCell="K57" sqref="K57"/>
    </sheetView>
  </sheetViews>
  <sheetFormatPr defaultRowHeight="14.4"/>
  <cols>
    <col min="1" max="1" width="5.33203125" customWidth="1"/>
    <col min="2" max="2" width="36.5546875" customWidth="1"/>
    <col min="5" max="5" width="10.33203125" customWidth="1"/>
    <col min="6" max="6" width="13.44140625" bestFit="1" customWidth="1"/>
    <col min="7" max="8" width="10.33203125" customWidth="1"/>
    <col min="9" max="9" width="12.33203125" customWidth="1"/>
    <col min="10" max="10" width="11.6640625" customWidth="1"/>
    <col min="37" max="37" width="5.33203125" bestFit="1" customWidth="1"/>
    <col min="38" max="38" width="14" bestFit="1" customWidth="1"/>
    <col min="39" max="39" width="17.44140625" bestFit="1" customWidth="1"/>
    <col min="40" max="40" width="13.6640625" bestFit="1" customWidth="1"/>
    <col min="41" max="41" width="15.5546875" bestFit="1" customWidth="1"/>
    <col min="42" max="42" width="10.6640625" bestFit="1" customWidth="1"/>
    <col min="43" max="43" width="13.44140625" bestFit="1" customWidth="1"/>
  </cols>
  <sheetData>
    <row r="1" spans="1:54" s="326" customFormat="1" ht="24.6">
      <c r="B1" s="327" t="s">
        <v>1724</v>
      </c>
      <c r="K1" s="328"/>
      <c r="L1" s="328"/>
      <c r="M1" s="328"/>
      <c r="N1" s="328"/>
      <c r="AK1" s="19"/>
      <c r="AL1" s="21"/>
      <c r="AM1" s="21"/>
      <c r="AN1" s="19"/>
      <c r="AO1" s="19"/>
      <c r="AP1" s="19"/>
      <c r="AQ1" s="19"/>
    </row>
    <row r="2" spans="1:54" s="326" customFormat="1" ht="13.2">
      <c r="P2" s="329"/>
      <c r="S2" s="330"/>
      <c r="AK2" s="19"/>
      <c r="AL2" s="21"/>
      <c r="AM2" s="21"/>
      <c r="AN2" s="19"/>
      <c r="AO2" s="19"/>
      <c r="AP2" s="19"/>
      <c r="AQ2" s="19"/>
    </row>
    <row r="3" spans="1:54" s="326" customFormat="1" ht="13.8" thickBot="1">
      <c r="B3" s="332" t="s">
        <v>214</v>
      </c>
      <c r="C3" s="331"/>
      <c r="E3" s="333" t="str">
        <f>Cashflow!S4</f>
        <v>Phasing variables</v>
      </c>
      <c r="F3" s="328"/>
      <c r="G3" s="328"/>
      <c r="H3" s="328"/>
      <c r="I3" s="328"/>
      <c r="K3" s="333" t="str">
        <f>Cashflow!S13</f>
        <v>Well-related costs</v>
      </c>
      <c r="L3" s="328"/>
      <c r="M3" s="328"/>
      <c r="N3" s="328"/>
      <c r="O3" s="328"/>
      <c r="AK3" s="19"/>
      <c r="AL3" s="21"/>
      <c r="AM3" s="21"/>
      <c r="AN3" s="19"/>
      <c r="AO3" s="19"/>
      <c r="AP3" s="19"/>
      <c r="AQ3" s="19"/>
    </row>
    <row r="4" spans="1:54" s="326" customFormat="1" ht="13.2">
      <c r="B4" s="334" t="s">
        <v>211</v>
      </c>
      <c r="C4" s="81"/>
      <c r="D4" s="329"/>
      <c r="E4" s="336" t="str">
        <f>Cashflow!S5</f>
        <v>First year of evaluation</v>
      </c>
      <c r="F4" s="337"/>
      <c r="G4" s="337"/>
      <c r="H4" s="337"/>
      <c r="I4" s="582">
        <f>Cashflow!V5</f>
        <v>2017</v>
      </c>
      <c r="J4" s="335"/>
      <c r="K4" s="336" t="str">
        <f>Cashflow!S21</f>
        <v>Workover cost per well ($ MM)</v>
      </c>
      <c r="L4" s="337"/>
      <c r="M4" s="337"/>
      <c r="N4" s="337"/>
      <c r="O4" s="1121">
        <f>Cashflow!V21</f>
        <v>1</v>
      </c>
      <c r="P4" s="335"/>
      <c r="S4" s="329"/>
      <c r="Z4" s="335"/>
      <c r="AE4" s="335"/>
      <c r="AK4" s="19"/>
      <c r="AL4" s="21"/>
      <c r="AM4" s="21"/>
      <c r="AN4" s="19"/>
      <c r="AO4" s="19"/>
      <c r="AP4" s="19"/>
      <c r="AQ4" s="19"/>
    </row>
    <row r="5" spans="1:54" s="326" customFormat="1" ht="13.8" thickBot="1">
      <c r="B5" s="334" t="s">
        <v>89</v>
      </c>
      <c r="C5" s="29"/>
      <c r="D5" s="329"/>
      <c r="E5" s="430" t="str">
        <f>Cashflow!S8</f>
        <v>Workover rig capacity - max # wells/yr</v>
      </c>
      <c r="H5" s="630"/>
      <c r="I5" s="1119">
        <f>Cashflow!V8</f>
        <v>6</v>
      </c>
      <c r="J5" s="335"/>
      <c r="K5" s="339" t="str">
        <f>Cashflow!S22</f>
        <v>Well opex ($ MM/well/yr)</v>
      </c>
      <c r="L5" s="340"/>
      <c r="M5" s="340"/>
      <c r="N5" s="601"/>
      <c r="O5" s="456">
        <f>Cashflow!V22</f>
        <v>0.1</v>
      </c>
      <c r="P5" s="335"/>
      <c r="S5" s="429"/>
      <c r="Z5" s="355"/>
      <c r="AA5" s="338"/>
      <c r="AB5" s="338"/>
      <c r="AC5" s="338"/>
      <c r="AD5" s="338"/>
      <c r="AK5" s="19"/>
      <c r="AL5" s="21"/>
      <c r="AM5" s="21"/>
      <c r="AN5" s="19"/>
      <c r="AO5" s="19"/>
      <c r="AP5" s="19"/>
      <c r="AQ5" s="19"/>
    </row>
    <row r="6" spans="1:54" s="326" customFormat="1" ht="13.2">
      <c r="D6" s="329"/>
      <c r="E6" s="430" t="str">
        <f>Cashflow!S10</f>
        <v>Avg prod. well W/O frequency (every n yrs)</v>
      </c>
      <c r="H6" s="630"/>
      <c r="I6" s="1119">
        <f>Cashflow!V10</f>
        <v>8</v>
      </c>
      <c r="J6" s="335"/>
      <c r="P6" s="335"/>
      <c r="S6" s="429"/>
      <c r="Z6" s="335"/>
      <c r="AK6" s="19"/>
      <c r="AL6" s="21"/>
      <c r="AM6" s="21"/>
      <c r="AN6" s="19"/>
      <c r="AO6" s="19"/>
      <c r="AP6" s="19"/>
      <c r="AQ6" s="19"/>
    </row>
    <row r="7" spans="1:54" s="326" customFormat="1" ht="13.8" thickBot="1">
      <c r="D7" s="331"/>
      <c r="E7" s="339" t="str">
        <f>Cashflow!S11</f>
        <v>Avg inj. well W/O frequency (every n yrs)</v>
      </c>
      <c r="F7" s="340"/>
      <c r="G7" s="340"/>
      <c r="H7" s="601"/>
      <c r="I7" s="1120">
        <f>Cashflow!V11</f>
        <v>6</v>
      </c>
      <c r="J7" s="335"/>
      <c r="O7" s="338"/>
      <c r="AK7" s="19"/>
      <c r="AL7" s="21"/>
      <c r="AM7" s="21"/>
      <c r="AN7" s="19"/>
      <c r="AO7" s="19"/>
      <c r="AP7" s="19"/>
      <c r="AQ7" s="19"/>
    </row>
    <row r="8" spans="1:54" s="326" customFormat="1" ht="13.2">
      <c r="B8" s="169"/>
      <c r="C8" s="555"/>
      <c r="D8" s="19"/>
      <c r="E8" s="19"/>
      <c r="F8" s="19"/>
      <c r="G8" s="19"/>
      <c r="H8" s="19"/>
      <c r="I8" s="19"/>
      <c r="J8" s="19"/>
      <c r="K8" s="137"/>
      <c r="L8" s="132"/>
      <c r="M8" s="137"/>
      <c r="N8" s="28"/>
      <c r="O8" s="28"/>
      <c r="P8" s="19"/>
      <c r="Q8" s="19"/>
      <c r="R8" s="19"/>
      <c r="S8" s="19"/>
      <c r="T8" s="19"/>
      <c r="U8" s="19"/>
      <c r="V8" s="19"/>
      <c r="W8" s="19"/>
      <c r="X8" s="19"/>
      <c r="Y8" s="19"/>
      <c r="Z8" s="19"/>
      <c r="AA8" s="19"/>
      <c r="AB8" s="19"/>
      <c r="AC8" s="19"/>
      <c r="AD8" s="19"/>
      <c r="AE8" s="19"/>
      <c r="AF8" s="19"/>
      <c r="AG8" s="19"/>
      <c r="AH8" s="19"/>
      <c r="AI8" s="19"/>
      <c r="AJ8" s="19"/>
      <c r="AK8" s="19"/>
      <c r="AL8" s="21"/>
      <c r="AM8" s="21"/>
      <c r="AN8" s="19"/>
      <c r="AO8" s="19"/>
      <c r="AP8" s="19"/>
      <c r="AQ8" s="19"/>
    </row>
    <row r="9" spans="1:54" ht="15" thickBot="1">
      <c r="A9" s="19"/>
      <c r="B9" s="52" t="s">
        <v>650</v>
      </c>
      <c r="C9" s="32">
        <f>Cashflow!C$30</f>
        <v>2017</v>
      </c>
      <c r="D9" s="32">
        <f>Cashflow!D$30</f>
        <v>2018</v>
      </c>
      <c r="E9" s="32">
        <f>Cashflow!E$30</f>
        <v>2019</v>
      </c>
      <c r="F9" s="32">
        <f>Cashflow!F$30</f>
        <v>2020</v>
      </c>
      <c r="G9" s="32">
        <f>Cashflow!G$30</f>
        <v>2021</v>
      </c>
      <c r="H9" s="32">
        <f>Cashflow!H$30</f>
        <v>2022</v>
      </c>
      <c r="I9" s="32">
        <f>Cashflow!I$30</f>
        <v>2023</v>
      </c>
      <c r="J9" s="32">
        <f>Cashflow!J$30</f>
        <v>2024</v>
      </c>
      <c r="K9" s="32">
        <f>Cashflow!K$30</f>
        <v>2025</v>
      </c>
      <c r="L9" s="32">
        <f>Cashflow!L$30</f>
        <v>2026</v>
      </c>
      <c r="M9" s="32">
        <f>Cashflow!M$30</f>
        <v>2027</v>
      </c>
      <c r="N9" s="32">
        <f>Cashflow!N$30</f>
        <v>2028</v>
      </c>
      <c r="O9" s="32">
        <f>Cashflow!O$30</f>
        <v>2029</v>
      </c>
      <c r="P9" s="32">
        <f>Cashflow!P$30</f>
        <v>2030</v>
      </c>
      <c r="Q9" s="32">
        <f>Cashflow!Q$30</f>
        <v>2031</v>
      </c>
      <c r="R9" s="32">
        <f>Cashflow!R$30</f>
        <v>2032</v>
      </c>
      <c r="S9" s="32">
        <f>Cashflow!S$30</f>
        <v>2033</v>
      </c>
      <c r="T9" s="32">
        <f>Cashflow!T$30</f>
        <v>2034</v>
      </c>
      <c r="U9" s="32">
        <f>Cashflow!U$30</f>
        <v>2035</v>
      </c>
      <c r="V9" s="32">
        <f>Cashflow!V$30</f>
        <v>2036</v>
      </c>
      <c r="W9" s="32">
        <f>Cashflow!W$30</f>
        <v>2037</v>
      </c>
      <c r="X9" s="32">
        <f>Cashflow!X$30</f>
        <v>2038</v>
      </c>
      <c r="Y9" s="32">
        <f>Cashflow!Y$30</f>
        <v>2039</v>
      </c>
      <c r="Z9" s="32">
        <f>Cashflow!Z$30</f>
        <v>2040</v>
      </c>
      <c r="AA9" s="32">
        <f>Cashflow!AA$30</f>
        <v>2041</v>
      </c>
      <c r="AB9" s="32">
        <f>Cashflow!AB$30</f>
        <v>2042</v>
      </c>
      <c r="AC9" s="32">
        <f>Cashflow!AC$30</f>
        <v>2043</v>
      </c>
      <c r="AD9" s="32">
        <f>Cashflow!AD$30</f>
        <v>2044</v>
      </c>
      <c r="AE9" s="32">
        <f>Cashflow!AE$30</f>
        <v>2045</v>
      </c>
      <c r="AF9" s="32">
        <f>Cashflow!AF$30</f>
        <v>2046</v>
      </c>
      <c r="AG9" s="32">
        <f>Cashflow!AG$30</f>
        <v>2047</v>
      </c>
      <c r="AH9" s="19"/>
      <c r="AI9" s="19"/>
      <c r="AJ9" s="19"/>
      <c r="AK9" s="19"/>
      <c r="AL9" s="21"/>
      <c r="AM9" s="21"/>
      <c r="AN9" s="19"/>
      <c r="AO9" s="19"/>
      <c r="AP9" s="19"/>
      <c r="AQ9" s="19"/>
      <c r="AR9" s="326"/>
      <c r="AS9" s="326"/>
      <c r="AT9" s="326"/>
      <c r="AU9" s="326"/>
      <c r="AV9" s="326"/>
      <c r="AW9" s="326"/>
      <c r="AX9" s="326"/>
      <c r="AY9" s="326"/>
      <c r="AZ9" s="326"/>
      <c r="BA9" s="326"/>
      <c r="BB9" s="326"/>
    </row>
    <row r="10" spans="1:54" ht="15" thickTop="1">
      <c r="A10" s="19"/>
      <c r="B10" s="42" t="s">
        <v>845</v>
      </c>
      <c r="C10" s="58">
        <f>Cashflow!C153</f>
        <v>0</v>
      </c>
      <c r="D10" s="58">
        <f>Cashflow!D153</f>
        <v>0</v>
      </c>
      <c r="E10" s="58">
        <f>Cashflow!E153</f>
        <v>0</v>
      </c>
      <c r="F10" s="58">
        <f>Cashflow!F153</f>
        <v>0</v>
      </c>
      <c r="G10" s="58">
        <f>Cashflow!G153</f>
        <v>0</v>
      </c>
      <c r="H10" s="58">
        <f>Cashflow!H153</f>
        <v>0</v>
      </c>
      <c r="I10" s="58">
        <f>Cashflow!I153</f>
        <v>1</v>
      </c>
      <c r="J10" s="58">
        <f>Cashflow!J153</f>
        <v>2</v>
      </c>
      <c r="K10" s="58">
        <f>Cashflow!K153</f>
        <v>1</v>
      </c>
      <c r="L10" s="58">
        <f ca="1">Cashflow!L153</f>
        <v>2</v>
      </c>
      <c r="M10" s="58">
        <f ca="1">Cashflow!M153</f>
        <v>1</v>
      </c>
      <c r="N10" s="58">
        <f ca="1">Cashflow!N153</f>
        <v>2</v>
      </c>
      <c r="O10" s="58">
        <f ca="1">Cashflow!O153</f>
        <v>0</v>
      </c>
      <c r="P10" s="58">
        <f ca="1">Cashflow!P153</f>
        <v>0</v>
      </c>
      <c r="Q10" s="58">
        <f ca="1">Cashflow!Q153</f>
        <v>0</v>
      </c>
      <c r="R10" s="58">
        <f ca="1">Cashflow!R153</f>
        <v>0</v>
      </c>
      <c r="S10" s="58">
        <f ca="1">Cashflow!S153</f>
        <v>0</v>
      </c>
      <c r="T10" s="58">
        <f ca="1">Cashflow!T153</f>
        <v>0</v>
      </c>
      <c r="U10" s="58">
        <f ca="1">Cashflow!U153</f>
        <v>0</v>
      </c>
      <c r="V10" s="58">
        <f ca="1">Cashflow!V153</f>
        <v>0</v>
      </c>
      <c r="W10" s="58">
        <f ca="1">Cashflow!W153</f>
        <v>0</v>
      </c>
      <c r="X10" s="58">
        <f ca="1">Cashflow!X153</f>
        <v>0</v>
      </c>
      <c r="Y10" s="58">
        <f ca="1">Cashflow!Y153</f>
        <v>0</v>
      </c>
      <c r="Z10" s="58">
        <f ca="1">Cashflow!Z153</f>
        <v>0</v>
      </c>
      <c r="AA10" s="58">
        <f ca="1">Cashflow!AA153</f>
        <v>0</v>
      </c>
      <c r="AB10" s="58">
        <f ca="1">Cashflow!AB153</f>
        <v>0</v>
      </c>
      <c r="AC10" s="58">
        <f ca="1">Cashflow!AC153</f>
        <v>0</v>
      </c>
      <c r="AD10" s="58">
        <f ca="1">Cashflow!AD153</f>
        <v>0</v>
      </c>
      <c r="AE10" s="58">
        <f ca="1">Cashflow!AE153</f>
        <v>0</v>
      </c>
      <c r="AF10" s="58">
        <f ca="1">Cashflow!AF153</f>
        <v>0</v>
      </c>
      <c r="AG10" s="58">
        <f ca="1">Cashflow!AG153</f>
        <v>0</v>
      </c>
      <c r="AH10" s="19"/>
      <c r="AI10" s="19"/>
      <c r="AJ10" s="19"/>
      <c r="AK10" s="19"/>
      <c r="AL10" s="21"/>
      <c r="AM10" s="21"/>
      <c r="AN10" s="19"/>
      <c r="AO10" s="19"/>
      <c r="AP10" s="19"/>
      <c r="AQ10" s="19"/>
      <c r="AR10" s="326"/>
      <c r="AS10" s="326"/>
      <c r="AT10" s="326"/>
      <c r="AU10" s="326"/>
      <c r="AV10" s="326"/>
      <c r="AW10" s="326"/>
      <c r="AX10" s="326"/>
      <c r="AY10" s="326"/>
      <c r="AZ10" s="326"/>
      <c r="BA10" s="326"/>
      <c r="BB10" s="326"/>
    </row>
    <row r="11" spans="1:54" s="26" customFormat="1" ht="13.2">
      <c r="A11" s="19"/>
      <c r="B11" s="55" t="s">
        <v>1722</v>
      </c>
      <c r="C11" s="58">
        <f>Cashflow!C154</f>
        <v>0</v>
      </c>
      <c r="D11" s="58">
        <f>Cashflow!D154</f>
        <v>0</v>
      </c>
      <c r="E11" s="58">
        <f>Cashflow!E154</f>
        <v>0</v>
      </c>
      <c r="F11" s="58">
        <f>Cashflow!F154</f>
        <v>0</v>
      </c>
      <c r="G11" s="58">
        <f>Cashflow!G154</f>
        <v>0</v>
      </c>
      <c r="H11" s="58">
        <f>Cashflow!H154</f>
        <v>0</v>
      </c>
      <c r="I11" s="58">
        <f>Cashflow!I154</f>
        <v>1</v>
      </c>
      <c r="J11" s="58">
        <f>Cashflow!J154</f>
        <v>3</v>
      </c>
      <c r="K11" s="58">
        <f>Cashflow!K154</f>
        <v>4</v>
      </c>
      <c r="L11" s="58">
        <f ca="1">Cashflow!L154</f>
        <v>6</v>
      </c>
      <c r="M11" s="58">
        <f ca="1">Cashflow!M154</f>
        <v>7</v>
      </c>
      <c r="N11" s="58">
        <f ca="1">Cashflow!N154</f>
        <v>9</v>
      </c>
      <c r="O11" s="58">
        <f ca="1">Cashflow!O154</f>
        <v>9</v>
      </c>
      <c r="P11" s="58">
        <f ca="1">Cashflow!P154</f>
        <v>9</v>
      </c>
      <c r="Q11" s="58">
        <f ca="1">Cashflow!Q154</f>
        <v>9</v>
      </c>
      <c r="R11" s="58">
        <f ca="1">Cashflow!R154</f>
        <v>9</v>
      </c>
      <c r="S11" s="58">
        <f ca="1">Cashflow!S154</f>
        <v>9</v>
      </c>
      <c r="T11" s="58">
        <f ca="1">Cashflow!T154</f>
        <v>9</v>
      </c>
      <c r="U11" s="58">
        <f ca="1">Cashflow!U154</f>
        <v>9</v>
      </c>
      <c r="V11" s="58">
        <f ca="1">Cashflow!V154</f>
        <v>9</v>
      </c>
      <c r="W11" s="58">
        <f ca="1">Cashflow!W154</f>
        <v>9</v>
      </c>
      <c r="X11" s="58">
        <f ca="1">Cashflow!X154</f>
        <v>9</v>
      </c>
      <c r="Y11" s="58">
        <f ca="1">Cashflow!Y154</f>
        <v>9</v>
      </c>
      <c r="Z11" s="58">
        <f ca="1">Cashflow!Z154</f>
        <v>9</v>
      </c>
      <c r="AA11" s="58">
        <f ca="1">Cashflow!AA154</f>
        <v>9</v>
      </c>
      <c r="AB11" s="58">
        <f ca="1">Cashflow!AB154</f>
        <v>9</v>
      </c>
      <c r="AC11" s="58">
        <f ca="1">Cashflow!AC154</f>
        <v>9</v>
      </c>
      <c r="AD11" s="58">
        <f ca="1">Cashflow!AD154</f>
        <v>9</v>
      </c>
      <c r="AE11" s="58">
        <f ca="1">Cashflow!AE154</f>
        <v>9</v>
      </c>
      <c r="AF11" s="58">
        <f ca="1">Cashflow!AF154</f>
        <v>9</v>
      </c>
      <c r="AG11" s="58">
        <f ca="1">Cashflow!AG154</f>
        <v>9</v>
      </c>
      <c r="AH11" s="19"/>
      <c r="AI11" s="19"/>
      <c r="AJ11" s="19"/>
      <c r="AK11" s="19"/>
      <c r="AL11" s="21"/>
      <c r="AM11" s="21"/>
      <c r="AN11" s="19"/>
      <c r="AO11" s="19"/>
      <c r="AP11" s="19"/>
      <c r="AQ11" s="19"/>
      <c r="AR11" s="326"/>
      <c r="AS11" s="326"/>
      <c r="AT11" s="326"/>
      <c r="AU11" s="326"/>
      <c r="AV11" s="326"/>
      <c r="AW11" s="326"/>
      <c r="AX11" s="326"/>
      <c r="AY11" s="326"/>
      <c r="AZ11" s="326"/>
      <c r="BA11" s="326"/>
      <c r="BB11" s="326"/>
    </row>
    <row r="12" spans="1:54" s="26" customFormat="1" ht="13.2">
      <c r="A12" s="19"/>
      <c r="B12" s="55" t="s">
        <v>280</v>
      </c>
      <c r="C12" s="59">
        <f>IF(Cashflow!C$111="C/I",0,-C$11*$O$5)</f>
        <v>0</v>
      </c>
      <c r="D12" s="59">
        <f>IF(Cashflow!D$111="C/I",0,-D$11*$O$5)</f>
        <v>0</v>
      </c>
      <c r="E12" s="59">
        <f>IF(Cashflow!E$111="C/I",0,-E$11*$O$5)</f>
        <v>0</v>
      </c>
      <c r="F12" s="59">
        <f>IF(Cashflow!F$111="C/I",0,-F$11*$O$5)</f>
        <v>0</v>
      </c>
      <c r="G12" s="59">
        <f>IF(Cashflow!G$111="C/I",0,-G$11*$O$5)</f>
        <v>0</v>
      </c>
      <c r="H12" s="59">
        <f>IF(Cashflow!H$111="C/I",0,-H$11*$O$5)</f>
        <v>0</v>
      </c>
      <c r="I12" s="59">
        <f>IF(Cashflow!I$111="C/I",0,-I$11*$O$5)</f>
        <v>-0.1</v>
      </c>
      <c r="J12" s="59">
        <f>IF(Cashflow!J$111="C/I",0,-J$11*$O$5)</f>
        <v>-0.30000000000000004</v>
      </c>
      <c r="K12" s="59">
        <f>IF(Cashflow!K$111="C/I",0,-K$11*$O$5)</f>
        <v>-0.4</v>
      </c>
      <c r="L12" s="59">
        <f ca="1">IF(Cashflow!L$111="C/I",0,-L$11*$O$5)</f>
        <v>-0.60000000000000009</v>
      </c>
      <c r="M12" s="59">
        <f ca="1">IF(Cashflow!M$111="C/I",0,-M$11*$O$5)</f>
        <v>-0.70000000000000007</v>
      </c>
      <c r="N12" s="59">
        <f ca="1">IF(Cashflow!N$111="C/I",0,-N$11*$O$5)</f>
        <v>-0.9</v>
      </c>
      <c r="O12" s="59">
        <f ca="1">IF(Cashflow!O$111="C/I",0,-O$11*$O$5)</f>
        <v>-0.9</v>
      </c>
      <c r="P12" s="59">
        <f ca="1">IF(Cashflow!P$111="C/I",0,-P$11*$O$5)</f>
        <v>-0.9</v>
      </c>
      <c r="Q12" s="59">
        <f ca="1">IF(Cashflow!Q$111="C/I",0,-Q$11*$O$5)</f>
        <v>-0.9</v>
      </c>
      <c r="R12" s="59">
        <f ca="1">IF(Cashflow!R$111="C/I",0,-R$11*$O$5)</f>
        <v>-0.9</v>
      </c>
      <c r="S12" s="59">
        <f ca="1">IF(Cashflow!S$111="C/I",0,-S$11*$O$5)</f>
        <v>-0.9</v>
      </c>
      <c r="T12" s="59">
        <f ca="1">IF(Cashflow!T$111="C/I",0,-T$11*$O$5)</f>
        <v>-0.9</v>
      </c>
      <c r="U12" s="59">
        <f ca="1">IF(Cashflow!U$111="C/I",0,-U$11*$O$5)</f>
        <v>-0.9</v>
      </c>
      <c r="V12" s="59">
        <f ca="1">IF(Cashflow!V$111="C/I",0,-V$11*$O$5)</f>
        <v>-0.9</v>
      </c>
      <c r="W12" s="59">
        <f ca="1">IF(Cashflow!W$111="C/I",0,-W$11*$O$5)</f>
        <v>-0.9</v>
      </c>
      <c r="X12" s="59">
        <f ca="1">IF(Cashflow!X$111="C/I",0,-X$11*$O$5)</f>
        <v>-0.9</v>
      </c>
      <c r="Y12" s="59">
        <f ca="1">IF(Cashflow!Y$111="C/I",0,-Y$11*$O$5)</f>
        <v>-0.9</v>
      </c>
      <c r="Z12" s="59">
        <f ca="1">IF(Cashflow!Z$111="C/I",0,-Z$11*$O$5)</f>
        <v>-0.9</v>
      </c>
      <c r="AA12" s="59">
        <f ca="1">IF(Cashflow!AA$111="C/I",0,-AA$11*$O$5)</f>
        <v>-0.9</v>
      </c>
      <c r="AB12" s="59">
        <f ca="1">IF(Cashflow!AB$111="C/I",0,-AB$11*$O$5)</f>
        <v>-0.9</v>
      </c>
      <c r="AC12" s="59">
        <f ca="1">IF(Cashflow!AC$111="C/I",0,-AC$11*$O$5)</f>
        <v>-0.9</v>
      </c>
      <c r="AD12" s="59">
        <f ca="1">IF(Cashflow!AD$111="C/I",0,-AD$11*$O$5)</f>
        <v>-0.9</v>
      </c>
      <c r="AE12" s="59">
        <f ca="1">IF(Cashflow!AE$111="C/I",0,-AE$11*$O$5)</f>
        <v>-0.9</v>
      </c>
      <c r="AF12" s="59">
        <f ca="1">IF(Cashflow!AF$111="C/I",0,-AF$11*$O$5)</f>
        <v>-0.9</v>
      </c>
      <c r="AG12" s="59">
        <f ca="1">IF(Cashflow!AG$111="C/I",0,-AG$11*$O$5)</f>
        <v>-0.9</v>
      </c>
      <c r="AH12" s="19"/>
      <c r="AI12" s="19"/>
      <c r="AJ12" s="19"/>
      <c r="AK12" s="19"/>
      <c r="AL12" s="21"/>
      <c r="AM12" s="21"/>
      <c r="AN12" s="19"/>
      <c r="AO12" s="19"/>
      <c r="AP12" s="19"/>
      <c r="AQ12" s="19"/>
      <c r="AR12" s="326"/>
      <c r="AS12" s="326"/>
      <c r="AT12" s="326"/>
      <c r="AU12" s="326"/>
      <c r="AV12" s="326"/>
      <c r="AW12" s="326"/>
      <c r="AX12" s="326"/>
      <c r="AY12" s="326"/>
      <c r="AZ12" s="326"/>
      <c r="BA12" s="326"/>
      <c r="BB12" s="326"/>
    </row>
    <row r="13" spans="1:54" s="26" customFormat="1" ht="13.2">
      <c r="A13" s="19"/>
      <c r="B13" s="55" t="s">
        <v>281</v>
      </c>
      <c r="C13" s="59">
        <f t="shared" ref="C13:AG13" si="0">IF(C$10=0,0,-C$10*$O$4)</f>
        <v>0</v>
      </c>
      <c r="D13" s="59">
        <f t="shared" si="0"/>
        <v>0</v>
      </c>
      <c r="E13" s="59">
        <f t="shared" si="0"/>
        <v>0</v>
      </c>
      <c r="F13" s="59">
        <f t="shared" si="0"/>
        <v>0</v>
      </c>
      <c r="G13" s="59">
        <f t="shared" si="0"/>
        <v>0</v>
      </c>
      <c r="H13" s="59">
        <f t="shared" si="0"/>
        <v>0</v>
      </c>
      <c r="I13" s="59">
        <f t="shared" si="0"/>
        <v>-1</v>
      </c>
      <c r="J13" s="59">
        <f t="shared" si="0"/>
        <v>-2</v>
      </c>
      <c r="K13" s="59">
        <f t="shared" si="0"/>
        <v>-1</v>
      </c>
      <c r="L13" s="59">
        <f t="shared" ca="1" si="0"/>
        <v>-2</v>
      </c>
      <c r="M13" s="59">
        <f t="shared" ca="1" si="0"/>
        <v>-1</v>
      </c>
      <c r="N13" s="59">
        <f t="shared" ca="1" si="0"/>
        <v>-2</v>
      </c>
      <c r="O13" s="59">
        <f t="shared" ca="1" si="0"/>
        <v>0</v>
      </c>
      <c r="P13" s="59">
        <f t="shared" ca="1" si="0"/>
        <v>0</v>
      </c>
      <c r="Q13" s="59">
        <f t="shared" ca="1" si="0"/>
        <v>0</v>
      </c>
      <c r="R13" s="59">
        <f t="shared" ca="1" si="0"/>
        <v>0</v>
      </c>
      <c r="S13" s="59">
        <f t="shared" ca="1" si="0"/>
        <v>0</v>
      </c>
      <c r="T13" s="59">
        <f t="shared" ca="1" si="0"/>
        <v>0</v>
      </c>
      <c r="U13" s="59">
        <f t="shared" ca="1" si="0"/>
        <v>0</v>
      </c>
      <c r="V13" s="59">
        <f t="shared" ca="1" si="0"/>
        <v>0</v>
      </c>
      <c r="W13" s="59">
        <f t="shared" ca="1" si="0"/>
        <v>0</v>
      </c>
      <c r="X13" s="59">
        <f t="shared" ca="1" si="0"/>
        <v>0</v>
      </c>
      <c r="Y13" s="59">
        <f t="shared" ca="1" si="0"/>
        <v>0</v>
      </c>
      <c r="Z13" s="59">
        <f t="shared" ca="1" si="0"/>
        <v>0</v>
      </c>
      <c r="AA13" s="59">
        <f t="shared" ca="1" si="0"/>
        <v>0</v>
      </c>
      <c r="AB13" s="59">
        <f t="shared" ca="1" si="0"/>
        <v>0</v>
      </c>
      <c r="AC13" s="59">
        <f t="shared" ca="1" si="0"/>
        <v>0</v>
      </c>
      <c r="AD13" s="59">
        <f t="shared" ca="1" si="0"/>
        <v>0</v>
      </c>
      <c r="AE13" s="59">
        <f t="shared" ca="1" si="0"/>
        <v>0</v>
      </c>
      <c r="AF13" s="59">
        <f t="shared" ca="1" si="0"/>
        <v>0</v>
      </c>
      <c r="AG13" s="59">
        <f t="shared" ca="1" si="0"/>
        <v>0</v>
      </c>
      <c r="AH13" s="19"/>
      <c r="AI13" s="19"/>
      <c r="AJ13" s="19"/>
      <c r="AK13" s="19"/>
      <c r="AL13" s="21"/>
      <c r="AM13" s="21"/>
      <c r="AN13" s="19"/>
      <c r="AO13" s="19"/>
      <c r="AP13" s="19"/>
      <c r="AQ13" s="19"/>
      <c r="AR13" s="326"/>
      <c r="AS13" s="326"/>
      <c r="AT13" s="326"/>
      <c r="AU13" s="326"/>
      <c r="AV13" s="326"/>
      <c r="AW13" s="326"/>
      <c r="AX13" s="326"/>
      <c r="AY13" s="326"/>
      <c r="AZ13" s="326"/>
      <c r="BA13" s="326"/>
      <c r="BB13" s="326"/>
    </row>
    <row r="14" spans="1:54" s="26" customFormat="1" ht="13.2">
      <c r="A14" s="19"/>
      <c r="B14" s="55" t="s">
        <v>282</v>
      </c>
      <c r="C14" s="44">
        <f>IF(OR(Cashflow!C$111="C/I",Cashflow!C$111="Not yet producing"),0,IF(C$9-$I$6&lt;$I$4,0,(HLOOKUP(C$9-$I$6,$C$9:$AG$13,5,FALSE))))</f>
        <v>0</v>
      </c>
      <c r="D14" s="44">
        <f>IF(OR(Cashflow!D$111="C/I",Cashflow!D$111="Not yet producing"),0,IF(D$9-$I$6&lt;$I$4,0,(HLOOKUP(D$9-$I$6,$C$9:$AG$13,5,FALSE))))</f>
        <v>0</v>
      </c>
      <c r="E14" s="44">
        <f>IF(OR(Cashflow!E$111="C/I",Cashflow!E$111="Not yet producing"),0,IF(E$9-$I$6&lt;$I$4,0,(HLOOKUP(E$9-$I$6,$C$9:$AG$13,5,FALSE))))</f>
        <v>0</v>
      </c>
      <c r="F14" s="44">
        <f>IF(OR(Cashflow!F$111="C/I",Cashflow!F$111="Not yet producing"),0,IF(F$9-$I$6&lt;$I$4,0,(HLOOKUP(F$9-$I$6,$C$9:$AG$13,5,FALSE))))</f>
        <v>0</v>
      </c>
      <c r="G14" s="44">
        <f>IF(OR(Cashflow!G$111="C/I",Cashflow!G$111="Not yet producing"),0,IF(G$9-$I$6&lt;$I$4,0,(HLOOKUP(G$9-$I$6,$C$9:$AG$13,5,FALSE))))</f>
        <v>0</v>
      </c>
      <c r="H14" s="44">
        <f>IF(OR(Cashflow!H$111="C/I",Cashflow!H$111="Not yet producing"),0,IF(H$9-$I$6&lt;$I$4,0,(HLOOKUP(H$9-$I$6,$C$9:$AG$13,5,FALSE))))</f>
        <v>0</v>
      </c>
      <c r="I14" s="44">
        <f>IF(OR(Cashflow!I$111="C/I",Cashflow!I$111="Not yet producing"),0,IF(I$9-$I$6&lt;$I$4,0,(HLOOKUP(I$9-$I$6,$C$9:$AG$13,5,FALSE))))</f>
        <v>0</v>
      </c>
      <c r="J14" s="44">
        <f>IF(OR(Cashflow!J$111="C/I",Cashflow!J$111="Not yet producing"),0,IF(J$9-$I$6&lt;$I$4,0,(HLOOKUP(J$9-$I$6,$C$9:$AG$13,5,FALSE))))</f>
        <v>0</v>
      </c>
      <c r="K14" s="44">
        <f>IF(OR(Cashflow!K$111="C/I",Cashflow!K$111="Not yet producing"),0,IF(K$9-$I$6&lt;$I$4,0,(HLOOKUP(K$9-$I$6,$C$9:$AG$13,5,FALSE))))</f>
        <v>0</v>
      </c>
      <c r="L14" s="44">
        <f ca="1">IF(OR(Cashflow!L$111="C/I",Cashflow!L$111="Not yet producing"),0,IF(L$9-$I$6&lt;$I$4,0,(HLOOKUP(L$9-$I$6,$C$9:$AG$13,5,FALSE))))</f>
        <v>0</v>
      </c>
      <c r="M14" s="44">
        <f ca="1">IF(OR(Cashflow!M$111="C/I",Cashflow!M$111="Not yet producing"),0,IF(M$9-$I$6&lt;$I$4,0,(HLOOKUP(M$9-$I$6,$C$9:$AG$13,5,FALSE))))</f>
        <v>0</v>
      </c>
      <c r="N14" s="44">
        <f ca="1">IF(OR(Cashflow!N$111="C/I",Cashflow!N$111="Not yet producing"),0,IF(N$9-$I$6&lt;$I$4,0,(HLOOKUP(N$9-$I$6,$C$9:$AG$13,5,FALSE))))</f>
        <v>0</v>
      </c>
      <c r="O14" s="44">
        <f ca="1">IF(OR(Cashflow!O$111="C/I",Cashflow!O$111="Not yet producing"),0,IF(O$9-$I$6&lt;$I$4,0,(HLOOKUP(O$9-$I$6,$C$9:$AG$13,5,FALSE))))</f>
        <v>0</v>
      </c>
      <c r="P14" s="44">
        <f ca="1">IF(OR(Cashflow!P$111="C/I",Cashflow!P$111="Not yet producing"),0,IF(P$9-$I$6&lt;$I$4,0,(HLOOKUP(P$9-$I$6,$C$9:$AG$13,5,FALSE))))</f>
        <v>0</v>
      </c>
      <c r="Q14" s="44">
        <f ca="1">IF(OR(Cashflow!Q$111="C/I",Cashflow!Q$111="Not yet producing"),0,IF(Q$9-$I$6&lt;$I$4,0,(HLOOKUP(Q$9-$I$6,$C$9:$AG$13,5,FALSE))))</f>
        <v>-1</v>
      </c>
      <c r="R14" s="44">
        <f ca="1">IF(OR(Cashflow!R$111="C/I",Cashflow!R$111="Not yet producing"),0,IF(R$9-$I$6&lt;$I$4,0,(HLOOKUP(R$9-$I$6,$C$9:$AG$13,5,FALSE))))</f>
        <v>-2</v>
      </c>
      <c r="S14" s="44">
        <f ca="1">IF(OR(Cashflow!S$111="C/I",Cashflow!S$111="Not yet producing"),0,IF(S$9-$I$6&lt;$I$4,0,(HLOOKUP(S$9-$I$6,$C$9:$AG$13,5,FALSE))))</f>
        <v>-1</v>
      </c>
      <c r="T14" s="44">
        <f ca="1">IF(OR(Cashflow!T$111="C/I",Cashflow!T$111="Not yet producing"),0,IF(T$9-$I$6&lt;$I$4,0,(HLOOKUP(T$9-$I$6,$C$9:$AG$13,5,FALSE))))</f>
        <v>-2</v>
      </c>
      <c r="U14" s="44">
        <f ca="1">IF(OR(Cashflow!U$111="C/I",Cashflow!U$111="Not yet producing"),0,IF(U$9-$I$6&lt;$I$4,0,(HLOOKUP(U$9-$I$6,$C$9:$AG$13,5,FALSE))))</f>
        <v>-1</v>
      </c>
      <c r="V14" s="44">
        <f ca="1">IF(OR(Cashflow!V$111="C/I",Cashflow!V$111="Not yet producing"),0,IF(V$9-$I$6&lt;$I$4,0,(HLOOKUP(V$9-$I$6,$C$9:$AG$13,5,FALSE))))</f>
        <v>-2</v>
      </c>
      <c r="W14" s="44">
        <f ca="1">IF(OR(Cashflow!W$111="C/I",Cashflow!W$111="Not yet producing"),0,IF(W$9-$I$6&lt;$I$4,0,(HLOOKUP(W$9-$I$6,$C$9:$AG$13,5,FALSE))))</f>
        <v>0</v>
      </c>
      <c r="X14" s="44">
        <f ca="1">IF(OR(Cashflow!X$111="C/I",Cashflow!X$111="Not yet producing"),0,IF(X$9-$I$6&lt;$I$4,0,(HLOOKUP(X$9-$I$6,$C$9:$AG$13,5,FALSE))))</f>
        <v>0</v>
      </c>
      <c r="Y14" s="44">
        <f ca="1">IF(OR(Cashflow!Y$111="C/I",Cashflow!Y$111="Not yet producing"),0,IF(Y$9-$I$6&lt;$I$4,0,(HLOOKUP(Y$9-$I$6,$C$9:$AG$13,5,FALSE))))</f>
        <v>0</v>
      </c>
      <c r="Z14" s="44">
        <f ca="1">IF(OR(Cashflow!Z$111="C/I",Cashflow!Z$111="Not yet producing"),0,IF(Z$9-$I$6&lt;$I$4,0,(HLOOKUP(Z$9-$I$6,$C$9:$AG$13,5,FALSE))))</f>
        <v>0</v>
      </c>
      <c r="AA14" s="44">
        <f ca="1">IF(OR(Cashflow!AA$111="C/I",Cashflow!AA$111="Not yet producing"),0,IF(AA$9-$I$6&lt;$I$4,0,(HLOOKUP(AA$9-$I$6,$C$9:$AG$13,5,FALSE))))</f>
        <v>0</v>
      </c>
      <c r="AB14" s="44">
        <f ca="1">IF(OR(Cashflow!AB$111="C/I",Cashflow!AB$111="Not yet producing"),0,IF(AB$9-$I$6&lt;$I$4,0,(HLOOKUP(AB$9-$I$6,$C$9:$AG$13,5,FALSE))))</f>
        <v>0</v>
      </c>
      <c r="AC14" s="44">
        <f ca="1">IF(OR(Cashflow!AC$111="C/I",Cashflow!AC$111="Not yet producing"),0,IF(AC$9-$I$6&lt;$I$4,0,(HLOOKUP(AC$9-$I$6,$C$9:$AG$13,5,FALSE))))</f>
        <v>0</v>
      </c>
      <c r="AD14" s="44">
        <f ca="1">IF(OR(Cashflow!AD$111="C/I",Cashflow!AD$111="Not yet producing"),0,IF(AD$9-$I$6&lt;$I$4,0,(HLOOKUP(AD$9-$I$6,$C$9:$AG$13,5,FALSE))))</f>
        <v>0</v>
      </c>
      <c r="AE14" s="44">
        <f ca="1">IF(OR(Cashflow!AE$111="C/I",Cashflow!AE$111="Not yet producing"),0,IF(AE$9-$I$6&lt;$I$4,0,(HLOOKUP(AE$9-$I$6,$C$9:$AG$13,5,FALSE))))</f>
        <v>0</v>
      </c>
      <c r="AF14" s="44">
        <f ca="1">IF(OR(Cashflow!AF$111="C/I",Cashflow!AF$111="Not yet producing"),0,IF(AF$9-$I$6&lt;$I$4,0,(HLOOKUP(AF$9-$I$6,$C$9:$AG$13,5,FALSE))))</f>
        <v>0</v>
      </c>
      <c r="AG14" s="44">
        <f ca="1">IF(OR(Cashflow!AG$111="C/I",Cashflow!AG$111="Not yet producing"),0,IF(AG$9-$I$6&lt;$I$4,0,(HLOOKUP(AG$9-$I$6,$C$9:$AG$13,5,FALSE))))</f>
        <v>0</v>
      </c>
      <c r="AH14" s="19"/>
      <c r="AI14" s="19"/>
      <c r="AJ14" s="19"/>
      <c r="AK14" s="19"/>
      <c r="AL14" s="21"/>
      <c r="AM14" s="21"/>
      <c r="AN14" s="19"/>
      <c r="AO14" s="19"/>
      <c r="AP14" s="19"/>
      <c r="AQ14" s="19"/>
      <c r="AR14" s="326"/>
      <c r="AS14" s="326"/>
      <c r="AT14" s="326"/>
      <c r="AU14" s="326"/>
      <c r="AV14" s="326"/>
      <c r="AW14" s="326"/>
      <c r="AX14" s="326"/>
      <c r="AY14" s="326"/>
      <c r="AZ14" s="326"/>
      <c r="BA14" s="326"/>
      <c r="BB14" s="326"/>
    </row>
    <row r="15" spans="1:54" s="26" customFormat="1" ht="13.2">
      <c r="A15" s="19"/>
      <c r="B15" s="55" t="s">
        <v>283</v>
      </c>
      <c r="C15" s="44">
        <f>IF(OR(Cashflow!C$111="C/I",Cashflow!C$111="Not yet producing"),0,IF(C$9-2*$I$6&lt;$I$4,0,(HLOOKUP(C$9-2*$I$6,$C$9:$AG$13,5,FALSE))))</f>
        <v>0</v>
      </c>
      <c r="D15" s="44">
        <f>IF(OR(Cashflow!D$111="C/I",Cashflow!D$111="Not yet producing"),0,IF(D$9-2*$I$6&lt;$I$4,0,(HLOOKUP(D$9-2*$I$6,$C$9:$AG$13,5,FALSE))))</f>
        <v>0</v>
      </c>
      <c r="E15" s="44">
        <f>IF(OR(Cashflow!E$111="C/I",Cashflow!E$111="Not yet producing"),0,IF(E$9-2*$I$6&lt;$I$4,0,(HLOOKUP(E$9-2*$I$6,$C$9:$AG$13,5,FALSE))))</f>
        <v>0</v>
      </c>
      <c r="F15" s="44">
        <f>IF(OR(Cashflow!F$111="C/I",Cashflow!F$111="Not yet producing"),0,IF(F$9-2*$I$6&lt;$I$4,0,(HLOOKUP(F$9-2*$I$6,$C$9:$AG$13,5,FALSE))))</f>
        <v>0</v>
      </c>
      <c r="G15" s="44">
        <f>IF(OR(Cashflow!G$111="C/I",Cashflow!G$111="Not yet producing"),0,IF(G$9-2*$I$6&lt;$I$4,0,(HLOOKUP(G$9-2*$I$6,$C$9:$AG$13,5,FALSE))))</f>
        <v>0</v>
      </c>
      <c r="H15" s="44">
        <f>IF(OR(Cashflow!H$111="C/I",Cashflow!H$111="Not yet producing"),0,IF(H$9-2*$I$6&lt;$I$4,0,(HLOOKUP(H$9-2*$I$6,$C$9:$AG$13,5,FALSE))))</f>
        <v>0</v>
      </c>
      <c r="I15" s="44">
        <f>IF(OR(Cashflow!I$111="C/I",Cashflow!I$111="Not yet producing"),0,IF(I$9-2*$I$6&lt;$I$4,0,(HLOOKUP(I$9-2*$I$6,$C$9:$AG$13,5,FALSE))))</f>
        <v>0</v>
      </c>
      <c r="J15" s="44">
        <f>IF(OR(Cashflow!J$111="C/I",Cashflow!J$111="Not yet producing"),0,IF(J$9-2*$I$6&lt;$I$4,0,(HLOOKUP(J$9-2*$I$6,$C$9:$AG$13,5,FALSE))))</f>
        <v>0</v>
      </c>
      <c r="K15" s="44">
        <f>IF(OR(Cashflow!K$111="C/I",Cashflow!K$111="Not yet producing"),0,IF(K$9-2*$I$6&lt;$I$4,0,(HLOOKUP(K$9-2*$I$6,$C$9:$AG$13,5,FALSE))))</f>
        <v>0</v>
      </c>
      <c r="L15" s="44">
        <f ca="1">IF(OR(Cashflow!L$111="C/I",Cashflow!L$111="Not yet producing"),0,IF(L$9-2*$I$6&lt;$I$4,0,(HLOOKUP(L$9-2*$I$6,$C$9:$AG$13,5,FALSE))))</f>
        <v>0</v>
      </c>
      <c r="M15" s="44">
        <f ca="1">IF(OR(Cashflow!M$111="C/I",Cashflow!M$111="Not yet producing"),0,IF(M$9-2*$I$6&lt;$I$4,0,(HLOOKUP(M$9-2*$I$6,$C$9:$AG$13,5,FALSE))))</f>
        <v>0</v>
      </c>
      <c r="N15" s="44">
        <f ca="1">IF(OR(Cashflow!N$111="C/I",Cashflow!N$111="Not yet producing"),0,IF(N$9-2*$I$6&lt;$I$4,0,(HLOOKUP(N$9-2*$I$6,$C$9:$AG$13,5,FALSE))))</f>
        <v>0</v>
      </c>
      <c r="O15" s="44">
        <f ca="1">IF(OR(Cashflow!O$111="C/I",Cashflow!O$111="Not yet producing"),0,IF(O$9-2*$I$6&lt;$I$4,0,(HLOOKUP(O$9-2*$I$6,$C$9:$AG$13,5,FALSE))))</f>
        <v>0</v>
      </c>
      <c r="P15" s="44">
        <f ca="1">IF(OR(Cashflow!P$111="C/I",Cashflow!P$111="Not yet producing"),0,IF(P$9-2*$I$6&lt;$I$4,0,(HLOOKUP(P$9-2*$I$6,$C$9:$AG$13,5,FALSE))))</f>
        <v>0</v>
      </c>
      <c r="Q15" s="44">
        <f ca="1">IF(OR(Cashflow!Q$111="C/I",Cashflow!Q$111="Not yet producing"),0,IF(Q$9-2*$I$6&lt;$I$4,0,(HLOOKUP(Q$9-2*$I$6,$C$9:$AG$13,5,FALSE))))</f>
        <v>0</v>
      </c>
      <c r="R15" s="44">
        <f ca="1">IF(OR(Cashflow!R$111="C/I",Cashflow!R$111="Not yet producing"),0,IF(R$9-2*$I$6&lt;$I$4,0,(HLOOKUP(R$9-2*$I$6,$C$9:$AG$13,5,FALSE))))</f>
        <v>0</v>
      </c>
      <c r="S15" s="44">
        <f ca="1">IF(OR(Cashflow!S$111="C/I",Cashflow!S$111="Not yet producing"),0,IF(S$9-2*$I$6&lt;$I$4,0,(HLOOKUP(S$9-2*$I$6,$C$9:$AG$13,5,FALSE))))</f>
        <v>0</v>
      </c>
      <c r="T15" s="44">
        <f ca="1">IF(OR(Cashflow!T$111="C/I",Cashflow!T$111="Not yet producing"),0,IF(T$9-2*$I$6&lt;$I$4,0,(HLOOKUP(T$9-2*$I$6,$C$9:$AG$13,5,FALSE))))</f>
        <v>0</v>
      </c>
      <c r="U15" s="44">
        <f ca="1">IF(OR(Cashflow!U$111="C/I",Cashflow!U$111="Not yet producing"),0,IF(U$9-2*$I$6&lt;$I$4,0,(HLOOKUP(U$9-2*$I$6,$C$9:$AG$13,5,FALSE))))</f>
        <v>0</v>
      </c>
      <c r="V15" s="44">
        <f ca="1">IF(OR(Cashflow!V$111="C/I",Cashflow!V$111="Not yet producing"),0,IF(V$9-2*$I$6&lt;$I$4,0,(HLOOKUP(V$9-2*$I$6,$C$9:$AG$13,5,FALSE))))</f>
        <v>0</v>
      </c>
      <c r="W15" s="44">
        <f ca="1">IF(OR(Cashflow!W$111="C/I",Cashflow!W$111="Not yet producing"),0,IF(W$9-2*$I$6&lt;$I$4,0,(HLOOKUP(W$9-2*$I$6,$C$9:$AG$13,5,FALSE))))</f>
        <v>0</v>
      </c>
      <c r="X15" s="44">
        <f ca="1">IF(OR(Cashflow!X$111="C/I",Cashflow!X$111="Not yet producing"),0,IF(X$9-2*$I$6&lt;$I$4,0,(HLOOKUP(X$9-2*$I$6,$C$9:$AG$13,5,FALSE))))</f>
        <v>0</v>
      </c>
      <c r="Y15" s="44">
        <f ca="1">IF(OR(Cashflow!Y$111="C/I",Cashflow!Y$111="Not yet producing"),0,IF(Y$9-2*$I$6&lt;$I$4,0,(HLOOKUP(Y$9-2*$I$6,$C$9:$AG$13,5,FALSE))))</f>
        <v>-1</v>
      </c>
      <c r="Z15" s="44">
        <f ca="1">IF(OR(Cashflow!Z$111="C/I",Cashflow!Z$111="Not yet producing"),0,IF(Z$9-2*$I$6&lt;$I$4,0,(HLOOKUP(Z$9-2*$I$6,$C$9:$AG$13,5,FALSE))))</f>
        <v>-2</v>
      </c>
      <c r="AA15" s="44">
        <f ca="1">IF(OR(Cashflow!AA$111="C/I",Cashflow!AA$111="Not yet producing"),0,IF(AA$9-2*$I$6&lt;$I$4,0,(HLOOKUP(AA$9-2*$I$6,$C$9:$AG$13,5,FALSE))))</f>
        <v>-1</v>
      </c>
      <c r="AB15" s="44">
        <f ca="1">IF(OR(Cashflow!AB$111="C/I",Cashflow!AB$111="Not yet producing"),0,IF(AB$9-2*$I$6&lt;$I$4,0,(HLOOKUP(AB$9-2*$I$6,$C$9:$AG$13,5,FALSE))))</f>
        <v>-2</v>
      </c>
      <c r="AC15" s="44">
        <f ca="1">IF(OR(Cashflow!AC$111="C/I",Cashflow!AC$111="Not yet producing"),0,IF(AC$9-2*$I$6&lt;$I$4,0,(HLOOKUP(AC$9-2*$I$6,$C$9:$AG$13,5,FALSE))))</f>
        <v>-1</v>
      </c>
      <c r="AD15" s="44">
        <f ca="1">IF(OR(Cashflow!AD$111="C/I",Cashflow!AD$111="Not yet producing"),0,IF(AD$9-2*$I$6&lt;$I$4,0,(HLOOKUP(AD$9-2*$I$6,$C$9:$AG$13,5,FALSE))))</f>
        <v>-2</v>
      </c>
      <c r="AE15" s="44">
        <f ca="1">IF(OR(Cashflow!AE$111="C/I",Cashflow!AE$111="Not yet producing"),0,IF(AE$9-2*$I$6&lt;$I$4,0,(HLOOKUP(AE$9-2*$I$6,$C$9:$AG$13,5,FALSE))))</f>
        <v>0</v>
      </c>
      <c r="AF15" s="44">
        <f ca="1">IF(OR(Cashflow!AF$111="C/I",Cashflow!AF$111="Not yet producing"),0,IF(AF$9-2*$I$6&lt;$I$4,0,(HLOOKUP(AF$9-2*$I$6,$C$9:$AG$13,5,FALSE))))</f>
        <v>0</v>
      </c>
      <c r="AG15" s="44">
        <f ca="1">IF(OR(Cashflow!AG$111="C/I",Cashflow!AG$111="Not yet producing"),0,IF(AG$9-2*$I$6&lt;$I$4,0,(HLOOKUP(AG$9-2*$I$6,$C$9:$AG$13,5,FALSE))))</f>
        <v>0</v>
      </c>
      <c r="AH15" s="19"/>
      <c r="AI15" s="19"/>
      <c r="AJ15" s="19"/>
      <c r="AK15" s="19"/>
      <c r="AL15" s="21"/>
      <c r="AM15" s="21"/>
      <c r="AN15" s="19"/>
      <c r="AO15" s="19"/>
      <c r="AP15" s="19"/>
      <c r="AQ15" s="19"/>
      <c r="AR15" s="326"/>
      <c r="AS15" s="326"/>
      <c r="AT15" s="326"/>
      <c r="AU15" s="326"/>
      <c r="AV15" s="326"/>
      <c r="AW15" s="326"/>
      <c r="AX15" s="326"/>
      <c r="AY15" s="326"/>
      <c r="AZ15" s="326"/>
      <c r="BA15" s="326"/>
      <c r="BB15" s="326"/>
    </row>
    <row r="16" spans="1:54" s="26" customFormat="1" ht="13.2">
      <c r="A16" s="19"/>
      <c r="B16" s="55" t="s">
        <v>284</v>
      </c>
      <c r="C16" s="44">
        <f>IF(OR(Cashflow!C$111="C/I",Cashflow!C$111="Not yet producing"),0,IF(C$9-3*$I$6&lt;$I$4,0,(HLOOKUP(C$9-3*$I$6,$C$9:$AG$13,5,FALSE))))</f>
        <v>0</v>
      </c>
      <c r="D16" s="44">
        <f>IF(OR(Cashflow!D$111="C/I",Cashflow!D$111="Not yet producing"),0,IF(D$9-3*$I$6&lt;$I$4,0,(HLOOKUP(D$9-3*$I$6,$C$9:$AG$13,5,FALSE))))</f>
        <v>0</v>
      </c>
      <c r="E16" s="44">
        <f>IF(OR(Cashflow!E$111="C/I",Cashflow!E$111="Not yet producing"),0,IF(E$9-3*$I$6&lt;$I$4,0,(HLOOKUP(E$9-3*$I$6,$C$9:$AG$13,5,FALSE))))</f>
        <v>0</v>
      </c>
      <c r="F16" s="44">
        <f>IF(OR(Cashflow!F$111="C/I",Cashflow!F$111="Not yet producing"),0,IF(F$9-3*$I$6&lt;$I$4,0,(HLOOKUP(F$9-3*$I$6,$C$9:$AG$13,5,FALSE))))</f>
        <v>0</v>
      </c>
      <c r="G16" s="44">
        <f>IF(OR(Cashflow!G$111="C/I",Cashflow!G$111="Not yet producing"),0,IF(G$9-3*$I$6&lt;$I$4,0,(HLOOKUP(G$9-3*$I$6,$C$9:$AG$13,5,FALSE))))</f>
        <v>0</v>
      </c>
      <c r="H16" s="44">
        <f>IF(OR(Cashflow!H$111="C/I",Cashflow!H$111="Not yet producing"),0,IF(H$9-3*$I$6&lt;$I$4,0,(HLOOKUP(H$9-3*$I$6,$C$9:$AG$13,5,FALSE))))</f>
        <v>0</v>
      </c>
      <c r="I16" s="44">
        <f>IF(OR(Cashflow!I$111="C/I",Cashflow!I$111="Not yet producing"),0,IF(I$9-3*$I$6&lt;$I$4,0,(HLOOKUP(I$9-3*$I$6,$C$9:$AG$13,5,FALSE))))</f>
        <v>0</v>
      </c>
      <c r="J16" s="44">
        <f>IF(OR(Cashflow!J$111="C/I",Cashflow!J$111="Not yet producing"),0,IF(J$9-3*$I$6&lt;$I$4,0,(HLOOKUP(J$9-3*$I$6,$C$9:$AG$13,5,FALSE))))</f>
        <v>0</v>
      </c>
      <c r="K16" s="44">
        <f>IF(OR(Cashflow!K$111="C/I",Cashflow!K$111="Not yet producing"),0,IF(K$9-3*$I$6&lt;$I$4,0,(HLOOKUP(K$9-3*$I$6,$C$9:$AG$13,5,FALSE))))</f>
        <v>0</v>
      </c>
      <c r="L16" s="44">
        <f ca="1">IF(OR(Cashflow!L$111="C/I",Cashflow!L$111="Not yet producing"),0,IF(L$9-3*$I$6&lt;$I$4,0,(HLOOKUP(L$9-3*$I$6,$C$9:$AG$13,5,FALSE))))</f>
        <v>0</v>
      </c>
      <c r="M16" s="44">
        <f ca="1">IF(OR(Cashflow!M$111="C/I",Cashflow!M$111="Not yet producing"),0,IF(M$9-3*$I$6&lt;$I$4,0,(HLOOKUP(M$9-3*$I$6,$C$9:$AG$13,5,FALSE))))</f>
        <v>0</v>
      </c>
      <c r="N16" s="44">
        <f ca="1">IF(OR(Cashflow!N$111="C/I",Cashflow!N$111="Not yet producing"),0,IF(N$9-3*$I$6&lt;$I$4,0,(HLOOKUP(N$9-3*$I$6,$C$9:$AG$13,5,FALSE))))</f>
        <v>0</v>
      </c>
      <c r="O16" s="44">
        <f ca="1">IF(OR(Cashflow!O$111="C/I",Cashflow!O$111="Not yet producing"),0,IF(O$9-3*$I$6&lt;$I$4,0,(HLOOKUP(O$9-3*$I$6,$C$9:$AG$13,5,FALSE))))</f>
        <v>0</v>
      </c>
      <c r="P16" s="44">
        <f ca="1">IF(OR(Cashflow!P$111="C/I",Cashflow!P$111="Not yet producing"),0,IF(P$9-3*$I$6&lt;$I$4,0,(HLOOKUP(P$9-3*$I$6,$C$9:$AG$13,5,FALSE))))</f>
        <v>0</v>
      </c>
      <c r="Q16" s="44">
        <f ca="1">IF(OR(Cashflow!Q$111="C/I",Cashflow!Q$111="Not yet producing"),0,IF(Q$9-3*$I$6&lt;$I$4,0,(HLOOKUP(Q$9-3*$I$6,$C$9:$AG$13,5,FALSE))))</f>
        <v>0</v>
      </c>
      <c r="R16" s="44">
        <f ca="1">IF(OR(Cashflow!R$111="C/I",Cashflow!R$111="Not yet producing"),0,IF(R$9-3*$I$6&lt;$I$4,0,(HLOOKUP(R$9-3*$I$6,$C$9:$AG$13,5,FALSE))))</f>
        <v>0</v>
      </c>
      <c r="S16" s="44">
        <f ca="1">IF(OR(Cashflow!S$111="C/I",Cashflow!S$111="Not yet producing"),0,IF(S$9-3*$I$6&lt;$I$4,0,(HLOOKUP(S$9-3*$I$6,$C$9:$AG$13,5,FALSE))))</f>
        <v>0</v>
      </c>
      <c r="T16" s="44">
        <f ca="1">IF(OR(Cashflow!T$111="C/I",Cashflow!T$111="Not yet producing"),0,IF(T$9-3*$I$6&lt;$I$4,0,(HLOOKUP(T$9-3*$I$6,$C$9:$AG$13,5,FALSE))))</f>
        <v>0</v>
      </c>
      <c r="U16" s="44">
        <f ca="1">IF(OR(Cashflow!U$111="C/I",Cashflow!U$111="Not yet producing"),0,IF(U$9-3*$I$6&lt;$I$4,0,(HLOOKUP(U$9-3*$I$6,$C$9:$AG$13,5,FALSE))))</f>
        <v>0</v>
      </c>
      <c r="V16" s="44">
        <f ca="1">IF(OR(Cashflow!V$111="C/I",Cashflow!V$111="Not yet producing"),0,IF(V$9-3*$I$6&lt;$I$4,0,(HLOOKUP(V$9-3*$I$6,$C$9:$AG$13,5,FALSE))))</f>
        <v>0</v>
      </c>
      <c r="W16" s="44">
        <f ca="1">IF(OR(Cashflow!W$111="C/I",Cashflow!W$111="Not yet producing"),0,IF(W$9-3*$I$6&lt;$I$4,0,(HLOOKUP(W$9-3*$I$6,$C$9:$AG$13,5,FALSE))))</f>
        <v>0</v>
      </c>
      <c r="X16" s="44">
        <f ca="1">IF(OR(Cashflow!X$111="C/I",Cashflow!X$111="Not yet producing"),0,IF(X$9-3*$I$6&lt;$I$4,0,(HLOOKUP(X$9-3*$I$6,$C$9:$AG$13,5,FALSE))))</f>
        <v>0</v>
      </c>
      <c r="Y16" s="44">
        <f ca="1">IF(OR(Cashflow!Y$111="C/I",Cashflow!Y$111="Not yet producing"),0,IF(Y$9-3*$I$6&lt;$I$4,0,(HLOOKUP(Y$9-3*$I$6,$C$9:$AG$13,5,FALSE))))</f>
        <v>0</v>
      </c>
      <c r="Z16" s="44">
        <f ca="1">IF(OR(Cashflow!Z$111="C/I",Cashflow!Z$111="Not yet producing"),0,IF(Z$9-3*$I$6&lt;$I$4,0,(HLOOKUP(Z$9-3*$I$6,$C$9:$AG$13,5,FALSE))))</f>
        <v>0</v>
      </c>
      <c r="AA16" s="44">
        <f ca="1">IF(OR(Cashflow!AA$111="C/I",Cashflow!AA$111="Not yet producing"),0,IF(AA$9-3*$I$6&lt;$I$4,0,(HLOOKUP(AA$9-3*$I$6,$C$9:$AG$13,5,FALSE))))</f>
        <v>0</v>
      </c>
      <c r="AB16" s="44">
        <f ca="1">IF(OR(Cashflow!AB$111="C/I",Cashflow!AB$111="Not yet producing"),0,IF(AB$9-3*$I$6&lt;$I$4,0,(HLOOKUP(AB$9-3*$I$6,$C$9:$AG$13,5,FALSE))))</f>
        <v>0</v>
      </c>
      <c r="AC16" s="44">
        <f ca="1">IF(OR(Cashflow!AC$111="C/I",Cashflow!AC$111="Not yet producing"),0,IF(AC$9-3*$I$6&lt;$I$4,0,(HLOOKUP(AC$9-3*$I$6,$C$9:$AG$13,5,FALSE))))</f>
        <v>0</v>
      </c>
      <c r="AD16" s="44">
        <f ca="1">IF(OR(Cashflow!AD$111="C/I",Cashflow!AD$111="Not yet producing"),0,IF(AD$9-3*$I$6&lt;$I$4,0,(HLOOKUP(AD$9-3*$I$6,$C$9:$AG$13,5,FALSE))))</f>
        <v>0</v>
      </c>
      <c r="AE16" s="44">
        <f ca="1">IF(OR(Cashflow!AE$111="C/I",Cashflow!AE$111="Not yet producing"),0,IF(AE$9-3*$I$6&lt;$I$4,0,(HLOOKUP(AE$9-3*$I$6,$C$9:$AG$13,5,FALSE))))</f>
        <v>0</v>
      </c>
      <c r="AF16" s="44">
        <f ca="1">IF(OR(Cashflow!AF$111="C/I",Cashflow!AF$111="Not yet producing"),0,IF(AF$9-3*$I$6&lt;$I$4,0,(HLOOKUP(AF$9-3*$I$6,$C$9:$AG$13,5,FALSE))))</f>
        <v>0</v>
      </c>
      <c r="AG16" s="44">
        <f ca="1">IF(OR(Cashflow!AG$111="C/I",Cashflow!AG$111="Not yet producing"),0,IF(AG$9-3*$I$6&lt;$I$4,0,(HLOOKUP(AG$9-3*$I$6,$C$9:$AG$13,5,FALSE))))</f>
        <v>-1</v>
      </c>
      <c r="AH16" s="19"/>
      <c r="AI16" s="19"/>
      <c r="AJ16" s="19"/>
      <c r="AK16" s="19"/>
      <c r="AL16" s="21"/>
      <c r="AM16" s="21"/>
      <c r="AN16" s="19"/>
      <c r="AO16" s="19"/>
      <c r="AP16" s="19"/>
      <c r="AQ16" s="19"/>
      <c r="AR16" s="326"/>
      <c r="AS16" s="326"/>
      <c r="AT16" s="326"/>
      <c r="AU16" s="326"/>
      <c r="AV16" s="326"/>
      <c r="AW16" s="326"/>
      <c r="AX16" s="326"/>
      <c r="AY16" s="326"/>
      <c r="AZ16" s="326"/>
      <c r="BA16" s="326"/>
      <c r="BB16" s="326"/>
    </row>
    <row r="17" spans="1:54" s="26" customFormat="1" ht="13.2">
      <c r="A17" s="19"/>
      <c r="B17" s="55" t="s">
        <v>285</v>
      </c>
      <c r="C17" s="44">
        <f>IF(OR(Cashflow!C$111="C/I",Cashflow!C$111="Not yet producing"),0,IF(C$9-4*$I$6&lt;$I$4,0,(HLOOKUP(C$9-4*$I$6,$C$9:$AG$13,5,FALSE))))</f>
        <v>0</v>
      </c>
      <c r="D17" s="44">
        <f>IF(OR(Cashflow!D$111="C/I",Cashflow!D$111="Not yet producing"),0,IF(D$9-4*$I$6&lt;$I$4,0,(HLOOKUP(D$9-4*$I$6,$C$9:$AG$13,5,FALSE))))</f>
        <v>0</v>
      </c>
      <c r="E17" s="44">
        <f>IF(OR(Cashflow!E$111="C/I",Cashflow!E$111="Not yet producing"),0,IF(E$9-4*$I$6&lt;$I$4,0,(HLOOKUP(E$9-4*$I$6,$C$9:$AG$13,5,FALSE))))</f>
        <v>0</v>
      </c>
      <c r="F17" s="44">
        <f>IF(OR(Cashflow!F$111="C/I",Cashflow!F$111="Not yet producing"),0,IF(F$9-4*$I$6&lt;$I$4,0,(HLOOKUP(F$9-4*$I$6,$C$9:$AG$13,5,FALSE))))</f>
        <v>0</v>
      </c>
      <c r="G17" s="44">
        <f>IF(OR(Cashflow!G$111="C/I",Cashflow!G$111="Not yet producing"),0,IF(G$9-4*$I$6&lt;$I$4,0,(HLOOKUP(G$9-4*$I$6,$C$9:$AG$13,5,FALSE))))</f>
        <v>0</v>
      </c>
      <c r="H17" s="44">
        <f>IF(OR(Cashflow!H$111="C/I",Cashflow!H$111="Not yet producing"),0,IF(H$9-4*$I$6&lt;$I$4,0,(HLOOKUP(H$9-4*$I$6,$C$9:$AG$13,5,FALSE))))</f>
        <v>0</v>
      </c>
      <c r="I17" s="44">
        <f>IF(OR(Cashflow!I$111="C/I",Cashflow!I$111="Not yet producing"),0,IF(I$9-4*$I$6&lt;$I$4,0,(HLOOKUP(I$9-4*$I$6,$C$9:$AG$13,5,FALSE))))</f>
        <v>0</v>
      </c>
      <c r="J17" s="44">
        <f>IF(OR(Cashflow!J$111="C/I",Cashflow!J$111="Not yet producing"),0,IF(J$9-4*$I$6&lt;$I$4,0,(HLOOKUP(J$9-4*$I$6,$C$9:$AG$13,5,FALSE))))</f>
        <v>0</v>
      </c>
      <c r="K17" s="44">
        <f>IF(OR(Cashflow!K$111="C/I",Cashflow!K$111="Not yet producing"),0,IF(K$9-4*$I$6&lt;$I$4,0,(HLOOKUP(K$9-4*$I$6,$C$9:$AG$13,5,FALSE))))</f>
        <v>0</v>
      </c>
      <c r="L17" s="44">
        <f ca="1">IF(OR(Cashflow!L$111="C/I",Cashflow!L$111="Not yet producing"),0,IF(L$9-4*$I$6&lt;$I$4,0,(HLOOKUP(L$9-4*$I$6,$C$9:$AG$13,5,FALSE))))</f>
        <v>0</v>
      </c>
      <c r="M17" s="44">
        <f ca="1">IF(OR(Cashflow!M$111="C/I",Cashflow!M$111="Not yet producing"),0,IF(M$9-4*$I$6&lt;$I$4,0,(HLOOKUP(M$9-4*$I$6,$C$9:$AG$13,5,FALSE))))</f>
        <v>0</v>
      </c>
      <c r="N17" s="44">
        <f ca="1">IF(OR(Cashflow!N$111="C/I",Cashflow!N$111="Not yet producing"),0,IF(N$9-4*$I$6&lt;$I$4,0,(HLOOKUP(N$9-4*$I$6,$C$9:$AG$13,5,FALSE))))</f>
        <v>0</v>
      </c>
      <c r="O17" s="44">
        <f ca="1">IF(OR(Cashflow!O$111="C/I",Cashflow!O$111="Not yet producing"),0,IF(O$9-4*$I$6&lt;$I$4,0,(HLOOKUP(O$9-4*$I$6,$C$9:$AG$13,5,FALSE))))</f>
        <v>0</v>
      </c>
      <c r="P17" s="44">
        <f ca="1">IF(OR(Cashflow!P$111="C/I",Cashflow!P$111="Not yet producing"),0,IF(P$9-4*$I$6&lt;$I$4,0,(HLOOKUP(P$9-4*$I$6,$C$9:$AG$13,5,FALSE))))</f>
        <v>0</v>
      </c>
      <c r="Q17" s="44">
        <f ca="1">IF(OR(Cashflow!Q$111="C/I",Cashflow!Q$111="Not yet producing"),0,IF(Q$9-4*$I$6&lt;$I$4,0,(HLOOKUP(Q$9-4*$I$6,$C$9:$AG$13,5,FALSE))))</f>
        <v>0</v>
      </c>
      <c r="R17" s="44">
        <f ca="1">IF(OR(Cashflow!R$111="C/I",Cashflow!R$111="Not yet producing"),0,IF(R$9-4*$I$6&lt;$I$4,0,(HLOOKUP(R$9-4*$I$6,$C$9:$AG$13,5,FALSE))))</f>
        <v>0</v>
      </c>
      <c r="S17" s="44">
        <f ca="1">IF(OR(Cashflow!S$111="C/I",Cashflow!S$111="Not yet producing"),0,IF(S$9-4*$I$6&lt;$I$4,0,(HLOOKUP(S$9-4*$I$6,$C$9:$AG$13,5,FALSE))))</f>
        <v>0</v>
      </c>
      <c r="T17" s="44">
        <f ca="1">IF(OR(Cashflow!T$111="C/I",Cashflow!T$111="Not yet producing"),0,IF(T$9-4*$I$6&lt;$I$4,0,(HLOOKUP(T$9-4*$I$6,$C$9:$AG$13,5,FALSE))))</f>
        <v>0</v>
      </c>
      <c r="U17" s="44">
        <f ca="1">IF(OR(Cashflow!U$111="C/I",Cashflow!U$111="Not yet producing"),0,IF(U$9-4*$I$6&lt;$I$4,0,(HLOOKUP(U$9-4*$I$6,$C$9:$AG$13,5,FALSE))))</f>
        <v>0</v>
      </c>
      <c r="V17" s="44">
        <f ca="1">IF(OR(Cashflow!V$111="C/I",Cashflow!V$111="Not yet producing"),0,IF(V$9-4*$I$6&lt;$I$4,0,(HLOOKUP(V$9-4*$I$6,$C$9:$AG$13,5,FALSE))))</f>
        <v>0</v>
      </c>
      <c r="W17" s="44">
        <f ca="1">IF(OR(Cashflow!W$111="C/I",Cashflow!W$111="Not yet producing"),0,IF(W$9-4*$I$6&lt;$I$4,0,(HLOOKUP(W$9-4*$I$6,$C$9:$AG$13,5,FALSE))))</f>
        <v>0</v>
      </c>
      <c r="X17" s="44">
        <f ca="1">IF(OR(Cashflow!X$111="C/I",Cashflow!X$111="Not yet producing"),0,IF(X$9-4*$I$6&lt;$I$4,0,(HLOOKUP(X$9-4*$I$6,$C$9:$AG$13,5,FALSE))))</f>
        <v>0</v>
      </c>
      <c r="Y17" s="44">
        <f ca="1">IF(OR(Cashflow!Y$111="C/I",Cashflow!Y$111="Not yet producing"),0,IF(Y$9-4*$I$6&lt;$I$4,0,(HLOOKUP(Y$9-4*$I$6,$C$9:$AG$13,5,FALSE))))</f>
        <v>0</v>
      </c>
      <c r="Z17" s="44">
        <f ca="1">IF(OR(Cashflow!Z$111="C/I",Cashflow!Z$111="Not yet producing"),0,IF(Z$9-4*$I$6&lt;$I$4,0,(HLOOKUP(Z$9-4*$I$6,$C$9:$AG$13,5,FALSE))))</f>
        <v>0</v>
      </c>
      <c r="AA17" s="44">
        <f ca="1">IF(OR(Cashflow!AA$111="C/I",Cashflow!AA$111="Not yet producing"),0,IF(AA$9-4*$I$6&lt;$I$4,0,(HLOOKUP(AA$9-4*$I$6,$C$9:$AG$13,5,FALSE))))</f>
        <v>0</v>
      </c>
      <c r="AB17" s="44">
        <f ca="1">IF(OR(Cashflow!AB$111="C/I",Cashflow!AB$111="Not yet producing"),0,IF(AB$9-4*$I$6&lt;$I$4,0,(HLOOKUP(AB$9-4*$I$6,$C$9:$AG$13,5,FALSE))))</f>
        <v>0</v>
      </c>
      <c r="AC17" s="44">
        <f ca="1">IF(OR(Cashflow!AC$111="C/I",Cashflow!AC$111="Not yet producing"),0,IF(AC$9-4*$I$6&lt;$I$4,0,(HLOOKUP(AC$9-4*$I$6,$C$9:$AG$13,5,FALSE))))</f>
        <v>0</v>
      </c>
      <c r="AD17" s="44">
        <f ca="1">IF(OR(Cashflow!AD$111="C/I",Cashflow!AD$111="Not yet producing"),0,IF(AD$9-4*$I$6&lt;$I$4,0,(HLOOKUP(AD$9-4*$I$6,$C$9:$AG$13,5,FALSE))))</f>
        <v>0</v>
      </c>
      <c r="AE17" s="44">
        <f ca="1">IF(OR(Cashflow!AE$111="C/I",Cashflow!AE$111="Not yet producing"),0,IF(AE$9-4*$I$6&lt;$I$4,0,(HLOOKUP(AE$9-4*$I$6,$C$9:$AG$13,5,FALSE))))</f>
        <v>0</v>
      </c>
      <c r="AF17" s="44">
        <f ca="1">IF(OR(Cashflow!AF$111="C/I",Cashflow!AF$111="Not yet producing"),0,IF(AF$9-4*$I$6&lt;$I$4,0,(HLOOKUP(AF$9-4*$I$6,$C$9:$AG$13,5,FALSE))))</f>
        <v>0</v>
      </c>
      <c r="AG17" s="44">
        <f ca="1">IF(OR(Cashflow!AG$111="C/I",Cashflow!AG$111="Not yet producing"),0,IF(AG$9-4*$I$6&lt;$I$4,0,(HLOOKUP(AG$9-4*$I$6,$C$9:$AG$13,5,FALSE))))</f>
        <v>0</v>
      </c>
      <c r="AH17" s="19"/>
      <c r="AI17" s="19"/>
      <c r="AJ17" s="19"/>
      <c r="AK17" s="19"/>
      <c r="AL17" s="21"/>
      <c r="AM17" s="21"/>
      <c r="AN17" s="19"/>
      <c r="AO17" s="19"/>
      <c r="AP17" s="19"/>
      <c r="AQ17" s="19"/>
      <c r="AR17" s="326"/>
      <c r="AS17" s="326"/>
      <c r="AT17" s="326"/>
      <c r="AU17" s="326"/>
      <c r="AV17" s="326"/>
      <c r="AW17" s="326"/>
      <c r="AX17" s="326"/>
      <c r="AY17" s="326"/>
      <c r="AZ17" s="326"/>
      <c r="BA17" s="326"/>
      <c r="BB17" s="326"/>
    </row>
    <row r="18" spans="1:54" s="26" customFormat="1" ht="13.2">
      <c r="A18" s="19"/>
      <c r="B18" s="55" t="s">
        <v>286</v>
      </c>
      <c r="C18" s="44">
        <f>IF(OR(Cashflow!C$111="C/I",Cashflow!C$111="Not yet producing"),0,IF(C$9-5*$I$6&lt;$I$4,0,(HLOOKUP(C$9-5*$I$6,$C$9:$AG$13,5,FALSE))))</f>
        <v>0</v>
      </c>
      <c r="D18" s="44">
        <f>IF(OR(Cashflow!D$111="C/I",Cashflow!D$111="Not yet producing"),0,IF(D$9-5*$I$6&lt;$I$4,0,(HLOOKUP(D$9-5*$I$6,$C$9:$AG$13,5,FALSE))))</f>
        <v>0</v>
      </c>
      <c r="E18" s="44">
        <f>IF(OR(Cashflow!E$111="C/I",Cashflow!E$111="Not yet producing"),0,IF(E$9-5*$I$6&lt;$I$4,0,(HLOOKUP(E$9-5*$I$6,$C$9:$AG$13,5,FALSE))))</f>
        <v>0</v>
      </c>
      <c r="F18" s="44">
        <f>IF(OR(Cashflow!F$111="C/I",Cashflow!F$111="Not yet producing"),0,IF(F$9-5*$I$6&lt;$I$4,0,(HLOOKUP(F$9-5*$I$6,$C$9:$AG$13,5,FALSE))))</f>
        <v>0</v>
      </c>
      <c r="G18" s="44">
        <f>IF(OR(Cashflow!G$111="C/I",Cashflow!G$111="Not yet producing"),0,IF(G$9-5*$I$6&lt;$I$4,0,(HLOOKUP(G$9-5*$I$6,$C$9:$AG$13,5,FALSE))))</f>
        <v>0</v>
      </c>
      <c r="H18" s="44">
        <f>IF(OR(Cashflow!H$111="C/I",Cashflow!H$111="Not yet producing"),0,IF(H$9-5*$I$6&lt;$I$4,0,(HLOOKUP(H$9-5*$I$6,$C$9:$AG$13,5,FALSE))))</f>
        <v>0</v>
      </c>
      <c r="I18" s="44">
        <f>IF(OR(Cashflow!I$111="C/I",Cashflow!I$111="Not yet producing"),0,IF(I$9-5*$I$6&lt;$I$4,0,(HLOOKUP(I$9-5*$I$6,$C$9:$AG$13,5,FALSE))))</f>
        <v>0</v>
      </c>
      <c r="J18" s="44">
        <f>IF(OR(Cashflow!J$111="C/I",Cashflow!J$111="Not yet producing"),0,IF(J$9-5*$I$6&lt;$I$4,0,(HLOOKUP(J$9-5*$I$6,$C$9:$AG$13,5,FALSE))))</f>
        <v>0</v>
      </c>
      <c r="K18" s="44">
        <f>IF(OR(Cashflow!K$111="C/I",Cashflow!K$111="Not yet producing"),0,IF(K$9-5*$I$6&lt;$I$4,0,(HLOOKUP(K$9-5*$I$6,$C$9:$AG$13,5,FALSE))))</f>
        <v>0</v>
      </c>
      <c r="L18" s="44">
        <f ca="1">IF(OR(Cashflow!L$111="C/I",Cashflow!L$111="Not yet producing"),0,IF(L$9-5*$I$6&lt;$I$4,0,(HLOOKUP(L$9-5*$I$6,$C$9:$AG$13,5,FALSE))))</f>
        <v>0</v>
      </c>
      <c r="M18" s="44">
        <f ca="1">IF(OR(Cashflow!M$111="C/I",Cashflow!M$111="Not yet producing"),0,IF(M$9-5*$I$6&lt;$I$4,0,(HLOOKUP(M$9-5*$I$6,$C$9:$AG$13,5,FALSE))))</f>
        <v>0</v>
      </c>
      <c r="N18" s="44">
        <f ca="1">IF(OR(Cashflow!N$111="C/I",Cashflow!N$111="Not yet producing"),0,IF(N$9-5*$I$6&lt;$I$4,0,(HLOOKUP(N$9-5*$I$6,$C$9:$AG$13,5,FALSE))))</f>
        <v>0</v>
      </c>
      <c r="O18" s="44">
        <f ca="1">IF(OR(Cashflow!O$111="C/I",Cashflow!O$111="Not yet producing"),0,IF(O$9-5*$I$6&lt;$I$4,0,(HLOOKUP(O$9-5*$I$6,$C$9:$AG$13,5,FALSE))))</f>
        <v>0</v>
      </c>
      <c r="P18" s="44">
        <f ca="1">IF(OR(Cashflow!P$111="C/I",Cashflow!P$111="Not yet producing"),0,IF(P$9-5*$I$6&lt;$I$4,0,(HLOOKUP(P$9-5*$I$6,$C$9:$AG$13,5,FALSE))))</f>
        <v>0</v>
      </c>
      <c r="Q18" s="44">
        <f ca="1">IF(OR(Cashflow!Q$111="C/I",Cashflow!Q$111="Not yet producing"),0,IF(Q$9-5*$I$6&lt;$I$4,0,(HLOOKUP(Q$9-5*$I$6,$C$9:$AG$13,5,FALSE))))</f>
        <v>0</v>
      </c>
      <c r="R18" s="44">
        <f ca="1">IF(OR(Cashflow!R$111="C/I",Cashflow!R$111="Not yet producing"),0,IF(R$9-5*$I$6&lt;$I$4,0,(HLOOKUP(R$9-5*$I$6,$C$9:$AG$13,5,FALSE))))</f>
        <v>0</v>
      </c>
      <c r="S18" s="44">
        <f ca="1">IF(OR(Cashflow!S$111="C/I",Cashflow!S$111="Not yet producing"),0,IF(S$9-5*$I$6&lt;$I$4,0,(HLOOKUP(S$9-5*$I$6,$C$9:$AG$13,5,FALSE))))</f>
        <v>0</v>
      </c>
      <c r="T18" s="44">
        <f ca="1">IF(OR(Cashflow!T$111="C/I",Cashflow!T$111="Not yet producing"),0,IF(T$9-5*$I$6&lt;$I$4,0,(HLOOKUP(T$9-5*$I$6,$C$9:$AG$13,5,FALSE))))</f>
        <v>0</v>
      </c>
      <c r="U18" s="44">
        <f ca="1">IF(OR(Cashflow!U$111="C/I",Cashflow!U$111="Not yet producing"),0,IF(U$9-5*$I$6&lt;$I$4,0,(HLOOKUP(U$9-5*$I$6,$C$9:$AG$13,5,FALSE))))</f>
        <v>0</v>
      </c>
      <c r="V18" s="44">
        <f ca="1">IF(OR(Cashflow!V$111="C/I",Cashflow!V$111="Not yet producing"),0,IF(V$9-5*$I$6&lt;$I$4,0,(HLOOKUP(V$9-5*$I$6,$C$9:$AG$13,5,FALSE))))</f>
        <v>0</v>
      </c>
      <c r="W18" s="44">
        <f ca="1">IF(OR(Cashflow!W$111="C/I",Cashflow!W$111="Not yet producing"),0,IF(W$9-5*$I$6&lt;$I$4,0,(HLOOKUP(W$9-5*$I$6,$C$9:$AG$13,5,FALSE))))</f>
        <v>0</v>
      </c>
      <c r="X18" s="44">
        <f ca="1">IF(OR(Cashflow!X$111="C/I",Cashflow!X$111="Not yet producing"),0,IF(X$9-5*$I$6&lt;$I$4,0,(HLOOKUP(X$9-5*$I$6,$C$9:$AG$13,5,FALSE))))</f>
        <v>0</v>
      </c>
      <c r="Y18" s="44">
        <f ca="1">IF(OR(Cashflow!Y$111="C/I",Cashflow!Y$111="Not yet producing"),0,IF(Y$9-5*$I$6&lt;$I$4,0,(HLOOKUP(Y$9-5*$I$6,$C$9:$AG$13,5,FALSE))))</f>
        <v>0</v>
      </c>
      <c r="Z18" s="44">
        <f ca="1">IF(OR(Cashflow!Z$111="C/I",Cashflow!Z$111="Not yet producing"),0,IF(Z$9-5*$I$6&lt;$I$4,0,(HLOOKUP(Z$9-5*$I$6,$C$9:$AG$13,5,FALSE))))</f>
        <v>0</v>
      </c>
      <c r="AA18" s="44">
        <f ca="1">IF(OR(Cashflow!AA$111="C/I",Cashflow!AA$111="Not yet producing"),0,IF(AA$9-5*$I$6&lt;$I$4,0,(HLOOKUP(AA$9-5*$I$6,$C$9:$AG$13,5,FALSE))))</f>
        <v>0</v>
      </c>
      <c r="AB18" s="44">
        <f ca="1">IF(OR(Cashflow!AB$111="C/I",Cashflow!AB$111="Not yet producing"),0,IF(AB$9-5*$I$6&lt;$I$4,0,(HLOOKUP(AB$9-5*$I$6,$C$9:$AG$13,5,FALSE))))</f>
        <v>0</v>
      </c>
      <c r="AC18" s="44">
        <f ca="1">IF(OR(Cashflow!AC$111="C/I",Cashflow!AC$111="Not yet producing"),0,IF(AC$9-5*$I$6&lt;$I$4,0,(HLOOKUP(AC$9-5*$I$6,$C$9:$AG$13,5,FALSE))))</f>
        <v>0</v>
      </c>
      <c r="AD18" s="44">
        <f ca="1">IF(OR(Cashflow!AD$111="C/I",Cashflow!AD$111="Not yet producing"),0,IF(AD$9-5*$I$6&lt;$I$4,0,(HLOOKUP(AD$9-5*$I$6,$C$9:$AG$13,5,FALSE))))</f>
        <v>0</v>
      </c>
      <c r="AE18" s="44">
        <f ca="1">IF(OR(Cashflow!AE$111="C/I",Cashflow!AE$111="Not yet producing"),0,IF(AE$9-5*$I$6&lt;$I$4,0,(HLOOKUP(AE$9-5*$I$6,$C$9:$AG$13,5,FALSE))))</f>
        <v>0</v>
      </c>
      <c r="AF18" s="44">
        <f ca="1">IF(OR(Cashflow!AF$111="C/I",Cashflow!AF$111="Not yet producing"),0,IF(AF$9-5*$I$6&lt;$I$4,0,(HLOOKUP(AF$9-5*$I$6,$C$9:$AG$13,5,FALSE))))</f>
        <v>0</v>
      </c>
      <c r="AG18" s="44">
        <f ca="1">IF(OR(Cashflow!AG$111="C/I",Cashflow!AG$111="Not yet producing"),0,IF(AG$9-5*$I$6&lt;$I$4,0,(HLOOKUP(AG$9-5*$I$6,$C$9:$AG$13,5,FALSE))))</f>
        <v>0</v>
      </c>
      <c r="AH18" s="19"/>
      <c r="AI18" s="19"/>
      <c r="AJ18" s="19"/>
      <c r="AK18" s="19"/>
      <c r="AL18" s="21"/>
      <c r="AM18" s="21"/>
      <c r="AN18" s="19"/>
      <c r="AO18" s="19"/>
      <c r="AP18" s="19"/>
      <c r="AQ18" s="19"/>
      <c r="AR18" s="326"/>
      <c r="AS18" s="326"/>
      <c r="AT18" s="326"/>
      <c r="AU18" s="326"/>
      <c r="AV18" s="326"/>
      <c r="AW18" s="326"/>
      <c r="AX18" s="326"/>
      <c r="AY18" s="326"/>
      <c r="AZ18" s="326"/>
      <c r="BA18" s="326"/>
      <c r="BB18" s="326"/>
    </row>
    <row r="19" spans="1:54" s="26" customFormat="1" ht="13.2">
      <c r="A19" s="19"/>
      <c r="B19" s="55" t="s">
        <v>287</v>
      </c>
      <c r="C19" s="44">
        <f>IF(OR(Cashflow!C$111="C/I",Cashflow!C$111="Not yet producing"),0,IF(C$9-6*$I$6&lt;$I$4,0,(HLOOKUP(C$9-6*$I$6,$C$9:$AG$13,5,FALSE))))</f>
        <v>0</v>
      </c>
      <c r="D19" s="44">
        <f>IF(OR(Cashflow!D$111="C/I",Cashflow!D$111="Not yet producing"),0,IF(D$9-6*$I$6&lt;$I$4,0,(HLOOKUP(D$9-6*$I$6,$C$9:$AG$13,5,FALSE))))</f>
        <v>0</v>
      </c>
      <c r="E19" s="44">
        <f>IF(OR(Cashflow!E$111="C/I",Cashflow!E$111="Not yet producing"),0,IF(E$9-6*$I$6&lt;$I$4,0,(HLOOKUP(E$9-6*$I$6,$C$9:$AG$13,5,FALSE))))</f>
        <v>0</v>
      </c>
      <c r="F19" s="44">
        <f>IF(OR(Cashflow!F$111="C/I",Cashflow!F$111="Not yet producing"),0,IF(F$9-6*$I$6&lt;$I$4,0,(HLOOKUP(F$9-6*$I$6,$C$9:$AG$13,5,FALSE))))</f>
        <v>0</v>
      </c>
      <c r="G19" s="44">
        <f>IF(OR(Cashflow!G$111="C/I",Cashflow!G$111="Not yet producing"),0,IF(G$9-6*$I$6&lt;$I$4,0,(HLOOKUP(G$9-6*$I$6,$C$9:$AG$13,5,FALSE))))</f>
        <v>0</v>
      </c>
      <c r="H19" s="44">
        <f>IF(OR(Cashflow!H$111="C/I",Cashflow!H$111="Not yet producing"),0,IF(H$9-6*$I$6&lt;$I$4,0,(HLOOKUP(H$9-6*$I$6,$C$9:$AG$13,5,FALSE))))</f>
        <v>0</v>
      </c>
      <c r="I19" s="44">
        <f>IF(OR(Cashflow!I$111="C/I",Cashflow!I$111="Not yet producing"),0,IF(I$9-6*$I$6&lt;$I$4,0,(HLOOKUP(I$9-6*$I$6,$C$9:$AG$13,5,FALSE))))</f>
        <v>0</v>
      </c>
      <c r="J19" s="44">
        <f>IF(OR(Cashflow!J$111="C/I",Cashflow!J$111="Not yet producing"),0,IF(J$9-6*$I$6&lt;$I$4,0,(HLOOKUP(J$9-6*$I$6,$C$9:$AG$13,5,FALSE))))</f>
        <v>0</v>
      </c>
      <c r="K19" s="44">
        <f>IF(OR(Cashflow!K$111="C/I",Cashflow!K$111="Not yet producing"),0,IF(K$9-6*$I$6&lt;$I$4,0,(HLOOKUP(K$9-6*$I$6,$C$9:$AG$13,5,FALSE))))</f>
        <v>0</v>
      </c>
      <c r="L19" s="44">
        <f ca="1">IF(OR(Cashflow!L$111="C/I",Cashflow!L$111="Not yet producing"),0,IF(L$9-6*$I$6&lt;$I$4,0,(HLOOKUP(L$9-6*$I$6,$C$9:$AG$13,5,FALSE))))</f>
        <v>0</v>
      </c>
      <c r="M19" s="44">
        <f ca="1">IF(OR(Cashflow!M$111="C/I",Cashflow!M$111="Not yet producing"),0,IF(M$9-6*$I$6&lt;$I$4,0,(HLOOKUP(M$9-6*$I$6,$C$9:$AG$13,5,FALSE))))</f>
        <v>0</v>
      </c>
      <c r="N19" s="44">
        <f ca="1">IF(OR(Cashflow!N$111="C/I",Cashflow!N$111="Not yet producing"),0,IF(N$9-6*$I$6&lt;$I$4,0,(HLOOKUP(N$9-6*$I$6,$C$9:$AG$13,5,FALSE))))</f>
        <v>0</v>
      </c>
      <c r="O19" s="44">
        <f ca="1">IF(OR(Cashflow!O$111="C/I",Cashflow!O$111="Not yet producing"),0,IF(O$9-6*$I$6&lt;$I$4,0,(HLOOKUP(O$9-6*$I$6,$C$9:$AG$13,5,FALSE))))</f>
        <v>0</v>
      </c>
      <c r="P19" s="44">
        <f ca="1">IF(OR(Cashflow!P$111="C/I",Cashflow!P$111="Not yet producing"),0,IF(P$9-6*$I$6&lt;$I$4,0,(HLOOKUP(P$9-6*$I$6,$C$9:$AG$13,5,FALSE))))</f>
        <v>0</v>
      </c>
      <c r="Q19" s="44">
        <f ca="1">IF(OR(Cashflow!Q$111="C/I",Cashflow!Q$111="Not yet producing"),0,IF(Q$9-6*$I$6&lt;$I$4,0,(HLOOKUP(Q$9-6*$I$6,$C$9:$AG$13,5,FALSE))))</f>
        <v>0</v>
      </c>
      <c r="R19" s="44">
        <f ca="1">IF(OR(Cashflow!R$111="C/I",Cashflow!R$111="Not yet producing"),0,IF(R$9-6*$I$6&lt;$I$4,0,(HLOOKUP(R$9-6*$I$6,$C$9:$AG$13,5,FALSE))))</f>
        <v>0</v>
      </c>
      <c r="S19" s="44">
        <f ca="1">IF(OR(Cashflow!S$111="C/I",Cashflow!S$111="Not yet producing"),0,IF(S$9-6*$I$6&lt;$I$4,0,(HLOOKUP(S$9-6*$I$6,$C$9:$AG$13,5,FALSE))))</f>
        <v>0</v>
      </c>
      <c r="T19" s="44">
        <f ca="1">IF(OR(Cashflow!T$111="C/I",Cashflow!T$111="Not yet producing"),0,IF(T$9-6*$I$6&lt;$I$4,0,(HLOOKUP(T$9-6*$I$6,$C$9:$AG$13,5,FALSE))))</f>
        <v>0</v>
      </c>
      <c r="U19" s="44">
        <f ca="1">IF(OR(Cashflow!U$111="C/I",Cashflow!U$111="Not yet producing"),0,IF(U$9-6*$I$6&lt;$I$4,0,(HLOOKUP(U$9-6*$I$6,$C$9:$AG$13,5,FALSE))))</f>
        <v>0</v>
      </c>
      <c r="V19" s="44">
        <f ca="1">IF(OR(Cashflow!V$111="C/I",Cashflow!V$111="Not yet producing"),0,IF(V$9-6*$I$6&lt;$I$4,0,(HLOOKUP(V$9-6*$I$6,$C$9:$AG$13,5,FALSE))))</f>
        <v>0</v>
      </c>
      <c r="W19" s="44">
        <f ca="1">IF(OR(Cashflow!W$111="C/I",Cashflow!W$111="Not yet producing"),0,IF(W$9-6*$I$6&lt;$I$4,0,(HLOOKUP(W$9-6*$I$6,$C$9:$AG$13,5,FALSE))))</f>
        <v>0</v>
      </c>
      <c r="X19" s="44">
        <f ca="1">IF(OR(Cashflow!X$111="C/I",Cashflow!X$111="Not yet producing"),0,IF(X$9-6*$I$6&lt;$I$4,0,(HLOOKUP(X$9-6*$I$6,$C$9:$AG$13,5,FALSE))))</f>
        <v>0</v>
      </c>
      <c r="Y19" s="44">
        <f ca="1">IF(OR(Cashflow!Y$111="C/I",Cashflow!Y$111="Not yet producing"),0,IF(Y$9-6*$I$6&lt;$I$4,0,(HLOOKUP(Y$9-6*$I$6,$C$9:$AG$13,5,FALSE))))</f>
        <v>0</v>
      </c>
      <c r="Z19" s="44">
        <f ca="1">IF(OR(Cashflow!Z$111="C/I",Cashflow!Z$111="Not yet producing"),0,IF(Z$9-6*$I$6&lt;$I$4,0,(HLOOKUP(Z$9-6*$I$6,$C$9:$AG$13,5,FALSE))))</f>
        <v>0</v>
      </c>
      <c r="AA19" s="44">
        <f ca="1">IF(OR(Cashflow!AA$111="C/I",Cashflow!AA$111="Not yet producing"),0,IF(AA$9-6*$I$6&lt;$I$4,0,(HLOOKUP(AA$9-6*$I$6,$C$9:$AG$13,5,FALSE))))</f>
        <v>0</v>
      </c>
      <c r="AB19" s="44">
        <f ca="1">IF(OR(Cashflow!AB$111="C/I",Cashflow!AB$111="Not yet producing"),0,IF(AB$9-6*$I$6&lt;$I$4,0,(HLOOKUP(AB$9-6*$I$6,$C$9:$AG$13,5,FALSE))))</f>
        <v>0</v>
      </c>
      <c r="AC19" s="44">
        <f ca="1">IF(OR(Cashflow!AC$111="C/I",Cashflow!AC$111="Not yet producing"),0,IF(AC$9-6*$I$6&lt;$I$4,0,(HLOOKUP(AC$9-6*$I$6,$C$9:$AG$13,5,FALSE))))</f>
        <v>0</v>
      </c>
      <c r="AD19" s="44">
        <f ca="1">IF(OR(Cashflow!AD$111="C/I",Cashflow!AD$111="Not yet producing"),0,IF(AD$9-6*$I$6&lt;$I$4,0,(HLOOKUP(AD$9-6*$I$6,$C$9:$AG$13,5,FALSE))))</f>
        <v>0</v>
      </c>
      <c r="AE19" s="44">
        <f ca="1">IF(OR(Cashflow!AE$111="C/I",Cashflow!AE$111="Not yet producing"),0,IF(AE$9-6*$I$6&lt;$I$4,0,(HLOOKUP(AE$9-6*$I$6,$C$9:$AG$13,5,FALSE))))</f>
        <v>0</v>
      </c>
      <c r="AF19" s="44">
        <f ca="1">IF(OR(Cashflow!AF$111="C/I",Cashflow!AF$111="Not yet producing"),0,IF(AF$9-6*$I$6&lt;$I$4,0,(HLOOKUP(AF$9-6*$I$6,$C$9:$AG$13,5,FALSE))))</f>
        <v>0</v>
      </c>
      <c r="AG19" s="44">
        <f ca="1">IF(OR(Cashflow!AG$111="C/I",Cashflow!AG$111="Not yet producing"),0,IF(AG$9-6*$I$6&lt;$I$4,0,(HLOOKUP(AG$9-6*$I$6,$C$9:$AG$13,5,FALSE))))</f>
        <v>0</v>
      </c>
      <c r="AH19" s="19"/>
      <c r="AI19" s="19"/>
      <c r="AJ19" s="19"/>
      <c r="AK19" s="19"/>
      <c r="AL19" s="21"/>
      <c r="AM19" s="21"/>
      <c r="AN19" s="19"/>
      <c r="AO19" s="19"/>
      <c r="AP19" s="19"/>
      <c r="AQ19" s="19"/>
      <c r="AR19" s="326"/>
      <c r="AS19" s="326"/>
      <c r="AT19" s="326"/>
      <c r="AU19" s="326"/>
      <c r="AV19" s="326"/>
      <c r="AW19" s="326"/>
      <c r="AX19" s="326"/>
      <c r="AY19" s="326"/>
      <c r="AZ19" s="326"/>
      <c r="BA19" s="326"/>
      <c r="BB19" s="326"/>
    </row>
    <row r="20" spans="1:54" s="26" customFormat="1" ht="13.2">
      <c r="A20" s="19"/>
      <c r="B20" s="55" t="s">
        <v>1725</v>
      </c>
      <c r="C20" s="44">
        <f>IF(OR(Cashflow!C$111="C/I",Cashflow!C$111="Not yet producing"),0,IF(C$9-7*$I$6&lt;$I$4,0,(HLOOKUP(C$9-7*$I$6,$C$9:$AG$13,5,FALSE))))</f>
        <v>0</v>
      </c>
      <c r="D20" s="44">
        <f>IF(OR(Cashflow!D$111="C/I",Cashflow!D$111="Not yet producing"),0,IF(D$9-7*$I$6&lt;$I$4,0,(HLOOKUP(D$9-7*$I$6,$C$9:$AG$13,5,FALSE))))</f>
        <v>0</v>
      </c>
      <c r="E20" s="44">
        <f>IF(OR(Cashflow!E$111="C/I",Cashflow!E$111="Not yet producing"),0,IF(E$9-7*$I$6&lt;$I$4,0,(HLOOKUP(E$9-7*$I$6,$C$9:$AG$13,5,FALSE))))</f>
        <v>0</v>
      </c>
      <c r="F20" s="44">
        <f>IF(OR(Cashflow!F$111="C/I",Cashflow!F$111="Not yet producing"),0,IF(F$9-7*$I$6&lt;$I$4,0,(HLOOKUP(F$9-7*$I$6,$C$9:$AG$13,5,FALSE))))</f>
        <v>0</v>
      </c>
      <c r="G20" s="44">
        <f>IF(OR(Cashflow!G$111="C/I",Cashflow!G$111="Not yet producing"),0,IF(G$9-7*$I$6&lt;$I$4,0,(HLOOKUP(G$9-7*$I$6,$C$9:$AG$13,5,FALSE))))</f>
        <v>0</v>
      </c>
      <c r="H20" s="44">
        <f>IF(OR(Cashflow!H$111="C/I",Cashflow!H$111="Not yet producing"),0,IF(H$9-7*$I$6&lt;$I$4,0,(HLOOKUP(H$9-7*$I$6,$C$9:$AG$13,5,FALSE))))</f>
        <v>0</v>
      </c>
      <c r="I20" s="44">
        <f>IF(OR(Cashflow!I$111="C/I",Cashflow!I$111="Not yet producing"),0,IF(I$9-7*$I$6&lt;$I$4,0,(HLOOKUP(I$9-7*$I$6,$C$9:$AG$13,5,FALSE))))</f>
        <v>0</v>
      </c>
      <c r="J20" s="44">
        <f>IF(OR(Cashflow!J$111="C/I",Cashflow!J$111="Not yet producing"),0,IF(J$9-7*$I$6&lt;$I$4,0,(HLOOKUP(J$9-7*$I$6,$C$9:$AG$13,5,FALSE))))</f>
        <v>0</v>
      </c>
      <c r="K20" s="44">
        <f>IF(OR(Cashflow!K$111="C/I",Cashflow!K$111="Not yet producing"),0,IF(K$9-7*$I$6&lt;$I$4,0,(HLOOKUP(K$9-7*$I$6,$C$9:$AG$13,5,FALSE))))</f>
        <v>0</v>
      </c>
      <c r="L20" s="44">
        <f ca="1">IF(OR(Cashflow!L$111="C/I",Cashflow!L$111="Not yet producing"),0,IF(L$9-7*$I$6&lt;$I$4,0,(HLOOKUP(L$9-7*$I$6,$C$9:$AG$13,5,FALSE))))</f>
        <v>0</v>
      </c>
      <c r="M20" s="44">
        <f ca="1">IF(OR(Cashflow!M$111="C/I",Cashflow!M$111="Not yet producing"),0,IF(M$9-7*$I$6&lt;$I$4,0,(HLOOKUP(M$9-7*$I$6,$C$9:$AG$13,5,FALSE))))</f>
        <v>0</v>
      </c>
      <c r="N20" s="44">
        <f ca="1">IF(OR(Cashflow!N$111="C/I",Cashflow!N$111="Not yet producing"),0,IF(N$9-7*$I$6&lt;$I$4,0,(HLOOKUP(N$9-7*$I$6,$C$9:$AG$13,5,FALSE))))</f>
        <v>0</v>
      </c>
      <c r="O20" s="44">
        <f ca="1">IF(OR(Cashflow!O$111="C/I",Cashflow!O$111="Not yet producing"),0,IF(O$9-7*$I$6&lt;$I$4,0,(HLOOKUP(O$9-7*$I$6,$C$9:$AG$13,5,FALSE))))</f>
        <v>0</v>
      </c>
      <c r="P20" s="44">
        <f ca="1">IF(OR(Cashflow!P$111="C/I",Cashflow!P$111="Not yet producing"),0,IF(P$9-7*$I$6&lt;$I$4,0,(HLOOKUP(P$9-7*$I$6,$C$9:$AG$13,5,FALSE))))</f>
        <v>0</v>
      </c>
      <c r="Q20" s="44">
        <f ca="1">IF(OR(Cashflow!Q$111="C/I",Cashflow!Q$111="Not yet producing"),0,IF(Q$9-7*$I$6&lt;$I$4,0,(HLOOKUP(Q$9-7*$I$6,$C$9:$AG$13,5,FALSE))))</f>
        <v>0</v>
      </c>
      <c r="R20" s="44">
        <f ca="1">IF(OR(Cashflow!R$111="C/I",Cashflow!R$111="Not yet producing"),0,IF(R$9-7*$I$6&lt;$I$4,0,(HLOOKUP(R$9-7*$I$6,$C$9:$AG$13,5,FALSE))))</f>
        <v>0</v>
      </c>
      <c r="S20" s="44">
        <f ca="1">IF(OR(Cashflow!S$111="C/I",Cashflow!S$111="Not yet producing"),0,IF(S$9-7*$I$6&lt;$I$4,0,(HLOOKUP(S$9-7*$I$6,$C$9:$AG$13,5,FALSE))))</f>
        <v>0</v>
      </c>
      <c r="T20" s="44">
        <f ca="1">IF(OR(Cashflow!T$111="C/I",Cashflow!T$111="Not yet producing"),0,IF(T$9-7*$I$6&lt;$I$4,0,(HLOOKUP(T$9-7*$I$6,$C$9:$AG$13,5,FALSE))))</f>
        <v>0</v>
      </c>
      <c r="U20" s="44">
        <f ca="1">IF(OR(Cashflow!U$111="C/I",Cashflow!U$111="Not yet producing"),0,IF(U$9-7*$I$6&lt;$I$4,0,(HLOOKUP(U$9-7*$I$6,$C$9:$AG$13,5,FALSE))))</f>
        <v>0</v>
      </c>
      <c r="V20" s="44">
        <f ca="1">IF(OR(Cashflow!V$111="C/I",Cashflow!V$111="Not yet producing"),0,IF(V$9-7*$I$6&lt;$I$4,0,(HLOOKUP(V$9-7*$I$6,$C$9:$AG$13,5,FALSE))))</f>
        <v>0</v>
      </c>
      <c r="W20" s="44">
        <f ca="1">IF(OR(Cashflow!W$111="C/I",Cashflow!W$111="Not yet producing"),0,IF(W$9-7*$I$6&lt;$I$4,0,(HLOOKUP(W$9-7*$I$6,$C$9:$AG$13,5,FALSE))))</f>
        <v>0</v>
      </c>
      <c r="X20" s="44">
        <f ca="1">IF(OR(Cashflow!X$111="C/I",Cashflow!X$111="Not yet producing"),0,IF(X$9-7*$I$6&lt;$I$4,0,(HLOOKUP(X$9-7*$I$6,$C$9:$AG$13,5,FALSE))))</f>
        <v>0</v>
      </c>
      <c r="Y20" s="44">
        <f ca="1">IF(OR(Cashflow!Y$111="C/I",Cashflow!Y$111="Not yet producing"),0,IF(Y$9-7*$I$6&lt;$I$4,0,(HLOOKUP(Y$9-7*$I$6,$C$9:$AG$13,5,FALSE))))</f>
        <v>0</v>
      </c>
      <c r="Z20" s="44">
        <f ca="1">IF(OR(Cashflow!Z$111="C/I",Cashflow!Z$111="Not yet producing"),0,IF(Z$9-7*$I$6&lt;$I$4,0,(HLOOKUP(Z$9-7*$I$6,$C$9:$AG$13,5,FALSE))))</f>
        <v>0</v>
      </c>
      <c r="AA20" s="44">
        <f ca="1">IF(OR(Cashflow!AA$111="C/I",Cashflow!AA$111="Not yet producing"),0,IF(AA$9-7*$I$6&lt;$I$4,0,(HLOOKUP(AA$9-7*$I$6,$C$9:$AG$13,5,FALSE))))</f>
        <v>0</v>
      </c>
      <c r="AB20" s="44">
        <f ca="1">IF(OR(Cashflow!AB$111="C/I",Cashflow!AB$111="Not yet producing"),0,IF(AB$9-7*$I$6&lt;$I$4,0,(HLOOKUP(AB$9-7*$I$6,$C$9:$AG$13,5,FALSE))))</f>
        <v>0</v>
      </c>
      <c r="AC20" s="44">
        <f ca="1">IF(OR(Cashflow!AC$111="C/I",Cashflow!AC$111="Not yet producing"),0,IF(AC$9-7*$I$6&lt;$I$4,0,(HLOOKUP(AC$9-7*$I$6,$C$9:$AG$13,5,FALSE))))</f>
        <v>0</v>
      </c>
      <c r="AD20" s="44">
        <f ca="1">IF(OR(Cashflow!AD$111="C/I",Cashflow!AD$111="Not yet producing"),0,IF(AD$9-7*$I$6&lt;$I$4,0,(HLOOKUP(AD$9-7*$I$6,$C$9:$AG$13,5,FALSE))))</f>
        <v>0</v>
      </c>
      <c r="AE20" s="44">
        <f ca="1">IF(OR(Cashflow!AE$111="C/I",Cashflow!AE$111="Not yet producing"),0,IF(AE$9-7*$I$6&lt;$I$4,0,(HLOOKUP(AE$9-7*$I$6,$C$9:$AG$13,5,FALSE))))</f>
        <v>0</v>
      </c>
      <c r="AF20" s="44">
        <f ca="1">IF(OR(Cashflow!AF$111="C/I",Cashflow!AF$111="Not yet producing"),0,IF(AF$9-7*$I$6&lt;$I$4,0,(HLOOKUP(AF$9-7*$I$6,$C$9:$AG$13,5,FALSE))))</f>
        <v>0</v>
      </c>
      <c r="AG20" s="44">
        <f ca="1">IF(OR(Cashflow!AG$111="C/I",Cashflow!AG$111="Not yet producing"),0,IF(AG$9-7*$I$6&lt;$I$4,0,(HLOOKUP(AG$9-7*$I$6,$C$9:$AG$13,5,FALSE))))</f>
        <v>0</v>
      </c>
      <c r="AH20" s="19"/>
      <c r="AI20" s="19"/>
      <c r="AJ20" s="19"/>
      <c r="AK20" s="19"/>
      <c r="AL20" s="21"/>
      <c r="AM20" s="21"/>
      <c r="AN20" s="19"/>
      <c r="AO20" s="19"/>
      <c r="AP20" s="19"/>
      <c r="AQ20" s="19"/>
      <c r="AR20" s="326"/>
      <c r="AS20" s="326"/>
      <c r="AT20" s="326"/>
      <c r="AU20" s="326"/>
      <c r="AV20" s="326"/>
      <c r="AW20" s="326"/>
      <c r="AX20" s="326"/>
      <c r="AY20" s="326"/>
      <c r="AZ20" s="326"/>
      <c r="BA20" s="326"/>
      <c r="BB20" s="326"/>
    </row>
    <row r="21" spans="1:54" s="26" customFormat="1" ht="13.2">
      <c r="A21" s="19"/>
      <c r="B21" s="55" t="s">
        <v>1726</v>
      </c>
      <c r="C21" s="44">
        <f>IF(OR(Cashflow!C$111="C/I",Cashflow!C$111="Not yet producing"),0,IF(C$9-8*$I$6&lt;$I$4,0,(HLOOKUP(C$9-8*$I$6,$C$9:$AG$13,5,FALSE))))</f>
        <v>0</v>
      </c>
      <c r="D21" s="44">
        <f>IF(OR(Cashflow!D$111="C/I",Cashflow!D$111="Not yet producing"),0,IF(D$9-8*$I$6&lt;$I$4,0,(HLOOKUP(D$9-8*$I$6,$C$9:$AG$13,5,FALSE))))</f>
        <v>0</v>
      </c>
      <c r="E21" s="44">
        <f>IF(OR(Cashflow!E$111="C/I",Cashflow!E$111="Not yet producing"),0,IF(E$9-8*$I$6&lt;$I$4,0,(HLOOKUP(E$9-8*$I$6,$C$9:$AG$13,5,FALSE))))</f>
        <v>0</v>
      </c>
      <c r="F21" s="44">
        <f>IF(OR(Cashflow!F$111="C/I",Cashflow!F$111="Not yet producing"),0,IF(F$9-8*$I$6&lt;$I$4,0,(HLOOKUP(F$9-8*$I$6,$C$9:$AG$13,5,FALSE))))</f>
        <v>0</v>
      </c>
      <c r="G21" s="44">
        <f>IF(OR(Cashflow!G$111="C/I",Cashflow!G$111="Not yet producing"),0,IF(G$9-8*$I$6&lt;$I$4,0,(HLOOKUP(G$9-8*$I$6,$C$9:$AG$13,5,FALSE))))</f>
        <v>0</v>
      </c>
      <c r="H21" s="44">
        <f>IF(OR(Cashflow!H$111="C/I",Cashflow!H$111="Not yet producing"),0,IF(H$9-8*$I$6&lt;$I$4,0,(HLOOKUP(H$9-8*$I$6,$C$9:$AG$13,5,FALSE))))</f>
        <v>0</v>
      </c>
      <c r="I21" s="44">
        <f>IF(OR(Cashflow!I$111="C/I",Cashflow!I$111="Not yet producing"),0,IF(I$9-8*$I$6&lt;$I$4,0,(HLOOKUP(I$9-8*$I$6,$C$9:$AG$13,5,FALSE))))</f>
        <v>0</v>
      </c>
      <c r="J21" s="44">
        <f>IF(OR(Cashflow!J$111="C/I",Cashflow!J$111="Not yet producing"),0,IF(J$9-8*$I$6&lt;$I$4,0,(HLOOKUP(J$9-8*$I$6,$C$9:$AG$13,5,FALSE))))</f>
        <v>0</v>
      </c>
      <c r="K21" s="44">
        <f>IF(OR(Cashflow!K$111="C/I",Cashflow!K$111="Not yet producing"),0,IF(K$9-8*$I$6&lt;$I$4,0,(HLOOKUP(K$9-8*$I$6,$C$9:$AG$13,5,FALSE))))</f>
        <v>0</v>
      </c>
      <c r="L21" s="44">
        <f ca="1">IF(OR(Cashflow!L$111="C/I",Cashflow!L$111="Not yet producing"),0,IF(L$9-8*$I$6&lt;$I$4,0,(HLOOKUP(L$9-8*$I$6,$C$9:$AG$13,5,FALSE))))</f>
        <v>0</v>
      </c>
      <c r="M21" s="44">
        <f ca="1">IF(OR(Cashflow!M$111="C/I",Cashflow!M$111="Not yet producing"),0,IF(M$9-8*$I$6&lt;$I$4,0,(HLOOKUP(M$9-8*$I$6,$C$9:$AG$13,5,FALSE))))</f>
        <v>0</v>
      </c>
      <c r="N21" s="44">
        <f ca="1">IF(OR(Cashflow!N$111="C/I",Cashflow!N$111="Not yet producing"),0,IF(N$9-8*$I$6&lt;$I$4,0,(HLOOKUP(N$9-8*$I$6,$C$9:$AG$13,5,FALSE))))</f>
        <v>0</v>
      </c>
      <c r="O21" s="44">
        <f ca="1">IF(OR(Cashflow!O$111="C/I",Cashflow!O$111="Not yet producing"),0,IF(O$9-8*$I$6&lt;$I$4,0,(HLOOKUP(O$9-8*$I$6,$C$9:$AG$13,5,FALSE))))</f>
        <v>0</v>
      </c>
      <c r="P21" s="44">
        <f ca="1">IF(OR(Cashflow!P$111="C/I",Cashflow!P$111="Not yet producing"),0,IF(P$9-8*$I$6&lt;$I$4,0,(HLOOKUP(P$9-8*$I$6,$C$9:$AG$13,5,FALSE))))</f>
        <v>0</v>
      </c>
      <c r="Q21" s="44">
        <f ca="1">IF(OR(Cashflow!Q$111="C/I",Cashflow!Q$111="Not yet producing"),0,IF(Q$9-8*$I$6&lt;$I$4,0,(HLOOKUP(Q$9-8*$I$6,$C$9:$AG$13,5,FALSE))))</f>
        <v>0</v>
      </c>
      <c r="R21" s="44">
        <f ca="1">IF(OR(Cashflow!R$111="C/I",Cashflow!R$111="Not yet producing"),0,IF(R$9-8*$I$6&lt;$I$4,0,(HLOOKUP(R$9-8*$I$6,$C$9:$AG$13,5,FALSE))))</f>
        <v>0</v>
      </c>
      <c r="S21" s="44">
        <f ca="1">IF(OR(Cashflow!S$111="C/I",Cashflow!S$111="Not yet producing"),0,IF(S$9-8*$I$6&lt;$I$4,0,(HLOOKUP(S$9-8*$I$6,$C$9:$AG$13,5,FALSE))))</f>
        <v>0</v>
      </c>
      <c r="T21" s="44">
        <f ca="1">IF(OR(Cashflow!T$111="C/I",Cashflow!T$111="Not yet producing"),0,IF(T$9-8*$I$6&lt;$I$4,0,(HLOOKUP(T$9-8*$I$6,$C$9:$AG$13,5,FALSE))))</f>
        <v>0</v>
      </c>
      <c r="U21" s="44">
        <f ca="1">IF(OR(Cashflow!U$111="C/I",Cashflow!U$111="Not yet producing"),0,IF(U$9-8*$I$6&lt;$I$4,0,(HLOOKUP(U$9-8*$I$6,$C$9:$AG$13,5,FALSE))))</f>
        <v>0</v>
      </c>
      <c r="V21" s="44">
        <f ca="1">IF(OR(Cashflow!V$111="C/I",Cashflow!V$111="Not yet producing"),0,IF(V$9-8*$I$6&lt;$I$4,0,(HLOOKUP(V$9-8*$I$6,$C$9:$AG$13,5,FALSE))))</f>
        <v>0</v>
      </c>
      <c r="W21" s="44">
        <f ca="1">IF(OR(Cashflow!W$111="C/I",Cashflow!W$111="Not yet producing"),0,IF(W$9-8*$I$6&lt;$I$4,0,(HLOOKUP(W$9-8*$I$6,$C$9:$AG$13,5,FALSE))))</f>
        <v>0</v>
      </c>
      <c r="X21" s="44">
        <f ca="1">IF(OR(Cashflow!X$111="C/I",Cashflow!X$111="Not yet producing"),0,IF(X$9-8*$I$6&lt;$I$4,0,(HLOOKUP(X$9-8*$I$6,$C$9:$AG$13,5,FALSE))))</f>
        <v>0</v>
      </c>
      <c r="Y21" s="44">
        <f ca="1">IF(OR(Cashflow!Y$111="C/I",Cashflow!Y$111="Not yet producing"),0,IF(Y$9-8*$I$6&lt;$I$4,0,(HLOOKUP(Y$9-8*$I$6,$C$9:$AG$13,5,FALSE))))</f>
        <v>0</v>
      </c>
      <c r="Z21" s="44">
        <f ca="1">IF(OR(Cashflow!Z$111="C/I",Cashflow!Z$111="Not yet producing"),0,IF(Z$9-8*$I$6&lt;$I$4,0,(HLOOKUP(Z$9-8*$I$6,$C$9:$AG$13,5,FALSE))))</f>
        <v>0</v>
      </c>
      <c r="AA21" s="44">
        <f ca="1">IF(OR(Cashflow!AA$111="C/I",Cashflow!AA$111="Not yet producing"),0,IF(AA$9-8*$I$6&lt;$I$4,0,(HLOOKUP(AA$9-8*$I$6,$C$9:$AG$13,5,FALSE))))</f>
        <v>0</v>
      </c>
      <c r="AB21" s="44">
        <f ca="1">IF(OR(Cashflow!AB$111="C/I",Cashflow!AB$111="Not yet producing"),0,IF(AB$9-8*$I$6&lt;$I$4,0,(HLOOKUP(AB$9-8*$I$6,$C$9:$AG$13,5,FALSE))))</f>
        <v>0</v>
      </c>
      <c r="AC21" s="44">
        <f ca="1">IF(OR(Cashflow!AC$111="C/I",Cashflow!AC$111="Not yet producing"),0,IF(AC$9-8*$I$6&lt;$I$4,0,(HLOOKUP(AC$9-8*$I$6,$C$9:$AG$13,5,FALSE))))</f>
        <v>0</v>
      </c>
      <c r="AD21" s="44">
        <f ca="1">IF(OR(Cashflow!AD$111="C/I",Cashflow!AD$111="Not yet producing"),0,IF(AD$9-8*$I$6&lt;$I$4,0,(HLOOKUP(AD$9-8*$I$6,$C$9:$AG$13,5,FALSE))))</f>
        <v>0</v>
      </c>
      <c r="AE21" s="44">
        <f ca="1">IF(OR(Cashflow!AE$111="C/I",Cashflow!AE$111="Not yet producing"),0,IF(AE$9-8*$I$6&lt;$I$4,0,(HLOOKUP(AE$9-8*$I$6,$C$9:$AG$13,5,FALSE))))</f>
        <v>0</v>
      </c>
      <c r="AF21" s="44">
        <f ca="1">IF(OR(Cashflow!AF$111="C/I",Cashflow!AF$111="Not yet producing"),0,IF(AF$9-8*$I$6&lt;$I$4,0,(HLOOKUP(AF$9-8*$I$6,$C$9:$AG$13,5,FALSE))))</f>
        <v>0</v>
      </c>
      <c r="AG21" s="44">
        <f ca="1">IF(OR(Cashflow!AG$111="C/I",Cashflow!AG$111="Not yet producing"),0,IF(AG$9-8*$I$6&lt;$I$4,0,(HLOOKUP(AG$9-8*$I$6,$C$9:$AG$13,5,FALSE))))</f>
        <v>0</v>
      </c>
      <c r="AH21" s="19"/>
      <c r="AI21" s="19"/>
      <c r="AJ21" s="19"/>
      <c r="AK21" s="19"/>
      <c r="AL21" s="21"/>
      <c r="AM21" s="21"/>
      <c r="AN21" s="19"/>
      <c r="AO21" s="19"/>
      <c r="AP21" s="19"/>
      <c r="AQ21" s="19"/>
      <c r="AR21" s="326"/>
      <c r="AS21" s="326"/>
      <c r="AT21" s="326"/>
      <c r="AU21" s="326"/>
      <c r="AV21" s="326"/>
      <c r="AW21" s="326"/>
      <c r="AX21" s="326"/>
      <c r="AY21" s="326"/>
      <c r="AZ21" s="326"/>
      <c r="BA21" s="326"/>
      <c r="BB21" s="326"/>
    </row>
    <row r="22" spans="1:54" s="26" customFormat="1" ht="13.2">
      <c r="A22" s="19"/>
      <c r="B22" s="55" t="s">
        <v>1727</v>
      </c>
      <c r="C22" s="44">
        <f>IF(OR(Cashflow!C$111="C/I",Cashflow!C$111="Not yet producing"),0,IF(C$9-9*$I$6&lt;$I$4,0,(HLOOKUP(C$9-9*$I$6,$C$9:$AG$13,5,FALSE))))</f>
        <v>0</v>
      </c>
      <c r="D22" s="44">
        <f>IF(OR(Cashflow!D$111="C/I",Cashflow!D$111="Not yet producing"),0,IF(D$9-9*$I$6&lt;$I$4,0,(HLOOKUP(D$9-9*$I$6,$C$9:$AG$13,5,FALSE))))</f>
        <v>0</v>
      </c>
      <c r="E22" s="44">
        <f>IF(OR(Cashflow!E$111="C/I",Cashflow!E$111="Not yet producing"),0,IF(E$9-9*$I$6&lt;$I$4,0,(HLOOKUP(E$9-9*$I$6,$C$9:$AG$13,5,FALSE))))</f>
        <v>0</v>
      </c>
      <c r="F22" s="44">
        <f>IF(OR(Cashflow!F$111="C/I",Cashflow!F$111="Not yet producing"),0,IF(F$9-9*$I$6&lt;$I$4,0,(HLOOKUP(F$9-9*$I$6,$C$9:$AG$13,5,FALSE))))</f>
        <v>0</v>
      </c>
      <c r="G22" s="44">
        <f>IF(OR(Cashflow!G$111="C/I",Cashflow!G$111="Not yet producing"),0,IF(G$9-9*$I$6&lt;$I$4,0,(HLOOKUP(G$9-9*$I$6,$C$9:$AG$13,5,FALSE))))</f>
        <v>0</v>
      </c>
      <c r="H22" s="44">
        <f>IF(OR(Cashflow!H$111="C/I",Cashflow!H$111="Not yet producing"),0,IF(H$9-9*$I$6&lt;$I$4,0,(HLOOKUP(H$9-9*$I$6,$C$9:$AG$13,5,FALSE))))</f>
        <v>0</v>
      </c>
      <c r="I22" s="44">
        <f>IF(OR(Cashflow!I$111="C/I",Cashflow!I$111="Not yet producing"),0,IF(I$9-9*$I$6&lt;$I$4,0,(HLOOKUP(I$9-9*$I$6,$C$9:$AG$13,5,FALSE))))</f>
        <v>0</v>
      </c>
      <c r="J22" s="44">
        <f>IF(OR(Cashflow!J$111="C/I",Cashflow!J$111="Not yet producing"),0,IF(J$9-9*$I$6&lt;$I$4,0,(HLOOKUP(J$9-9*$I$6,$C$9:$AG$13,5,FALSE))))</f>
        <v>0</v>
      </c>
      <c r="K22" s="44">
        <f>IF(OR(Cashflow!K$111="C/I",Cashflow!K$111="Not yet producing"),0,IF(K$9-9*$I$6&lt;$I$4,0,(HLOOKUP(K$9-9*$I$6,$C$9:$AG$13,5,FALSE))))</f>
        <v>0</v>
      </c>
      <c r="L22" s="44">
        <f ca="1">IF(OR(Cashflow!L$111="C/I",Cashflow!L$111="Not yet producing"),0,IF(L$9-9*$I$6&lt;$I$4,0,(HLOOKUP(L$9-9*$I$6,$C$9:$AG$13,5,FALSE))))</f>
        <v>0</v>
      </c>
      <c r="M22" s="44">
        <f ca="1">IF(OR(Cashflow!M$111="C/I",Cashflow!M$111="Not yet producing"),0,IF(M$9-9*$I$6&lt;$I$4,0,(HLOOKUP(M$9-9*$I$6,$C$9:$AG$13,5,FALSE))))</f>
        <v>0</v>
      </c>
      <c r="N22" s="44">
        <f ca="1">IF(OR(Cashflow!N$111="C/I",Cashflow!N$111="Not yet producing"),0,IF(N$9-9*$I$6&lt;$I$4,0,(HLOOKUP(N$9-9*$I$6,$C$9:$AG$13,5,FALSE))))</f>
        <v>0</v>
      </c>
      <c r="O22" s="44">
        <f ca="1">IF(OR(Cashflow!O$111="C/I",Cashflow!O$111="Not yet producing"),0,IF(O$9-9*$I$6&lt;$I$4,0,(HLOOKUP(O$9-9*$I$6,$C$9:$AG$13,5,FALSE))))</f>
        <v>0</v>
      </c>
      <c r="P22" s="44">
        <f ca="1">IF(OR(Cashflow!P$111="C/I",Cashflow!P$111="Not yet producing"),0,IF(P$9-9*$I$6&lt;$I$4,0,(HLOOKUP(P$9-9*$I$6,$C$9:$AG$13,5,FALSE))))</f>
        <v>0</v>
      </c>
      <c r="Q22" s="44">
        <f ca="1">IF(OR(Cashflow!Q$111="C/I",Cashflow!Q$111="Not yet producing"),0,IF(Q$9-9*$I$6&lt;$I$4,0,(HLOOKUP(Q$9-9*$I$6,$C$9:$AG$13,5,FALSE))))</f>
        <v>0</v>
      </c>
      <c r="R22" s="44">
        <f ca="1">IF(OR(Cashflow!R$111="C/I",Cashflow!R$111="Not yet producing"),0,IF(R$9-9*$I$6&lt;$I$4,0,(HLOOKUP(R$9-9*$I$6,$C$9:$AG$13,5,FALSE))))</f>
        <v>0</v>
      </c>
      <c r="S22" s="44">
        <f ca="1">IF(OR(Cashflow!S$111="C/I",Cashflow!S$111="Not yet producing"),0,IF(S$9-9*$I$6&lt;$I$4,0,(HLOOKUP(S$9-9*$I$6,$C$9:$AG$13,5,FALSE))))</f>
        <v>0</v>
      </c>
      <c r="T22" s="44">
        <f ca="1">IF(OR(Cashflow!T$111="C/I",Cashflow!T$111="Not yet producing"),0,IF(T$9-9*$I$6&lt;$I$4,0,(HLOOKUP(T$9-9*$I$6,$C$9:$AG$13,5,FALSE))))</f>
        <v>0</v>
      </c>
      <c r="U22" s="44">
        <f ca="1">IF(OR(Cashflow!U$111="C/I",Cashflow!U$111="Not yet producing"),0,IF(U$9-9*$I$6&lt;$I$4,0,(HLOOKUP(U$9-9*$I$6,$C$9:$AG$13,5,FALSE))))</f>
        <v>0</v>
      </c>
      <c r="V22" s="44">
        <f ca="1">IF(OR(Cashflow!V$111="C/I",Cashflow!V$111="Not yet producing"),0,IF(V$9-9*$I$6&lt;$I$4,0,(HLOOKUP(V$9-9*$I$6,$C$9:$AG$13,5,FALSE))))</f>
        <v>0</v>
      </c>
      <c r="W22" s="44">
        <f ca="1">IF(OR(Cashflow!W$111="C/I",Cashflow!W$111="Not yet producing"),0,IF(W$9-9*$I$6&lt;$I$4,0,(HLOOKUP(W$9-9*$I$6,$C$9:$AG$13,5,FALSE))))</f>
        <v>0</v>
      </c>
      <c r="X22" s="44">
        <f ca="1">IF(OR(Cashflow!X$111="C/I",Cashflow!X$111="Not yet producing"),0,IF(X$9-9*$I$6&lt;$I$4,0,(HLOOKUP(X$9-9*$I$6,$C$9:$AG$13,5,FALSE))))</f>
        <v>0</v>
      </c>
      <c r="Y22" s="44">
        <f ca="1">IF(OR(Cashflow!Y$111="C/I",Cashflow!Y$111="Not yet producing"),0,IF(Y$9-9*$I$6&lt;$I$4,0,(HLOOKUP(Y$9-9*$I$6,$C$9:$AG$13,5,FALSE))))</f>
        <v>0</v>
      </c>
      <c r="Z22" s="44">
        <f ca="1">IF(OR(Cashflow!Z$111="C/I",Cashflow!Z$111="Not yet producing"),0,IF(Z$9-9*$I$6&lt;$I$4,0,(HLOOKUP(Z$9-9*$I$6,$C$9:$AG$13,5,FALSE))))</f>
        <v>0</v>
      </c>
      <c r="AA22" s="44">
        <f ca="1">IF(OR(Cashflow!AA$111="C/I",Cashflow!AA$111="Not yet producing"),0,IF(AA$9-9*$I$6&lt;$I$4,0,(HLOOKUP(AA$9-9*$I$6,$C$9:$AG$13,5,FALSE))))</f>
        <v>0</v>
      </c>
      <c r="AB22" s="44">
        <f ca="1">IF(OR(Cashflow!AB$111="C/I",Cashflow!AB$111="Not yet producing"),0,IF(AB$9-9*$I$6&lt;$I$4,0,(HLOOKUP(AB$9-9*$I$6,$C$9:$AG$13,5,FALSE))))</f>
        <v>0</v>
      </c>
      <c r="AC22" s="44">
        <f ca="1">IF(OR(Cashflow!AC$111="C/I",Cashflow!AC$111="Not yet producing"),0,IF(AC$9-9*$I$6&lt;$I$4,0,(HLOOKUP(AC$9-9*$I$6,$C$9:$AG$13,5,FALSE))))</f>
        <v>0</v>
      </c>
      <c r="AD22" s="44">
        <f ca="1">IF(OR(Cashflow!AD$111="C/I",Cashflow!AD$111="Not yet producing"),0,IF(AD$9-9*$I$6&lt;$I$4,0,(HLOOKUP(AD$9-9*$I$6,$C$9:$AG$13,5,FALSE))))</f>
        <v>0</v>
      </c>
      <c r="AE22" s="44">
        <f ca="1">IF(OR(Cashflow!AE$111="C/I",Cashflow!AE$111="Not yet producing"),0,IF(AE$9-9*$I$6&lt;$I$4,0,(HLOOKUP(AE$9-9*$I$6,$C$9:$AG$13,5,FALSE))))</f>
        <v>0</v>
      </c>
      <c r="AF22" s="44">
        <f ca="1">IF(OR(Cashflow!AF$111="C/I",Cashflow!AF$111="Not yet producing"),0,IF(AF$9-9*$I$6&lt;$I$4,0,(HLOOKUP(AF$9-9*$I$6,$C$9:$AG$13,5,FALSE))))</f>
        <v>0</v>
      </c>
      <c r="AG22" s="44">
        <f ca="1">IF(OR(Cashflow!AG$111="C/I",Cashflow!AG$111="Not yet producing"),0,IF(AG$9-9*$I$6&lt;$I$4,0,(HLOOKUP(AG$9-9*$I$6,$C$9:$AG$13,5,FALSE))))</f>
        <v>0</v>
      </c>
      <c r="AH22" s="19"/>
      <c r="AI22" s="19"/>
      <c r="AJ22" s="19"/>
      <c r="AK22" s="19"/>
      <c r="AL22" s="21"/>
      <c r="AM22" s="21"/>
      <c r="AN22" s="19"/>
      <c r="AO22" s="19"/>
      <c r="AP22" s="19"/>
      <c r="AQ22" s="19"/>
      <c r="AR22" s="326"/>
      <c r="AS22" s="326"/>
      <c r="AT22" s="326"/>
      <c r="AU22" s="326"/>
      <c r="AV22" s="326"/>
      <c r="AW22" s="326"/>
      <c r="AX22" s="326"/>
      <c r="AY22" s="326"/>
      <c r="AZ22" s="326"/>
      <c r="BA22" s="326"/>
      <c r="BB22" s="326"/>
    </row>
    <row r="23" spans="1:54" s="26" customFormat="1" ht="13.2">
      <c r="A23" s="19"/>
      <c r="B23" s="55" t="s">
        <v>1728</v>
      </c>
      <c r="C23" s="44">
        <f>IF(OR(Cashflow!C$111="C/I",Cashflow!C$111="Not yet producing"),0,IF(C$9-10*$I$6&lt;$I$4,0,(HLOOKUP(C$9-10*$I$6,$C$9:$AG$13,5,FALSE))))</f>
        <v>0</v>
      </c>
      <c r="D23" s="44">
        <f>IF(OR(Cashflow!D$111="C/I",Cashflow!D$111="Not yet producing"),0,IF(D$9-10*$I$6&lt;$I$4,0,(HLOOKUP(D$9-10*$I$6,$C$9:$AG$13,5,FALSE))))</f>
        <v>0</v>
      </c>
      <c r="E23" s="44">
        <f>IF(OR(Cashflow!E$111="C/I",Cashflow!E$111="Not yet producing"),0,IF(E$9-10*$I$6&lt;$I$4,0,(HLOOKUP(E$9-10*$I$6,$C$9:$AG$13,5,FALSE))))</f>
        <v>0</v>
      </c>
      <c r="F23" s="44">
        <f>IF(OR(Cashflow!F$111="C/I",Cashflow!F$111="Not yet producing"),0,IF(F$9-10*$I$6&lt;$I$4,0,(HLOOKUP(F$9-10*$I$6,$C$9:$AG$13,5,FALSE))))</f>
        <v>0</v>
      </c>
      <c r="G23" s="44">
        <f>IF(OR(Cashflow!G$111="C/I",Cashflow!G$111="Not yet producing"),0,IF(G$9-10*$I$6&lt;$I$4,0,(HLOOKUP(G$9-10*$I$6,$C$9:$AG$13,5,FALSE))))</f>
        <v>0</v>
      </c>
      <c r="H23" s="44">
        <f>IF(OR(Cashflow!H$111="C/I",Cashflow!H$111="Not yet producing"),0,IF(H$9-10*$I$6&lt;$I$4,0,(HLOOKUP(H$9-10*$I$6,$C$9:$AG$13,5,FALSE))))</f>
        <v>0</v>
      </c>
      <c r="I23" s="44">
        <f>IF(OR(Cashflow!I$111="C/I",Cashflow!I$111="Not yet producing"),0,IF(I$9-10*$I$6&lt;$I$4,0,(HLOOKUP(I$9-10*$I$6,$C$9:$AG$13,5,FALSE))))</f>
        <v>0</v>
      </c>
      <c r="J23" s="44">
        <f>IF(OR(Cashflow!J$111="C/I",Cashflow!J$111="Not yet producing"),0,IF(J$9-10*$I$6&lt;$I$4,0,(HLOOKUP(J$9-10*$I$6,$C$9:$AG$13,5,FALSE))))</f>
        <v>0</v>
      </c>
      <c r="K23" s="44">
        <f>IF(OR(Cashflow!K$111="C/I",Cashflow!K$111="Not yet producing"),0,IF(K$9-10*$I$6&lt;$I$4,0,(HLOOKUP(K$9-10*$I$6,$C$9:$AG$13,5,FALSE))))</f>
        <v>0</v>
      </c>
      <c r="L23" s="44">
        <f ca="1">IF(OR(Cashflow!L$111="C/I",Cashflow!L$111="Not yet producing"),0,IF(L$9-10*$I$6&lt;$I$4,0,(HLOOKUP(L$9-10*$I$6,$C$9:$AG$13,5,FALSE))))</f>
        <v>0</v>
      </c>
      <c r="M23" s="44">
        <f ca="1">IF(OR(Cashflow!M$111="C/I",Cashflow!M$111="Not yet producing"),0,IF(M$9-10*$I$6&lt;$I$4,0,(HLOOKUP(M$9-10*$I$6,$C$9:$AG$13,5,FALSE))))</f>
        <v>0</v>
      </c>
      <c r="N23" s="44">
        <f ca="1">IF(OR(Cashflow!N$111="C/I",Cashflow!N$111="Not yet producing"),0,IF(N$9-10*$I$6&lt;$I$4,0,(HLOOKUP(N$9-10*$I$6,$C$9:$AG$13,5,FALSE))))</f>
        <v>0</v>
      </c>
      <c r="O23" s="44">
        <f ca="1">IF(OR(Cashflow!O$111="C/I",Cashflow!O$111="Not yet producing"),0,IF(O$9-10*$I$6&lt;$I$4,0,(HLOOKUP(O$9-10*$I$6,$C$9:$AG$13,5,FALSE))))</f>
        <v>0</v>
      </c>
      <c r="P23" s="44">
        <f ca="1">IF(OR(Cashflow!P$111="C/I",Cashflow!P$111="Not yet producing"),0,IF(P$9-10*$I$6&lt;$I$4,0,(HLOOKUP(P$9-10*$I$6,$C$9:$AG$13,5,FALSE))))</f>
        <v>0</v>
      </c>
      <c r="Q23" s="44">
        <f ca="1">IF(OR(Cashflow!Q$111="C/I",Cashflow!Q$111="Not yet producing"),0,IF(Q$9-10*$I$6&lt;$I$4,0,(HLOOKUP(Q$9-10*$I$6,$C$9:$AG$13,5,FALSE))))</f>
        <v>0</v>
      </c>
      <c r="R23" s="44">
        <f ca="1">IF(OR(Cashflow!R$111="C/I",Cashflow!R$111="Not yet producing"),0,IF(R$9-10*$I$6&lt;$I$4,0,(HLOOKUP(R$9-10*$I$6,$C$9:$AG$13,5,FALSE))))</f>
        <v>0</v>
      </c>
      <c r="S23" s="44">
        <f ca="1">IF(OR(Cashflow!S$111="C/I",Cashflow!S$111="Not yet producing"),0,IF(S$9-10*$I$6&lt;$I$4,0,(HLOOKUP(S$9-10*$I$6,$C$9:$AG$13,5,FALSE))))</f>
        <v>0</v>
      </c>
      <c r="T23" s="44">
        <f ca="1">IF(OR(Cashflow!T$111="C/I",Cashflow!T$111="Not yet producing"),0,IF(T$9-10*$I$6&lt;$I$4,0,(HLOOKUP(T$9-10*$I$6,$C$9:$AG$13,5,FALSE))))</f>
        <v>0</v>
      </c>
      <c r="U23" s="44">
        <f ca="1">IF(OR(Cashflow!U$111="C/I",Cashflow!U$111="Not yet producing"),0,IF(U$9-10*$I$6&lt;$I$4,0,(HLOOKUP(U$9-10*$I$6,$C$9:$AG$13,5,FALSE))))</f>
        <v>0</v>
      </c>
      <c r="V23" s="44">
        <f ca="1">IF(OR(Cashflow!V$111="C/I",Cashflow!V$111="Not yet producing"),0,IF(V$9-10*$I$6&lt;$I$4,0,(HLOOKUP(V$9-10*$I$6,$C$9:$AG$13,5,FALSE))))</f>
        <v>0</v>
      </c>
      <c r="W23" s="44">
        <f ca="1">IF(OR(Cashflow!W$111="C/I",Cashflow!W$111="Not yet producing"),0,IF(W$9-10*$I$6&lt;$I$4,0,(HLOOKUP(W$9-10*$I$6,$C$9:$AG$13,5,FALSE))))</f>
        <v>0</v>
      </c>
      <c r="X23" s="44">
        <f ca="1">IF(OR(Cashflow!X$111="C/I",Cashflow!X$111="Not yet producing"),0,IF(X$9-10*$I$6&lt;$I$4,0,(HLOOKUP(X$9-10*$I$6,$C$9:$AG$13,5,FALSE))))</f>
        <v>0</v>
      </c>
      <c r="Y23" s="44">
        <f ca="1">IF(OR(Cashflow!Y$111="C/I",Cashflow!Y$111="Not yet producing"),0,IF(Y$9-10*$I$6&lt;$I$4,0,(HLOOKUP(Y$9-10*$I$6,$C$9:$AG$13,5,FALSE))))</f>
        <v>0</v>
      </c>
      <c r="Z23" s="44">
        <f ca="1">IF(OR(Cashflow!Z$111="C/I",Cashflow!Z$111="Not yet producing"),0,IF(Z$9-10*$I$6&lt;$I$4,0,(HLOOKUP(Z$9-10*$I$6,$C$9:$AG$13,5,FALSE))))</f>
        <v>0</v>
      </c>
      <c r="AA23" s="44">
        <f ca="1">IF(OR(Cashflow!AA$111="C/I",Cashflow!AA$111="Not yet producing"),0,IF(AA$9-10*$I$6&lt;$I$4,0,(HLOOKUP(AA$9-10*$I$6,$C$9:$AG$13,5,FALSE))))</f>
        <v>0</v>
      </c>
      <c r="AB23" s="44">
        <f ca="1">IF(OR(Cashflow!AB$111="C/I",Cashflow!AB$111="Not yet producing"),0,IF(AB$9-10*$I$6&lt;$I$4,0,(HLOOKUP(AB$9-10*$I$6,$C$9:$AG$13,5,FALSE))))</f>
        <v>0</v>
      </c>
      <c r="AC23" s="44">
        <f ca="1">IF(OR(Cashflow!AC$111="C/I",Cashflow!AC$111="Not yet producing"),0,IF(AC$9-10*$I$6&lt;$I$4,0,(HLOOKUP(AC$9-10*$I$6,$C$9:$AG$13,5,FALSE))))</f>
        <v>0</v>
      </c>
      <c r="AD23" s="44">
        <f ca="1">IF(OR(Cashflow!AD$111="C/I",Cashflow!AD$111="Not yet producing"),0,IF(AD$9-10*$I$6&lt;$I$4,0,(HLOOKUP(AD$9-10*$I$6,$C$9:$AG$13,5,FALSE))))</f>
        <v>0</v>
      </c>
      <c r="AE23" s="44">
        <f ca="1">IF(OR(Cashflow!AE$111="C/I",Cashflow!AE$111="Not yet producing"),0,IF(AE$9-10*$I$6&lt;$I$4,0,(HLOOKUP(AE$9-10*$I$6,$C$9:$AG$13,5,FALSE))))</f>
        <v>0</v>
      </c>
      <c r="AF23" s="44">
        <f ca="1">IF(OR(Cashflow!AF$111="C/I",Cashflow!AF$111="Not yet producing"),0,IF(AF$9-10*$I$6&lt;$I$4,0,(HLOOKUP(AF$9-10*$I$6,$C$9:$AG$13,5,FALSE))))</f>
        <v>0</v>
      </c>
      <c r="AG23" s="44">
        <f ca="1">IF(OR(Cashflow!AG$111="C/I",Cashflow!AG$111="Not yet producing"),0,IF(AG$9-10*$I$6&lt;$I$4,0,(HLOOKUP(AG$9-10*$I$6,$C$9:$AG$13,5,FALSE))))</f>
        <v>0</v>
      </c>
      <c r="AH23" s="19"/>
      <c r="AI23" s="19"/>
      <c r="AJ23" s="19"/>
      <c r="AK23" s="19"/>
      <c r="AL23" s="21"/>
      <c r="AM23" s="21"/>
      <c r="AN23" s="19"/>
      <c r="AO23" s="19"/>
      <c r="AP23" s="19"/>
      <c r="AQ23" s="19"/>
      <c r="AR23" s="326"/>
      <c r="AS23" s="326"/>
      <c r="AT23" s="326"/>
      <c r="AU23" s="326"/>
      <c r="AV23" s="326"/>
      <c r="AW23" s="326"/>
      <c r="AX23" s="326"/>
      <c r="AY23" s="326"/>
      <c r="AZ23" s="326"/>
      <c r="BA23" s="326"/>
      <c r="BB23" s="326"/>
    </row>
    <row r="24" spans="1:54" s="26" customFormat="1" ht="13.2">
      <c r="A24" s="19"/>
      <c r="B24" s="55" t="s">
        <v>1729</v>
      </c>
      <c r="C24" s="44">
        <f>IF(OR(Cashflow!C$111="C/I",Cashflow!C$111="Not yet producing"),0,IF(C$9-11*$I$6&lt;$I$4,0,(HLOOKUP(C$9-11*$I$6,$C$9:$AG$13,5,FALSE))))</f>
        <v>0</v>
      </c>
      <c r="D24" s="44">
        <f>IF(OR(Cashflow!D$111="C/I",Cashflow!D$111="Not yet producing"),0,IF(D$9-11*$I$6&lt;$I$4,0,(HLOOKUP(D$9-11*$I$6,$C$9:$AG$13,5,FALSE))))</f>
        <v>0</v>
      </c>
      <c r="E24" s="44">
        <f>IF(OR(Cashflow!E$111="C/I",Cashflow!E$111="Not yet producing"),0,IF(E$9-11*$I$6&lt;$I$4,0,(HLOOKUP(E$9-11*$I$6,$C$9:$AG$13,5,FALSE))))</f>
        <v>0</v>
      </c>
      <c r="F24" s="44">
        <f>IF(OR(Cashflow!F$111="C/I",Cashflow!F$111="Not yet producing"),0,IF(F$9-11*$I$6&lt;$I$4,0,(HLOOKUP(F$9-11*$I$6,$C$9:$AG$13,5,FALSE))))</f>
        <v>0</v>
      </c>
      <c r="G24" s="44">
        <f>IF(OR(Cashflow!G$111="C/I",Cashflow!G$111="Not yet producing"),0,IF(G$9-11*$I$6&lt;$I$4,0,(HLOOKUP(G$9-11*$I$6,$C$9:$AG$13,5,FALSE))))</f>
        <v>0</v>
      </c>
      <c r="H24" s="44">
        <f>IF(OR(Cashflow!H$111="C/I",Cashflow!H$111="Not yet producing"),0,IF(H$9-11*$I$6&lt;$I$4,0,(HLOOKUP(H$9-11*$I$6,$C$9:$AG$13,5,FALSE))))</f>
        <v>0</v>
      </c>
      <c r="I24" s="44">
        <f>IF(OR(Cashflow!I$111="C/I",Cashflow!I$111="Not yet producing"),0,IF(I$9-11*$I$6&lt;$I$4,0,(HLOOKUP(I$9-11*$I$6,$C$9:$AG$13,5,FALSE))))</f>
        <v>0</v>
      </c>
      <c r="J24" s="44">
        <f>IF(OR(Cashflow!J$111="C/I",Cashflow!J$111="Not yet producing"),0,IF(J$9-11*$I$6&lt;$I$4,0,(HLOOKUP(J$9-11*$I$6,$C$9:$AG$13,5,FALSE))))</f>
        <v>0</v>
      </c>
      <c r="K24" s="44">
        <f>IF(OR(Cashflow!K$111="C/I",Cashflow!K$111="Not yet producing"),0,IF(K$9-11*$I$6&lt;$I$4,0,(HLOOKUP(K$9-11*$I$6,$C$9:$AG$13,5,FALSE))))</f>
        <v>0</v>
      </c>
      <c r="L24" s="44">
        <f ca="1">IF(OR(Cashflow!L$111="C/I",Cashflow!L$111="Not yet producing"),0,IF(L$9-11*$I$6&lt;$I$4,0,(HLOOKUP(L$9-11*$I$6,$C$9:$AG$13,5,FALSE))))</f>
        <v>0</v>
      </c>
      <c r="M24" s="44">
        <f ca="1">IF(OR(Cashflow!M$111="C/I",Cashflow!M$111="Not yet producing"),0,IF(M$9-11*$I$6&lt;$I$4,0,(HLOOKUP(M$9-11*$I$6,$C$9:$AG$13,5,FALSE))))</f>
        <v>0</v>
      </c>
      <c r="N24" s="44">
        <f ca="1">IF(OR(Cashflow!N$111="C/I",Cashflow!N$111="Not yet producing"),0,IF(N$9-11*$I$6&lt;$I$4,0,(HLOOKUP(N$9-11*$I$6,$C$9:$AG$13,5,FALSE))))</f>
        <v>0</v>
      </c>
      <c r="O24" s="44">
        <f ca="1">IF(OR(Cashflow!O$111="C/I",Cashflow!O$111="Not yet producing"),0,IF(O$9-11*$I$6&lt;$I$4,0,(HLOOKUP(O$9-11*$I$6,$C$9:$AG$13,5,FALSE))))</f>
        <v>0</v>
      </c>
      <c r="P24" s="44">
        <f ca="1">IF(OR(Cashflow!P$111="C/I",Cashflow!P$111="Not yet producing"),0,IF(P$9-11*$I$6&lt;$I$4,0,(HLOOKUP(P$9-11*$I$6,$C$9:$AG$13,5,FALSE))))</f>
        <v>0</v>
      </c>
      <c r="Q24" s="44">
        <f ca="1">IF(OR(Cashflow!Q$111="C/I",Cashflow!Q$111="Not yet producing"),0,IF(Q$9-11*$I$6&lt;$I$4,0,(HLOOKUP(Q$9-11*$I$6,$C$9:$AG$13,5,FALSE))))</f>
        <v>0</v>
      </c>
      <c r="R24" s="44">
        <f ca="1">IF(OR(Cashflow!R$111="C/I",Cashflow!R$111="Not yet producing"),0,IF(R$9-11*$I$6&lt;$I$4,0,(HLOOKUP(R$9-11*$I$6,$C$9:$AG$13,5,FALSE))))</f>
        <v>0</v>
      </c>
      <c r="S24" s="44">
        <f ca="1">IF(OR(Cashflow!S$111="C/I",Cashflow!S$111="Not yet producing"),0,IF(S$9-11*$I$6&lt;$I$4,0,(HLOOKUP(S$9-11*$I$6,$C$9:$AG$13,5,FALSE))))</f>
        <v>0</v>
      </c>
      <c r="T24" s="44">
        <f ca="1">IF(OR(Cashflow!T$111="C/I",Cashflow!T$111="Not yet producing"),0,IF(T$9-11*$I$6&lt;$I$4,0,(HLOOKUP(T$9-11*$I$6,$C$9:$AG$13,5,FALSE))))</f>
        <v>0</v>
      </c>
      <c r="U24" s="44">
        <f ca="1">IF(OR(Cashflow!U$111="C/I",Cashflow!U$111="Not yet producing"),0,IF(U$9-11*$I$6&lt;$I$4,0,(HLOOKUP(U$9-11*$I$6,$C$9:$AG$13,5,FALSE))))</f>
        <v>0</v>
      </c>
      <c r="V24" s="44">
        <f ca="1">IF(OR(Cashflow!V$111="C/I",Cashflow!V$111="Not yet producing"),0,IF(V$9-11*$I$6&lt;$I$4,0,(HLOOKUP(V$9-11*$I$6,$C$9:$AG$13,5,FALSE))))</f>
        <v>0</v>
      </c>
      <c r="W24" s="44">
        <f ca="1">IF(OR(Cashflow!W$111="C/I",Cashflow!W$111="Not yet producing"),0,IF(W$9-11*$I$6&lt;$I$4,0,(HLOOKUP(W$9-11*$I$6,$C$9:$AG$13,5,FALSE))))</f>
        <v>0</v>
      </c>
      <c r="X24" s="44">
        <f ca="1">IF(OR(Cashflow!X$111="C/I",Cashflow!X$111="Not yet producing"),0,IF(X$9-11*$I$6&lt;$I$4,0,(HLOOKUP(X$9-11*$I$6,$C$9:$AG$13,5,FALSE))))</f>
        <v>0</v>
      </c>
      <c r="Y24" s="44">
        <f ca="1">IF(OR(Cashflow!Y$111="C/I",Cashflow!Y$111="Not yet producing"),0,IF(Y$9-11*$I$6&lt;$I$4,0,(HLOOKUP(Y$9-11*$I$6,$C$9:$AG$13,5,FALSE))))</f>
        <v>0</v>
      </c>
      <c r="Z24" s="44">
        <f ca="1">IF(OR(Cashflow!Z$111="C/I",Cashflow!Z$111="Not yet producing"),0,IF(Z$9-11*$I$6&lt;$I$4,0,(HLOOKUP(Z$9-11*$I$6,$C$9:$AG$13,5,FALSE))))</f>
        <v>0</v>
      </c>
      <c r="AA24" s="44">
        <f ca="1">IF(OR(Cashflow!AA$111="C/I",Cashflow!AA$111="Not yet producing"),0,IF(AA$9-11*$I$6&lt;$I$4,0,(HLOOKUP(AA$9-11*$I$6,$C$9:$AG$13,5,FALSE))))</f>
        <v>0</v>
      </c>
      <c r="AB24" s="44">
        <f ca="1">IF(OR(Cashflow!AB$111="C/I",Cashflow!AB$111="Not yet producing"),0,IF(AB$9-11*$I$6&lt;$I$4,0,(HLOOKUP(AB$9-11*$I$6,$C$9:$AG$13,5,FALSE))))</f>
        <v>0</v>
      </c>
      <c r="AC24" s="44">
        <f ca="1">IF(OR(Cashflow!AC$111="C/I",Cashflow!AC$111="Not yet producing"),0,IF(AC$9-11*$I$6&lt;$I$4,0,(HLOOKUP(AC$9-11*$I$6,$C$9:$AG$13,5,FALSE))))</f>
        <v>0</v>
      </c>
      <c r="AD24" s="44">
        <f ca="1">IF(OR(Cashflow!AD$111="C/I",Cashflow!AD$111="Not yet producing"),0,IF(AD$9-11*$I$6&lt;$I$4,0,(HLOOKUP(AD$9-11*$I$6,$C$9:$AG$13,5,FALSE))))</f>
        <v>0</v>
      </c>
      <c r="AE24" s="44">
        <f ca="1">IF(OR(Cashflow!AE$111="C/I",Cashflow!AE$111="Not yet producing"),0,IF(AE$9-11*$I$6&lt;$I$4,0,(HLOOKUP(AE$9-11*$I$6,$C$9:$AG$13,5,FALSE))))</f>
        <v>0</v>
      </c>
      <c r="AF24" s="44">
        <f ca="1">IF(OR(Cashflow!AF$111="C/I",Cashflow!AF$111="Not yet producing"),0,IF(AF$9-11*$I$6&lt;$I$4,0,(HLOOKUP(AF$9-11*$I$6,$C$9:$AG$13,5,FALSE))))</f>
        <v>0</v>
      </c>
      <c r="AG24" s="44">
        <f ca="1">IF(OR(Cashflow!AG$111="C/I",Cashflow!AG$111="Not yet producing"),0,IF(AG$9-11*$I$6&lt;$I$4,0,(HLOOKUP(AG$9-11*$I$6,$C$9:$AG$13,5,FALSE))))</f>
        <v>0</v>
      </c>
      <c r="AH24" s="19"/>
      <c r="AI24" s="19"/>
      <c r="AJ24" s="19"/>
      <c r="AK24" s="19"/>
      <c r="AL24" s="21"/>
      <c r="AM24" s="21"/>
      <c r="AN24" s="19"/>
      <c r="AO24" s="19"/>
      <c r="AP24" s="19"/>
      <c r="AQ24" s="19"/>
      <c r="AR24" s="326"/>
      <c r="AS24" s="326"/>
      <c r="AT24" s="326"/>
      <c r="AU24" s="326"/>
      <c r="AV24" s="326"/>
      <c r="AW24" s="326"/>
      <c r="AX24" s="326"/>
      <c r="AY24" s="326"/>
      <c r="AZ24" s="326"/>
      <c r="BA24" s="326"/>
      <c r="BB24" s="326"/>
    </row>
    <row r="25" spans="1:54" s="26" customFormat="1" ht="13.2">
      <c r="A25" s="19"/>
      <c r="B25" s="55" t="s">
        <v>1730</v>
      </c>
      <c r="C25" s="44">
        <f>IF(OR(Cashflow!C$111="C/I",Cashflow!C$111="Not yet producing"),0,IF(C$9-12*$I$6&lt;$I$4,0,(HLOOKUP(C$9-12*$I$6,$C$9:$AG$13,5,FALSE))))</f>
        <v>0</v>
      </c>
      <c r="D25" s="44">
        <f>IF(OR(Cashflow!D$111="C/I",Cashflow!D$111="Not yet producing"),0,IF(D$9-12*$I$6&lt;$I$4,0,(HLOOKUP(D$9-12*$I$6,$C$9:$AG$13,5,FALSE))))</f>
        <v>0</v>
      </c>
      <c r="E25" s="44">
        <f>IF(OR(Cashflow!E$111="C/I",Cashflow!E$111="Not yet producing"),0,IF(E$9-12*$I$6&lt;$I$4,0,(HLOOKUP(E$9-12*$I$6,$C$9:$AG$13,5,FALSE))))</f>
        <v>0</v>
      </c>
      <c r="F25" s="44">
        <f>IF(OR(Cashflow!F$111="C/I",Cashflow!F$111="Not yet producing"),0,IF(F$9-12*$I$6&lt;$I$4,0,(HLOOKUP(F$9-12*$I$6,$C$9:$AG$13,5,FALSE))))</f>
        <v>0</v>
      </c>
      <c r="G25" s="44">
        <f>IF(OR(Cashflow!G$111="C/I",Cashflow!G$111="Not yet producing"),0,IF(G$9-12*$I$6&lt;$I$4,0,(HLOOKUP(G$9-12*$I$6,$C$9:$AG$13,5,FALSE))))</f>
        <v>0</v>
      </c>
      <c r="H25" s="44">
        <f>IF(OR(Cashflow!H$111="C/I",Cashflow!H$111="Not yet producing"),0,IF(H$9-12*$I$6&lt;$I$4,0,(HLOOKUP(H$9-12*$I$6,$C$9:$AG$13,5,FALSE))))</f>
        <v>0</v>
      </c>
      <c r="I25" s="44">
        <f>IF(OR(Cashflow!I$111="C/I",Cashflow!I$111="Not yet producing"),0,IF(I$9-12*$I$6&lt;$I$4,0,(HLOOKUP(I$9-12*$I$6,$C$9:$AG$13,5,FALSE))))</f>
        <v>0</v>
      </c>
      <c r="J25" s="44">
        <f>IF(OR(Cashflow!J$111="C/I",Cashflow!J$111="Not yet producing"),0,IF(J$9-12*$I$6&lt;$I$4,0,(HLOOKUP(J$9-12*$I$6,$C$9:$AG$13,5,FALSE))))</f>
        <v>0</v>
      </c>
      <c r="K25" s="44">
        <f>IF(OR(Cashflow!K$111="C/I",Cashflow!K$111="Not yet producing"),0,IF(K$9-12*$I$6&lt;$I$4,0,(HLOOKUP(K$9-12*$I$6,$C$9:$AG$13,5,FALSE))))</f>
        <v>0</v>
      </c>
      <c r="L25" s="44">
        <f ca="1">IF(OR(Cashflow!L$111="C/I",Cashflow!L$111="Not yet producing"),0,IF(L$9-12*$I$6&lt;$I$4,0,(HLOOKUP(L$9-12*$I$6,$C$9:$AG$13,5,FALSE))))</f>
        <v>0</v>
      </c>
      <c r="M25" s="44">
        <f ca="1">IF(OR(Cashflow!M$111="C/I",Cashflow!M$111="Not yet producing"),0,IF(M$9-12*$I$6&lt;$I$4,0,(HLOOKUP(M$9-12*$I$6,$C$9:$AG$13,5,FALSE))))</f>
        <v>0</v>
      </c>
      <c r="N25" s="44">
        <f ca="1">IF(OR(Cashflow!N$111="C/I",Cashflow!N$111="Not yet producing"),0,IF(N$9-12*$I$6&lt;$I$4,0,(HLOOKUP(N$9-12*$I$6,$C$9:$AG$13,5,FALSE))))</f>
        <v>0</v>
      </c>
      <c r="O25" s="44">
        <f ca="1">IF(OR(Cashflow!O$111="C/I",Cashflow!O$111="Not yet producing"),0,IF(O$9-12*$I$6&lt;$I$4,0,(HLOOKUP(O$9-12*$I$6,$C$9:$AG$13,5,FALSE))))</f>
        <v>0</v>
      </c>
      <c r="P25" s="44">
        <f ca="1">IF(OR(Cashflow!P$111="C/I",Cashflow!P$111="Not yet producing"),0,IF(P$9-12*$I$6&lt;$I$4,0,(HLOOKUP(P$9-12*$I$6,$C$9:$AG$13,5,FALSE))))</f>
        <v>0</v>
      </c>
      <c r="Q25" s="44">
        <f ca="1">IF(OR(Cashflow!Q$111="C/I",Cashflow!Q$111="Not yet producing"),0,IF(Q$9-12*$I$6&lt;$I$4,0,(HLOOKUP(Q$9-12*$I$6,$C$9:$AG$13,5,FALSE))))</f>
        <v>0</v>
      </c>
      <c r="R25" s="44">
        <f ca="1">IF(OR(Cashflow!R$111="C/I",Cashflow!R$111="Not yet producing"),0,IF(R$9-12*$I$6&lt;$I$4,0,(HLOOKUP(R$9-12*$I$6,$C$9:$AG$13,5,FALSE))))</f>
        <v>0</v>
      </c>
      <c r="S25" s="44">
        <f ca="1">IF(OR(Cashflow!S$111="C/I",Cashflow!S$111="Not yet producing"),0,IF(S$9-12*$I$6&lt;$I$4,0,(HLOOKUP(S$9-12*$I$6,$C$9:$AG$13,5,FALSE))))</f>
        <v>0</v>
      </c>
      <c r="T25" s="44">
        <f ca="1">IF(OR(Cashflow!T$111="C/I",Cashflow!T$111="Not yet producing"),0,IF(T$9-12*$I$6&lt;$I$4,0,(HLOOKUP(T$9-12*$I$6,$C$9:$AG$13,5,FALSE))))</f>
        <v>0</v>
      </c>
      <c r="U25" s="44">
        <f ca="1">IF(OR(Cashflow!U$111="C/I",Cashflow!U$111="Not yet producing"),0,IF(U$9-12*$I$6&lt;$I$4,0,(HLOOKUP(U$9-12*$I$6,$C$9:$AG$13,5,FALSE))))</f>
        <v>0</v>
      </c>
      <c r="V25" s="44">
        <f ca="1">IF(OR(Cashflow!V$111="C/I",Cashflow!V$111="Not yet producing"),0,IF(V$9-12*$I$6&lt;$I$4,0,(HLOOKUP(V$9-12*$I$6,$C$9:$AG$13,5,FALSE))))</f>
        <v>0</v>
      </c>
      <c r="W25" s="44">
        <f ca="1">IF(OR(Cashflow!W$111="C/I",Cashflow!W$111="Not yet producing"),0,IF(W$9-12*$I$6&lt;$I$4,0,(HLOOKUP(W$9-12*$I$6,$C$9:$AG$13,5,FALSE))))</f>
        <v>0</v>
      </c>
      <c r="X25" s="44">
        <f ca="1">IF(OR(Cashflow!X$111="C/I",Cashflow!X$111="Not yet producing"),0,IF(X$9-12*$I$6&lt;$I$4,0,(HLOOKUP(X$9-12*$I$6,$C$9:$AG$13,5,FALSE))))</f>
        <v>0</v>
      </c>
      <c r="Y25" s="44">
        <f ca="1">IF(OR(Cashflow!Y$111="C/I",Cashflow!Y$111="Not yet producing"),0,IF(Y$9-12*$I$6&lt;$I$4,0,(HLOOKUP(Y$9-12*$I$6,$C$9:$AG$13,5,FALSE))))</f>
        <v>0</v>
      </c>
      <c r="Z25" s="44">
        <f ca="1">IF(OR(Cashflow!Z$111="C/I",Cashflow!Z$111="Not yet producing"),0,IF(Z$9-12*$I$6&lt;$I$4,0,(HLOOKUP(Z$9-12*$I$6,$C$9:$AG$13,5,FALSE))))</f>
        <v>0</v>
      </c>
      <c r="AA25" s="44">
        <f ca="1">IF(OR(Cashflow!AA$111="C/I",Cashflow!AA$111="Not yet producing"),0,IF(AA$9-12*$I$6&lt;$I$4,0,(HLOOKUP(AA$9-12*$I$6,$C$9:$AG$13,5,FALSE))))</f>
        <v>0</v>
      </c>
      <c r="AB25" s="44">
        <f ca="1">IF(OR(Cashflow!AB$111="C/I",Cashflow!AB$111="Not yet producing"),0,IF(AB$9-12*$I$6&lt;$I$4,0,(HLOOKUP(AB$9-12*$I$6,$C$9:$AG$13,5,FALSE))))</f>
        <v>0</v>
      </c>
      <c r="AC25" s="44">
        <f ca="1">IF(OR(Cashflow!AC$111="C/I",Cashflow!AC$111="Not yet producing"),0,IF(AC$9-12*$I$6&lt;$I$4,0,(HLOOKUP(AC$9-12*$I$6,$C$9:$AG$13,5,FALSE))))</f>
        <v>0</v>
      </c>
      <c r="AD25" s="44">
        <f ca="1">IF(OR(Cashflow!AD$111="C/I",Cashflow!AD$111="Not yet producing"),0,IF(AD$9-12*$I$6&lt;$I$4,0,(HLOOKUP(AD$9-12*$I$6,$C$9:$AG$13,5,FALSE))))</f>
        <v>0</v>
      </c>
      <c r="AE25" s="44">
        <f ca="1">IF(OR(Cashflow!AE$111="C/I",Cashflow!AE$111="Not yet producing"),0,IF(AE$9-12*$I$6&lt;$I$4,0,(HLOOKUP(AE$9-12*$I$6,$C$9:$AG$13,5,FALSE))))</f>
        <v>0</v>
      </c>
      <c r="AF25" s="44">
        <f ca="1">IF(OR(Cashflow!AF$111="C/I",Cashflow!AF$111="Not yet producing"),0,IF(AF$9-12*$I$6&lt;$I$4,0,(HLOOKUP(AF$9-12*$I$6,$C$9:$AG$13,5,FALSE))))</f>
        <v>0</v>
      </c>
      <c r="AG25" s="44">
        <f ca="1">IF(OR(Cashflow!AG$111="C/I",Cashflow!AG$111="Not yet producing"),0,IF(AG$9-12*$I$6&lt;$I$4,0,(HLOOKUP(AG$9-12*$I$6,$C$9:$AG$13,5,FALSE))))</f>
        <v>0</v>
      </c>
      <c r="AH25" s="19"/>
      <c r="AI25" s="19"/>
      <c r="AJ25" s="19"/>
      <c r="AK25" s="19"/>
      <c r="AL25" s="21"/>
      <c r="AM25" s="21"/>
      <c r="AN25" s="19"/>
      <c r="AO25" s="19"/>
      <c r="AP25" s="19"/>
      <c r="AQ25" s="19"/>
      <c r="AR25" s="326"/>
      <c r="AS25" s="326"/>
      <c r="AT25" s="326"/>
      <c r="AU25" s="326"/>
      <c r="AV25" s="326"/>
      <c r="AW25" s="326"/>
      <c r="AX25" s="326"/>
      <c r="AY25" s="326"/>
      <c r="AZ25" s="326"/>
      <c r="BA25" s="326"/>
      <c r="BB25" s="326"/>
    </row>
    <row r="26" spans="1:54" s="26" customFormat="1" ht="13.2">
      <c r="A26" s="19"/>
      <c r="B26" s="55" t="s">
        <v>1731</v>
      </c>
      <c r="C26" s="44">
        <f>IF(OR(Cashflow!C$111="C/I",Cashflow!C$111="Not yet producing"),0,IF(C$9-13*$I$6&lt;$I$4,0,(HLOOKUP(C$9-13*$I$6,$C$9:$AG$13,5,FALSE))))</f>
        <v>0</v>
      </c>
      <c r="D26" s="44">
        <f>IF(OR(Cashflow!D$111="C/I",Cashflow!D$111="Not yet producing"),0,IF(D$9-13*$I$6&lt;$I$4,0,(HLOOKUP(D$9-13*$I$6,$C$9:$AG$13,5,FALSE))))</f>
        <v>0</v>
      </c>
      <c r="E26" s="44">
        <f>IF(OR(Cashflow!E$111="C/I",Cashflow!E$111="Not yet producing"),0,IF(E$9-13*$I$6&lt;$I$4,0,(HLOOKUP(E$9-13*$I$6,$C$9:$AG$13,5,FALSE))))</f>
        <v>0</v>
      </c>
      <c r="F26" s="44">
        <f>IF(OR(Cashflow!F$111="C/I",Cashflow!F$111="Not yet producing"),0,IF(F$9-13*$I$6&lt;$I$4,0,(HLOOKUP(F$9-13*$I$6,$C$9:$AG$13,5,FALSE))))</f>
        <v>0</v>
      </c>
      <c r="G26" s="44">
        <f>IF(OR(Cashflow!G$111="C/I",Cashflow!G$111="Not yet producing"),0,IF(G$9-13*$I$6&lt;$I$4,0,(HLOOKUP(G$9-13*$I$6,$C$9:$AG$13,5,FALSE))))</f>
        <v>0</v>
      </c>
      <c r="H26" s="44">
        <f>IF(OR(Cashflow!H$111="C/I",Cashflow!H$111="Not yet producing"),0,IF(H$9-13*$I$6&lt;$I$4,0,(HLOOKUP(H$9-13*$I$6,$C$9:$AG$13,5,FALSE))))</f>
        <v>0</v>
      </c>
      <c r="I26" s="44">
        <f>IF(OR(Cashflow!I$111="C/I",Cashflow!I$111="Not yet producing"),0,IF(I$9-13*$I$6&lt;$I$4,0,(HLOOKUP(I$9-13*$I$6,$C$9:$AG$13,5,FALSE))))</f>
        <v>0</v>
      </c>
      <c r="J26" s="44">
        <f>IF(OR(Cashflow!J$111="C/I",Cashflow!J$111="Not yet producing"),0,IF(J$9-13*$I$6&lt;$I$4,0,(HLOOKUP(J$9-13*$I$6,$C$9:$AG$13,5,FALSE))))</f>
        <v>0</v>
      </c>
      <c r="K26" s="44">
        <f>IF(OR(Cashflow!K$111="C/I",Cashflow!K$111="Not yet producing"),0,IF(K$9-13*$I$6&lt;$I$4,0,(HLOOKUP(K$9-13*$I$6,$C$9:$AG$13,5,FALSE))))</f>
        <v>0</v>
      </c>
      <c r="L26" s="44">
        <f ca="1">IF(OR(Cashflow!L$111="C/I",Cashflow!L$111="Not yet producing"),0,IF(L$9-13*$I$6&lt;$I$4,0,(HLOOKUP(L$9-13*$I$6,$C$9:$AG$13,5,FALSE))))</f>
        <v>0</v>
      </c>
      <c r="M26" s="44">
        <f ca="1">IF(OR(Cashflow!M$111="C/I",Cashflow!M$111="Not yet producing"),0,IF(M$9-13*$I$6&lt;$I$4,0,(HLOOKUP(M$9-13*$I$6,$C$9:$AG$13,5,FALSE))))</f>
        <v>0</v>
      </c>
      <c r="N26" s="44">
        <f ca="1">IF(OR(Cashflow!N$111="C/I",Cashflow!N$111="Not yet producing"),0,IF(N$9-13*$I$6&lt;$I$4,0,(HLOOKUP(N$9-13*$I$6,$C$9:$AG$13,5,FALSE))))</f>
        <v>0</v>
      </c>
      <c r="O26" s="44">
        <f ca="1">IF(OR(Cashflow!O$111="C/I",Cashflow!O$111="Not yet producing"),0,IF(O$9-13*$I$6&lt;$I$4,0,(HLOOKUP(O$9-13*$I$6,$C$9:$AG$13,5,FALSE))))</f>
        <v>0</v>
      </c>
      <c r="P26" s="44">
        <f ca="1">IF(OR(Cashflow!P$111="C/I",Cashflow!P$111="Not yet producing"),0,IF(P$9-13*$I$6&lt;$I$4,0,(HLOOKUP(P$9-13*$I$6,$C$9:$AG$13,5,FALSE))))</f>
        <v>0</v>
      </c>
      <c r="Q26" s="44">
        <f ca="1">IF(OR(Cashflow!Q$111="C/I",Cashflow!Q$111="Not yet producing"),0,IF(Q$9-13*$I$6&lt;$I$4,0,(HLOOKUP(Q$9-13*$I$6,$C$9:$AG$13,5,FALSE))))</f>
        <v>0</v>
      </c>
      <c r="R26" s="44">
        <f ca="1">IF(OR(Cashflow!R$111="C/I",Cashflow!R$111="Not yet producing"),0,IF(R$9-13*$I$6&lt;$I$4,0,(HLOOKUP(R$9-13*$I$6,$C$9:$AG$13,5,FALSE))))</f>
        <v>0</v>
      </c>
      <c r="S26" s="44">
        <f ca="1">IF(OR(Cashflow!S$111="C/I",Cashflow!S$111="Not yet producing"),0,IF(S$9-13*$I$6&lt;$I$4,0,(HLOOKUP(S$9-13*$I$6,$C$9:$AG$13,5,FALSE))))</f>
        <v>0</v>
      </c>
      <c r="T26" s="44">
        <f ca="1">IF(OR(Cashflow!T$111="C/I",Cashflow!T$111="Not yet producing"),0,IF(T$9-13*$I$6&lt;$I$4,0,(HLOOKUP(T$9-13*$I$6,$C$9:$AG$13,5,FALSE))))</f>
        <v>0</v>
      </c>
      <c r="U26" s="44">
        <f ca="1">IF(OR(Cashflow!U$111="C/I",Cashflow!U$111="Not yet producing"),0,IF(U$9-13*$I$6&lt;$I$4,0,(HLOOKUP(U$9-13*$I$6,$C$9:$AG$13,5,FALSE))))</f>
        <v>0</v>
      </c>
      <c r="V26" s="44">
        <f ca="1">IF(OR(Cashflow!V$111="C/I",Cashflow!V$111="Not yet producing"),0,IF(V$9-13*$I$6&lt;$I$4,0,(HLOOKUP(V$9-13*$I$6,$C$9:$AG$13,5,FALSE))))</f>
        <v>0</v>
      </c>
      <c r="W26" s="44">
        <f ca="1">IF(OR(Cashflow!W$111="C/I",Cashflow!W$111="Not yet producing"),0,IF(W$9-13*$I$6&lt;$I$4,0,(HLOOKUP(W$9-13*$I$6,$C$9:$AG$13,5,FALSE))))</f>
        <v>0</v>
      </c>
      <c r="X26" s="44">
        <f ca="1">IF(OR(Cashflow!X$111="C/I",Cashflow!X$111="Not yet producing"),0,IF(X$9-13*$I$6&lt;$I$4,0,(HLOOKUP(X$9-13*$I$6,$C$9:$AG$13,5,FALSE))))</f>
        <v>0</v>
      </c>
      <c r="Y26" s="44">
        <f ca="1">IF(OR(Cashflow!Y$111="C/I",Cashflow!Y$111="Not yet producing"),0,IF(Y$9-13*$I$6&lt;$I$4,0,(HLOOKUP(Y$9-13*$I$6,$C$9:$AG$13,5,FALSE))))</f>
        <v>0</v>
      </c>
      <c r="Z26" s="44">
        <f ca="1">IF(OR(Cashflow!Z$111="C/I",Cashflow!Z$111="Not yet producing"),0,IF(Z$9-13*$I$6&lt;$I$4,0,(HLOOKUP(Z$9-13*$I$6,$C$9:$AG$13,5,FALSE))))</f>
        <v>0</v>
      </c>
      <c r="AA26" s="44">
        <f ca="1">IF(OR(Cashflow!AA$111="C/I",Cashflow!AA$111="Not yet producing"),0,IF(AA$9-13*$I$6&lt;$I$4,0,(HLOOKUP(AA$9-13*$I$6,$C$9:$AG$13,5,FALSE))))</f>
        <v>0</v>
      </c>
      <c r="AB26" s="44">
        <f ca="1">IF(OR(Cashflow!AB$111="C/I",Cashflow!AB$111="Not yet producing"),0,IF(AB$9-13*$I$6&lt;$I$4,0,(HLOOKUP(AB$9-13*$I$6,$C$9:$AG$13,5,FALSE))))</f>
        <v>0</v>
      </c>
      <c r="AC26" s="44">
        <f ca="1">IF(OR(Cashflow!AC$111="C/I",Cashflow!AC$111="Not yet producing"),0,IF(AC$9-13*$I$6&lt;$I$4,0,(HLOOKUP(AC$9-13*$I$6,$C$9:$AG$13,5,FALSE))))</f>
        <v>0</v>
      </c>
      <c r="AD26" s="44">
        <f ca="1">IF(OR(Cashflow!AD$111="C/I",Cashflow!AD$111="Not yet producing"),0,IF(AD$9-13*$I$6&lt;$I$4,0,(HLOOKUP(AD$9-13*$I$6,$C$9:$AG$13,5,FALSE))))</f>
        <v>0</v>
      </c>
      <c r="AE26" s="44">
        <f ca="1">IF(OR(Cashflow!AE$111="C/I",Cashflow!AE$111="Not yet producing"),0,IF(AE$9-13*$I$6&lt;$I$4,0,(HLOOKUP(AE$9-13*$I$6,$C$9:$AG$13,5,FALSE))))</f>
        <v>0</v>
      </c>
      <c r="AF26" s="44">
        <f ca="1">IF(OR(Cashflow!AF$111="C/I",Cashflow!AF$111="Not yet producing"),0,IF(AF$9-13*$I$6&lt;$I$4,0,(HLOOKUP(AF$9-13*$I$6,$C$9:$AG$13,5,FALSE))))</f>
        <v>0</v>
      </c>
      <c r="AG26" s="44">
        <f ca="1">IF(OR(Cashflow!AG$111="C/I",Cashflow!AG$111="Not yet producing"),0,IF(AG$9-13*$I$6&lt;$I$4,0,(HLOOKUP(AG$9-13*$I$6,$C$9:$AG$13,5,FALSE))))</f>
        <v>0</v>
      </c>
      <c r="AH26" s="19"/>
      <c r="AI26" s="19"/>
      <c r="AJ26" s="19"/>
      <c r="AK26" s="19"/>
      <c r="AL26" s="21"/>
      <c r="AM26" s="21"/>
      <c r="AN26" s="19"/>
      <c r="AO26" s="19"/>
      <c r="AP26" s="19"/>
      <c r="AQ26" s="19"/>
      <c r="AR26" s="326"/>
      <c r="AS26" s="326"/>
      <c r="AT26" s="326"/>
      <c r="AU26" s="326"/>
      <c r="AV26" s="326"/>
      <c r="AW26" s="326"/>
      <c r="AX26" s="326"/>
      <c r="AY26" s="326"/>
      <c r="AZ26" s="326"/>
      <c r="BA26" s="326"/>
      <c r="BB26" s="326"/>
    </row>
    <row r="27" spans="1:54" s="26" customFormat="1" ht="13.2">
      <c r="A27" s="19"/>
      <c r="B27" s="55" t="s">
        <v>1732</v>
      </c>
      <c r="C27" s="44">
        <f>IF(OR(Cashflow!C$111="C/I",Cashflow!C$111="Not yet producing"),0,IF(C$9-14*$I$6&lt;$I$4,0,(HLOOKUP(C$9-14*$I$6,$C$9:$AG$13,5,FALSE))))</f>
        <v>0</v>
      </c>
      <c r="D27" s="44">
        <f>IF(OR(Cashflow!D$111="C/I",Cashflow!D$111="Not yet producing"),0,IF(D$9-14*$I$6&lt;$I$4,0,(HLOOKUP(D$9-14*$I$6,$C$9:$AG$13,5,FALSE))))</f>
        <v>0</v>
      </c>
      <c r="E27" s="44">
        <f>IF(OR(Cashflow!E$111="C/I",Cashflow!E$111="Not yet producing"),0,IF(E$9-14*$I$6&lt;$I$4,0,(HLOOKUP(E$9-14*$I$6,$C$9:$AG$13,5,FALSE))))</f>
        <v>0</v>
      </c>
      <c r="F27" s="44">
        <f>IF(OR(Cashflow!F$111="C/I",Cashflow!F$111="Not yet producing"),0,IF(F$9-14*$I$6&lt;$I$4,0,(HLOOKUP(F$9-14*$I$6,$C$9:$AG$13,5,FALSE))))</f>
        <v>0</v>
      </c>
      <c r="G27" s="44">
        <f>IF(OR(Cashflow!G$111="C/I",Cashflow!G$111="Not yet producing"),0,IF(G$9-14*$I$6&lt;$I$4,0,(HLOOKUP(G$9-14*$I$6,$C$9:$AG$13,5,FALSE))))</f>
        <v>0</v>
      </c>
      <c r="H27" s="44">
        <f>IF(OR(Cashflow!H$111="C/I",Cashflow!H$111="Not yet producing"),0,IF(H$9-14*$I$6&lt;$I$4,0,(HLOOKUP(H$9-14*$I$6,$C$9:$AG$13,5,FALSE))))</f>
        <v>0</v>
      </c>
      <c r="I27" s="44">
        <f>IF(OR(Cashflow!I$111="C/I",Cashflow!I$111="Not yet producing"),0,IF(I$9-14*$I$6&lt;$I$4,0,(HLOOKUP(I$9-14*$I$6,$C$9:$AG$13,5,FALSE))))</f>
        <v>0</v>
      </c>
      <c r="J27" s="44">
        <f>IF(OR(Cashflow!J$111="C/I",Cashflow!J$111="Not yet producing"),0,IF(J$9-14*$I$6&lt;$I$4,0,(HLOOKUP(J$9-14*$I$6,$C$9:$AG$13,5,FALSE))))</f>
        <v>0</v>
      </c>
      <c r="K27" s="44">
        <f>IF(OR(Cashflow!K$111="C/I",Cashflow!K$111="Not yet producing"),0,IF(K$9-14*$I$6&lt;$I$4,0,(HLOOKUP(K$9-14*$I$6,$C$9:$AG$13,5,FALSE))))</f>
        <v>0</v>
      </c>
      <c r="L27" s="44">
        <f ca="1">IF(OR(Cashflow!L$111="C/I",Cashflow!L$111="Not yet producing"),0,IF(L$9-14*$I$6&lt;$I$4,0,(HLOOKUP(L$9-14*$I$6,$C$9:$AG$13,5,FALSE))))</f>
        <v>0</v>
      </c>
      <c r="M27" s="44">
        <f ca="1">IF(OR(Cashflow!M$111="C/I",Cashflow!M$111="Not yet producing"),0,IF(M$9-14*$I$6&lt;$I$4,0,(HLOOKUP(M$9-14*$I$6,$C$9:$AG$13,5,FALSE))))</f>
        <v>0</v>
      </c>
      <c r="N27" s="44">
        <f ca="1">IF(OR(Cashflow!N$111="C/I",Cashflow!N$111="Not yet producing"),0,IF(N$9-14*$I$6&lt;$I$4,0,(HLOOKUP(N$9-14*$I$6,$C$9:$AG$13,5,FALSE))))</f>
        <v>0</v>
      </c>
      <c r="O27" s="44">
        <f ca="1">IF(OR(Cashflow!O$111="C/I",Cashflow!O$111="Not yet producing"),0,IF(O$9-14*$I$6&lt;$I$4,0,(HLOOKUP(O$9-14*$I$6,$C$9:$AG$13,5,FALSE))))</f>
        <v>0</v>
      </c>
      <c r="P27" s="44">
        <f ca="1">IF(OR(Cashflow!P$111="C/I",Cashflow!P$111="Not yet producing"),0,IF(P$9-14*$I$6&lt;$I$4,0,(HLOOKUP(P$9-14*$I$6,$C$9:$AG$13,5,FALSE))))</f>
        <v>0</v>
      </c>
      <c r="Q27" s="44">
        <f ca="1">IF(OR(Cashflow!Q$111="C/I",Cashflow!Q$111="Not yet producing"),0,IF(Q$9-14*$I$6&lt;$I$4,0,(HLOOKUP(Q$9-14*$I$6,$C$9:$AG$13,5,FALSE))))</f>
        <v>0</v>
      </c>
      <c r="R27" s="44">
        <f ca="1">IF(OR(Cashflow!R$111="C/I",Cashflow!R$111="Not yet producing"),0,IF(R$9-14*$I$6&lt;$I$4,0,(HLOOKUP(R$9-14*$I$6,$C$9:$AG$13,5,FALSE))))</f>
        <v>0</v>
      </c>
      <c r="S27" s="44">
        <f ca="1">IF(OR(Cashflow!S$111="C/I",Cashflow!S$111="Not yet producing"),0,IF(S$9-14*$I$6&lt;$I$4,0,(HLOOKUP(S$9-14*$I$6,$C$9:$AG$13,5,FALSE))))</f>
        <v>0</v>
      </c>
      <c r="T27" s="44">
        <f ca="1">IF(OR(Cashflow!T$111="C/I",Cashflow!T$111="Not yet producing"),0,IF(T$9-14*$I$6&lt;$I$4,0,(HLOOKUP(T$9-14*$I$6,$C$9:$AG$13,5,FALSE))))</f>
        <v>0</v>
      </c>
      <c r="U27" s="44">
        <f ca="1">IF(OR(Cashflow!U$111="C/I",Cashflow!U$111="Not yet producing"),0,IF(U$9-14*$I$6&lt;$I$4,0,(HLOOKUP(U$9-14*$I$6,$C$9:$AG$13,5,FALSE))))</f>
        <v>0</v>
      </c>
      <c r="V27" s="44">
        <f ca="1">IF(OR(Cashflow!V$111="C/I",Cashflow!V$111="Not yet producing"),0,IF(V$9-14*$I$6&lt;$I$4,0,(HLOOKUP(V$9-14*$I$6,$C$9:$AG$13,5,FALSE))))</f>
        <v>0</v>
      </c>
      <c r="W27" s="44">
        <f ca="1">IF(OR(Cashflow!W$111="C/I",Cashflow!W$111="Not yet producing"),0,IF(W$9-14*$I$6&lt;$I$4,0,(HLOOKUP(W$9-14*$I$6,$C$9:$AG$13,5,FALSE))))</f>
        <v>0</v>
      </c>
      <c r="X27" s="44">
        <f ca="1">IF(OR(Cashflow!X$111="C/I",Cashflow!X$111="Not yet producing"),0,IF(X$9-14*$I$6&lt;$I$4,0,(HLOOKUP(X$9-14*$I$6,$C$9:$AG$13,5,FALSE))))</f>
        <v>0</v>
      </c>
      <c r="Y27" s="44">
        <f ca="1">IF(OR(Cashflow!Y$111="C/I",Cashflow!Y$111="Not yet producing"),0,IF(Y$9-14*$I$6&lt;$I$4,0,(HLOOKUP(Y$9-14*$I$6,$C$9:$AG$13,5,FALSE))))</f>
        <v>0</v>
      </c>
      <c r="Z27" s="44">
        <f ca="1">IF(OR(Cashflow!Z$111="C/I",Cashflow!Z$111="Not yet producing"),0,IF(Z$9-14*$I$6&lt;$I$4,0,(HLOOKUP(Z$9-14*$I$6,$C$9:$AG$13,5,FALSE))))</f>
        <v>0</v>
      </c>
      <c r="AA27" s="44">
        <f ca="1">IF(OR(Cashflow!AA$111="C/I",Cashflow!AA$111="Not yet producing"),0,IF(AA$9-14*$I$6&lt;$I$4,0,(HLOOKUP(AA$9-14*$I$6,$C$9:$AG$13,5,FALSE))))</f>
        <v>0</v>
      </c>
      <c r="AB27" s="44">
        <f ca="1">IF(OR(Cashflow!AB$111="C/I",Cashflow!AB$111="Not yet producing"),0,IF(AB$9-14*$I$6&lt;$I$4,0,(HLOOKUP(AB$9-14*$I$6,$C$9:$AG$13,5,FALSE))))</f>
        <v>0</v>
      </c>
      <c r="AC27" s="44">
        <f ca="1">IF(OR(Cashflow!AC$111="C/I",Cashflow!AC$111="Not yet producing"),0,IF(AC$9-14*$I$6&lt;$I$4,0,(HLOOKUP(AC$9-14*$I$6,$C$9:$AG$13,5,FALSE))))</f>
        <v>0</v>
      </c>
      <c r="AD27" s="44">
        <f ca="1">IF(OR(Cashflow!AD$111="C/I",Cashflow!AD$111="Not yet producing"),0,IF(AD$9-14*$I$6&lt;$I$4,0,(HLOOKUP(AD$9-14*$I$6,$C$9:$AG$13,5,FALSE))))</f>
        <v>0</v>
      </c>
      <c r="AE27" s="44">
        <f ca="1">IF(OR(Cashflow!AE$111="C/I",Cashflow!AE$111="Not yet producing"),0,IF(AE$9-14*$I$6&lt;$I$4,0,(HLOOKUP(AE$9-14*$I$6,$C$9:$AG$13,5,FALSE))))</f>
        <v>0</v>
      </c>
      <c r="AF27" s="44">
        <f ca="1">IF(OR(Cashflow!AF$111="C/I",Cashflow!AF$111="Not yet producing"),0,IF(AF$9-14*$I$6&lt;$I$4,0,(HLOOKUP(AF$9-14*$I$6,$C$9:$AG$13,5,FALSE))))</f>
        <v>0</v>
      </c>
      <c r="AG27" s="44">
        <f ca="1">IF(OR(Cashflow!AG$111="C/I",Cashflow!AG$111="Not yet producing"),0,IF(AG$9-14*$I$6&lt;$I$4,0,(HLOOKUP(AG$9-14*$I$6,$C$9:$AG$13,5,FALSE))))</f>
        <v>0</v>
      </c>
      <c r="AH27" s="19"/>
      <c r="AI27" s="19"/>
      <c r="AJ27" s="19"/>
      <c r="AK27" s="19"/>
      <c r="AL27" s="21"/>
      <c r="AM27" s="21"/>
      <c r="AN27" s="19"/>
      <c r="AO27" s="19"/>
      <c r="AP27" s="19"/>
      <c r="AQ27" s="19"/>
      <c r="AR27" s="326"/>
      <c r="AS27" s="326"/>
      <c r="AT27" s="326"/>
      <c r="AU27" s="326"/>
      <c r="AV27" s="326"/>
      <c r="AW27" s="326"/>
      <c r="AX27" s="326"/>
      <c r="AY27" s="326"/>
      <c r="AZ27" s="326"/>
      <c r="BA27" s="326"/>
      <c r="BB27" s="326"/>
    </row>
    <row r="28" spans="1:54" s="26" customFormat="1" ht="13.2">
      <c r="A28" s="19"/>
      <c r="B28" s="55" t="s">
        <v>1733</v>
      </c>
      <c r="C28" s="44">
        <f>IF(OR(Cashflow!C$111="C/I",Cashflow!C$111="Not yet producing"),0,IF(C$9-15*$I$6&lt;$I$4,0,(HLOOKUP(C$9-15*$I$6,$C$9:$AG$13,5,FALSE))))</f>
        <v>0</v>
      </c>
      <c r="D28" s="44">
        <f>IF(OR(Cashflow!D$111="C/I",Cashflow!D$111="Not yet producing"),0,IF(D$9-15*$I$6&lt;$I$4,0,(HLOOKUP(D$9-15*$I$6,$C$9:$AG$13,5,FALSE))))</f>
        <v>0</v>
      </c>
      <c r="E28" s="44">
        <f>IF(OR(Cashflow!E$111="C/I",Cashflow!E$111="Not yet producing"),0,IF(E$9-15*$I$6&lt;$I$4,0,(HLOOKUP(E$9-15*$I$6,$C$9:$AG$13,5,FALSE))))</f>
        <v>0</v>
      </c>
      <c r="F28" s="44">
        <f>IF(OR(Cashflow!F$111="C/I",Cashflow!F$111="Not yet producing"),0,IF(F$9-15*$I$6&lt;$I$4,0,(HLOOKUP(F$9-15*$I$6,$C$9:$AG$13,5,FALSE))))</f>
        <v>0</v>
      </c>
      <c r="G28" s="44">
        <f>IF(OR(Cashflow!G$111="C/I",Cashflow!G$111="Not yet producing"),0,IF(G$9-15*$I$6&lt;$I$4,0,(HLOOKUP(G$9-15*$I$6,$C$9:$AG$13,5,FALSE))))</f>
        <v>0</v>
      </c>
      <c r="H28" s="44">
        <f>IF(OR(Cashflow!H$111="C/I",Cashflow!H$111="Not yet producing"),0,IF(H$9-15*$I$6&lt;$I$4,0,(HLOOKUP(H$9-15*$I$6,$C$9:$AG$13,5,FALSE))))</f>
        <v>0</v>
      </c>
      <c r="I28" s="44">
        <f>IF(OR(Cashflow!I$111="C/I",Cashflow!I$111="Not yet producing"),0,IF(I$9-15*$I$6&lt;$I$4,0,(HLOOKUP(I$9-15*$I$6,$C$9:$AG$13,5,FALSE))))</f>
        <v>0</v>
      </c>
      <c r="J28" s="44">
        <f>IF(OR(Cashflow!J$111="C/I",Cashflow!J$111="Not yet producing"),0,IF(J$9-15*$I$6&lt;$I$4,0,(HLOOKUP(J$9-15*$I$6,$C$9:$AG$13,5,FALSE))))</f>
        <v>0</v>
      </c>
      <c r="K28" s="44">
        <f>IF(OR(Cashflow!K$111="C/I",Cashflow!K$111="Not yet producing"),0,IF(K$9-15*$I$6&lt;$I$4,0,(HLOOKUP(K$9-15*$I$6,$C$9:$AG$13,5,FALSE))))</f>
        <v>0</v>
      </c>
      <c r="L28" s="44">
        <f ca="1">IF(OR(Cashflow!L$111="C/I",Cashflow!L$111="Not yet producing"),0,IF(L$9-15*$I$6&lt;$I$4,0,(HLOOKUP(L$9-15*$I$6,$C$9:$AG$13,5,FALSE))))</f>
        <v>0</v>
      </c>
      <c r="M28" s="44">
        <f ca="1">IF(OR(Cashflow!M$111="C/I",Cashflow!M$111="Not yet producing"),0,IF(M$9-15*$I$6&lt;$I$4,0,(HLOOKUP(M$9-15*$I$6,$C$9:$AG$13,5,FALSE))))</f>
        <v>0</v>
      </c>
      <c r="N28" s="44">
        <f ca="1">IF(OR(Cashflow!N$111="C/I",Cashflow!N$111="Not yet producing"),0,IF(N$9-15*$I$6&lt;$I$4,0,(HLOOKUP(N$9-15*$I$6,$C$9:$AG$13,5,FALSE))))</f>
        <v>0</v>
      </c>
      <c r="O28" s="44">
        <f ca="1">IF(OR(Cashflow!O$111="C/I",Cashflow!O$111="Not yet producing"),0,IF(O$9-15*$I$6&lt;$I$4,0,(HLOOKUP(O$9-15*$I$6,$C$9:$AG$13,5,FALSE))))</f>
        <v>0</v>
      </c>
      <c r="P28" s="44">
        <f ca="1">IF(OR(Cashflow!P$111="C/I",Cashflow!P$111="Not yet producing"),0,IF(P$9-15*$I$6&lt;$I$4,0,(HLOOKUP(P$9-15*$I$6,$C$9:$AG$13,5,FALSE))))</f>
        <v>0</v>
      </c>
      <c r="Q28" s="44">
        <f ca="1">IF(OR(Cashflow!Q$111="C/I",Cashflow!Q$111="Not yet producing"),0,IF(Q$9-15*$I$6&lt;$I$4,0,(HLOOKUP(Q$9-15*$I$6,$C$9:$AG$13,5,FALSE))))</f>
        <v>0</v>
      </c>
      <c r="R28" s="44">
        <f ca="1">IF(OR(Cashflow!R$111="C/I",Cashflow!R$111="Not yet producing"),0,IF(R$9-15*$I$6&lt;$I$4,0,(HLOOKUP(R$9-15*$I$6,$C$9:$AG$13,5,FALSE))))</f>
        <v>0</v>
      </c>
      <c r="S28" s="44">
        <f ca="1">IF(OR(Cashflow!S$111="C/I",Cashflow!S$111="Not yet producing"),0,IF(S$9-15*$I$6&lt;$I$4,0,(HLOOKUP(S$9-15*$I$6,$C$9:$AG$13,5,FALSE))))</f>
        <v>0</v>
      </c>
      <c r="T28" s="44">
        <f ca="1">IF(OR(Cashflow!T$111="C/I",Cashflow!T$111="Not yet producing"),0,IF(T$9-15*$I$6&lt;$I$4,0,(HLOOKUP(T$9-15*$I$6,$C$9:$AG$13,5,FALSE))))</f>
        <v>0</v>
      </c>
      <c r="U28" s="44">
        <f ca="1">IF(OR(Cashflow!U$111="C/I",Cashflow!U$111="Not yet producing"),0,IF(U$9-15*$I$6&lt;$I$4,0,(HLOOKUP(U$9-15*$I$6,$C$9:$AG$13,5,FALSE))))</f>
        <v>0</v>
      </c>
      <c r="V28" s="44">
        <f ca="1">IF(OR(Cashflow!V$111="C/I",Cashflow!V$111="Not yet producing"),0,IF(V$9-15*$I$6&lt;$I$4,0,(HLOOKUP(V$9-15*$I$6,$C$9:$AG$13,5,FALSE))))</f>
        <v>0</v>
      </c>
      <c r="W28" s="44">
        <f ca="1">IF(OR(Cashflow!W$111="C/I",Cashflow!W$111="Not yet producing"),0,IF(W$9-15*$I$6&lt;$I$4,0,(HLOOKUP(W$9-15*$I$6,$C$9:$AG$13,5,FALSE))))</f>
        <v>0</v>
      </c>
      <c r="X28" s="44">
        <f ca="1">IF(OR(Cashflow!X$111="C/I",Cashflow!X$111="Not yet producing"),0,IF(X$9-15*$I$6&lt;$I$4,0,(HLOOKUP(X$9-15*$I$6,$C$9:$AG$13,5,FALSE))))</f>
        <v>0</v>
      </c>
      <c r="Y28" s="44">
        <f ca="1">IF(OR(Cashflow!Y$111="C/I",Cashflow!Y$111="Not yet producing"),0,IF(Y$9-15*$I$6&lt;$I$4,0,(HLOOKUP(Y$9-15*$I$6,$C$9:$AG$13,5,FALSE))))</f>
        <v>0</v>
      </c>
      <c r="Z28" s="44">
        <f ca="1">IF(OR(Cashflow!Z$111="C/I",Cashflow!Z$111="Not yet producing"),0,IF(Z$9-15*$I$6&lt;$I$4,0,(HLOOKUP(Z$9-15*$I$6,$C$9:$AG$13,5,FALSE))))</f>
        <v>0</v>
      </c>
      <c r="AA28" s="44">
        <f ca="1">IF(OR(Cashflow!AA$111="C/I",Cashflow!AA$111="Not yet producing"),0,IF(AA$9-15*$I$6&lt;$I$4,0,(HLOOKUP(AA$9-15*$I$6,$C$9:$AG$13,5,FALSE))))</f>
        <v>0</v>
      </c>
      <c r="AB28" s="44">
        <f ca="1">IF(OR(Cashflow!AB$111="C/I",Cashflow!AB$111="Not yet producing"),0,IF(AB$9-15*$I$6&lt;$I$4,0,(HLOOKUP(AB$9-15*$I$6,$C$9:$AG$13,5,FALSE))))</f>
        <v>0</v>
      </c>
      <c r="AC28" s="44">
        <f ca="1">IF(OR(Cashflow!AC$111="C/I",Cashflow!AC$111="Not yet producing"),0,IF(AC$9-15*$I$6&lt;$I$4,0,(HLOOKUP(AC$9-15*$I$6,$C$9:$AG$13,5,FALSE))))</f>
        <v>0</v>
      </c>
      <c r="AD28" s="44">
        <f ca="1">IF(OR(Cashflow!AD$111="C/I",Cashflow!AD$111="Not yet producing"),0,IF(AD$9-15*$I$6&lt;$I$4,0,(HLOOKUP(AD$9-15*$I$6,$C$9:$AG$13,5,FALSE))))</f>
        <v>0</v>
      </c>
      <c r="AE28" s="44">
        <f ca="1">IF(OR(Cashflow!AE$111="C/I",Cashflow!AE$111="Not yet producing"),0,IF(AE$9-15*$I$6&lt;$I$4,0,(HLOOKUP(AE$9-15*$I$6,$C$9:$AG$13,5,FALSE))))</f>
        <v>0</v>
      </c>
      <c r="AF28" s="44">
        <f ca="1">IF(OR(Cashflow!AF$111="C/I",Cashflow!AF$111="Not yet producing"),0,IF(AF$9-15*$I$6&lt;$I$4,0,(HLOOKUP(AF$9-15*$I$6,$C$9:$AG$13,5,FALSE))))</f>
        <v>0</v>
      </c>
      <c r="AG28" s="44">
        <f ca="1">IF(OR(Cashflow!AG$111="C/I",Cashflow!AG$111="Not yet producing"),0,IF(AG$9-15*$I$6&lt;$I$4,0,(HLOOKUP(AG$9-15*$I$6,$C$9:$AG$13,5,FALSE))))</f>
        <v>0</v>
      </c>
      <c r="AH28" s="19"/>
      <c r="AI28" s="19"/>
      <c r="AJ28" s="19"/>
      <c r="AK28" s="19"/>
      <c r="AL28" s="21"/>
      <c r="AM28" s="21"/>
      <c r="AN28" s="19"/>
      <c r="AO28" s="19"/>
      <c r="AP28" s="19"/>
      <c r="AQ28" s="19"/>
      <c r="AR28" s="326"/>
      <c r="AS28" s="326"/>
      <c r="AT28" s="326"/>
      <c r="AU28" s="326"/>
      <c r="AV28" s="326"/>
      <c r="AW28" s="326"/>
      <c r="AX28" s="326"/>
      <c r="AY28" s="326"/>
      <c r="AZ28" s="326"/>
      <c r="BA28" s="326"/>
      <c r="BB28" s="326"/>
    </row>
    <row r="29" spans="1:54" s="26" customFormat="1" ht="13.2">
      <c r="A29" s="19"/>
      <c r="B29" s="55" t="s">
        <v>1734</v>
      </c>
      <c r="C29" s="44">
        <f>IF(OR(Cashflow!C$111="C/I",Cashflow!C$111="Not yet producing"),0,IF(C$9-16*$I$6&lt;$I$4,0,(HLOOKUP(C$9-16*$I$6,$C$9:$AG$13,5,FALSE))))</f>
        <v>0</v>
      </c>
      <c r="D29" s="44">
        <f>IF(OR(Cashflow!D$111="C/I",Cashflow!D$111="Not yet producing"),0,IF(D$9-16*$I$6&lt;$I$4,0,(HLOOKUP(D$9-16*$I$6,$C$9:$AG$13,5,FALSE))))</f>
        <v>0</v>
      </c>
      <c r="E29" s="44">
        <f>IF(OR(Cashflow!E$111="C/I",Cashflow!E$111="Not yet producing"),0,IF(E$9-16*$I$6&lt;$I$4,0,(HLOOKUP(E$9-16*$I$6,$C$9:$AG$13,5,FALSE))))</f>
        <v>0</v>
      </c>
      <c r="F29" s="44">
        <f>IF(OR(Cashflow!F$111="C/I",Cashflow!F$111="Not yet producing"),0,IF(F$9-16*$I$6&lt;$I$4,0,(HLOOKUP(F$9-16*$I$6,$C$9:$AG$13,5,FALSE))))</f>
        <v>0</v>
      </c>
      <c r="G29" s="44">
        <f>IF(OR(Cashflow!G$111="C/I",Cashflow!G$111="Not yet producing"),0,IF(G$9-16*$I$6&lt;$I$4,0,(HLOOKUP(G$9-16*$I$6,$C$9:$AG$13,5,FALSE))))</f>
        <v>0</v>
      </c>
      <c r="H29" s="44">
        <f>IF(OR(Cashflow!H$111="C/I",Cashflow!H$111="Not yet producing"),0,IF(H$9-16*$I$6&lt;$I$4,0,(HLOOKUP(H$9-16*$I$6,$C$9:$AG$13,5,FALSE))))</f>
        <v>0</v>
      </c>
      <c r="I29" s="44">
        <f>IF(OR(Cashflow!I$111="C/I",Cashflow!I$111="Not yet producing"),0,IF(I$9-16*$I$6&lt;$I$4,0,(HLOOKUP(I$9-16*$I$6,$C$9:$AG$13,5,FALSE))))</f>
        <v>0</v>
      </c>
      <c r="J29" s="44">
        <f>IF(OR(Cashflow!J$111="C/I",Cashflow!J$111="Not yet producing"),0,IF(J$9-16*$I$6&lt;$I$4,0,(HLOOKUP(J$9-16*$I$6,$C$9:$AG$13,5,FALSE))))</f>
        <v>0</v>
      </c>
      <c r="K29" s="44">
        <f>IF(OR(Cashflow!K$111="C/I",Cashflow!K$111="Not yet producing"),0,IF(K$9-16*$I$6&lt;$I$4,0,(HLOOKUP(K$9-16*$I$6,$C$9:$AG$13,5,FALSE))))</f>
        <v>0</v>
      </c>
      <c r="L29" s="44">
        <f ca="1">IF(OR(Cashflow!L$111="C/I",Cashflow!L$111="Not yet producing"),0,IF(L$9-16*$I$6&lt;$I$4,0,(HLOOKUP(L$9-16*$I$6,$C$9:$AG$13,5,FALSE))))</f>
        <v>0</v>
      </c>
      <c r="M29" s="44">
        <f ca="1">IF(OR(Cashflow!M$111="C/I",Cashflow!M$111="Not yet producing"),0,IF(M$9-16*$I$6&lt;$I$4,0,(HLOOKUP(M$9-16*$I$6,$C$9:$AG$13,5,FALSE))))</f>
        <v>0</v>
      </c>
      <c r="N29" s="44">
        <f ca="1">IF(OR(Cashflow!N$111="C/I",Cashflow!N$111="Not yet producing"),0,IF(N$9-16*$I$6&lt;$I$4,0,(HLOOKUP(N$9-16*$I$6,$C$9:$AG$13,5,FALSE))))</f>
        <v>0</v>
      </c>
      <c r="O29" s="44">
        <f ca="1">IF(OR(Cashflow!O$111="C/I",Cashflow!O$111="Not yet producing"),0,IF(O$9-16*$I$6&lt;$I$4,0,(HLOOKUP(O$9-16*$I$6,$C$9:$AG$13,5,FALSE))))</f>
        <v>0</v>
      </c>
      <c r="P29" s="44">
        <f ca="1">IF(OR(Cashflow!P$111="C/I",Cashflow!P$111="Not yet producing"),0,IF(P$9-16*$I$6&lt;$I$4,0,(HLOOKUP(P$9-16*$I$6,$C$9:$AG$13,5,FALSE))))</f>
        <v>0</v>
      </c>
      <c r="Q29" s="44">
        <f ca="1">IF(OR(Cashflow!Q$111="C/I",Cashflow!Q$111="Not yet producing"),0,IF(Q$9-16*$I$6&lt;$I$4,0,(HLOOKUP(Q$9-16*$I$6,$C$9:$AG$13,5,FALSE))))</f>
        <v>0</v>
      </c>
      <c r="R29" s="44">
        <f ca="1">IF(OR(Cashflow!R$111="C/I",Cashflow!R$111="Not yet producing"),0,IF(R$9-16*$I$6&lt;$I$4,0,(HLOOKUP(R$9-16*$I$6,$C$9:$AG$13,5,FALSE))))</f>
        <v>0</v>
      </c>
      <c r="S29" s="44">
        <f ca="1">IF(OR(Cashflow!S$111="C/I",Cashflow!S$111="Not yet producing"),0,IF(S$9-16*$I$6&lt;$I$4,0,(HLOOKUP(S$9-16*$I$6,$C$9:$AG$13,5,FALSE))))</f>
        <v>0</v>
      </c>
      <c r="T29" s="44">
        <f ca="1">IF(OR(Cashflow!T$111="C/I",Cashflow!T$111="Not yet producing"),0,IF(T$9-16*$I$6&lt;$I$4,0,(HLOOKUP(T$9-16*$I$6,$C$9:$AG$13,5,FALSE))))</f>
        <v>0</v>
      </c>
      <c r="U29" s="44">
        <f ca="1">IF(OR(Cashflow!U$111="C/I",Cashflow!U$111="Not yet producing"),0,IF(U$9-16*$I$6&lt;$I$4,0,(HLOOKUP(U$9-16*$I$6,$C$9:$AG$13,5,FALSE))))</f>
        <v>0</v>
      </c>
      <c r="V29" s="44">
        <f ca="1">IF(OR(Cashflow!V$111="C/I",Cashflow!V$111="Not yet producing"),0,IF(V$9-16*$I$6&lt;$I$4,0,(HLOOKUP(V$9-16*$I$6,$C$9:$AG$13,5,FALSE))))</f>
        <v>0</v>
      </c>
      <c r="W29" s="44">
        <f ca="1">IF(OR(Cashflow!W$111="C/I",Cashflow!W$111="Not yet producing"),0,IF(W$9-16*$I$6&lt;$I$4,0,(HLOOKUP(W$9-16*$I$6,$C$9:$AG$13,5,FALSE))))</f>
        <v>0</v>
      </c>
      <c r="X29" s="44">
        <f ca="1">IF(OR(Cashflow!X$111="C/I",Cashflow!X$111="Not yet producing"),0,IF(X$9-16*$I$6&lt;$I$4,0,(HLOOKUP(X$9-16*$I$6,$C$9:$AG$13,5,FALSE))))</f>
        <v>0</v>
      </c>
      <c r="Y29" s="44">
        <f ca="1">IF(OR(Cashflow!Y$111="C/I",Cashflow!Y$111="Not yet producing"),0,IF(Y$9-16*$I$6&lt;$I$4,0,(HLOOKUP(Y$9-16*$I$6,$C$9:$AG$13,5,FALSE))))</f>
        <v>0</v>
      </c>
      <c r="Z29" s="44">
        <f ca="1">IF(OR(Cashflow!Z$111="C/I",Cashflow!Z$111="Not yet producing"),0,IF(Z$9-16*$I$6&lt;$I$4,0,(HLOOKUP(Z$9-16*$I$6,$C$9:$AG$13,5,FALSE))))</f>
        <v>0</v>
      </c>
      <c r="AA29" s="44">
        <f ca="1">IF(OR(Cashflow!AA$111="C/I",Cashflow!AA$111="Not yet producing"),0,IF(AA$9-16*$I$6&lt;$I$4,0,(HLOOKUP(AA$9-16*$I$6,$C$9:$AG$13,5,FALSE))))</f>
        <v>0</v>
      </c>
      <c r="AB29" s="44">
        <f ca="1">IF(OR(Cashflow!AB$111="C/I",Cashflow!AB$111="Not yet producing"),0,IF(AB$9-16*$I$6&lt;$I$4,0,(HLOOKUP(AB$9-16*$I$6,$C$9:$AG$13,5,FALSE))))</f>
        <v>0</v>
      </c>
      <c r="AC29" s="44">
        <f ca="1">IF(OR(Cashflow!AC$111="C/I",Cashflow!AC$111="Not yet producing"),0,IF(AC$9-16*$I$6&lt;$I$4,0,(HLOOKUP(AC$9-16*$I$6,$C$9:$AG$13,5,FALSE))))</f>
        <v>0</v>
      </c>
      <c r="AD29" s="44">
        <f ca="1">IF(OR(Cashflow!AD$111="C/I",Cashflow!AD$111="Not yet producing"),0,IF(AD$9-16*$I$6&lt;$I$4,0,(HLOOKUP(AD$9-16*$I$6,$C$9:$AG$13,5,FALSE))))</f>
        <v>0</v>
      </c>
      <c r="AE29" s="44">
        <f ca="1">IF(OR(Cashflow!AE$111="C/I",Cashflow!AE$111="Not yet producing"),0,IF(AE$9-16*$I$6&lt;$I$4,0,(HLOOKUP(AE$9-16*$I$6,$C$9:$AG$13,5,FALSE))))</f>
        <v>0</v>
      </c>
      <c r="AF29" s="44">
        <f ca="1">IF(OR(Cashflow!AF$111="C/I",Cashflow!AF$111="Not yet producing"),0,IF(AF$9-16*$I$6&lt;$I$4,0,(HLOOKUP(AF$9-16*$I$6,$C$9:$AG$13,5,FALSE))))</f>
        <v>0</v>
      </c>
      <c r="AG29" s="44">
        <f ca="1">IF(OR(Cashflow!AG$111="C/I",Cashflow!AG$111="Not yet producing"),0,IF(AG$9-16*$I$6&lt;$I$4,0,(HLOOKUP(AG$9-16*$I$6,$C$9:$AG$13,5,FALSE))))</f>
        <v>0</v>
      </c>
      <c r="AH29" s="19"/>
      <c r="AI29" s="19"/>
      <c r="AJ29" s="19"/>
      <c r="AK29" s="19"/>
      <c r="AL29" s="21"/>
      <c r="AM29" s="21"/>
      <c r="AN29" s="19"/>
      <c r="AO29" s="19"/>
      <c r="AP29" s="19"/>
      <c r="AQ29" s="19"/>
      <c r="AR29" s="326"/>
      <c r="AS29" s="326"/>
      <c r="AT29" s="326"/>
      <c r="AU29" s="326"/>
      <c r="AV29" s="326"/>
      <c r="AW29" s="326"/>
      <c r="AX29" s="326"/>
      <c r="AY29" s="326"/>
      <c r="AZ29" s="326"/>
      <c r="BA29" s="326"/>
      <c r="BB29" s="326"/>
    </row>
    <row r="30" spans="1:54" s="26" customFormat="1" ht="13.2">
      <c r="A30" s="19"/>
      <c r="B30" s="55" t="s">
        <v>1735</v>
      </c>
      <c r="C30" s="44">
        <f>IF(OR(Cashflow!C$111="C/I",Cashflow!C$111="Not yet producing"),0,IF(C$9-17*$I$6&lt;$I$4,0,(HLOOKUP(C$9-17*$I$6,$C$9:$AG$13,5,FALSE))))</f>
        <v>0</v>
      </c>
      <c r="D30" s="44">
        <f>IF(OR(Cashflow!D$111="C/I",Cashflow!D$111="Not yet producing"),0,IF(D$9-17*$I$6&lt;$I$4,0,(HLOOKUP(D$9-17*$I$6,$C$9:$AG$13,5,FALSE))))</f>
        <v>0</v>
      </c>
      <c r="E30" s="44">
        <f>IF(OR(Cashflow!E$111="C/I",Cashflow!E$111="Not yet producing"),0,IF(E$9-17*$I$6&lt;$I$4,0,(HLOOKUP(E$9-17*$I$6,$C$9:$AG$13,5,FALSE))))</f>
        <v>0</v>
      </c>
      <c r="F30" s="44">
        <f>IF(OR(Cashflow!F$111="C/I",Cashflow!F$111="Not yet producing"),0,IF(F$9-17*$I$6&lt;$I$4,0,(HLOOKUP(F$9-17*$I$6,$C$9:$AG$13,5,FALSE))))</f>
        <v>0</v>
      </c>
      <c r="G30" s="44">
        <f>IF(OR(Cashflow!G$111="C/I",Cashflow!G$111="Not yet producing"),0,IF(G$9-17*$I$6&lt;$I$4,0,(HLOOKUP(G$9-17*$I$6,$C$9:$AG$13,5,FALSE))))</f>
        <v>0</v>
      </c>
      <c r="H30" s="44">
        <f>IF(OR(Cashflow!H$111="C/I",Cashflow!H$111="Not yet producing"),0,IF(H$9-17*$I$6&lt;$I$4,0,(HLOOKUP(H$9-17*$I$6,$C$9:$AG$13,5,FALSE))))</f>
        <v>0</v>
      </c>
      <c r="I30" s="44">
        <f>IF(OR(Cashflow!I$111="C/I",Cashflow!I$111="Not yet producing"),0,IF(I$9-17*$I$6&lt;$I$4,0,(HLOOKUP(I$9-17*$I$6,$C$9:$AG$13,5,FALSE))))</f>
        <v>0</v>
      </c>
      <c r="J30" s="44">
        <f>IF(OR(Cashflow!J$111="C/I",Cashflow!J$111="Not yet producing"),0,IF(J$9-17*$I$6&lt;$I$4,0,(HLOOKUP(J$9-17*$I$6,$C$9:$AG$13,5,FALSE))))</f>
        <v>0</v>
      </c>
      <c r="K30" s="44">
        <f>IF(OR(Cashflow!K$111="C/I",Cashflow!K$111="Not yet producing"),0,IF(K$9-17*$I$6&lt;$I$4,0,(HLOOKUP(K$9-17*$I$6,$C$9:$AG$13,5,FALSE))))</f>
        <v>0</v>
      </c>
      <c r="L30" s="44">
        <f ca="1">IF(OR(Cashflow!L$111="C/I",Cashflow!L$111="Not yet producing"),0,IF(L$9-17*$I$6&lt;$I$4,0,(HLOOKUP(L$9-17*$I$6,$C$9:$AG$13,5,FALSE))))</f>
        <v>0</v>
      </c>
      <c r="M30" s="44">
        <f ca="1">IF(OR(Cashflow!M$111="C/I",Cashflow!M$111="Not yet producing"),0,IF(M$9-17*$I$6&lt;$I$4,0,(HLOOKUP(M$9-17*$I$6,$C$9:$AG$13,5,FALSE))))</f>
        <v>0</v>
      </c>
      <c r="N30" s="44">
        <f ca="1">IF(OR(Cashflow!N$111="C/I",Cashflow!N$111="Not yet producing"),0,IF(N$9-17*$I$6&lt;$I$4,0,(HLOOKUP(N$9-17*$I$6,$C$9:$AG$13,5,FALSE))))</f>
        <v>0</v>
      </c>
      <c r="O30" s="44">
        <f ca="1">IF(OR(Cashflow!O$111="C/I",Cashflow!O$111="Not yet producing"),0,IF(O$9-17*$I$6&lt;$I$4,0,(HLOOKUP(O$9-17*$I$6,$C$9:$AG$13,5,FALSE))))</f>
        <v>0</v>
      </c>
      <c r="P30" s="44">
        <f ca="1">IF(OR(Cashflow!P$111="C/I",Cashflow!P$111="Not yet producing"),0,IF(P$9-17*$I$6&lt;$I$4,0,(HLOOKUP(P$9-17*$I$6,$C$9:$AG$13,5,FALSE))))</f>
        <v>0</v>
      </c>
      <c r="Q30" s="44">
        <f ca="1">IF(OR(Cashflow!Q$111="C/I",Cashflow!Q$111="Not yet producing"),0,IF(Q$9-17*$I$6&lt;$I$4,0,(HLOOKUP(Q$9-17*$I$6,$C$9:$AG$13,5,FALSE))))</f>
        <v>0</v>
      </c>
      <c r="R30" s="44">
        <f ca="1">IF(OR(Cashflow!R$111="C/I",Cashflow!R$111="Not yet producing"),0,IF(R$9-17*$I$6&lt;$I$4,0,(HLOOKUP(R$9-17*$I$6,$C$9:$AG$13,5,FALSE))))</f>
        <v>0</v>
      </c>
      <c r="S30" s="44">
        <f ca="1">IF(OR(Cashflow!S$111="C/I",Cashflow!S$111="Not yet producing"),0,IF(S$9-17*$I$6&lt;$I$4,0,(HLOOKUP(S$9-17*$I$6,$C$9:$AG$13,5,FALSE))))</f>
        <v>0</v>
      </c>
      <c r="T30" s="44">
        <f ca="1">IF(OR(Cashflow!T$111="C/I",Cashflow!T$111="Not yet producing"),0,IF(T$9-17*$I$6&lt;$I$4,0,(HLOOKUP(T$9-17*$I$6,$C$9:$AG$13,5,FALSE))))</f>
        <v>0</v>
      </c>
      <c r="U30" s="44">
        <f ca="1">IF(OR(Cashflow!U$111="C/I",Cashflow!U$111="Not yet producing"),0,IF(U$9-17*$I$6&lt;$I$4,0,(HLOOKUP(U$9-17*$I$6,$C$9:$AG$13,5,FALSE))))</f>
        <v>0</v>
      </c>
      <c r="V30" s="44">
        <f ca="1">IF(OR(Cashflow!V$111="C/I",Cashflow!V$111="Not yet producing"),0,IF(V$9-17*$I$6&lt;$I$4,0,(HLOOKUP(V$9-17*$I$6,$C$9:$AG$13,5,FALSE))))</f>
        <v>0</v>
      </c>
      <c r="W30" s="44">
        <f ca="1">IF(OR(Cashflow!W$111="C/I",Cashflow!W$111="Not yet producing"),0,IF(W$9-17*$I$6&lt;$I$4,0,(HLOOKUP(W$9-17*$I$6,$C$9:$AG$13,5,FALSE))))</f>
        <v>0</v>
      </c>
      <c r="X30" s="44">
        <f ca="1">IF(OR(Cashflow!X$111="C/I",Cashflow!X$111="Not yet producing"),0,IF(X$9-17*$I$6&lt;$I$4,0,(HLOOKUP(X$9-17*$I$6,$C$9:$AG$13,5,FALSE))))</f>
        <v>0</v>
      </c>
      <c r="Y30" s="44">
        <f ca="1">IF(OR(Cashflow!Y$111="C/I",Cashflow!Y$111="Not yet producing"),0,IF(Y$9-17*$I$6&lt;$I$4,0,(HLOOKUP(Y$9-17*$I$6,$C$9:$AG$13,5,FALSE))))</f>
        <v>0</v>
      </c>
      <c r="Z30" s="44">
        <f ca="1">IF(OR(Cashflow!Z$111="C/I",Cashflow!Z$111="Not yet producing"),0,IF(Z$9-17*$I$6&lt;$I$4,0,(HLOOKUP(Z$9-17*$I$6,$C$9:$AG$13,5,FALSE))))</f>
        <v>0</v>
      </c>
      <c r="AA30" s="44">
        <f ca="1">IF(OR(Cashflow!AA$111="C/I",Cashflow!AA$111="Not yet producing"),0,IF(AA$9-17*$I$6&lt;$I$4,0,(HLOOKUP(AA$9-17*$I$6,$C$9:$AG$13,5,FALSE))))</f>
        <v>0</v>
      </c>
      <c r="AB30" s="44">
        <f ca="1">IF(OR(Cashflow!AB$111="C/I",Cashflow!AB$111="Not yet producing"),0,IF(AB$9-17*$I$6&lt;$I$4,0,(HLOOKUP(AB$9-17*$I$6,$C$9:$AG$13,5,FALSE))))</f>
        <v>0</v>
      </c>
      <c r="AC30" s="44">
        <f ca="1">IF(OR(Cashflow!AC$111="C/I",Cashflow!AC$111="Not yet producing"),0,IF(AC$9-17*$I$6&lt;$I$4,0,(HLOOKUP(AC$9-17*$I$6,$C$9:$AG$13,5,FALSE))))</f>
        <v>0</v>
      </c>
      <c r="AD30" s="44">
        <f ca="1">IF(OR(Cashflow!AD$111="C/I",Cashflow!AD$111="Not yet producing"),0,IF(AD$9-17*$I$6&lt;$I$4,0,(HLOOKUP(AD$9-17*$I$6,$C$9:$AG$13,5,FALSE))))</f>
        <v>0</v>
      </c>
      <c r="AE30" s="44">
        <f ca="1">IF(OR(Cashflow!AE$111="C/I",Cashflow!AE$111="Not yet producing"),0,IF(AE$9-17*$I$6&lt;$I$4,0,(HLOOKUP(AE$9-17*$I$6,$C$9:$AG$13,5,FALSE))))</f>
        <v>0</v>
      </c>
      <c r="AF30" s="44">
        <f ca="1">IF(OR(Cashflow!AF$111="C/I",Cashflow!AF$111="Not yet producing"),0,IF(AF$9-17*$I$6&lt;$I$4,0,(HLOOKUP(AF$9-17*$I$6,$C$9:$AG$13,5,FALSE))))</f>
        <v>0</v>
      </c>
      <c r="AG30" s="44">
        <f ca="1">IF(OR(Cashflow!AG$111="C/I",Cashflow!AG$111="Not yet producing"),0,IF(AG$9-17*$I$6&lt;$I$4,0,(HLOOKUP(AG$9-17*$I$6,$C$9:$AG$13,5,FALSE))))</f>
        <v>0</v>
      </c>
      <c r="AH30" s="19"/>
      <c r="AI30" s="19"/>
      <c r="AJ30" s="19"/>
      <c r="AK30" s="19"/>
      <c r="AL30" s="21"/>
      <c r="AM30" s="21"/>
      <c r="AN30" s="19"/>
      <c r="AO30" s="19"/>
      <c r="AP30" s="19"/>
      <c r="AQ30" s="19"/>
      <c r="AR30" s="326"/>
      <c r="AS30" s="326"/>
      <c r="AT30" s="326"/>
      <c r="AU30" s="326"/>
      <c r="AV30" s="326"/>
      <c r="AW30" s="326"/>
      <c r="AX30" s="326"/>
      <c r="AY30" s="326"/>
      <c r="AZ30" s="326"/>
      <c r="BA30" s="326"/>
      <c r="BB30" s="326"/>
    </row>
    <row r="31" spans="1:54" s="26" customFormat="1" ht="13.2">
      <c r="A31" s="19"/>
      <c r="B31" s="55" t="s">
        <v>1736</v>
      </c>
      <c r="C31" s="44">
        <f>IF(OR(Cashflow!C$111="C/I",Cashflow!C$111="Not yet producing"),0,IF(C$9-18*$I$6&lt;$I$4,0,(HLOOKUP(C$9-18*$I$6,$C$9:$AG$13,5,FALSE))))</f>
        <v>0</v>
      </c>
      <c r="D31" s="44">
        <f>IF(OR(Cashflow!D$111="C/I",Cashflow!D$111="Not yet producing"),0,IF(D$9-18*$I$6&lt;$I$4,0,(HLOOKUP(D$9-18*$I$6,$C$9:$AG$13,5,FALSE))))</f>
        <v>0</v>
      </c>
      <c r="E31" s="44">
        <f>IF(OR(Cashflow!E$111="C/I",Cashflow!E$111="Not yet producing"),0,IF(E$9-18*$I$6&lt;$I$4,0,(HLOOKUP(E$9-18*$I$6,$C$9:$AG$13,5,FALSE))))</f>
        <v>0</v>
      </c>
      <c r="F31" s="44">
        <f>IF(OR(Cashflow!F$111="C/I",Cashflow!F$111="Not yet producing"),0,IF(F$9-18*$I$6&lt;$I$4,0,(HLOOKUP(F$9-18*$I$6,$C$9:$AG$13,5,FALSE))))</f>
        <v>0</v>
      </c>
      <c r="G31" s="44">
        <f>IF(OR(Cashflow!G$111="C/I",Cashflow!G$111="Not yet producing"),0,IF(G$9-18*$I$6&lt;$I$4,0,(HLOOKUP(G$9-18*$I$6,$C$9:$AG$13,5,FALSE))))</f>
        <v>0</v>
      </c>
      <c r="H31" s="44">
        <f>IF(OR(Cashflow!H$111="C/I",Cashflow!H$111="Not yet producing"),0,IF(H$9-18*$I$6&lt;$I$4,0,(HLOOKUP(H$9-18*$I$6,$C$9:$AG$13,5,FALSE))))</f>
        <v>0</v>
      </c>
      <c r="I31" s="44">
        <f>IF(OR(Cashflow!I$111="C/I",Cashflow!I$111="Not yet producing"),0,IF(I$9-18*$I$6&lt;$I$4,0,(HLOOKUP(I$9-18*$I$6,$C$9:$AG$13,5,FALSE))))</f>
        <v>0</v>
      </c>
      <c r="J31" s="44">
        <f>IF(OR(Cashflow!J$111="C/I",Cashflow!J$111="Not yet producing"),0,IF(J$9-18*$I$6&lt;$I$4,0,(HLOOKUP(J$9-18*$I$6,$C$9:$AG$13,5,FALSE))))</f>
        <v>0</v>
      </c>
      <c r="K31" s="44">
        <f>IF(OR(Cashflow!K$111="C/I",Cashflow!K$111="Not yet producing"),0,IF(K$9-18*$I$6&lt;$I$4,0,(HLOOKUP(K$9-18*$I$6,$C$9:$AG$13,5,FALSE))))</f>
        <v>0</v>
      </c>
      <c r="L31" s="44">
        <f ca="1">IF(OR(Cashflow!L$111="C/I",Cashflow!L$111="Not yet producing"),0,IF(L$9-18*$I$6&lt;$I$4,0,(HLOOKUP(L$9-18*$I$6,$C$9:$AG$13,5,FALSE))))</f>
        <v>0</v>
      </c>
      <c r="M31" s="44">
        <f ca="1">IF(OR(Cashflow!M$111="C/I",Cashflow!M$111="Not yet producing"),0,IF(M$9-18*$I$6&lt;$I$4,0,(HLOOKUP(M$9-18*$I$6,$C$9:$AG$13,5,FALSE))))</f>
        <v>0</v>
      </c>
      <c r="N31" s="44">
        <f ca="1">IF(OR(Cashflow!N$111="C/I",Cashflow!N$111="Not yet producing"),0,IF(N$9-18*$I$6&lt;$I$4,0,(HLOOKUP(N$9-18*$I$6,$C$9:$AG$13,5,FALSE))))</f>
        <v>0</v>
      </c>
      <c r="O31" s="44">
        <f ca="1">IF(OR(Cashflow!O$111="C/I",Cashflow!O$111="Not yet producing"),0,IF(O$9-18*$I$6&lt;$I$4,0,(HLOOKUP(O$9-18*$I$6,$C$9:$AG$13,5,FALSE))))</f>
        <v>0</v>
      </c>
      <c r="P31" s="44">
        <f ca="1">IF(OR(Cashflow!P$111="C/I",Cashflow!P$111="Not yet producing"),0,IF(P$9-18*$I$6&lt;$I$4,0,(HLOOKUP(P$9-18*$I$6,$C$9:$AG$13,5,FALSE))))</f>
        <v>0</v>
      </c>
      <c r="Q31" s="44">
        <f ca="1">IF(OR(Cashflow!Q$111="C/I",Cashflow!Q$111="Not yet producing"),0,IF(Q$9-18*$I$6&lt;$I$4,0,(HLOOKUP(Q$9-18*$I$6,$C$9:$AG$13,5,FALSE))))</f>
        <v>0</v>
      </c>
      <c r="R31" s="44">
        <f ca="1">IF(OR(Cashflow!R$111="C/I",Cashflow!R$111="Not yet producing"),0,IF(R$9-18*$I$6&lt;$I$4,0,(HLOOKUP(R$9-18*$I$6,$C$9:$AG$13,5,FALSE))))</f>
        <v>0</v>
      </c>
      <c r="S31" s="44">
        <f ca="1">IF(OR(Cashflow!S$111="C/I",Cashflow!S$111="Not yet producing"),0,IF(S$9-18*$I$6&lt;$I$4,0,(HLOOKUP(S$9-18*$I$6,$C$9:$AG$13,5,FALSE))))</f>
        <v>0</v>
      </c>
      <c r="T31" s="44">
        <f ca="1">IF(OR(Cashflow!T$111="C/I",Cashflow!T$111="Not yet producing"),0,IF(T$9-18*$I$6&lt;$I$4,0,(HLOOKUP(T$9-18*$I$6,$C$9:$AG$13,5,FALSE))))</f>
        <v>0</v>
      </c>
      <c r="U31" s="44">
        <f ca="1">IF(OR(Cashflow!U$111="C/I",Cashflow!U$111="Not yet producing"),0,IF(U$9-18*$I$6&lt;$I$4,0,(HLOOKUP(U$9-18*$I$6,$C$9:$AG$13,5,FALSE))))</f>
        <v>0</v>
      </c>
      <c r="V31" s="44">
        <f ca="1">IF(OR(Cashflow!V$111="C/I",Cashflow!V$111="Not yet producing"),0,IF(V$9-18*$I$6&lt;$I$4,0,(HLOOKUP(V$9-18*$I$6,$C$9:$AG$13,5,FALSE))))</f>
        <v>0</v>
      </c>
      <c r="W31" s="44">
        <f ca="1">IF(OR(Cashflow!W$111="C/I",Cashflow!W$111="Not yet producing"),0,IF(W$9-18*$I$6&lt;$I$4,0,(HLOOKUP(W$9-18*$I$6,$C$9:$AG$13,5,FALSE))))</f>
        <v>0</v>
      </c>
      <c r="X31" s="44">
        <f ca="1">IF(OR(Cashflow!X$111="C/I",Cashflow!X$111="Not yet producing"),0,IF(X$9-18*$I$6&lt;$I$4,0,(HLOOKUP(X$9-18*$I$6,$C$9:$AG$13,5,FALSE))))</f>
        <v>0</v>
      </c>
      <c r="Y31" s="44">
        <f ca="1">IF(OR(Cashflow!Y$111="C/I",Cashflow!Y$111="Not yet producing"),0,IF(Y$9-18*$I$6&lt;$I$4,0,(HLOOKUP(Y$9-18*$I$6,$C$9:$AG$13,5,FALSE))))</f>
        <v>0</v>
      </c>
      <c r="Z31" s="44">
        <f ca="1">IF(OR(Cashflow!Z$111="C/I",Cashflow!Z$111="Not yet producing"),0,IF(Z$9-18*$I$6&lt;$I$4,0,(HLOOKUP(Z$9-18*$I$6,$C$9:$AG$13,5,FALSE))))</f>
        <v>0</v>
      </c>
      <c r="AA31" s="44">
        <f ca="1">IF(OR(Cashflow!AA$111="C/I",Cashflow!AA$111="Not yet producing"),0,IF(AA$9-18*$I$6&lt;$I$4,0,(HLOOKUP(AA$9-18*$I$6,$C$9:$AG$13,5,FALSE))))</f>
        <v>0</v>
      </c>
      <c r="AB31" s="44">
        <f ca="1">IF(OR(Cashflow!AB$111="C/I",Cashflow!AB$111="Not yet producing"),0,IF(AB$9-18*$I$6&lt;$I$4,0,(HLOOKUP(AB$9-18*$I$6,$C$9:$AG$13,5,FALSE))))</f>
        <v>0</v>
      </c>
      <c r="AC31" s="44">
        <f ca="1">IF(OR(Cashflow!AC$111="C/I",Cashflow!AC$111="Not yet producing"),0,IF(AC$9-18*$I$6&lt;$I$4,0,(HLOOKUP(AC$9-18*$I$6,$C$9:$AG$13,5,FALSE))))</f>
        <v>0</v>
      </c>
      <c r="AD31" s="44">
        <f ca="1">IF(OR(Cashflow!AD$111="C/I",Cashflow!AD$111="Not yet producing"),0,IF(AD$9-18*$I$6&lt;$I$4,0,(HLOOKUP(AD$9-18*$I$6,$C$9:$AG$13,5,FALSE))))</f>
        <v>0</v>
      </c>
      <c r="AE31" s="44">
        <f ca="1">IF(OR(Cashflow!AE$111="C/I",Cashflow!AE$111="Not yet producing"),0,IF(AE$9-18*$I$6&lt;$I$4,0,(HLOOKUP(AE$9-18*$I$6,$C$9:$AG$13,5,FALSE))))</f>
        <v>0</v>
      </c>
      <c r="AF31" s="44">
        <f ca="1">IF(OR(Cashflow!AF$111="C/I",Cashflow!AF$111="Not yet producing"),0,IF(AF$9-18*$I$6&lt;$I$4,0,(HLOOKUP(AF$9-18*$I$6,$C$9:$AG$13,5,FALSE))))</f>
        <v>0</v>
      </c>
      <c r="AG31" s="44">
        <f ca="1">IF(OR(Cashflow!AG$111="C/I",Cashflow!AG$111="Not yet producing"),0,IF(AG$9-18*$I$6&lt;$I$4,0,(HLOOKUP(AG$9-18*$I$6,$C$9:$AG$13,5,FALSE))))</f>
        <v>0</v>
      </c>
      <c r="AH31" s="19"/>
      <c r="AI31" s="19"/>
      <c r="AJ31" s="19"/>
      <c r="AK31" s="19"/>
      <c r="AL31" s="21"/>
      <c r="AM31" s="21"/>
      <c r="AN31" s="19"/>
      <c r="AO31" s="19"/>
      <c r="AP31" s="19"/>
      <c r="AQ31" s="19"/>
      <c r="AR31" s="326"/>
      <c r="AS31" s="326"/>
      <c r="AT31" s="326"/>
      <c r="AU31" s="326"/>
      <c r="AV31" s="326"/>
      <c r="AW31" s="326"/>
      <c r="AX31" s="326"/>
      <c r="AY31" s="326"/>
      <c r="AZ31" s="326"/>
      <c r="BA31" s="326"/>
      <c r="BB31" s="326"/>
    </row>
    <row r="32" spans="1:54" s="26" customFormat="1" ht="13.2">
      <c r="A32" s="19"/>
      <c r="B32" s="55" t="s">
        <v>1737</v>
      </c>
      <c r="C32" s="44">
        <f>IF(OR(Cashflow!C$111="C/I",Cashflow!C$111="Not yet producing"),0,IF(C$9-19*$I$6&lt;$I$4,0,(HLOOKUP(C$9-19*$I$6,$C$9:$AG$13,5,FALSE))))</f>
        <v>0</v>
      </c>
      <c r="D32" s="44">
        <f>IF(OR(Cashflow!D$111="C/I",Cashflow!D$111="Not yet producing"),0,IF(D$9-19*$I$6&lt;$I$4,0,(HLOOKUP(D$9-19*$I$6,$C$9:$AG$13,5,FALSE))))</f>
        <v>0</v>
      </c>
      <c r="E32" s="44">
        <f>IF(OR(Cashflow!E$111="C/I",Cashflow!E$111="Not yet producing"),0,IF(E$9-19*$I$6&lt;$I$4,0,(HLOOKUP(E$9-19*$I$6,$C$9:$AG$13,5,FALSE))))</f>
        <v>0</v>
      </c>
      <c r="F32" s="44">
        <f>IF(OR(Cashflow!F$111="C/I",Cashflow!F$111="Not yet producing"),0,IF(F$9-19*$I$6&lt;$I$4,0,(HLOOKUP(F$9-19*$I$6,$C$9:$AG$13,5,FALSE))))</f>
        <v>0</v>
      </c>
      <c r="G32" s="44">
        <f>IF(OR(Cashflow!G$111="C/I",Cashflow!G$111="Not yet producing"),0,IF(G$9-19*$I$6&lt;$I$4,0,(HLOOKUP(G$9-19*$I$6,$C$9:$AG$13,5,FALSE))))</f>
        <v>0</v>
      </c>
      <c r="H32" s="44">
        <f>IF(OR(Cashflow!H$111="C/I",Cashflow!H$111="Not yet producing"),0,IF(H$9-19*$I$6&lt;$I$4,0,(HLOOKUP(H$9-19*$I$6,$C$9:$AG$13,5,FALSE))))</f>
        <v>0</v>
      </c>
      <c r="I32" s="44">
        <f>IF(OR(Cashflow!I$111="C/I",Cashflow!I$111="Not yet producing"),0,IF(I$9-19*$I$6&lt;$I$4,0,(HLOOKUP(I$9-19*$I$6,$C$9:$AG$13,5,FALSE))))</f>
        <v>0</v>
      </c>
      <c r="J32" s="44">
        <f>IF(OR(Cashflow!J$111="C/I",Cashflow!J$111="Not yet producing"),0,IF(J$9-19*$I$6&lt;$I$4,0,(HLOOKUP(J$9-19*$I$6,$C$9:$AG$13,5,FALSE))))</f>
        <v>0</v>
      </c>
      <c r="K32" s="44">
        <f>IF(OR(Cashflow!K$111="C/I",Cashflow!K$111="Not yet producing"),0,IF(K$9-19*$I$6&lt;$I$4,0,(HLOOKUP(K$9-19*$I$6,$C$9:$AG$13,5,FALSE))))</f>
        <v>0</v>
      </c>
      <c r="L32" s="44">
        <f ca="1">IF(OR(Cashflow!L$111="C/I",Cashflow!L$111="Not yet producing"),0,IF(L$9-19*$I$6&lt;$I$4,0,(HLOOKUP(L$9-19*$I$6,$C$9:$AG$13,5,FALSE))))</f>
        <v>0</v>
      </c>
      <c r="M32" s="44">
        <f ca="1">IF(OR(Cashflow!M$111="C/I",Cashflow!M$111="Not yet producing"),0,IF(M$9-19*$I$6&lt;$I$4,0,(HLOOKUP(M$9-19*$I$6,$C$9:$AG$13,5,FALSE))))</f>
        <v>0</v>
      </c>
      <c r="N32" s="44">
        <f ca="1">IF(OR(Cashflow!N$111="C/I",Cashflow!N$111="Not yet producing"),0,IF(N$9-19*$I$6&lt;$I$4,0,(HLOOKUP(N$9-19*$I$6,$C$9:$AG$13,5,FALSE))))</f>
        <v>0</v>
      </c>
      <c r="O32" s="44">
        <f ca="1">IF(OR(Cashflow!O$111="C/I",Cashflow!O$111="Not yet producing"),0,IF(O$9-19*$I$6&lt;$I$4,0,(HLOOKUP(O$9-19*$I$6,$C$9:$AG$13,5,FALSE))))</f>
        <v>0</v>
      </c>
      <c r="P32" s="44">
        <f ca="1">IF(OR(Cashflow!P$111="C/I",Cashflow!P$111="Not yet producing"),0,IF(P$9-19*$I$6&lt;$I$4,0,(HLOOKUP(P$9-19*$I$6,$C$9:$AG$13,5,FALSE))))</f>
        <v>0</v>
      </c>
      <c r="Q32" s="44">
        <f ca="1">IF(OR(Cashflow!Q$111="C/I",Cashflow!Q$111="Not yet producing"),0,IF(Q$9-19*$I$6&lt;$I$4,0,(HLOOKUP(Q$9-19*$I$6,$C$9:$AG$13,5,FALSE))))</f>
        <v>0</v>
      </c>
      <c r="R32" s="44">
        <f ca="1">IF(OR(Cashflow!R$111="C/I",Cashflow!R$111="Not yet producing"),0,IF(R$9-19*$I$6&lt;$I$4,0,(HLOOKUP(R$9-19*$I$6,$C$9:$AG$13,5,FALSE))))</f>
        <v>0</v>
      </c>
      <c r="S32" s="44">
        <f ca="1">IF(OR(Cashflow!S$111="C/I",Cashflow!S$111="Not yet producing"),0,IF(S$9-19*$I$6&lt;$I$4,0,(HLOOKUP(S$9-19*$I$6,$C$9:$AG$13,5,FALSE))))</f>
        <v>0</v>
      </c>
      <c r="T32" s="44">
        <f ca="1">IF(OR(Cashflow!T$111="C/I",Cashflow!T$111="Not yet producing"),0,IF(T$9-19*$I$6&lt;$I$4,0,(HLOOKUP(T$9-19*$I$6,$C$9:$AG$13,5,FALSE))))</f>
        <v>0</v>
      </c>
      <c r="U32" s="44">
        <f ca="1">IF(OR(Cashflow!U$111="C/I",Cashflow!U$111="Not yet producing"),0,IF(U$9-19*$I$6&lt;$I$4,0,(HLOOKUP(U$9-19*$I$6,$C$9:$AG$13,5,FALSE))))</f>
        <v>0</v>
      </c>
      <c r="V32" s="44">
        <f ca="1">IF(OR(Cashflow!V$111="C/I",Cashflow!V$111="Not yet producing"),0,IF(V$9-19*$I$6&lt;$I$4,0,(HLOOKUP(V$9-19*$I$6,$C$9:$AG$13,5,FALSE))))</f>
        <v>0</v>
      </c>
      <c r="W32" s="44">
        <f ca="1">IF(OR(Cashflow!W$111="C/I",Cashflow!W$111="Not yet producing"),0,IF(W$9-19*$I$6&lt;$I$4,0,(HLOOKUP(W$9-19*$I$6,$C$9:$AG$13,5,FALSE))))</f>
        <v>0</v>
      </c>
      <c r="X32" s="44">
        <f ca="1">IF(OR(Cashflow!X$111="C/I",Cashflow!X$111="Not yet producing"),0,IF(X$9-19*$I$6&lt;$I$4,0,(HLOOKUP(X$9-19*$I$6,$C$9:$AG$13,5,FALSE))))</f>
        <v>0</v>
      </c>
      <c r="Y32" s="44">
        <f ca="1">IF(OR(Cashflow!Y$111="C/I",Cashflow!Y$111="Not yet producing"),0,IF(Y$9-19*$I$6&lt;$I$4,0,(HLOOKUP(Y$9-19*$I$6,$C$9:$AG$13,5,FALSE))))</f>
        <v>0</v>
      </c>
      <c r="Z32" s="44">
        <f ca="1">IF(OR(Cashflow!Z$111="C/I",Cashflow!Z$111="Not yet producing"),0,IF(Z$9-19*$I$6&lt;$I$4,0,(HLOOKUP(Z$9-19*$I$6,$C$9:$AG$13,5,FALSE))))</f>
        <v>0</v>
      </c>
      <c r="AA32" s="44">
        <f ca="1">IF(OR(Cashflow!AA$111="C/I",Cashflow!AA$111="Not yet producing"),0,IF(AA$9-19*$I$6&lt;$I$4,0,(HLOOKUP(AA$9-19*$I$6,$C$9:$AG$13,5,FALSE))))</f>
        <v>0</v>
      </c>
      <c r="AB32" s="44">
        <f ca="1">IF(OR(Cashflow!AB$111="C/I",Cashflow!AB$111="Not yet producing"),0,IF(AB$9-19*$I$6&lt;$I$4,0,(HLOOKUP(AB$9-19*$I$6,$C$9:$AG$13,5,FALSE))))</f>
        <v>0</v>
      </c>
      <c r="AC32" s="44">
        <f ca="1">IF(OR(Cashflow!AC$111="C/I",Cashflow!AC$111="Not yet producing"),0,IF(AC$9-19*$I$6&lt;$I$4,0,(HLOOKUP(AC$9-19*$I$6,$C$9:$AG$13,5,FALSE))))</f>
        <v>0</v>
      </c>
      <c r="AD32" s="44">
        <f ca="1">IF(OR(Cashflow!AD$111="C/I",Cashflow!AD$111="Not yet producing"),0,IF(AD$9-19*$I$6&lt;$I$4,0,(HLOOKUP(AD$9-19*$I$6,$C$9:$AG$13,5,FALSE))))</f>
        <v>0</v>
      </c>
      <c r="AE32" s="44">
        <f ca="1">IF(OR(Cashflow!AE$111="C/I",Cashflow!AE$111="Not yet producing"),0,IF(AE$9-19*$I$6&lt;$I$4,0,(HLOOKUP(AE$9-19*$I$6,$C$9:$AG$13,5,FALSE))))</f>
        <v>0</v>
      </c>
      <c r="AF32" s="44">
        <f ca="1">IF(OR(Cashflow!AF$111="C/I",Cashflow!AF$111="Not yet producing"),0,IF(AF$9-19*$I$6&lt;$I$4,0,(HLOOKUP(AF$9-19*$I$6,$C$9:$AG$13,5,FALSE))))</f>
        <v>0</v>
      </c>
      <c r="AG32" s="44">
        <f ca="1">IF(OR(Cashflow!AG$111="C/I",Cashflow!AG$111="Not yet producing"),0,IF(AG$9-19*$I$6&lt;$I$4,0,(HLOOKUP(AG$9-19*$I$6,$C$9:$AG$13,5,FALSE))))</f>
        <v>0</v>
      </c>
      <c r="AH32" s="19"/>
      <c r="AI32" s="19"/>
      <c r="AJ32" s="19"/>
      <c r="AK32" s="19"/>
      <c r="AL32" s="21"/>
      <c r="AM32" s="21"/>
      <c r="AN32" s="19"/>
      <c r="AO32" s="19"/>
      <c r="AP32" s="19"/>
      <c r="AQ32" s="19"/>
      <c r="AR32" s="326"/>
      <c r="AS32" s="326"/>
      <c r="AT32" s="326"/>
      <c r="AU32" s="326"/>
      <c r="AV32" s="326"/>
      <c r="AW32" s="326"/>
      <c r="AX32" s="326"/>
      <c r="AY32" s="326"/>
      <c r="AZ32" s="326"/>
      <c r="BA32" s="326"/>
      <c r="BB32" s="326"/>
    </row>
    <row r="33" spans="1:54" s="26" customFormat="1" ht="13.2">
      <c r="A33" s="19"/>
      <c r="B33" s="55" t="s">
        <v>1738</v>
      </c>
      <c r="C33" s="44">
        <f>IF(OR(Cashflow!C$111="C/I",Cashflow!C$111="Not yet producing"),0,IF(C$9-20*$I$6&lt;$I$4,0,(HLOOKUP(C$9-20*$I$6,$C$9:$AG$13,5,FALSE))))</f>
        <v>0</v>
      </c>
      <c r="D33" s="44">
        <f>IF(OR(Cashflow!D$111="C/I",Cashflow!D$111="Not yet producing"),0,IF(D$9-20*$I$6&lt;$I$4,0,(HLOOKUP(D$9-20*$I$6,$C$9:$AG$13,5,FALSE))))</f>
        <v>0</v>
      </c>
      <c r="E33" s="44">
        <f>IF(OR(Cashflow!E$111="C/I",Cashflow!E$111="Not yet producing"),0,IF(E$9-20*$I$6&lt;$I$4,0,(HLOOKUP(E$9-20*$I$6,$C$9:$AG$13,5,FALSE))))</f>
        <v>0</v>
      </c>
      <c r="F33" s="44">
        <f>IF(OR(Cashflow!F$111="C/I",Cashflow!F$111="Not yet producing"),0,IF(F$9-20*$I$6&lt;$I$4,0,(HLOOKUP(F$9-20*$I$6,$C$9:$AG$13,5,FALSE))))</f>
        <v>0</v>
      </c>
      <c r="G33" s="44">
        <f>IF(OR(Cashflow!G$111="C/I",Cashflow!G$111="Not yet producing"),0,IF(G$9-20*$I$6&lt;$I$4,0,(HLOOKUP(G$9-20*$I$6,$C$9:$AG$13,5,FALSE))))</f>
        <v>0</v>
      </c>
      <c r="H33" s="44">
        <f>IF(OR(Cashflow!H$111="C/I",Cashflow!H$111="Not yet producing"),0,IF(H$9-20*$I$6&lt;$I$4,0,(HLOOKUP(H$9-20*$I$6,$C$9:$AG$13,5,FALSE))))</f>
        <v>0</v>
      </c>
      <c r="I33" s="44">
        <f>IF(OR(Cashflow!I$111="C/I",Cashflow!I$111="Not yet producing"),0,IF(I$9-20*$I$6&lt;$I$4,0,(HLOOKUP(I$9-20*$I$6,$C$9:$AG$13,5,FALSE))))</f>
        <v>0</v>
      </c>
      <c r="J33" s="44">
        <f>IF(OR(Cashflow!J$111="C/I",Cashflow!J$111="Not yet producing"),0,IF(J$9-20*$I$6&lt;$I$4,0,(HLOOKUP(J$9-20*$I$6,$C$9:$AG$13,5,FALSE))))</f>
        <v>0</v>
      </c>
      <c r="K33" s="44">
        <f>IF(OR(Cashflow!K$111="C/I",Cashflow!K$111="Not yet producing"),0,IF(K$9-20*$I$6&lt;$I$4,0,(HLOOKUP(K$9-20*$I$6,$C$9:$AG$13,5,FALSE))))</f>
        <v>0</v>
      </c>
      <c r="L33" s="44">
        <f ca="1">IF(OR(Cashflow!L$111="C/I",Cashflow!L$111="Not yet producing"),0,IF(L$9-20*$I$6&lt;$I$4,0,(HLOOKUP(L$9-20*$I$6,$C$9:$AG$13,5,FALSE))))</f>
        <v>0</v>
      </c>
      <c r="M33" s="44">
        <f ca="1">IF(OR(Cashflow!M$111="C/I",Cashflow!M$111="Not yet producing"),0,IF(M$9-20*$I$6&lt;$I$4,0,(HLOOKUP(M$9-20*$I$6,$C$9:$AG$13,5,FALSE))))</f>
        <v>0</v>
      </c>
      <c r="N33" s="44">
        <f ca="1">IF(OR(Cashflow!N$111="C/I",Cashflow!N$111="Not yet producing"),0,IF(N$9-20*$I$6&lt;$I$4,0,(HLOOKUP(N$9-20*$I$6,$C$9:$AG$13,5,FALSE))))</f>
        <v>0</v>
      </c>
      <c r="O33" s="44">
        <f ca="1">IF(OR(Cashflow!O$111="C/I",Cashflow!O$111="Not yet producing"),0,IF(O$9-20*$I$6&lt;$I$4,0,(HLOOKUP(O$9-20*$I$6,$C$9:$AG$13,5,FALSE))))</f>
        <v>0</v>
      </c>
      <c r="P33" s="44">
        <f ca="1">IF(OR(Cashflow!P$111="C/I",Cashflow!P$111="Not yet producing"),0,IF(P$9-20*$I$6&lt;$I$4,0,(HLOOKUP(P$9-20*$I$6,$C$9:$AG$13,5,FALSE))))</f>
        <v>0</v>
      </c>
      <c r="Q33" s="44">
        <f ca="1">IF(OR(Cashflow!Q$111="C/I",Cashflow!Q$111="Not yet producing"),0,IF(Q$9-20*$I$6&lt;$I$4,0,(HLOOKUP(Q$9-20*$I$6,$C$9:$AG$13,5,FALSE))))</f>
        <v>0</v>
      </c>
      <c r="R33" s="44">
        <f ca="1">IF(OR(Cashflow!R$111="C/I",Cashflow!R$111="Not yet producing"),0,IF(R$9-20*$I$6&lt;$I$4,0,(HLOOKUP(R$9-20*$I$6,$C$9:$AG$13,5,FALSE))))</f>
        <v>0</v>
      </c>
      <c r="S33" s="44">
        <f ca="1">IF(OR(Cashflow!S$111="C/I",Cashflow!S$111="Not yet producing"),0,IF(S$9-20*$I$6&lt;$I$4,0,(HLOOKUP(S$9-20*$I$6,$C$9:$AG$13,5,FALSE))))</f>
        <v>0</v>
      </c>
      <c r="T33" s="44">
        <f ca="1">IF(OR(Cashflow!T$111="C/I",Cashflow!T$111="Not yet producing"),0,IF(T$9-20*$I$6&lt;$I$4,0,(HLOOKUP(T$9-20*$I$6,$C$9:$AG$13,5,FALSE))))</f>
        <v>0</v>
      </c>
      <c r="U33" s="44">
        <f ca="1">IF(OR(Cashflow!U$111="C/I",Cashflow!U$111="Not yet producing"),0,IF(U$9-20*$I$6&lt;$I$4,0,(HLOOKUP(U$9-20*$I$6,$C$9:$AG$13,5,FALSE))))</f>
        <v>0</v>
      </c>
      <c r="V33" s="44">
        <f ca="1">IF(OR(Cashflow!V$111="C/I",Cashflow!V$111="Not yet producing"),0,IF(V$9-20*$I$6&lt;$I$4,0,(HLOOKUP(V$9-20*$I$6,$C$9:$AG$13,5,FALSE))))</f>
        <v>0</v>
      </c>
      <c r="W33" s="44">
        <f ca="1">IF(OR(Cashflow!W$111="C/I",Cashflow!W$111="Not yet producing"),0,IF(W$9-20*$I$6&lt;$I$4,0,(HLOOKUP(W$9-20*$I$6,$C$9:$AG$13,5,FALSE))))</f>
        <v>0</v>
      </c>
      <c r="X33" s="44">
        <f ca="1">IF(OR(Cashflow!X$111="C/I",Cashflow!X$111="Not yet producing"),0,IF(X$9-20*$I$6&lt;$I$4,0,(HLOOKUP(X$9-20*$I$6,$C$9:$AG$13,5,FALSE))))</f>
        <v>0</v>
      </c>
      <c r="Y33" s="44">
        <f ca="1">IF(OR(Cashflow!Y$111="C/I",Cashflow!Y$111="Not yet producing"),0,IF(Y$9-20*$I$6&lt;$I$4,0,(HLOOKUP(Y$9-20*$I$6,$C$9:$AG$13,5,FALSE))))</f>
        <v>0</v>
      </c>
      <c r="Z33" s="44">
        <f ca="1">IF(OR(Cashflow!Z$111="C/I",Cashflow!Z$111="Not yet producing"),0,IF(Z$9-20*$I$6&lt;$I$4,0,(HLOOKUP(Z$9-20*$I$6,$C$9:$AG$13,5,FALSE))))</f>
        <v>0</v>
      </c>
      <c r="AA33" s="44">
        <f ca="1">IF(OR(Cashflow!AA$111="C/I",Cashflow!AA$111="Not yet producing"),0,IF(AA$9-20*$I$6&lt;$I$4,0,(HLOOKUP(AA$9-20*$I$6,$C$9:$AG$13,5,FALSE))))</f>
        <v>0</v>
      </c>
      <c r="AB33" s="44">
        <f ca="1">IF(OR(Cashflow!AB$111="C/I",Cashflow!AB$111="Not yet producing"),0,IF(AB$9-20*$I$6&lt;$I$4,0,(HLOOKUP(AB$9-20*$I$6,$C$9:$AG$13,5,FALSE))))</f>
        <v>0</v>
      </c>
      <c r="AC33" s="44">
        <f ca="1">IF(OR(Cashflow!AC$111="C/I",Cashflow!AC$111="Not yet producing"),0,IF(AC$9-20*$I$6&lt;$I$4,0,(HLOOKUP(AC$9-20*$I$6,$C$9:$AG$13,5,FALSE))))</f>
        <v>0</v>
      </c>
      <c r="AD33" s="44">
        <f ca="1">IF(OR(Cashflow!AD$111="C/I",Cashflow!AD$111="Not yet producing"),0,IF(AD$9-20*$I$6&lt;$I$4,0,(HLOOKUP(AD$9-20*$I$6,$C$9:$AG$13,5,FALSE))))</f>
        <v>0</v>
      </c>
      <c r="AE33" s="44">
        <f ca="1">IF(OR(Cashflow!AE$111="C/I",Cashflow!AE$111="Not yet producing"),0,IF(AE$9-20*$I$6&lt;$I$4,0,(HLOOKUP(AE$9-20*$I$6,$C$9:$AG$13,5,FALSE))))</f>
        <v>0</v>
      </c>
      <c r="AF33" s="44">
        <f ca="1">IF(OR(Cashflow!AF$111="C/I",Cashflow!AF$111="Not yet producing"),0,IF(AF$9-20*$I$6&lt;$I$4,0,(HLOOKUP(AF$9-20*$I$6,$C$9:$AG$13,5,FALSE))))</f>
        <v>0</v>
      </c>
      <c r="AG33" s="44">
        <f ca="1">IF(OR(Cashflow!AG$111="C/I",Cashflow!AG$111="Not yet producing"),0,IF(AG$9-20*$I$6&lt;$I$4,0,(HLOOKUP(AG$9-20*$I$6,$C$9:$AG$13,5,FALSE))))</f>
        <v>0</v>
      </c>
      <c r="AH33" s="19"/>
      <c r="AI33" s="19"/>
      <c r="AJ33" s="19"/>
      <c r="AK33" s="19"/>
      <c r="AL33" s="21"/>
      <c r="AM33" s="21"/>
      <c r="AN33" s="19"/>
      <c r="AO33" s="19"/>
      <c r="AP33" s="19"/>
      <c r="AQ33" s="19"/>
      <c r="AR33" s="326"/>
      <c r="AS33" s="326"/>
      <c r="AT33" s="326"/>
      <c r="AU33" s="326"/>
      <c r="AV33" s="326"/>
      <c r="AW33" s="326"/>
      <c r="AX33" s="326"/>
      <c r="AY33" s="326"/>
      <c r="AZ33" s="326"/>
      <c r="BA33" s="326"/>
      <c r="BB33" s="326"/>
    </row>
    <row r="34" spans="1:54" s="26" customFormat="1" ht="13.2">
      <c r="A34" s="19"/>
      <c r="B34" s="55" t="s">
        <v>1739</v>
      </c>
      <c r="C34" s="44">
        <f>IF(OR(Cashflow!C$111="C/I",Cashflow!C$111="Not yet producing"),0,IF(C$9-21*$I$6&lt;$I$4,0,(HLOOKUP(C$9-21*$I$6,$C$9:$AG$13,5,FALSE))))</f>
        <v>0</v>
      </c>
      <c r="D34" s="44">
        <f>IF(OR(Cashflow!D$111="C/I",Cashflow!D$111="Not yet producing"),0,IF(D$9-21*$I$6&lt;$I$4,0,(HLOOKUP(D$9-21*$I$6,$C$9:$AG$13,5,FALSE))))</f>
        <v>0</v>
      </c>
      <c r="E34" s="44">
        <f>IF(OR(Cashflow!E$111="C/I",Cashflow!E$111="Not yet producing"),0,IF(E$9-21*$I$6&lt;$I$4,0,(HLOOKUP(E$9-21*$I$6,$C$9:$AG$13,5,FALSE))))</f>
        <v>0</v>
      </c>
      <c r="F34" s="44">
        <f>IF(OR(Cashflow!F$111="C/I",Cashflow!F$111="Not yet producing"),0,IF(F$9-21*$I$6&lt;$I$4,0,(HLOOKUP(F$9-21*$I$6,$C$9:$AG$13,5,FALSE))))</f>
        <v>0</v>
      </c>
      <c r="G34" s="44">
        <f>IF(OR(Cashflow!G$111="C/I",Cashflow!G$111="Not yet producing"),0,IF(G$9-21*$I$6&lt;$I$4,0,(HLOOKUP(G$9-21*$I$6,$C$9:$AG$13,5,FALSE))))</f>
        <v>0</v>
      </c>
      <c r="H34" s="44">
        <f>IF(OR(Cashflow!H$111="C/I",Cashflow!H$111="Not yet producing"),0,IF(H$9-21*$I$6&lt;$I$4,0,(HLOOKUP(H$9-21*$I$6,$C$9:$AG$13,5,FALSE))))</f>
        <v>0</v>
      </c>
      <c r="I34" s="44">
        <f>IF(OR(Cashflow!I$111="C/I",Cashflow!I$111="Not yet producing"),0,IF(I$9-21*$I$6&lt;$I$4,0,(HLOOKUP(I$9-21*$I$6,$C$9:$AG$13,5,FALSE))))</f>
        <v>0</v>
      </c>
      <c r="J34" s="44">
        <f>IF(OR(Cashflow!J$111="C/I",Cashflow!J$111="Not yet producing"),0,IF(J$9-21*$I$6&lt;$I$4,0,(HLOOKUP(J$9-21*$I$6,$C$9:$AG$13,5,FALSE))))</f>
        <v>0</v>
      </c>
      <c r="K34" s="44">
        <f>IF(OR(Cashflow!K$111="C/I",Cashflow!K$111="Not yet producing"),0,IF(K$9-21*$I$6&lt;$I$4,0,(HLOOKUP(K$9-21*$I$6,$C$9:$AG$13,5,FALSE))))</f>
        <v>0</v>
      </c>
      <c r="L34" s="44">
        <f ca="1">IF(OR(Cashflow!L$111="C/I",Cashflow!L$111="Not yet producing"),0,IF(L$9-21*$I$6&lt;$I$4,0,(HLOOKUP(L$9-21*$I$6,$C$9:$AG$13,5,FALSE))))</f>
        <v>0</v>
      </c>
      <c r="M34" s="44">
        <f ca="1">IF(OR(Cashflow!M$111="C/I",Cashflow!M$111="Not yet producing"),0,IF(M$9-21*$I$6&lt;$I$4,0,(HLOOKUP(M$9-21*$I$6,$C$9:$AG$13,5,FALSE))))</f>
        <v>0</v>
      </c>
      <c r="N34" s="44">
        <f ca="1">IF(OR(Cashflow!N$111="C/I",Cashflow!N$111="Not yet producing"),0,IF(N$9-21*$I$6&lt;$I$4,0,(HLOOKUP(N$9-21*$I$6,$C$9:$AG$13,5,FALSE))))</f>
        <v>0</v>
      </c>
      <c r="O34" s="44">
        <f ca="1">IF(OR(Cashflow!O$111="C/I",Cashflow!O$111="Not yet producing"),0,IF(O$9-21*$I$6&lt;$I$4,0,(HLOOKUP(O$9-21*$I$6,$C$9:$AG$13,5,FALSE))))</f>
        <v>0</v>
      </c>
      <c r="P34" s="44">
        <f ca="1">IF(OR(Cashflow!P$111="C/I",Cashflow!P$111="Not yet producing"),0,IF(P$9-21*$I$6&lt;$I$4,0,(HLOOKUP(P$9-21*$I$6,$C$9:$AG$13,5,FALSE))))</f>
        <v>0</v>
      </c>
      <c r="Q34" s="44">
        <f ca="1">IF(OR(Cashflow!Q$111="C/I",Cashflow!Q$111="Not yet producing"),0,IF(Q$9-21*$I$6&lt;$I$4,0,(HLOOKUP(Q$9-21*$I$6,$C$9:$AG$13,5,FALSE))))</f>
        <v>0</v>
      </c>
      <c r="R34" s="44">
        <f ca="1">IF(OR(Cashflow!R$111="C/I",Cashflow!R$111="Not yet producing"),0,IF(R$9-21*$I$6&lt;$I$4,0,(HLOOKUP(R$9-21*$I$6,$C$9:$AG$13,5,FALSE))))</f>
        <v>0</v>
      </c>
      <c r="S34" s="44">
        <f ca="1">IF(OR(Cashflow!S$111="C/I",Cashflow!S$111="Not yet producing"),0,IF(S$9-21*$I$6&lt;$I$4,0,(HLOOKUP(S$9-21*$I$6,$C$9:$AG$13,5,FALSE))))</f>
        <v>0</v>
      </c>
      <c r="T34" s="44">
        <f ca="1">IF(OR(Cashflow!T$111="C/I",Cashflow!T$111="Not yet producing"),0,IF(T$9-21*$I$6&lt;$I$4,0,(HLOOKUP(T$9-21*$I$6,$C$9:$AG$13,5,FALSE))))</f>
        <v>0</v>
      </c>
      <c r="U34" s="44">
        <f ca="1">IF(OR(Cashflow!U$111="C/I",Cashflow!U$111="Not yet producing"),0,IF(U$9-21*$I$6&lt;$I$4,0,(HLOOKUP(U$9-21*$I$6,$C$9:$AG$13,5,FALSE))))</f>
        <v>0</v>
      </c>
      <c r="V34" s="44">
        <f ca="1">IF(OR(Cashflow!V$111="C/I",Cashflow!V$111="Not yet producing"),0,IF(V$9-21*$I$6&lt;$I$4,0,(HLOOKUP(V$9-21*$I$6,$C$9:$AG$13,5,FALSE))))</f>
        <v>0</v>
      </c>
      <c r="W34" s="44">
        <f ca="1">IF(OR(Cashflow!W$111="C/I",Cashflow!W$111="Not yet producing"),0,IF(W$9-21*$I$6&lt;$I$4,0,(HLOOKUP(W$9-21*$I$6,$C$9:$AG$13,5,FALSE))))</f>
        <v>0</v>
      </c>
      <c r="X34" s="44">
        <f ca="1">IF(OR(Cashflow!X$111="C/I",Cashflow!X$111="Not yet producing"),0,IF(X$9-21*$I$6&lt;$I$4,0,(HLOOKUP(X$9-21*$I$6,$C$9:$AG$13,5,FALSE))))</f>
        <v>0</v>
      </c>
      <c r="Y34" s="44">
        <f ca="1">IF(OR(Cashflow!Y$111="C/I",Cashflow!Y$111="Not yet producing"),0,IF(Y$9-21*$I$6&lt;$I$4,0,(HLOOKUP(Y$9-21*$I$6,$C$9:$AG$13,5,FALSE))))</f>
        <v>0</v>
      </c>
      <c r="Z34" s="44">
        <f ca="1">IF(OR(Cashflow!Z$111="C/I",Cashflow!Z$111="Not yet producing"),0,IF(Z$9-21*$I$6&lt;$I$4,0,(HLOOKUP(Z$9-21*$I$6,$C$9:$AG$13,5,FALSE))))</f>
        <v>0</v>
      </c>
      <c r="AA34" s="44">
        <f ca="1">IF(OR(Cashflow!AA$111="C/I",Cashflow!AA$111="Not yet producing"),0,IF(AA$9-21*$I$6&lt;$I$4,0,(HLOOKUP(AA$9-21*$I$6,$C$9:$AG$13,5,FALSE))))</f>
        <v>0</v>
      </c>
      <c r="AB34" s="44">
        <f ca="1">IF(OR(Cashflow!AB$111="C/I",Cashflow!AB$111="Not yet producing"),0,IF(AB$9-21*$I$6&lt;$I$4,0,(HLOOKUP(AB$9-21*$I$6,$C$9:$AG$13,5,FALSE))))</f>
        <v>0</v>
      </c>
      <c r="AC34" s="44">
        <f ca="1">IF(OR(Cashflow!AC$111="C/I",Cashflow!AC$111="Not yet producing"),0,IF(AC$9-21*$I$6&lt;$I$4,0,(HLOOKUP(AC$9-21*$I$6,$C$9:$AG$13,5,FALSE))))</f>
        <v>0</v>
      </c>
      <c r="AD34" s="44">
        <f ca="1">IF(OR(Cashflow!AD$111="C/I",Cashflow!AD$111="Not yet producing"),0,IF(AD$9-21*$I$6&lt;$I$4,0,(HLOOKUP(AD$9-21*$I$6,$C$9:$AG$13,5,FALSE))))</f>
        <v>0</v>
      </c>
      <c r="AE34" s="44">
        <f ca="1">IF(OR(Cashflow!AE$111="C/I",Cashflow!AE$111="Not yet producing"),0,IF(AE$9-21*$I$6&lt;$I$4,0,(HLOOKUP(AE$9-21*$I$6,$C$9:$AG$13,5,FALSE))))</f>
        <v>0</v>
      </c>
      <c r="AF34" s="44">
        <f ca="1">IF(OR(Cashflow!AF$111="C/I",Cashflow!AF$111="Not yet producing"),0,IF(AF$9-21*$I$6&lt;$I$4,0,(HLOOKUP(AF$9-21*$I$6,$C$9:$AG$13,5,FALSE))))</f>
        <v>0</v>
      </c>
      <c r="AG34" s="44">
        <f ca="1">IF(OR(Cashflow!AG$111="C/I",Cashflow!AG$111="Not yet producing"),0,IF(AG$9-21*$I$6&lt;$I$4,0,(HLOOKUP(AG$9-21*$I$6,$C$9:$AG$13,5,FALSE))))</f>
        <v>0</v>
      </c>
      <c r="AH34" s="19"/>
      <c r="AI34" s="19"/>
      <c r="AJ34" s="19"/>
      <c r="AK34" s="19"/>
      <c r="AL34" s="21"/>
      <c r="AM34" s="21"/>
      <c r="AN34" s="19"/>
      <c r="AO34" s="19"/>
      <c r="AP34" s="19"/>
      <c r="AQ34" s="19"/>
      <c r="AR34" s="326"/>
      <c r="AS34" s="326"/>
      <c r="AT34" s="326"/>
      <c r="AU34" s="326"/>
      <c r="AV34" s="326"/>
      <c r="AW34" s="326"/>
      <c r="AX34" s="326"/>
      <c r="AY34" s="326"/>
      <c r="AZ34" s="326"/>
      <c r="BA34" s="326"/>
      <c r="BB34" s="326"/>
    </row>
    <row r="35" spans="1:54" s="26" customFormat="1" ht="13.2">
      <c r="A35" s="19"/>
      <c r="B35" s="55" t="s">
        <v>1740</v>
      </c>
      <c r="C35" s="44">
        <f>IF(OR(Cashflow!C$111="C/I",Cashflow!C$111="Not yet producing"),0,IF(C$9-22*$I$6&lt;$I$4,0,(HLOOKUP(C$9-22*$I$6,$C$9:$AG$13,5,FALSE))))</f>
        <v>0</v>
      </c>
      <c r="D35" s="44">
        <f>IF(OR(Cashflow!D$111="C/I",Cashflow!D$111="Not yet producing"),0,IF(D$9-22*$I$6&lt;$I$4,0,(HLOOKUP(D$9-22*$I$6,$C$9:$AG$13,5,FALSE))))</f>
        <v>0</v>
      </c>
      <c r="E35" s="44">
        <f>IF(OR(Cashflow!E$111="C/I",Cashflow!E$111="Not yet producing"),0,IF(E$9-22*$I$6&lt;$I$4,0,(HLOOKUP(E$9-22*$I$6,$C$9:$AG$13,5,FALSE))))</f>
        <v>0</v>
      </c>
      <c r="F35" s="44">
        <f>IF(OR(Cashflow!F$111="C/I",Cashflow!F$111="Not yet producing"),0,IF(F$9-22*$I$6&lt;$I$4,0,(HLOOKUP(F$9-22*$I$6,$C$9:$AG$13,5,FALSE))))</f>
        <v>0</v>
      </c>
      <c r="G35" s="44">
        <f>IF(OR(Cashflow!G$111="C/I",Cashflow!G$111="Not yet producing"),0,IF(G$9-22*$I$6&lt;$I$4,0,(HLOOKUP(G$9-22*$I$6,$C$9:$AG$13,5,FALSE))))</f>
        <v>0</v>
      </c>
      <c r="H35" s="44">
        <f>IF(OR(Cashflow!H$111="C/I",Cashflow!H$111="Not yet producing"),0,IF(H$9-22*$I$6&lt;$I$4,0,(HLOOKUP(H$9-22*$I$6,$C$9:$AG$13,5,FALSE))))</f>
        <v>0</v>
      </c>
      <c r="I35" s="44">
        <f>IF(OR(Cashflow!I$111="C/I",Cashflow!I$111="Not yet producing"),0,IF(I$9-22*$I$6&lt;$I$4,0,(HLOOKUP(I$9-22*$I$6,$C$9:$AG$13,5,FALSE))))</f>
        <v>0</v>
      </c>
      <c r="J35" s="44">
        <f>IF(OR(Cashflow!J$111="C/I",Cashflow!J$111="Not yet producing"),0,IF(J$9-22*$I$6&lt;$I$4,0,(HLOOKUP(J$9-22*$I$6,$C$9:$AG$13,5,FALSE))))</f>
        <v>0</v>
      </c>
      <c r="K35" s="44">
        <f>IF(OR(Cashflow!K$111="C/I",Cashflow!K$111="Not yet producing"),0,IF(K$9-22*$I$6&lt;$I$4,0,(HLOOKUP(K$9-22*$I$6,$C$9:$AG$13,5,FALSE))))</f>
        <v>0</v>
      </c>
      <c r="L35" s="44">
        <f ca="1">IF(OR(Cashflow!L$111="C/I",Cashflow!L$111="Not yet producing"),0,IF(L$9-22*$I$6&lt;$I$4,0,(HLOOKUP(L$9-22*$I$6,$C$9:$AG$13,5,FALSE))))</f>
        <v>0</v>
      </c>
      <c r="M35" s="44">
        <f ca="1">IF(OR(Cashflow!M$111="C/I",Cashflow!M$111="Not yet producing"),0,IF(M$9-22*$I$6&lt;$I$4,0,(HLOOKUP(M$9-22*$I$6,$C$9:$AG$13,5,FALSE))))</f>
        <v>0</v>
      </c>
      <c r="N35" s="44">
        <f ca="1">IF(OR(Cashflow!N$111="C/I",Cashflow!N$111="Not yet producing"),0,IF(N$9-22*$I$6&lt;$I$4,0,(HLOOKUP(N$9-22*$I$6,$C$9:$AG$13,5,FALSE))))</f>
        <v>0</v>
      </c>
      <c r="O35" s="44">
        <f ca="1">IF(OR(Cashflow!O$111="C/I",Cashflow!O$111="Not yet producing"),0,IF(O$9-22*$I$6&lt;$I$4,0,(HLOOKUP(O$9-22*$I$6,$C$9:$AG$13,5,FALSE))))</f>
        <v>0</v>
      </c>
      <c r="P35" s="44">
        <f ca="1">IF(OR(Cashflow!P$111="C/I",Cashflow!P$111="Not yet producing"),0,IF(P$9-22*$I$6&lt;$I$4,0,(HLOOKUP(P$9-22*$I$6,$C$9:$AG$13,5,FALSE))))</f>
        <v>0</v>
      </c>
      <c r="Q35" s="44">
        <f ca="1">IF(OR(Cashflow!Q$111="C/I",Cashflow!Q$111="Not yet producing"),0,IF(Q$9-22*$I$6&lt;$I$4,0,(HLOOKUP(Q$9-22*$I$6,$C$9:$AG$13,5,FALSE))))</f>
        <v>0</v>
      </c>
      <c r="R35" s="44">
        <f ca="1">IF(OR(Cashflow!R$111="C/I",Cashflow!R$111="Not yet producing"),0,IF(R$9-22*$I$6&lt;$I$4,0,(HLOOKUP(R$9-22*$I$6,$C$9:$AG$13,5,FALSE))))</f>
        <v>0</v>
      </c>
      <c r="S35" s="44">
        <f ca="1">IF(OR(Cashflow!S$111="C/I",Cashflow!S$111="Not yet producing"),0,IF(S$9-22*$I$6&lt;$I$4,0,(HLOOKUP(S$9-22*$I$6,$C$9:$AG$13,5,FALSE))))</f>
        <v>0</v>
      </c>
      <c r="T35" s="44">
        <f ca="1">IF(OR(Cashflow!T$111="C/I",Cashflow!T$111="Not yet producing"),0,IF(T$9-22*$I$6&lt;$I$4,0,(HLOOKUP(T$9-22*$I$6,$C$9:$AG$13,5,FALSE))))</f>
        <v>0</v>
      </c>
      <c r="U35" s="44">
        <f ca="1">IF(OR(Cashflow!U$111="C/I",Cashflow!U$111="Not yet producing"),0,IF(U$9-22*$I$6&lt;$I$4,0,(HLOOKUP(U$9-22*$I$6,$C$9:$AG$13,5,FALSE))))</f>
        <v>0</v>
      </c>
      <c r="V35" s="44">
        <f ca="1">IF(OR(Cashflow!V$111="C/I",Cashflow!V$111="Not yet producing"),0,IF(V$9-22*$I$6&lt;$I$4,0,(HLOOKUP(V$9-22*$I$6,$C$9:$AG$13,5,FALSE))))</f>
        <v>0</v>
      </c>
      <c r="W35" s="44">
        <f ca="1">IF(OR(Cashflow!W$111="C/I",Cashflow!W$111="Not yet producing"),0,IF(W$9-22*$I$6&lt;$I$4,0,(HLOOKUP(W$9-22*$I$6,$C$9:$AG$13,5,FALSE))))</f>
        <v>0</v>
      </c>
      <c r="X35" s="44">
        <f ca="1">IF(OR(Cashflow!X$111="C/I",Cashflow!X$111="Not yet producing"),0,IF(X$9-22*$I$6&lt;$I$4,0,(HLOOKUP(X$9-22*$I$6,$C$9:$AG$13,5,FALSE))))</f>
        <v>0</v>
      </c>
      <c r="Y35" s="44">
        <f ca="1">IF(OR(Cashflow!Y$111="C/I",Cashflow!Y$111="Not yet producing"),0,IF(Y$9-22*$I$6&lt;$I$4,0,(HLOOKUP(Y$9-22*$I$6,$C$9:$AG$13,5,FALSE))))</f>
        <v>0</v>
      </c>
      <c r="Z35" s="44">
        <f ca="1">IF(OR(Cashflow!Z$111="C/I",Cashflow!Z$111="Not yet producing"),0,IF(Z$9-22*$I$6&lt;$I$4,0,(HLOOKUP(Z$9-22*$I$6,$C$9:$AG$13,5,FALSE))))</f>
        <v>0</v>
      </c>
      <c r="AA35" s="44">
        <f ca="1">IF(OR(Cashflow!AA$111="C/I",Cashflow!AA$111="Not yet producing"),0,IF(AA$9-22*$I$6&lt;$I$4,0,(HLOOKUP(AA$9-22*$I$6,$C$9:$AG$13,5,FALSE))))</f>
        <v>0</v>
      </c>
      <c r="AB35" s="44">
        <f ca="1">IF(OR(Cashflow!AB$111="C/I",Cashflow!AB$111="Not yet producing"),0,IF(AB$9-22*$I$6&lt;$I$4,0,(HLOOKUP(AB$9-22*$I$6,$C$9:$AG$13,5,FALSE))))</f>
        <v>0</v>
      </c>
      <c r="AC35" s="44">
        <f ca="1">IF(OR(Cashflow!AC$111="C/I",Cashflow!AC$111="Not yet producing"),0,IF(AC$9-22*$I$6&lt;$I$4,0,(HLOOKUP(AC$9-22*$I$6,$C$9:$AG$13,5,FALSE))))</f>
        <v>0</v>
      </c>
      <c r="AD35" s="44">
        <f ca="1">IF(OR(Cashflow!AD$111="C/I",Cashflow!AD$111="Not yet producing"),0,IF(AD$9-22*$I$6&lt;$I$4,0,(HLOOKUP(AD$9-22*$I$6,$C$9:$AG$13,5,FALSE))))</f>
        <v>0</v>
      </c>
      <c r="AE35" s="44">
        <f ca="1">IF(OR(Cashflow!AE$111="C/I",Cashflow!AE$111="Not yet producing"),0,IF(AE$9-22*$I$6&lt;$I$4,0,(HLOOKUP(AE$9-22*$I$6,$C$9:$AG$13,5,FALSE))))</f>
        <v>0</v>
      </c>
      <c r="AF35" s="44">
        <f ca="1">IF(OR(Cashflow!AF$111="C/I",Cashflow!AF$111="Not yet producing"),0,IF(AF$9-22*$I$6&lt;$I$4,0,(HLOOKUP(AF$9-22*$I$6,$C$9:$AG$13,5,FALSE))))</f>
        <v>0</v>
      </c>
      <c r="AG35" s="44">
        <f ca="1">IF(OR(Cashflow!AG$111="C/I",Cashflow!AG$111="Not yet producing"),0,IF(AG$9-22*$I$6&lt;$I$4,0,(HLOOKUP(AG$9-22*$I$6,$C$9:$AG$13,5,FALSE))))</f>
        <v>0</v>
      </c>
      <c r="AH35" s="19"/>
      <c r="AI35" s="19"/>
      <c r="AJ35" s="19"/>
      <c r="AK35" s="19"/>
      <c r="AL35" s="21"/>
      <c r="AM35" s="21"/>
      <c r="AN35" s="19"/>
      <c r="AO35" s="19"/>
      <c r="AP35" s="19"/>
      <c r="AQ35" s="19"/>
      <c r="AR35" s="326"/>
      <c r="AS35" s="326"/>
      <c r="AT35" s="326"/>
      <c r="AU35" s="326"/>
      <c r="AV35" s="326"/>
      <c r="AW35" s="326"/>
      <c r="AX35" s="326"/>
      <c r="AY35" s="326"/>
      <c r="AZ35" s="326"/>
      <c r="BA35" s="326"/>
      <c r="BB35" s="326"/>
    </row>
    <row r="36" spans="1:54" s="26" customFormat="1" ht="13.2">
      <c r="A36" s="19"/>
      <c r="B36" s="55" t="s">
        <v>1741</v>
      </c>
      <c r="C36" s="44">
        <f>IF(OR(Cashflow!C$111="C/I",Cashflow!C$111="Not yet producing"),0,IF(C$9-23*$I$6&lt;$I$4,0,(HLOOKUP(C$9-23*$I$6,$C$9:$AG$13,5,FALSE))))</f>
        <v>0</v>
      </c>
      <c r="D36" s="44">
        <f>IF(OR(Cashflow!D$111="C/I",Cashflow!D$111="Not yet producing"),0,IF(D$9-23*$I$6&lt;$I$4,0,(HLOOKUP(D$9-23*$I$6,$C$9:$AG$13,5,FALSE))))</f>
        <v>0</v>
      </c>
      <c r="E36" s="44">
        <f>IF(OR(Cashflow!E$111="C/I",Cashflow!E$111="Not yet producing"),0,IF(E$9-23*$I$6&lt;$I$4,0,(HLOOKUP(E$9-23*$I$6,$C$9:$AG$13,5,FALSE))))</f>
        <v>0</v>
      </c>
      <c r="F36" s="44">
        <f>IF(OR(Cashflow!F$111="C/I",Cashflow!F$111="Not yet producing"),0,IF(F$9-23*$I$6&lt;$I$4,0,(HLOOKUP(F$9-23*$I$6,$C$9:$AG$13,5,FALSE))))</f>
        <v>0</v>
      </c>
      <c r="G36" s="44">
        <f>IF(OR(Cashflow!G$111="C/I",Cashflow!G$111="Not yet producing"),0,IF(G$9-23*$I$6&lt;$I$4,0,(HLOOKUP(G$9-23*$I$6,$C$9:$AG$13,5,FALSE))))</f>
        <v>0</v>
      </c>
      <c r="H36" s="44">
        <f>IF(OR(Cashflow!H$111="C/I",Cashflow!H$111="Not yet producing"),0,IF(H$9-23*$I$6&lt;$I$4,0,(HLOOKUP(H$9-23*$I$6,$C$9:$AG$13,5,FALSE))))</f>
        <v>0</v>
      </c>
      <c r="I36" s="44">
        <f>IF(OR(Cashflow!I$111="C/I",Cashflow!I$111="Not yet producing"),0,IF(I$9-23*$I$6&lt;$I$4,0,(HLOOKUP(I$9-23*$I$6,$C$9:$AG$13,5,FALSE))))</f>
        <v>0</v>
      </c>
      <c r="J36" s="44">
        <f>IF(OR(Cashflow!J$111="C/I",Cashflow!J$111="Not yet producing"),0,IF(J$9-23*$I$6&lt;$I$4,0,(HLOOKUP(J$9-23*$I$6,$C$9:$AG$13,5,FALSE))))</f>
        <v>0</v>
      </c>
      <c r="K36" s="44">
        <f>IF(OR(Cashflow!K$111="C/I",Cashflow!K$111="Not yet producing"),0,IF(K$9-23*$I$6&lt;$I$4,0,(HLOOKUP(K$9-23*$I$6,$C$9:$AG$13,5,FALSE))))</f>
        <v>0</v>
      </c>
      <c r="L36" s="44">
        <f ca="1">IF(OR(Cashflow!L$111="C/I",Cashflow!L$111="Not yet producing"),0,IF(L$9-23*$I$6&lt;$I$4,0,(HLOOKUP(L$9-23*$I$6,$C$9:$AG$13,5,FALSE))))</f>
        <v>0</v>
      </c>
      <c r="M36" s="44">
        <f ca="1">IF(OR(Cashflow!M$111="C/I",Cashflow!M$111="Not yet producing"),0,IF(M$9-23*$I$6&lt;$I$4,0,(HLOOKUP(M$9-23*$I$6,$C$9:$AG$13,5,FALSE))))</f>
        <v>0</v>
      </c>
      <c r="N36" s="44">
        <f ca="1">IF(OR(Cashflow!N$111="C/I",Cashflow!N$111="Not yet producing"),0,IF(N$9-23*$I$6&lt;$I$4,0,(HLOOKUP(N$9-23*$I$6,$C$9:$AG$13,5,FALSE))))</f>
        <v>0</v>
      </c>
      <c r="O36" s="44">
        <f ca="1">IF(OR(Cashflow!O$111="C/I",Cashflow!O$111="Not yet producing"),0,IF(O$9-23*$I$6&lt;$I$4,0,(HLOOKUP(O$9-23*$I$6,$C$9:$AG$13,5,FALSE))))</f>
        <v>0</v>
      </c>
      <c r="P36" s="44">
        <f ca="1">IF(OR(Cashflow!P$111="C/I",Cashflow!P$111="Not yet producing"),0,IF(P$9-23*$I$6&lt;$I$4,0,(HLOOKUP(P$9-23*$I$6,$C$9:$AG$13,5,FALSE))))</f>
        <v>0</v>
      </c>
      <c r="Q36" s="44">
        <f ca="1">IF(OR(Cashflow!Q$111="C/I",Cashflow!Q$111="Not yet producing"),0,IF(Q$9-23*$I$6&lt;$I$4,0,(HLOOKUP(Q$9-23*$I$6,$C$9:$AG$13,5,FALSE))))</f>
        <v>0</v>
      </c>
      <c r="R36" s="44">
        <f ca="1">IF(OR(Cashflow!R$111="C/I",Cashflow!R$111="Not yet producing"),0,IF(R$9-23*$I$6&lt;$I$4,0,(HLOOKUP(R$9-23*$I$6,$C$9:$AG$13,5,FALSE))))</f>
        <v>0</v>
      </c>
      <c r="S36" s="44">
        <f ca="1">IF(OR(Cashflow!S$111="C/I",Cashflow!S$111="Not yet producing"),0,IF(S$9-23*$I$6&lt;$I$4,0,(HLOOKUP(S$9-23*$I$6,$C$9:$AG$13,5,FALSE))))</f>
        <v>0</v>
      </c>
      <c r="T36" s="44">
        <f ca="1">IF(OR(Cashflow!T$111="C/I",Cashflow!T$111="Not yet producing"),0,IF(T$9-23*$I$6&lt;$I$4,0,(HLOOKUP(T$9-23*$I$6,$C$9:$AG$13,5,FALSE))))</f>
        <v>0</v>
      </c>
      <c r="U36" s="44">
        <f ca="1">IF(OR(Cashflow!U$111="C/I",Cashflow!U$111="Not yet producing"),0,IF(U$9-23*$I$6&lt;$I$4,0,(HLOOKUP(U$9-23*$I$6,$C$9:$AG$13,5,FALSE))))</f>
        <v>0</v>
      </c>
      <c r="V36" s="44">
        <f ca="1">IF(OR(Cashflow!V$111="C/I",Cashflow!V$111="Not yet producing"),0,IF(V$9-23*$I$6&lt;$I$4,0,(HLOOKUP(V$9-23*$I$6,$C$9:$AG$13,5,FALSE))))</f>
        <v>0</v>
      </c>
      <c r="W36" s="44">
        <f ca="1">IF(OR(Cashflow!W$111="C/I",Cashflow!W$111="Not yet producing"),0,IF(W$9-23*$I$6&lt;$I$4,0,(HLOOKUP(W$9-23*$I$6,$C$9:$AG$13,5,FALSE))))</f>
        <v>0</v>
      </c>
      <c r="X36" s="44">
        <f ca="1">IF(OR(Cashflow!X$111="C/I",Cashflow!X$111="Not yet producing"),0,IF(X$9-23*$I$6&lt;$I$4,0,(HLOOKUP(X$9-23*$I$6,$C$9:$AG$13,5,FALSE))))</f>
        <v>0</v>
      </c>
      <c r="Y36" s="44">
        <f ca="1">IF(OR(Cashflow!Y$111="C/I",Cashflow!Y$111="Not yet producing"),0,IF(Y$9-23*$I$6&lt;$I$4,0,(HLOOKUP(Y$9-23*$I$6,$C$9:$AG$13,5,FALSE))))</f>
        <v>0</v>
      </c>
      <c r="Z36" s="44">
        <f ca="1">IF(OR(Cashflow!Z$111="C/I",Cashflow!Z$111="Not yet producing"),0,IF(Z$9-23*$I$6&lt;$I$4,0,(HLOOKUP(Z$9-23*$I$6,$C$9:$AG$13,5,FALSE))))</f>
        <v>0</v>
      </c>
      <c r="AA36" s="44">
        <f ca="1">IF(OR(Cashflow!AA$111="C/I",Cashflow!AA$111="Not yet producing"),0,IF(AA$9-23*$I$6&lt;$I$4,0,(HLOOKUP(AA$9-23*$I$6,$C$9:$AG$13,5,FALSE))))</f>
        <v>0</v>
      </c>
      <c r="AB36" s="44">
        <f ca="1">IF(OR(Cashflow!AB$111="C/I",Cashflow!AB$111="Not yet producing"),0,IF(AB$9-23*$I$6&lt;$I$4,0,(HLOOKUP(AB$9-23*$I$6,$C$9:$AG$13,5,FALSE))))</f>
        <v>0</v>
      </c>
      <c r="AC36" s="44">
        <f ca="1">IF(OR(Cashflow!AC$111="C/I",Cashflow!AC$111="Not yet producing"),0,IF(AC$9-23*$I$6&lt;$I$4,0,(HLOOKUP(AC$9-23*$I$6,$C$9:$AG$13,5,FALSE))))</f>
        <v>0</v>
      </c>
      <c r="AD36" s="44">
        <f ca="1">IF(OR(Cashflow!AD$111="C/I",Cashflow!AD$111="Not yet producing"),0,IF(AD$9-23*$I$6&lt;$I$4,0,(HLOOKUP(AD$9-23*$I$6,$C$9:$AG$13,5,FALSE))))</f>
        <v>0</v>
      </c>
      <c r="AE36" s="44">
        <f ca="1">IF(OR(Cashflow!AE$111="C/I",Cashflow!AE$111="Not yet producing"),0,IF(AE$9-23*$I$6&lt;$I$4,0,(HLOOKUP(AE$9-23*$I$6,$C$9:$AG$13,5,FALSE))))</f>
        <v>0</v>
      </c>
      <c r="AF36" s="44">
        <f ca="1">IF(OR(Cashflow!AF$111="C/I",Cashflow!AF$111="Not yet producing"),0,IF(AF$9-23*$I$6&lt;$I$4,0,(HLOOKUP(AF$9-23*$I$6,$C$9:$AG$13,5,FALSE))))</f>
        <v>0</v>
      </c>
      <c r="AG36" s="44">
        <f ca="1">IF(OR(Cashflow!AG$111="C/I",Cashflow!AG$111="Not yet producing"),0,IF(AG$9-23*$I$6&lt;$I$4,0,(HLOOKUP(AG$9-23*$I$6,$C$9:$AG$13,5,FALSE))))</f>
        <v>0</v>
      </c>
      <c r="AH36" s="19"/>
      <c r="AI36" s="19"/>
      <c r="AJ36" s="19"/>
      <c r="AK36" s="19"/>
      <c r="AL36" s="21"/>
      <c r="AM36" s="21"/>
      <c r="AN36" s="19"/>
      <c r="AO36" s="19"/>
      <c r="AP36" s="19"/>
      <c r="AQ36" s="19"/>
      <c r="AR36" s="326"/>
      <c r="AS36" s="326"/>
      <c r="AT36" s="326"/>
      <c r="AU36" s="326"/>
      <c r="AV36" s="326"/>
      <c r="AW36" s="326"/>
      <c r="AX36" s="326"/>
      <c r="AY36" s="326"/>
      <c r="AZ36" s="326"/>
      <c r="BA36" s="326"/>
      <c r="BB36" s="326"/>
    </row>
    <row r="37" spans="1:54" s="68" customFormat="1" ht="13.2">
      <c r="A37" s="19"/>
      <c r="B37" s="55" t="s">
        <v>1742</v>
      </c>
      <c r="C37" s="44">
        <f>IF(OR(Cashflow!C$111="C/I",Cashflow!C$111="Not yet producing"),0,IF(C$9-24*$I$6&lt;$I$4,0,(HLOOKUP(C$9-24*$I$6,$C$9:$AG$13,5,FALSE))))</f>
        <v>0</v>
      </c>
      <c r="D37" s="44">
        <f>IF(OR(Cashflow!D$111="C/I",Cashflow!D$111="Not yet producing"),0,IF(D$9-24*$I$6&lt;$I$4,0,(HLOOKUP(D$9-24*$I$6,$C$9:$AG$13,5,FALSE))))</f>
        <v>0</v>
      </c>
      <c r="E37" s="44">
        <f>IF(OR(Cashflow!E$111="C/I",Cashflow!E$111="Not yet producing"),0,IF(E$9-24*$I$6&lt;$I$4,0,(HLOOKUP(E$9-24*$I$6,$C$9:$AG$13,5,FALSE))))</f>
        <v>0</v>
      </c>
      <c r="F37" s="44">
        <f>IF(OR(Cashflow!F$111="C/I",Cashflow!F$111="Not yet producing"),0,IF(F$9-24*$I$6&lt;$I$4,0,(HLOOKUP(F$9-24*$I$6,$C$9:$AG$13,5,FALSE))))</f>
        <v>0</v>
      </c>
      <c r="G37" s="44">
        <f>IF(OR(Cashflow!G$111="C/I",Cashflow!G$111="Not yet producing"),0,IF(G$9-24*$I$6&lt;$I$4,0,(HLOOKUP(G$9-24*$I$6,$C$9:$AG$13,5,FALSE))))</f>
        <v>0</v>
      </c>
      <c r="H37" s="44">
        <f>IF(OR(Cashflow!H$111="C/I",Cashflow!H$111="Not yet producing"),0,IF(H$9-24*$I$6&lt;$I$4,0,(HLOOKUP(H$9-24*$I$6,$C$9:$AG$13,5,FALSE))))</f>
        <v>0</v>
      </c>
      <c r="I37" s="44">
        <f>IF(OR(Cashflow!I$111="C/I",Cashflow!I$111="Not yet producing"),0,IF(I$9-24*$I$6&lt;$I$4,0,(HLOOKUP(I$9-24*$I$6,$C$9:$AG$13,5,FALSE))))</f>
        <v>0</v>
      </c>
      <c r="J37" s="44">
        <f>IF(OR(Cashflow!J$111="C/I",Cashflow!J$111="Not yet producing"),0,IF(J$9-24*$I$6&lt;$I$4,0,(HLOOKUP(J$9-24*$I$6,$C$9:$AG$13,5,FALSE))))</f>
        <v>0</v>
      </c>
      <c r="K37" s="44">
        <f>IF(OR(Cashflow!K$111="C/I",Cashflow!K$111="Not yet producing"),0,IF(K$9-24*$I$6&lt;$I$4,0,(HLOOKUP(K$9-24*$I$6,$C$9:$AG$13,5,FALSE))))</f>
        <v>0</v>
      </c>
      <c r="L37" s="44">
        <f ca="1">IF(OR(Cashflow!L$111="C/I",Cashflow!L$111="Not yet producing"),0,IF(L$9-24*$I$6&lt;$I$4,0,(HLOOKUP(L$9-24*$I$6,$C$9:$AG$13,5,FALSE))))</f>
        <v>0</v>
      </c>
      <c r="M37" s="44">
        <f ca="1">IF(OR(Cashflow!M$111="C/I",Cashflow!M$111="Not yet producing"),0,IF(M$9-24*$I$6&lt;$I$4,0,(HLOOKUP(M$9-24*$I$6,$C$9:$AG$13,5,FALSE))))</f>
        <v>0</v>
      </c>
      <c r="N37" s="44">
        <f ca="1">IF(OR(Cashflow!N$111="C/I",Cashflow!N$111="Not yet producing"),0,IF(N$9-24*$I$6&lt;$I$4,0,(HLOOKUP(N$9-24*$I$6,$C$9:$AG$13,5,FALSE))))</f>
        <v>0</v>
      </c>
      <c r="O37" s="44">
        <f ca="1">IF(OR(Cashflow!O$111="C/I",Cashflow!O$111="Not yet producing"),0,IF(O$9-24*$I$6&lt;$I$4,0,(HLOOKUP(O$9-24*$I$6,$C$9:$AG$13,5,FALSE))))</f>
        <v>0</v>
      </c>
      <c r="P37" s="44">
        <f ca="1">IF(OR(Cashflow!P$111="C/I",Cashflow!P$111="Not yet producing"),0,IF(P$9-24*$I$6&lt;$I$4,0,(HLOOKUP(P$9-24*$I$6,$C$9:$AG$13,5,FALSE))))</f>
        <v>0</v>
      </c>
      <c r="Q37" s="44">
        <f ca="1">IF(OR(Cashflow!Q$111="C/I",Cashflow!Q$111="Not yet producing"),0,IF(Q$9-24*$I$6&lt;$I$4,0,(HLOOKUP(Q$9-24*$I$6,$C$9:$AG$13,5,FALSE))))</f>
        <v>0</v>
      </c>
      <c r="R37" s="44">
        <f ca="1">IF(OR(Cashflow!R$111="C/I",Cashflow!R$111="Not yet producing"),0,IF(R$9-24*$I$6&lt;$I$4,0,(HLOOKUP(R$9-24*$I$6,$C$9:$AG$13,5,FALSE))))</f>
        <v>0</v>
      </c>
      <c r="S37" s="44">
        <f ca="1">IF(OR(Cashflow!S$111="C/I",Cashflow!S$111="Not yet producing"),0,IF(S$9-24*$I$6&lt;$I$4,0,(HLOOKUP(S$9-24*$I$6,$C$9:$AG$13,5,FALSE))))</f>
        <v>0</v>
      </c>
      <c r="T37" s="44">
        <f ca="1">IF(OR(Cashflow!T$111="C/I",Cashflow!T$111="Not yet producing"),0,IF(T$9-24*$I$6&lt;$I$4,0,(HLOOKUP(T$9-24*$I$6,$C$9:$AG$13,5,FALSE))))</f>
        <v>0</v>
      </c>
      <c r="U37" s="44">
        <f ca="1">IF(OR(Cashflow!U$111="C/I",Cashflow!U$111="Not yet producing"),0,IF(U$9-24*$I$6&lt;$I$4,0,(HLOOKUP(U$9-24*$I$6,$C$9:$AG$13,5,FALSE))))</f>
        <v>0</v>
      </c>
      <c r="V37" s="44">
        <f ca="1">IF(OR(Cashflow!V$111="C/I",Cashflow!V$111="Not yet producing"),0,IF(V$9-24*$I$6&lt;$I$4,0,(HLOOKUP(V$9-24*$I$6,$C$9:$AG$13,5,FALSE))))</f>
        <v>0</v>
      </c>
      <c r="W37" s="44">
        <f ca="1">IF(OR(Cashflow!W$111="C/I",Cashflow!W$111="Not yet producing"),0,IF(W$9-24*$I$6&lt;$I$4,0,(HLOOKUP(W$9-24*$I$6,$C$9:$AG$13,5,FALSE))))</f>
        <v>0</v>
      </c>
      <c r="X37" s="44">
        <f ca="1">IF(OR(Cashflow!X$111="C/I",Cashflow!X$111="Not yet producing"),0,IF(X$9-24*$I$6&lt;$I$4,0,(HLOOKUP(X$9-24*$I$6,$C$9:$AG$13,5,FALSE))))</f>
        <v>0</v>
      </c>
      <c r="Y37" s="44">
        <f ca="1">IF(OR(Cashflow!Y$111="C/I",Cashflow!Y$111="Not yet producing"),0,IF(Y$9-24*$I$6&lt;$I$4,0,(HLOOKUP(Y$9-24*$I$6,$C$9:$AG$13,5,FALSE))))</f>
        <v>0</v>
      </c>
      <c r="Z37" s="44">
        <f ca="1">IF(OR(Cashflow!Z$111="C/I",Cashflow!Z$111="Not yet producing"),0,IF(Z$9-24*$I$6&lt;$I$4,0,(HLOOKUP(Z$9-24*$I$6,$C$9:$AG$13,5,FALSE))))</f>
        <v>0</v>
      </c>
      <c r="AA37" s="44">
        <f ca="1">IF(OR(Cashflow!AA$111="C/I",Cashflow!AA$111="Not yet producing"),0,IF(AA$9-24*$I$6&lt;$I$4,0,(HLOOKUP(AA$9-24*$I$6,$C$9:$AG$13,5,FALSE))))</f>
        <v>0</v>
      </c>
      <c r="AB37" s="44">
        <f ca="1">IF(OR(Cashflow!AB$111="C/I",Cashflow!AB$111="Not yet producing"),0,IF(AB$9-24*$I$6&lt;$I$4,0,(HLOOKUP(AB$9-24*$I$6,$C$9:$AG$13,5,FALSE))))</f>
        <v>0</v>
      </c>
      <c r="AC37" s="44">
        <f ca="1">IF(OR(Cashflow!AC$111="C/I",Cashflow!AC$111="Not yet producing"),0,IF(AC$9-24*$I$6&lt;$I$4,0,(HLOOKUP(AC$9-24*$I$6,$C$9:$AG$13,5,FALSE))))</f>
        <v>0</v>
      </c>
      <c r="AD37" s="44">
        <f ca="1">IF(OR(Cashflow!AD$111="C/I",Cashflow!AD$111="Not yet producing"),0,IF(AD$9-24*$I$6&lt;$I$4,0,(HLOOKUP(AD$9-24*$I$6,$C$9:$AG$13,5,FALSE))))</f>
        <v>0</v>
      </c>
      <c r="AE37" s="44">
        <f ca="1">IF(OR(Cashflow!AE$111="C/I",Cashflow!AE$111="Not yet producing"),0,IF(AE$9-24*$I$6&lt;$I$4,0,(HLOOKUP(AE$9-24*$I$6,$C$9:$AG$13,5,FALSE))))</f>
        <v>0</v>
      </c>
      <c r="AF37" s="44">
        <f ca="1">IF(OR(Cashflow!AF$111="C/I",Cashflow!AF$111="Not yet producing"),0,IF(AF$9-24*$I$6&lt;$I$4,0,(HLOOKUP(AF$9-24*$I$6,$C$9:$AG$13,5,FALSE))))</f>
        <v>0</v>
      </c>
      <c r="AG37" s="44">
        <f ca="1">IF(OR(Cashflow!AG$111="C/I",Cashflow!AG$111="Not yet producing"),0,IF(AG$9-24*$I$6&lt;$I$4,0,(HLOOKUP(AG$9-24*$I$6,$C$9:$AG$13,5,FALSE))))</f>
        <v>0</v>
      </c>
      <c r="AH37" s="19"/>
      <c r="AI37" s="19"/>
      <c r="AJ37" s="19"/>
      <c r="AK37" s="19"/>
      <c r="AL37" s="21"/>
      <c r="AM37" s="21"/>
      <c r="AN37" s="19"/>
      <c r="AO37" s="19"/>
      <c r="AP37" s="19"/>
      <c r="AQ37" s="19"/>
      <c r="AR37" s="326"/>
      <c r="AS37" s="326"/>
      <c r="AT37" s="326"/>
      <c r="AU37" s="326"/>
      <c r="AV37" s="326"/>
      <c r="AW37" s="326"/>
      <c r="AX37" s="326"/>
      <c r="AY37" s="326"/>
      <c r="AZ37" s="326"/>
      <c r="BA37" s="326"/>
      <c r="BB37" s="326"/>
    </row>
    <row r="38" spans="1:54" s="68" customFormat="1" ht="13.2">
      <c r="A38" s="19"/>
      <c r="B38" s="55" t="s">
        <v>1743</v>
      </c>
      <c r="C38" s="44">
        <f>IF(OR(Cashflow!C$111="C/I",Cashflow!C$111="Not yet producing"),0,IF(C$9-25*$I$6&lt;$I$4,0,(HLOOKUP(C$9-25*$I$6,$C$9:$AG$13,5,FALSE))))</f>
        <v>0</v>
      </c>
      <c r="D38" s="44">
        <f>IF(OR(Cashflow!D$111="C/I",Cashflow!D$111="Not yet producing"),0,IF(D$9-25*$I$6&lt;$I$4,0,(HLOOKUP(D$9-25*$I$6,$C$9:$AG$13,5,FALSE))))</f>
        <v>0</v>
      </c>
      <c r="E38" s="44">
        <f>IF(OR(Cashflow!E$111="C/I",Cashflow!E$111="Not yet producing"),0,IF(E$9-25*$I$6&lt;$I$4,0,(HLOOKUP(E$9-25*$I$6,$C$9:$AG$13,5,FALSE))))</f>
        <v>0</v>
      </c>
      <c r="F38" s="44">
        <f>IF(OR(Cashflow!F$111="C/I",Cashflow!F$111="Not yet producing"),0,IF(F$9-25*$I$6&lt;$I$4,0,(HLOOKUP(F$9-25*$I$6,$C$9:$AG$13,5,FALSE))))</f>
        <v>0</v>
      </c>
      <c r="G38" s="44">
        <f>IF(OR(Cashflow!G$111="C/I",Cashflow!G$111="Not yet producing"),0,IF(G$9-25*$I$6&lt;$I$4,0,(HLOOKUP(G$9-25*$I$6,$C$9:$AG$13,5,FALSE))))</f>
        <v>0</v>
      </c>
      <c r="H38" s="44">
        <f>IF(OR(Cashflow!H$111="C/I",Cashflow!H$111="Not yet producing"),0,IF(H$9-25*$I$6&lt;$I$4,0,(HLOOKUP(H$9-25*$I$6,$C$9:$AG$13,5,FALSE))))</f>
        <v>0</v>
      </c>
      <c r="I38" s="44">
        <f>IF(OR(Cashflow!I$111="C/I",Cashflow!I$111="Not yet producing"),0,IF(I$9-25*$I$6&lt;$I$4,0,(HLOOKUP(I$9-25*$I$6,$C$9:$AG$13,5,FALSE))))</f>
        <v>0</v>
      </c>
      <c r="J38" s="44">
        <f>IF(OR(Cashflow!J$111="C/I",Cashflow!J$111="Not yet producing"),0,IF(J$9-25*$I$6&lt;$I$4,0,(HLOOKUP(J$9-25*$I$6,$C$9:$AG$13,5,FALSE))))</f>
        <v>0</v>
      </c>
      <c r="K38" s="44">
        <f>IF(OR(Cashflow!K$111="C/I",Cashflow!K$111="Not yet producing"),0,IF(K$9-25*$I$6&lt;$I$4,0,(HLOOKUP(K$9-25*$I$6,$C$9:$AG$13,5,FALSE))))</f>
        <v>0</v>
      </c>
      <c r="L38" s="44">
        <f ca="1">IF(OR(Cashflow!L$111="C/I",Cashflow!L$111="Not yet producing"),0,IF(L$9-25*$I$6&lt;$I$4,0,(HLOOKUP(L$9-25*$I$6,$C$9:$AG$13,5,FALSE))))</f>
        <v>0</v>
      </c>
      <c r="M38" s="44">
        <f ca="1">IF(OR(Cashflow!M$111="C/I",Cashflow!M$111="Not yet producing"),0,IF(M$9-25*$I$6&lt;$I$4,0,(HLOOKUP(M$9-25*$I$6,$C$9:$AG$13,5,FALSE))))</f>
        <v>0</v>
      </c>
      <c r="N38" s="44">
        <f ca="1">IF(OR(Cashflow!N$111="C/I",Cashflow!N$111="Not yet producing"),0,IF(N$9-25*$I$6&lt;$I$4,0,(HLOOKUP(N$9-25*$I$6,$C$9:$AG$13,5,FALSE))))</f>
        <v>0</v>
      </c>
      <c r="O38" s="44">
        <f ca="1">IF(OR(Cashflow!O$111="C/I",Cashflow!O$111="Not yet producing"),0,IF(O$9-25*$I$6&lt;$I$4,0,(HLOOKUP(O$9-25*$I$6,$C$9:$AG$13,5,FALSE))))</f>
        <v>0</v>
      </c>
      <c r="P38" s="44">
        <f ca="1">IF(OR(Cashflow!P$111="C/I",Cashflow!P$111="Not yet producing"),0,IF(P$9-25*$I$6&lt;$I$4,0,(HLOOKUP(P$9-25*$I$6,$C$9:$AG$13,5,FALSE))))</f>
        <v>0</v>
      </c>
      <c r="Q38" s="44">
        <f ca="1">IF(OR(Cashflow!Q$111="C/I",Cashflow!Q$111="Not yet producing"),0,IF(Q$9-25*$I$6&lt;$I$4,0,(HLOOKUP(Q$9-25*$I$6,$C$9:$AG$13,5,FALSE))))</f>
        <v>0</v>
      </c>
      <c r="R38" s="44">
        <f ca="1">IF(OR(Cashflow!R$111="C/I",Cashflow!R$111="Not yet producing"),0,IF(R$9-25*$I$6&lt;$I$4,0,(HLOOKUP(R$9-25*$I$6,$C$9:$AG$13,5,FALSE))))</f>
        <v>0</v>
      </c>
      <c r="S38" s="44">
        <f ca="1">IF(OR(Cashflow!S$111="C/I",Cashflow!S$111="Not yet producing"),0,IF(S$9-25*$I$6&lt;$I$4,0,(HLOOKUP(S$9-25*$I$6,$C$9:$AG$13,5,FALSE))))</f>
        <v>0</v>
      </c>
      <c r="T38" s="44">
        <f ca="1">IF(OR(Cashflow!T$111="C/I",Cashflow!T$111="Not yet producing"),0,IF(T$9-25*$I$6&lt;$I$4,0,(HLOOKUP(T$9-25*$I$6,$C$9:$AG$13,5,FALSE))))</f>
        <v>0</v>
      </c>
      <c r="U38" s="44">
        <f ca="1">IF(OR(Cashflow!U$111="C/I",Cashflow!U$111="Not yet producing"),0,IF(U$9-25*$I$6&lt;$I$4,0,(HLOOKUP(U$9-25*$I$6,$C$9:$AG$13,5,FALSE))))</f>
        <v>0</v>
      </c>
      <c r="V38" s="44">
        <f ca="1">IF(OR(Cashflow!V$111="C/I",Cashflow!V$111="Not yet producing"),0,IF(V$9-25*$I$6&lt;$I$4,0,(HLOOKUP(V$9-25*$I$6,$C$9:$AG$13,5,FALSE))))</f>
        <v>0</v>
      </c>
      <c r="W38" s="44">
        <f ca="1">IF(OR(Cashflow!W$111="C/I",Cashflow!W$111="Not yet producing"),0,IF(W$9-25*$I$6&lt;$I$4,0,(HLOOKUP(W$9-25*$I$6,$C$9:$AG$13,5,FALSE))))</f>
        <v>0</v>
      </c>
      <c r="X38" s="44">
        <f ca="1">IF(OR(Cashflow!X$111="C/I",Cashflow!X$111="Not yet producing"),0,IF(X$9-25*$I$6&lt;$I$4,0,(HLOOKUP(X$9-25*$I$6,$C$9:$AG$13,5,FALSE))))</f>
        <v>0</v>
      </c>
      <c r="Y38" s="44">
        <f ca="1">IF(OR(Cashflow!Y$111="C/I",Cashflow!Y$111="Not yet producing"),0,IF(Y$9-25*$I$6&lt;$I$4,0,(HLOOKUP(Y$9-25*$I$6,$C$9:$AG$13,5,FALSE))))</f>
        <v>0</v>
      </c>
      <c r="Z38" s="44">
        <f ca="1">IF(OR(Cashflow!Z$111="C/I",Cashflow!Z$111="Not yet producing"),0,IF(Z$9-25*$I$6&lt;$I$4,0,(HLOOKUP(Z$9-25*$I$6,$C$9:$AG$13,5,FALSE))))</f>
        <v>0</v>
      </c>
      <c r="AA38" s="44">
        <f ca="1">IF(OR(Cashflow!AA$111="C/I",Cashflow!AA$111="Not yet producing"),0,IF(AA$9-25*$I$6&lt;$I$4,0,(HLOOKUP(AA$9-25*$I$6,$C$9:$AG$13,5,FALSE))))</f>
        <v>0</v>
      </c>
      <c r="AB38" s="44">
        <f ca="1">IF(OR(Cashflow!AB$111="C/I",Cashflow!AB$111="Not yet producing"),0,IF(AB$9-25*$I$6&lt;$I$4,0,(HLOOKUP(AB$9-25*$I$6,$C$9:$AG$13,5,FALSE))))</f>
        <v>0</v>
      </c>
      <c r="AC38" s="44">
        <f ca="1">IF(OR(Cashflow!AC$111="C/I",Cashflow!AC$111="Not yet producing"),0,IF(AC$9-25*$I$6&lt;$I$4,0,(HLOOKUP(AC$9-25*$I$6,$C$9:$AG$13,5,FALSE))))</f>
        <v>0</v>
      </c>
      <c r="AD38" s="44">
        <f ca="1">IF(OR(Cashflow!AD$111="C/I",Cashflow!AD$111="Not yet producing"),0,IF(AD$9-25*$I$6&lt;$I$4,0,(HLOOKUP(AD$9-25*$I$6,$C$9:$AG$13,5,FALSE))))</f>
        <v>0</v>
      </c>
      <c r="AE38" s="44">
        <f ca="1">IF(OR(Cashflow!AE$111="C/I",Cashflow!AE$111="Not yet producing"),0,IF(AE$9-25*$I$6&lt;$I$4,0,(HLOOKUP(AE$9-25*$I$6,$C$9:$AG$13,5,FALSE))))</f>
        <v>0</v>
      </c>
      <c r="AF38" s="44">
        <f ca="1">IF(OR(Cashflow!AF$111="C/I",Cashflow!AF$111="Not yet producing"),0,IF(AF$9-25*$I$6&lt;$I$4,0,(HLOOKUP(AF$9-25*$I$6,$C$9:$AG$13,5,FALSE))))</f>
        <v>0</v>
      </c>
      <c r="AG38" s="44">
        <f ca="1">IF(OR(Cashflow!AG$111="C/I",Cashflow!AG$111="Not yet producing"),0,IF(AG$9-25*$I$6&lt;$I$4,0,(HLOOKUP(AG$9-25*$I$6,$C$9:$AG$13,5,FALSE))))</f>
        <v>0</v>
      </c>
      <c r="AH38" s="19"/>
      <c r="AI38" s="19"/>
      <c r="AJ38" s="19"/>
      <c r="AK38" s="19"/>
      <c r="AL38" s="21"/>
      <c r="AM38" s="21"/>
      <c r="AN38" s="19"/>
      <c r="AO38" s="19"/>
      <c r="AP38" s="19"/>
      <c r="AQ38" s="19"/>
      <c r="AR38" s="326"/>
      <c r="AS38" s="326"/>
      <c r="AT38" s="326"/>
      <c r="AU38" s="326"/>
      <c r="AV38" s="326"/>
      <c r="AW38" s="326"/>
      <c r="AX38" s="326"/>
      <c r="AY38" s="326"/>
      <c r="AZ38" s="326"/>
      <c r="BA38" s="326"/>
      <c r="BB38" s="326"/>
    </row>
    <row r="39" spans="1:54" s="68" customFormat="1" ht="13.2">
      <c r="A39" s="19"/>
      <c r="B39" s="55" t="s">
        <v>1744</v>
      </c>
      <c r="C39" s="44">
        <f>IF(OR(Cashflow!C$111="C/I",Cashflow!C$111="Not yet producing"),0,IF(C$9-26*$I$6&lt;$I$4,0,(HLOOKUP(C$9-26*$I$6,$C$9:$AG$13,5,FALSE))))</f>
        <v>0</v>
      </c>
      <c r="D39" s="44">
        <f>IF(OR(Cashflow!D$111="C/I",Cashflow!D$111="Not yet producing"),0,IF(D$9-26*$I$6&lt;$I$4,0,(HLOOKUP(D$9-26*$I$6,$C$9:$AG$13,5,FALSE))))</f>
        <v>0</v>
      </c>
      <c r="E39" s="44">
        <f>IF(OR(Cashflow!E$111="C/I",Cashflow!E$111="Not yet producing"),0,IF(E$9-26*$I$6&lt;$I$4,0,(HLOOKUP(E$9-26*$I$6,$C$9:$AG$13,5,FALSE))))</f>
        <v>0</v>
      </c>
      <c r="F39" s="44">
        <f>IF(OR(Cashflow!F$111="C/I",Cashflow!F$111="Not yet producing"),0,IF(F$9-26*$I$6&lt;$I$4,0,(HLOOKUP(F$9-26*$I$6,$C$9:$AG$13,5,FALSE))))</f>
        <v>0</v>
      </c>
      <c r="G39" s="44">
        <f>IF(OR(Cashflow!G$111="C/I",Cashflow!G$111="Not yet producing"),0,IF(G$9-26*$I$6&lt;$I$4,0,(HLOOKUP(G$9-26*$I$6,$C$9:$AG$13,5,FALSE))))</f>
        <v>0</v>
      </c>
      <c r="H39" s="44">
        <f>IF(OR(Cashflow!H$111="C/I",Cashflow!H$111="Not yet producing"),0,IF(H$9-26*$I$6&lt;$I$4,0,(HLOOKUP(H$9-26*$I$6,$C$9:$AG$13,5,FALSE))))</f>
        <v>0</v>
      </c>
      <c r="I39" s="44">
        <f>IF(OR(Cashflow!I$111="C/I",Cashflow!I$111="Not yet producing"),0,IF(I$9-26*$I$6&lt;$I$4,0,(HLOOKUP(I$9-26*$I$6,$C$9:$AG$13,5,FALSE))))</f>
        <v>0</v>
      </c>
      <c r="J39" s="44">
        <f>IF(OR(Cashflow!J$111="C/I",Cashflow!J$111="Not yet producing"),0,IF(J$9-26*$I$6&lt;$I$4,0,(HLOOKUP(J$9-26*$I$6,$C$9:$AG$13,5,FALSE))))</f>
        <v>0</v>
      </c>
      <c r="K39" s="44">
        <f>IF(OR(Cashflow!K$111="C/I",Cashflow!K$111="Not yet producing"),0,IF(K$9-26*$I$6&lt;$I$4,0,(HLOOKUP(K$9-26*$I$6,$C$9:$AG$13,5,FALSE))))</f>
        <v>0</v>
      </c>
      <c r="L39" s="44">
        <f ca="1">IF(OR(Cashflow!L$111="C/I",Cashflow!L$111="Not yet producing"),0,IF(L$9-26*$I$6&lt;$I$4,0,(HLOOKUP(L$9-26*$I$6,$C$9:$AG$13,5,FALSE))))</f>
        <v>0</v>
      </c>
      <c r="M39" s="44">
        <f ca="1">IF(OR(Cashflow!M$111="C/I",Cashflow!M$111="Not yet producing"),0,IF(M$9-26*$I$6&lt;$I$4,0,(HLOOKUP(M$9-26*$I$6,$C$9:$AG$13,5,FALSE))))</f>
        <v>0</v>
      </c>
      <c r="N39" s="44">
        <f ca="1">IF(OR(Cashflow!N$111="C/I",Cashflow!N$111="Not yet producing"),0,IF(N$9-26*$I$6&lt;$I$4,0,(HLOOKUP(N$9-26*$I$6,$C$9:$AG$13,5,FALSE))))</f>
        <v>0</v>
      </c>
      <c r="O39" s="44">
        <f ca="1">IF(OR(Cashflow!O$111="C/I",Cashflow!O$111="Not yet producing"),0,IF(O$9-26*$I$6&lt;$I$4,0,(HLOOKUP(O$9-26*$I$6,$C$9:$AG$13,5,FALSE))))</f>
        <v>0</v>
      </c>
      <c r="P39" s="44">
        <f ca="1">IF(OR(Cashflow!P$111="C/I",Cashflow!P$111="Not yet producing"),0,IF(P$9-26*$I$6&lt;$I$4,0,(HLOOKUP(P$9-26*$I$6,$C$9:$AG$13,5,FALSE))))</f>
        <v>0</v>
      </c>
      <c r="Q39" s="44">
        <f ca="1">IF(OR(Cashflow!Q$111="C/I",Cashflow!Q$111="Not yet producing"),0,IF(Q$9-26*$I$6&lt;$I$4,0,(HLOOKUP(Q$9-26*$I$6,$C$9:$AG$13,5,FALSE))))</f>
        <v>0</v>
      </c>
      <c r="R39" s="44">
        <f ca="1">IF(OR(Cashflow!R$111="C/I",Cashflow!R$111="Not yet producing"),0,IF(R$9-26*$I$6&lt;$I$4,0,(HLOOKUP(R$9-26*$I$6,$C$9:$AG$13,5,FALSE))))</f>
        <v>0</v>
      </c>
      <c r="S39" s="44">
        <f ca="1">IF(OR(Cashflow!S$111="C/I",Cashflow!S$111="Not yet producing"),0,IF(S$9-26*$I$6&lt;$I$4,0,(HLOOKUP(S$9-26*$I$6,$C$9:$AG$13,5,FALSE))))</f>
        <v>0</v>
      </c>
      <c r="T39" s="44">
        <f ca="1">IF(OR(Cashflow!T$111="C/I",Cashflow!T$111="Not yet producing"),0,IF(T$9-26*$I$6&lt;$I$4,0,(HLOOKUP(T$9-26*$I$6,$C$9:$AG$13,5,FALSE))))</f>
        <v>0</v>
      </c>
      <c r="U39" s="44">
        <f ca="1">IF(OR(Cashflow!U$111="C/I",Cashflow!U$111="Not yet producing"),0,IF(U$9-26*$I$6&lt;$I$4,0,(HLOOKUP(U$9-26*$I$6,$C$9:$AG$13,5,FALSE))))</f>
        <v>0</v>
      </c>
      <c r="V39" s="44">
        <f ca="1">IF(OR(Cashflow!V$111="C/I",Cashflow!V$111="Not yet producing"),0,IF(V$9-26*$I$6&lt;$I$4,0,(HLOOKUP(V$9-26*$I$6,$C$9:$AG$13,5,FALSE))))</f>
        <v>0</v>
      </c>
      <c r="W39" s="44">
        <f ca="1">IF(OR(Cashflow!W$111="C/I",Cashflow!W$111="Not yet producing"),0,IF(W$9-26*$I$6&lt;$I$4,0,(HLOOKUP(W$9-26*$I$6,$C$9:$AG$13,5,FALSE))))</f>
        <v>0</v>
      </c>
      <c r="X39" s="44">
        <f ca="1">IF(OR(Cashflow!X$111="C/I",Cashflow!X$111="Not yet producing"),0,IF(X$9-26*$I$6&lt;$I$4,0,(HLOOKUP(X$9-26*$I$6,$C$9:$AG$13,5,FALSE))))</f>
        <v>0</v>
      </c>
      <c r="Y39" s="44">
        <f ca="1">IF(OR(Cashflow!Y$111="C/I",Cashflow!Y$111="Not yet producing"),0,IF(Y$9-26*$I$6&lt;$I$4,0,(HLOOKUP(Y$9-26*$I$6,$C$9:$AG$13,5,FALSE))))</f>
        <v>0</v>
      </c>
      <c r="Z39" s="44">
        <f ca="1">IF(OR(Cashflow!Z$111="C/I",Cashflow!Z$111="Not yet producing"),0,IF(Z$9-26*$I$6&lt;$I$4,0,(HLOOKUP(Z$9-26*$I$6,$C$9:$AG$13,5,FALSE))))</f>
        <v>0</v>
      </c>
      <c r="AA39" s="44">
        <f ca="1">IF(OR(Cashflow!AA$111="C/I",Cashflow!AA$111="Not yet producing"),0,IF(AA$9-26*$I$6&lt;$I$4,0,(HLOOKUP(AA$9-26*$I$6,$C$9:$AG$13,5,FALSE))))</f>
        <v>0</v>
      </c>
      <c r="AB39" s="44">
        <f ca="1">IF(OR(Cashflow!AB$111="C/I",Cashflow!AB$111="Not yet producing"),0,IF(AB$9-26*$I$6&lt;$I$4,0,(HLOOKUP(AB$9-26*$I$6,$C$9:$AG$13,5,FALSE))))</f>
        <v>0</v>
      </c>
      <c r="AC39" s="44">
        <f ca="1">IF(OR(Cashflow!AC$111="C/I",Cashflow!AC$111="Not yet producing"),0,IF(AC$9-26*$I$6&lt;$I$4,0,(HLOOKUP(AC$9-26*$I$6,$C$9:$AG$13,5,FALSE))))</f>
        <v>0</v>
      </c>
      <c r="AD39" s="44">
        <f ca="1">IF(OR(Cashflow!AD$111="C/I",Cashflow!AD$111="Not yet producing"),0,IF(AD$9-26*$I$6&lt;$I$4,0,(HLOOKUP(AD$9-26*$I$6,$C$9:$AG$13,5,FALSE))))</f>
        <v>0</v>
      </c>
      <c r="AE39" s="44">
        <f ca="1">IF(OR(Cashflow!AE$111="C/I",Cashflow!AE$111="Not yet producing"),0,IF(AE$9-26*$I$6&lt;$I$4,0,(HLOOKUP(AE$9-26*$I$6,$C$9:$AG$13,5,FALSE))))</f>
        <v>0</v>
      </c>
      <c r="AF39" s="44">
        <f ca="1">IF(OR(Cashflow!AF$111="C/I",Cashflow!AF$111="Not yet producing"),0,IF(AF$9-26*$I$6&lt;$I$4,0,(HLOOKUP(AF$9-26*$I$6,$C$9:$AG$13,5,FALSE))))</f>
        <v>0</v>
      </c>
      <c r="AG39" s="44">
        <f ca="1">IF(OR(Cashflow!AG$111="C/I",Cashflow!AG$111="Not yet producing"),0,IF(AG$9-26*$I$6&lt;$I$4,0,(HLOOKUP(AG$9-26*$I$6,$C$9:$AG$13,5,FALSE))))</f>
        <v>0</v>
      </c>
      <c r="AH39" s="19"/>
      <c r="AI39" s="19"/>
      <c r="AJ39" s="19"/>
      <c r="AK39" s="19"/>
      <c r="AL39" s="21"/>
      <c r="AM39" s="21"/>
      <c r="AN39" s="19"/>
      <c r="AO39" s="19"/>
      <c r="AP39" s="19"/>
      <c r="AQ39" s="19"/>
      <c r="AR39" s="326"/>
      <c r="AS39" s="326"/>
      <c r="AT39" s="326"/>
      <c r="AU39" s="326"/>
      <c r="AV39" s="326"/>
      <c r="AW39" s="326"/>
      <c r="AX39" s="326"/>
      <c r="AY39" s="326"/>
      <c r="AZ39" s="326"/>
      <c r="BA39" s="326"/>
      <c r="BB39" s="326"/>
    </row>
    <row r="40" spans="1:54" s="78" customFormat="1" ht="13.2">
      <c r="A40" s="19"/>
      <c r="B40" s="55" t="s">
        <v>1745</v>
      </c>
      <c r="C40" s="44">
        <f>IF(OR(Cashflow!C$111="C/I",Cashflow!C$111="Not yet producing"),0,IF(C$9-27*$I$6&lt;$I$4,0,(HLOOKUP(C$9-27*$I$6,$C$9:$AG$13,5,FALSE))))</f>
        <v>0</v>
      </c>
      <c r="D40" s="44">
        <f>IF(OR(Cashflow!D$111="C/I",Cashflow!D$111="Not yet producing"),0,IF(D$9-27*$I$6&lt;$I$4,0,(HLOOKUP(D$9-27*$I$6,$C$9:$AG$13,5,FALSE))))</f>
        <v>0</v>
      </c>
      <c r="E40" s="44">
        <f>IF(OR(Cashflow!E$111="C/I",Cashflow!E$111="Not yet producing"),0,IF(E$9-27*$I$6&lt;$I$4,0,(HLOOKUP(E$9-27*$I$6,$C$9:$AG$13,5,FALSE))))</f>
        <v>0</v>
      </c>
      <c r="F40" s="44">
        <f>IF(OR(Cashflow!F$111="C/I",Cashflow!F$111="Not yet producing"),0,IF(F$9-27*$I$6&lt;$I$4,0,(HLOOKUP(F$9-27*$I$6,$C$9:$AG$13,5,FALSE))))</f>
        <v>0</v>
      </c>
      <c r="G40" s="44">
        <f>IF(OR(Cashflow!G$111="C/I",Cashflow!G$111="Not yet producing"),0,IF(G$9-27*$I$6&lt;$I$4,0,(HLOOKUP(G$9-27*$I$6,$C$9:$AG$13,5,FALSE))))</f>
        <v>0</v>
      </c>
      <c r="H40" s="44">
        <f>IF(OR(Cashflow!H$111="C/I",Cashflow!H$111="Not yet producing"),0,IF(H$9-27*$I$6&lt;$I$4,0,(HLOOKUP(H$9-27*$I$6,$C$9:$AG$13,5,FALSE))))</f>
        <v>0</v>
      </c>
      <c r="I40" s="44">
        <f>IF(OR(Cashflow!I$111="C/I",Cashflow!I$111="Not yet producing"),0,IF(I$9-27*$I$6&lt;$I$4,0,(HLOOKUP(I$9-27*$I$6,$C$9:$AG$13,5,FALSE))))</f>
        <v>0</v>
      </c>
      <c r="J40" s="44">
        <f>IF(OR(Cashflow!J$111="C/I",Cashflow!J$111="Not yet producing"),0,IF(J$9-27*$I$6&lt;$I$4,0,(HLOOKUP(J$9-27*$I$6,$C$9:$AG$13,5,FALSE))))</f>
        <v>0</v>
      </c>
      <c r="K40" s="44">
        <f>IF(OR(Cashflow!K$111="C/I",Cashflow!K$111="Not yet producing"),0,IF(K$9-27*$I$6&lt;$I$4,0,(HLOOKUP(K$9-27*$I$6,$C$9:$AG$13,5,FALSE))))</f>
        <v>0</v>
      </c>
      <c r="L40" s="44">
        <f ca="1">IF(OR(Cashflow!L$111="C/I",Cashflow!L$111="Not yet producing"),0,IF(L$9-27*$I$6&lt;$I$4,0,(HLOOKUP(L$9-27*$I$6,$C$9:$AG$13,5,FALSE))))</f>
        <v>0</v>
      </c>
      <c r="M40" s="44">
        <f ca="1">IF(OR(Cashflow!M$111="C/I",Cashflow!M$111="Not yet producing"),0,IF(M$9-27*$I$6&lt;$I$4,0,(HLOOKUP(M$9-27*$I$6,$C$9:$AG$13,5,FALSE))))</f>
        <v>0</v>
      </c>
      <c r="N40" s="44">
        <f ca="1">IF(OR(Cashflow!N$111="C/I",Cashflow!N$111="Not yet producing"),0,IF(N$9-27*$I$6&lt;$I$4,0,(HLOOKUP(N$9-27*$I$6,$C$9:$AG$13,5,FALSE))))</f>
        <v>0</v>
      </c>
      <c r="O40" s="44">
        <f ca="1">IF(OR(Cashflow!O$111="C/I",Cashflow!O$111="Not yet producing"),0,IF(O$9-27*$I$6&lt;$I$4,0,(HLOOKUP(O$9-27*$I$6,$C$9:$AG$13,5,FALSE))))</f>
        <v>0</v>
      </c>
      <c r="P40" s="44">
        <f ca="1">IF(OR(Cashflow!P$111="C/I",Cashflow!P$111="Not yet producing"),0,IF(P$9-27*$I$6&lt;$I$4,0,(HLOOKUP(P$9-27*$I$6,$C$9:$AG$13,5,FALSE))))</f>
        <v>0</v>
      </c>
      <c r="Q40" s="44">
        <f ca="1">IF(OR(Cashflow!Q$111="C/I",Cashflow!Q$111="Not yet producing"),0,IF(Q$9-27*$I$6&lt;$I$4,0,(HLOOKUP(Q$9-27*$I$6,$C$9:$AG$13,5,FALSE))))</f>
        <v>0</v>
      </c>
      <c r="R40" s="44">
        <f ca="1">IF(OR(Cashflow!R$111="C/I",Cashflow!R$111="Not yet producing"),0,IF(R$9-27*$I$6&lt;$I$4,0,(HLOOKUP(R$9-27*$I$6,$C$9:$AG$13,5,FALSE))))</f>
        <v>0</v>
      </c>
      <c r="S40" s="44">
        <f ca="1">IF(OR(Cashflow!S$111="C/I",Cashflow!S$111="Not yet producing"),0,IF(S$9-27*$I$6&lt;$I$4,0,(HLOOKUP(S$9-27*$I$6,$C$9:$AG$13,5,FALSE))))</f>
        <v>0</v>
      </c>
      <c r="T40" s="44">
        <f ca="1">IF(OR(Cashflow!T$111="C/I",Cashflow!T$111="Not yet producing"),0,IF(T$9-27*$I$6&lt;$I$4,0,(HLOOKUP(T$9-27*$I$6,$C$9:$AG$13,5,FALSE))))</f>
        <v>0</v>
      </c>
      <c r="U40" s="44">
        <f ca="1">IF(OR(Cashflow!U$111="C/I",Cashflow!U$111="Not yet producing"),0,IF(U$9-27*$I$6&lt;$I$4,0,(HLOOKUP(U$9-27*$I$6,$C$9:$AG$13,5,FALSE))))</f>
        <v>0</v>
      </c>
      <c r="V40" s="44">
        <f ca="1">IF(OR(Cashflow!V$111="C/I",Cashflow!V$111="Not yet producing"),0,IF(V$9-27*$I$6&lt;$I$4,0,(HLOOKUP(V$9-27*$I$6,$C$9:$AG$13,5,FALSE))))</f>
        <v>0</v>
      </c>
      <c r="W40" s="44">
        <f ca="1">IF(OR(Cashflow!W$111="C/I",Cashflow!W$111="Not yet producing"),0,IF(W$9-27*$I$6&lt;$I$4,0,(HLOOKUP(W$9-27*$I$6,$C$9:$AG$13,5,FALSE))))</f>
        <v>0</v>
      </c>
      <c r="X40" s="44">
        <f ca="1">IF(OR(Cashflow!X$111="C/I",Cashflow!X$111="Not yet producing"),0,IF(X$9-27*$I$6&lt;$I$4,0,(HLOOKUP(X$9-27*$I$6,$C$9:$AG$13,5,FALSE))))</f>
        <v>0</v>
      </c>
      <c r="Y40" s="44">
        <f ca="1">IF(OR(Cashflow!Y$111="C/I",Cashflow!Y$111="Not yet producing"),0,IF(Y$9-27*$I$6&lt;$I$4,0,(HLOOKUP(Y$9-27*$I$6,$C$9:$AG$13,5,FALSE))))</f>
        <v>0</v>
      </c>
      <c r="Z40" s="44">
        <f ca="1">IF(OR(Cashflow!Z$111="C/I",Cashflow!Z$111="Not yet producing"),0,IF(Z$9-27*$I$6&lt;$I$4,0,(HLOOKUP(Z$9-27*$I$6,$C$9:$AG$13,5,FALSE))))</f>
        <v>0</v>
      </c>
      <c r="AA40" s="44">
        <f ca="1">IF(OR(Cashflow!AA$111="C/I",Cashflow!AA$111="Not yet producing"),0,IF(AA$9-27*$I$6&lt;$I$4,0,(HLOOKUP(AA$9-27*$I$6,$C$9:$AG$13,5,FALSE))))</f>
        <v>0</v>
      </c>
      <c r="AB40" s="44">
        <f ca="1">IF(OR(Cashflow!AB$111="C/I",Cashflow!AB$111="Not yet producing"),0,IF(AB$9-27*$I$6&lt;$I$4,0,(HLOOKUP(AB$9-27*$I$6,$C$9:$AG$13,5,FALSE))))</f>
        <v>0</v>
      </c>
      <c r="AC40" s="44">
        <f ca="1">IF(OR(Cashflow!AC$111="C/I",Cashflow!AC$111="Not yet producing"),0,IF(AC$9-27*$I$6&lt;$I$4,0,(HLOOKUP(AC$9-27*$I$6,$C$9:$AG$13,5,FALSE))))</f>
        <v>0</v>
      </c>
      <c r="AD40" s="44">
        <f ca="1">IF(OR(Cashflow!AD$111="C/I",Cashflow!AD$111="Not yet producing"),0,IF(AD$9-27*$I$6&lt;$I$4,0,(HLOOKUP(AD$9-27*$I$6,$C$9:$AG$13,5,FALSE))))</f>
        <v>0</v>
      </c>
      <c r="AE40" s="44">
        <f ca="1">IF(OR(Cashflow!AE$111="C/I",Cashflow!AE$111="Not yet producing"),0,IF(AE$9-27*$I$6&lt;$I$4,0,(HLOOKUP(AE$9-27*$I$6,$C$9:$AG$13,5,FALSE))))</f>
        <v>0</v>
      </c>
      <c r="AF40" s="44">
        <f ca="1">IF(OR(Cashflow!AF$111="C/I",Cashflow!AF$111="Not yet producing"),0,IF(AF$9-27*$I$6&lt;$I$4,0,(HLOOKUP(AF$9-27*$I$6,$C$9:$AG$13,5,FALSE))))</f>
        <v>0</v>
      </c>
      <c r="AG40" s="44">
        <f ca="1">IF(OR(Cashflow!AG$111="C/I",Cashflow!AG$111="Not yet producing"),0,IF(AG$9-27*$I$6&lt;$I$4,0,(HLOOKUP(AG$9-27*$I$6,$C$9:$AG$13,5,FALSE))))</f>
        <v>0</v>
      </c>
      <c r="AH40" s="19"/>
      <c r="AI40" s="19"/>
      <c r="AJ40" s="19"/>
      <c r="AK40" s="19"/>
      <c r="AL40" s="21"/>
      <c r="AM40" s="21"/>
      <c r="AN40" s="19"/>
      <c r="AO40" s="19"/>
      <c r="AP40" s="19"/>
      <c r="AQ40" s="19"/>
      <c r="AR40" s="326"/>
      <c r="AS40" s="326"/>
      <c r="AT40" s="326"/>
      <c r="AU40" s="326"/>
      <c r="AV40" s="326"/>
      <c r="AW40" s="326"/>
      <c r="AX40" s="326"/>
      <c r="AY40" s="326"/>
      <c r="AZ40" s="326"/>
      <c r="BA40" s="326"/>
      <c r="BB40" s="326"/>
    </row>
    <row r="41" spans="1:54">
      <c r="A41" s="19"/>
      <c r="B41" s="55" t="s">
        <v>1746</v>
      </c>
      <c r="C41" s="44">
        <f>IF(OR(Cashflow!C$111="C/I",Cashflow!C$111="Not yet producing"),0,IF(C$9-28*$I$6&lt;$I$4,0,(HLOOKUP(C$9-28*$I$6,$C$9:$AG$13,5,FALSE))))</f>
        <v>0</v>
      </c>
      <c r="D41" s="44">
        <f>IF(OR(Cashflow!D$111="C/I",Cashflow!D$111="Not yet producing"),0,IF(D$9-28*$I$6&lt;$I$4,0,(HLOOKUP(D$9-28*$I$6,$C$9:$AG$13,5,FALSE))))</f>
        <v>0</v>
      </c>
      <c r="E41" s="44">
        <f>IF(OR(Cashflow!E$111="C/I",Cashflow!E$111="Not yet producing"),0,IF(E$9-28*$I$6&lt;$I$4,0,(HLOOKUP(E$9-28*$I$6,$C$9:$AG$13,5,FALSE))))</f>
        <v>0</v>
      </c>
      <c r="F41" s="44">
        <f>IF(OR(Cashflow!F$111="C/I",Cashflow!F$111="Not yet producing"),0,IF(F$9-28*$I$6&lt;$I$4,0,(HLOOKUP(F$9-28*$I$6,$C$9:$AG$13,5,FALSE))))</f>
        <v>0</v>
      </c>
      <c r="G41" s="44">
        <f>IF(OR(Cashflow!G$111="C/I",Cashflow!G$111="Not yet producing"),0,IF(G$9-28*$I$6&lt;$I$4,0,(HLOOKUP(G$9-28*$I$6,$C$9:$AG$13,5,FALSE))))</f>
        <v>0</v>
      </c>
      <c r="H41" s="44">
        <f>IF(OR(Cashflow!H$111="C/I",Cashflow!H$111="Not yet producing"),0,IF(H$9-28*$I$6&lt;$I$4,0,(HLOOKUP(H$9-28*$I$6,$C$9:$AG$13,5,FALSE))))</f>
        <v>0</v>
      </c>
      <c r="I41" s="44">
        <f>IF(OR(Cashflow!I$111="C/I",Cashflow!I$111="Not yet producing"),0,IF(I$9-28*$I$6&lt;$I$4,0,(HLOOKUP(I$9-28*$I$6,$C$9:$AG$13,5,FALSE))))</f>
        <v>0</v>
      </c>
      <c r="J41" s="44">
        <f>IF(OR(Cashflow!J$111="C/I",Cashflow!J$111="Not yet producing"),0,IF(J$9-28*$I$6&lt;$I$4,0,(HLOOKUP(J$9-28*$I$6,$C$9:$AG$13,5,FALSE))))</f>
        <v>0</v>
      </c>
      <c r="K41" s="44">
        <f>IF(OR(Cashflow!K$111="C/I",Cashflow!K$111="Not yet producing"),0,IF(K$9-28*$I$6&lt;$I$4,0,(HLOOKUP(K$9-28*$I$6,$C$9:$AG$13,5,FALSE))))</f>
        <v>0</v>
      </c>
      <c r="L41" s="44">
        <f ca="1">IF(OR(Cashflow!L$111="C/I",Cashflow!L$111="Not yet producing"),0,IF(L$9-28*$I$6&lt;$I$4,0,(HLOOKUP(L$9-28*$I$6,$C$9:$AG$13,5,FALSE))))</f>
        <v>0</v>
      </c>
      <c r="M41" s="44">
        <f ca="1">IF(OR(Cashflow!M$111="C/I",Cashflow!M$111="Not yet producing"),0,IF(M$9-28*$I$6&lt;$I$4,0,(HLOOKUP(M$9-28*$I$6,$C$9:$AG$13,5,FALSE))))</f>
        <v>0</v>
      </c>
      <c r="N41" s="44">
        <f ca="1">IF(OR(Cashflow!N$111="C/I",Cashflow!N$111="Not yet producing"),0,IF(N$9-28*$I$6&lt;$I$4,0,(HLOOKUP(N$9-28*$I$6,$C$9:$AG$13,5,FALSE))))</f>
        <v>0</v>
      </c>
      <c r="O41" s="44">
        <f ca="1">IF(OR(Cashflow!O$111="C/I",Cashflow!O$111="Not yet producing"),0,IF(O$9-28*$I$6&lt;$I$4,0,(HLOOKUP(O$9-28*$I$6,$C$9:$AG$13,5,FALSE))))</f>
        <v>0</v>
      </c>
      <c r="P41" s="44">
        <f ca="1">IF(OR(Cashflow!P$111="C/I",Cashflow!P$111="Not yet producing"),0,IF(P$9-28*$I$6&lt;$I$4,0,(HLOOKUP(P$9-28*$I$6,$C$9:$AG$13,5,FALSE))))</f>
        <v>0</v>
      </c>
      <c r="Q41" s="44">
        <f ca="1">IF(OR(Cashflow!Q$111="C/I",Cashflow!Q$111="Not yet producing"),0,IF(Q$9-28*$I$6&lt;$I$4,0,(HLOOKUP(Q$9-28*$I$6,$C$9:$AG$13,5,FALSE))))</f>
        <v>0</v>
      </c>
      <c r="R41" s="44">
        <f ca="1">IF(OR(Cashflow!R$111="C/I",Cashflow!R$111="Not yet producing"),0,IF(R$9-28*$I$6&lt;$I$4,0,(HLOOKUP(R$9-28*$I$6,$C$9:$AG$13,5,FALSE))))</f>
        <v>0</v>
      </c>
      <c r="S41" s="44">
        <f ca="1">IF(OR(Cashflow!S$111="C/I",Cashflow!S$111="Not yet producing"),0,IF(S$9-28*$I$6&lt;$I$4,0,(HLOOKUP(S$9-28*$I$6,$C$9:$AG$13,5,FALSE))))</f>
        <v>0</v>
      </c>
      <c r="T41" s="44">
        <f ca="1">IF(OR(Cashflow!T$111="C/I",Cashflow!T$111="Not yet producing"),0,IF(T$9-28*$I$6&lt;$I$4,0,(HLOOKUP(T$9-28*$I$6,$C$9:$AG$13,5,FALSE))))</f>
        <v>0</v>
      </c>
      <c r="U41" s="44">
        <f ca="1">IF(OR(Cashflow!U$111="C/I",Cashflow!U$111="Not yet producing"),0,IF(U$9-28*$I$6&lt;$I$4,0,(HLOOKUP(U$9-28*$I$6,$C$9:$AG$13,5,FALSE))))</f>
        <v>0</v>
      </c>
      <c r="V41" s="44">
        <f ca="1">IF(OR(Cashflow!V$111="C/I",Cashflow!V$111="Not yet producing"),0,IF(V$9-28*$I$6&lt;$I$4,0,(HLOOKUP(V$9-28*$I$6,$C$9:$AG$13,5,FALSE))))</f>
        <v>0</v>
      </c>
      <c r="W41" s="44">
        <f ca="1">IF(OR(Cashflow!W$111="C/I",Cashflow!W$111="Not yet producing"),0,IF(W$9-28*$I$6&lt;$I$4,0,(HLOOKUP(W$9-28*$I$6,$C$9:$AG$13,5,FALSE))))</f>
        <v>0</v>
      </c>
      <c r="X41" s="44">
        <f ca="1">IF(OR(Cashflow!X$111="C/I",Cashflow!X$111="Not yet producing"),0,IF(X$9-28*$I$6&lt;$I$4,0,(HLOOKUP(X$9-28*$I$6,$C$9:$AG$13,5,FALSE))))</f>
        <v>0</v>
      </c>
      <c r="Y41" s="44">
        <f ca="1">IF(OR(Cashflow!Y$111="C/I",Cashflow!Y$111="Not yet producing"),0,IF(Y$9-28*$I$6&lt;$I$4,0,(HLOOKUP(Y$9-28*$I$6,$C$9:$AG$13,5,FALSE))))</f>
        <v>0</v>
      </c>
      <c r="Z41" s="44">
        <f ca="1">IF(OR(Cashflow!Z$111="C/I",Cashflow!Z$111="Not yet producing"),0,IF(Z$9-28*$I$6&lt;$I$4,0,(HLOOKUP(Z$9-28*$I$6,$C$9:$AG$13,5,FALSE))))</f>
        <v>0</v>
      </c>
      <c r="AA41" s="44">
        <f ca="1">IF(OR(Cashflow!AA$111="C/I",Cashflow!AA$111="Not yet producing"),0,IF(AA$9-28*$I$6&lt;$I$4,0,(HLOOKUP(AA$9-28*$I$6,$C$9:$AG$13,5,FALSE))))</f>
        <v>0</v>
      </c>
      <c r="AB41" s="44">
        <f ca="1">IF(OR(Cashflow!AB$111="C/I",Cashflow!AB$111="Not yet producing"),0,IF(AB$9-28*$I$6&lt;$I$4,0,(HLOOKUP(AB$9-28*$I$6,$C$9:$AG$13,5,FALSE))))</f>
        <v>0</v>
      </c>
      <c r="AC41" s="44">
        <f ca="1">IF(OR(Cashflow!AC$111="C/I",Cashflow!AC$111="Not yet producing"),0,IF(AC$9-28*$I$6&lt;$I$4,0,(HLOOKUP(AC$9-28*$I$6,$C$9:$AG$13,5,FALSE))))</f>
        <v>0</v>
      </c>
      <c r="AD41" s="44">
        <f ca="1">IF(OR(Cashflow!AD$111="C/I",Cashflow!AD$111="Not yet producing"),0,IF(AD$9-28*$I$6&lt;$I$4,0,(HLOOKUP(AD$9-28*$I$6,$C$9:$AG$13,5,FALSE))))</f>
        <v>0</v>
      </c>
      <c r="AE41" s="44">
        <f ca="1">IF(OR(Cashflow!AE$111="C/I",Cashflow!AE$111="Not yet producing"),0,IF(AE$9-28*$I$6&lt;$I$4,0,(HLOOKUP(AE$9-28*$I$6,$C$9:$AG$13,5,FALSE))))</f>
        <v>0</v>
      </c>
      <c r="AF41" s="44">
        <f ca="1">IF(OR(Cashflow!AF$111="C/I",Cashflow!AF$111="Not yet producing"),0,IF(AF$9-28*$I$6&lt;$I$4,0,(HLOOKUP(AF$9-28*$I$6,$C$9:$AG$13,5,FALSE))))</f>
        <v>0</v>
      </c>
      <c r="AG41" s="44">
        <f ca="1">IF(OR(Cashflow!AG$111="C/I",Cashflow!AG$111="Not yet producing"),0,IF(AG$9-28*$I$6&lt;$I$4,0,(HLOOKUP(AG$9-28*$I$6,$C$9:$AG$13,5,FALSE))))</f>
        <v>0</v>
      </c>
      <c r="AH41" s="19"/>
      <c r="AI41" s="19"/>
      <c r="AJ41" s="19"/>
      <c r="AK41" s="19"/>
      <c r="AL41" s="21"/>
      <c r="AM41" s="21"/>
      <c r="AN41" s="19"/>
      <c r="AO41" s="19"/>
      <c r="AP41" s="19"/>
      <c r="AQ41" s="19"/>
      <c r="AR41" s="326"/>
      <c r="AS41" s="326"/>
      <c r="AT41" s="326"/>
      <c r="AU41" s="326"/>
      <c r="AV41" s="326"/>
      <c r="AW41" s="326"/>
      <c r="AX41" s="326"/>
      <c r="AY41" s="326"/>
      <c r="AZ41" s="326"/>
      <c r="BA41" s="326"/>
      <c r="BB41" s="326"/>
    </row>
    <row r="42" spans="1:54">
      <c r="A42" s="19"/>
      <c r="B42" s="55" t="s">
        <v>1747</v>
      </c>
      <c r="C42" s="44">
        <f>IF(OR(Cashflow!C$111="C/I",Cashflow!C$111="Not yet producing"),0,IF(C$9-29*$I$6&lt;$I$4,0,(HLOOKUP(C$9-29*$I$6,$C$9:$AG$13,5,FALSE))))</f>
        <v>0</v>
      </c>
      <c r="D42" s="44">
        <f>IF(OR(Cashflow!D$111="C/I",Cashflow!D$111="Not yet producing"),0,IF(D$9-29*$I$6&lt;$I$4,0,(HLOOKUP(D$9-29*$I$6,$C$9:$AG$13,5,FALSE))))</f>
        <v>0</v>
      </c>
      <c r="E42" s="44">
        <f>IF(OR(Cashflow!E$111="C/I",Cashflow!E$111="Not yet producing"),0,IF(E$9-29*$I$6&lt;$I$4,0,(HLOOKUP(E$9-29*$I$6,$C$9:$AG$13,5,FALSE))))</f>
        <v>0</v>
      </c>
      <c r="F42" s="44">
        <f>IF(OR(Cashflow!F$111="C/I",Cashflow!F$111="Not yet producing"),0,IF(F$9-29*$I$6&lt;$I$4,0,(HLOOKUP(F$9-29*$I$6,$C$9:$AG$13,5,FALSE))))</f>
        <v>0</v>
      </c>
      <c r="G42" s="44">
        <f>IF(OR(Cashflow!G$111="C/I",Cashflow!G$111="Not yet producing"),0,IF(G$9-29*$I$6&lt;$I$4,0,(HLOOKUP(G$9-29*$I$6,$C$9:$AG$13,5,FALSE))))</f>
        <v>0</v>
      </c>
      <c r="H42" s="44">
        <f>IF(OR(Cashflow!H$111="C/I",Cashflow!H$111="Not yet producing"),0,IF(H$9-29*$I$6&lt;$I$4,0,(HLOOKUP(H$9-29*$I$6,$C$9:$AG$13,5,FALSE))))</f>
        <v>0</v>
      </c>
      <c r="I42" s="44">
        <f>IF(OR(Cashflow!I$111="C/I",Cashflow!I$111="Not yet producing"),0,IF(I$9-29*$I$6&lt;$I$4,0,(HLOOKUP(I$9-29*$I$6,$C$9:$AG$13,5,FALSE))))</f>
        <v>0</v>
      </c>
      <c r="J42" s="44">
        <f>IF(OR(Cashflow!J$111="C/I",Cashflow!J$111="Not yet producing"),0,IF(J$9-29*$I$6&lt;$I$4,0,(HLOOKUP(J$9-29*$I$6,$C$9:$AG$13,5,FALSE))))</f>
        <v>0</v>
      </c>
      <c r="K42" s="44">
        <f>IF(OR(Cashflow!K$111="C/I",Cashflow!K$111="Not yet producing"),0,IF(K$9-29*$I$6&lt;$I$4,0,(HLOOKUP(K$9-29*$I$6,$C$9:$AG$13,5,FALSE))))</f>
        <v>0</v>
      </c>
      <c r="L42" s="44">
        <f ca="1">IF(OR(Cashflow!L$111="C/I",Cashflow!L$111="Not yet producing"),0,IF(L$9-29*$I$6&lt;$I$4,0,(HLOOKUP(L$9-29*$I$6,$C$9:$AG$13,5,FALSE))))</f>
        <v>0</v>
      </c>
      <c r="M42" s="44">
        <f ca="1">IF(OR(Cashflow!M$111="C/I",Cashflow!M$111="Not yet producing"),0,IF(M$9-29*$I$6&lt;$I$4,0,(HLOOKUP(M$9-29*$I$6,$C$9:$AG$13,5,FALSE))))</f>
        <v>0</v>
      </c>
      <c r="N42" s="44">
        <f ca="1">IF(OR(Cashflow!N$111="C/I",Cashflow!N$111="Not yet producing"),0,IF(N$9-29*$I$6&lt;$I$4,0,(HLOOKUP(N$9-29*$I$6,$C$9:$AG$13,5,FALSE))))</f>
        <v>0</v>
      </c>
      <c r="O42" s="44">
        <f ca="1">IF(OR(Cashflow!O$111="C/I",Cashflow!O$111="Not yet producing"),0,IF(O$9-29*$I$6&lt;$I$4,0,(HLOOKUP(O$9-29*$I$6,$C$9:$AG$13,5,FALSE))))</f>
        <v>0</v>
      </c>
      <c r="P42" s="44">
        <f ca="1">IF(OR(Cashflow!P$111="C/I",Cashflow!P$111="Not yet producing"),0,IF(P$9-29*$I$6&lt;$I$4,0,(HLOOKUP(P$9-29*$I$6,$C$9:$AG$13,5,FALSE))))</f>
        <v>0</v>
      </c>
      <c r="Q42" s="44">
        <f ca="1">IF(OR(Cashflow!Q$111="C/I",Cashflow!Q$111="Not yet producing"),0,IF(Q$9-29*$I$6&lt;$I$4,0,(HLOOKUP(Q$9-29*$I$6,$C$9:$AG$13,5,FALSE))))</f>
        <v>0</v>
      </c>
      <c r="R42" s="44">
        <f ca="1">IF(OR(Cashflow!R$111="C/I",Cashflow!R$111="Not yet producing"),0,IF(R$9-29*$I$6&lt;$I$4,0,(HLOOKUP(R$9-29*$I$6,$C$9:$AG$13,5,FALSE))))</f>
        <v>0</v>
      </c>
      <c r="S42" s="44">
        <f ca="1">IF(OR(Cashflow!S$111="C/I",Cashflow!S$111="Not yet producing"),0,IF(S$9-29*$I$6&lt;$I$4,0,(HLOOKUP(S$9-29*$I$6,$C$9:$AG$13,5,FALSE))))</f>
        <v>0</v>
      </c>
      <c r="T42" s="44">
        <f ca="1">IF(OR(Cashflow!T$111="C/I",Cashflow!T$111="Not yet producing"),0,IF(T$9-29*$I$6&lt;$I$4,0,(HLOOKUP(T$9-29*$I$6,$C$9:$AG$13,5,FALSE))))</f>
        <v>0</v>
      </c>
      <c r="U42" s="44">
        <f ca="1">IF(OR(Cashflow!U$111="C/I",Cashflow!U$111="Not yet producing"),0,IF(U$9-29*$I$6&lt;$I$4,0,(HLOOKUP(U$9-29*$I$6,$C$9:$AG$13,5,FALSE))))</f>
        <v>0</v>
      </c>
      <c r="V42" s="44">
        <f ca="1">IF(OR(Cashflow!V$111="C/I",Cashflow!V$111="Not yet producing"),0,IF(V$9-29*$I$6&lt;$I$4,0,(HLOOKUP(V$9-29*$I$6,$C$9:$AG$13,5,FALSE))))</f>
        <v>0</v>
      </c>
      <c r="W42" s="44">
        <f ca="1">IF(OR(Cashflow!W$111="C/I",Cashflow!W$111="Not yet producing"),0,IF(W$9-29*$I$6&lt;$I$4,0,(HLOOKUP(W$9-29*$I$6,$C$9:$AG$13,5,FALSE))))</f>
        <v>0</v>
      </c>
      <c r="X42" s="44">
        <f ca="1">IF(OR(Cashflow!X$111="C/I",Cashflow!X$111="Not yet producing"),0,IF(X$9-29*$I$6&lt;$I$4,0,(HLOOKUP(X$9-29*$I$6,$C$9:$AG$13,5,FALSE))))</f>
        <v>0</v>
      </c>
      <c r="Y42" s="44">
        <f ca="1">IF(OR(Cashflow!Y$111="C/I",Cashflow!Y$111="Not yet producing"),0,IF(Y$9-29*$I$6&lt;$I$4,0,(HLOOKUP(Y$9-29*$I$6,$C$9:$AG$13,5,FALSE))))</f>
        <v>0</v>
      </c>
      <c r="Z42" s="44">
        <f ca="1">IF(OR(Cashflow!Z$111="C/I",Cashflow!Z$111="Not yet producing"),0,IF(Z$9-29*$I$6&lt;$I$4,0,(HLOOKUP(Z$9-29*$I$6,$C$9:$AG$13,5,FALSE))))</f>
        <v>0</v>
      </c>
      <c r="AA42" s="44">
        <f ca="1">IF(OR(Cashflow!AA$111="C/I",Cashflow!AA$111="Not yet producing"),0,IF(AA$9-29*$I$6&lt;$I$4,0,(HLOOKUP(AA$9-29*$I$6,$C$9:$AG$13,5,FALSE))))</f>
        <v>0</v>
      </c>
      <c r="AB42" s="44">
        <f ca="1">IF(OR(Cashflow!AB$111="C/I",Cashflow!AB$111="Not yet producing"),0,IF(AB$9-29*$I$6&lt;$I$4,0,(HLOOKUP(AB$9-29*$I$6,$C$9:$AG$13,5,FALSE))))</f>
        <v>0</v>
      </c>
      <c r="AC42" s="44">
        <f ca="1">IF(OR(Cashflow!AC$111="C/I",Cashflow!AC$111="Not yet producing"),0,IF(AC$9-29*$I$6&lt;$I$4,0,(HLOOKUP(AC$9-29*$I$6,$C$9:$AG$13,5,FALSE))))</f>
        <v>0</v>
      </c>
      <c r="AD42" s="44">
        <f ca="1">IF(OR(Cashflow!AD$111="C/I",Cashflow!AD$111="Not yet producing"),0,IF(AD$9-29*$I$6&lt;$I$4,0,(HLOOKUP(AD$9-29*$I$6,$C$9:$AG$13,5,FALSE))))</f>
        <v>0</v>
      </c>
      <c r="AE42" s="44">
        <f ca="1">IF(OR(Cashflow!AE$111="C/I",Cashflow!AE$111="Not yet producing"),0,IF(AE$9-29*$I$6&lt;$I$4,0,(HLOOKUP(AE$9-29*$I$6,$C$9:$AG$13,5,FALSE))))</f>
        <v>0</v>
      </c>
      <c r="AF42" s="44">
        <f ca="1">IF(OR(Cashflow!AF$111="C/I",Cashflow!AF$111="Not yet producing"),0,IF(AF$9-29*$I$6&lt;$I$4,0,(HLOOKUP(AF$9-29*$I$6,$C$9:$AG$13,5,FALSE))))</f>
        <v>0</v>
      </c>
      <c r="AG42" s="44">
        <f ca="1">IF(OR(Cashflow!AG$111="C/I",Cashflow!AG$111="Not yet producing"),0,IF(AG$9-29*$I$6&lt;$I$4,0,(HLOOKUP(AG$9-29*$I$6,$C$9:$AG$13,5,FALSE))))</f>
        <v>0</v>
      </c>
      <c r="AH42" s="19"/>
      <c r="AI42" s="19"/>
      <c r="AJ42" s="19"/>
      <c r="AK42" s="19"/>
      <c r="AL42" s="21"/>
      <c r="AM42" s="21"/>
      <c r="AN42" s="19"/>
      <c r="AO42" s="19"/>
      <c r="AP42" s="19"/>
      <c r="AQ42" s="19"/>
      <c r="AR42" s="326"/>
      <c r="AS42" s="326"/>
      <c r="AT42" s="326"/>
      <c r="AU42" s="326"/>
      <c r="AV42" s="326"/>
      <c r="AW42" s="326"/>
      <c r="AX42" s="326"/>
      <c r="AY42" s="326"/>
      <c r="AZ42" s="326"/>
      <c r="BA42" s="326"/>
      <c r="BB42" s="326"/>
    </row>
    <row r="43" spans="1:54">
      <c r="A43" s="19"/>
      <c r="B43" s="55" t="s">
        <v>1748</v>
      </c>
      <c r="C43" s="44">
        <f>IF(OR(Cashflow!C$111="C/I",Cashflow!C$111="Not yet producing"),0,IF(C$9-30*$I$6&lt;$I$4,0,(HLOOKUP(C$9-30*$I$6,$C$9:$AG$13,5,FALSE))))</f>
        <v>0</v>
      </c>
      <c r="D43" s="44">
        <f>IF(OR(Cashflow!D$111="C/I",Cashflow!D$111="Not yet producing"),0,IF(D$9-30*$I$6&lt;$I$4,0,(HLOOKUP(D$9-30*$I$6,$C$9:$AG$13,5,FALSE))))</f>
        <v>0</v>
      </c>
      <c r="E43" s="44">
        <f>IF(OR(Cashflow!E$111="C/I",Cashflow!E$111="Not yet producing"),0,IF(E$9-30*$I$6&lt;$I$4,0,(HLOOKUP(E$9-30*$I$6,$C$9:$AG$13,5,FALSE))))</f>
        <v>0</v>
      </c>
      <c r="F43" s="44">
        <f>IF(OR(Cashflow!F$111="C/I",Cashflow!F$111="Not yet producing"),0,IF(F$9-30*$I$6&lt;$I$4,0,(HLOOKUP(F$9-30*$I$6,$C$9:$AG$13,5,FALSE))))</f>
        <v>0</v>
      </c>
      <c r="G43" s="44">
        <f>IF(OR(Cashflow!G$111="C/I",Cashflow!G$111="Not yet producing"),0,IF(G$9-30*$I$6&lt;$I$4,0,(HLOOKUP(G$9-30*$I$6,$C$9:$AG$13,5,FALSE))))</f>
        <v>0</v>
      </c>
      <c r="H43" s="44">
        <f>IF(OR(Cashflow!H$111="C/I",Cashflow!H$111="Not yet producing"),0,IF(H$9-30*$I$6&lt;$I$4,0,(HLOOKUP(H$9-30*$I$6,$C$9:$AG$13,5,FALSE))))</f>
        <v>0</v>
      </c>
      <c r="I43" s="44">
        <f>IF(OR(Cashflow!I$111="C/I",Cashflow!I$111="Not yet producing"),0,IF(I$9-30*$I$6&lt;$I$4,0,(HLOOKUP(I$9-30*$I$6,$C$9:$AG$13,5,FALSE))))</f>
        <v>0</v>
      </c>
      <c r="J43" s="44">
        <f>IF(OR(Cashflow!J$111="C/I",Cashflow!J$111="Not yet producing"),0,IF(J$9-30*$I$6&lt;$I$4,0,(HLOOKUP(J$9-30*$I$6,$C$9:$AG$13,5,FALSE))))</f>
        <v>0</v>
      </c>
      <c r="K43" s="44">
        <f>IF(OR(Cashflow!K$111="C/I",Cashflow!K$111="Not yet producing"),0,IF(K$9-30*$I$6&lt;$I$4,0,(HLOOKUP(K$9-30*$I$6,$C$9:$AG$13,5,FALSE))))</f>
        <v>0</v>
      </c>
      <c r="L43" s="44">
        <f ca="1">IF(OR(Cashflow!L$111="C/I",Cashflow!L$111="Not yet producing"),0,IF(L$9-30*$I$6&lt;$I$4,0,(HLOOKUP(L$9-30*$I$6,$C$9:$AG$13,5,FALSE))))</f>
        <v>0</v>
      </c>
      <c r="M43" s="44">
        <f ca="1">IF(OR(Cashflow!M$111="C/I",Cashflow!M$111="Not yet producing"),0,IF(M$9-30*$I$6&lt;$I$4,0,(HLOOKUP(M$9-30*$I$6,$C$9:$AG$13,5,FALSE))))</f>
        <v>0</v>
      </c>
      <c r="N43" s="44">
        <f ca="1">IF(OR(Cashflow!N$111="C/I",Cashflow!N$111="Not yet producing"),0,IF(N$9-30*$I$6&lt;$I$4,0,(HLOOKUP(N$9-30*$I$6,$C$9:$AG$13,5,FALSE))))</f>
        <v>0</v>
      </c>
      <c r="O43" s="44">
        <f ca="1">IF(OR(Cashflow!O$111="C/I",Cashflow!O$111="Not yet producing"),0,IF(O$9-30*$I$6&lt;$I$4,0,(HLOOKUP(O$9-30*$I$6,$C$9:$AG$13,5,FALSE))))</f>
        <v>0</v>
      </c>
      <c r="P43" s="44">
        <f ca="1">IF(OR(Cashflow!P$111="C/I",Cashflow!P$111="Not yet producing"),0,IF(P$9-30*$I$6&lt;$I$4,0,(HLOOKUP(P$9-30*$I$6,$C$9:$AG$13,5,FALSE))))</f>
        <v>0</v>
      </c>
      <c r="Q43" s="44">
        <f ca="1">IF(OR(Cashflow!Q$111="C/I",Cashflow!Q$111="Not yet producing"),0,IF(Q$9-30*$I$6&lt;$I$4,0,(HLOOKUP(Q$9-30*$I$6,$C$9:$AG$13,5,FALSE))))</f>
        <v>0</v>
      </c>
      <c r="R43" s="44">
        <f ca="1">IF(OR(Cashflow!R$111="C/I",Cashflow!R$111="Not yet producing"),0,IF(R$9-30*$I$6&lt;$I$4,0,(HLOOKUP(R$9-30*$I$6,$C$9:$AG$13,5,FALSE))))</f>
        <v>0</v>
      </c>
      <c r="S43" s="44">
        <f ca="1">IF(OR(Cashflow!S$111="C/I",Cashflow!S$111="Not yet producing"),0,IF(S$9-30*$I$6&lt;$I$4,0,(HLOOKUP(S$9-30*$I$6,$C$9:$AG$13,5,FALSE))))</f>
        <v>0</v>
      </c>
      <c r="T43" s="44">
        <f ca="1">IF(OR(Cashflow!T$111="C/I",Cashflow!T$111="Not yet producing"),0,IF(T$9-30*$I$6&lt;$I$4,0,(HLOOKUP(T$9-30*$I$6,$C$9:$AG$13,5,FALSE))))</f>
        <v>0</v>
      </c>
      <c r="U43" s="44">
        <f ca="1">IF(OR(Cashflow!U$111="C/I",Cashflow!U$111="Not yet producing"),0,IF(U$9-30*$I$6&lt;$I$4,0,(HLOOKUP(U$9-30*$I$6,$C$9:$AG$13,5,FALSE))))</f>
        <v>0</v>
      </c>
      <c r="V43" s="44">
        <f ca="1">IF(OR(Cashflow!V$111="C/I",Cashflow!V$111="Not yet producing"),0,IF(V$9-30*$I$6&lt;$I$4,0,(HLOOKUP(V$9-30*$I$6,$C$9:$AG$13,5,FALSE))))</f>
        <v>0</v>
      </c>
      <c r="W43" s="44">
        <f ca="1">IF(OR(Cashflow!W$111="C/I",Cashflow!W$111="Not yet producing"),0,IF(W$9-30*$I$6&lt;$I$4,0,(HLOOKUP(W$9-30*$I$6,$C$9:$AG$13,5,FALSE))))</f>
        <v>0</v>
      </c>
      <c r="X43" s="44">
        <f ca="1">IF(OR(Cashflow!X$111="C/I",Cashflow!X$111="Not yet producing"),0,IF(X$9-30*$I$6&lt;$I$4,0,(HLOOKUP(X$9-30*$I$6,$C$9:$AG$13,5,FALSE))))</f>
        <v>0</v>
      </c>
      <c r="Y43" s="44">
        <f ca="1">IF(OR(Cashflow!Y$111="C/I",Cashflow!Y$111="Not yet producing"),0,IF(Y$9-30*$I$6&lt;$I$4,0,(HLOOKUP(Y$9-30*$I$6,$C$9:$AG$13,5,FALSE))))</f>
        <v>0</v>
      </c>
      <c r="Z43" s="44">
        <f ca="1">IF(OR(Cashflow!Z$111="C/I",Cashflow!Z$111="Not yet producing"),0,IF(Z$9-30*$I$6&lt;$I$4,0,(HLOOKUP(Z$9-30*$I$6,$C$9:$AG$13,5,FALSE))))</f>
        <v>0</v>
      </c>
      <c r="AA43" s="44">
        <f ca="1">IF(OR(Cashflow!AA$111="C/I",Cashflow!AA$111="Not yet producing"),0,IF(AA$9-30*$I$6&lt;$I$4,0,(HLOOKUP(AA$9-30*$I$6,$C$9:$AG$13,5,FALSE))))</f>
        <v>0</v>
      </c>
      <c r="AB43" s="44">
        <f ca="1">IF(OR(Cashflow!AB$111="C/I",Cashflow!AB$111="Not yet producing"),0,IF(AB$9-30*$I$6&lt;$I$4,0,(HLOOKUP(AB$9-30*$I$6,$C$9:$AG$13,5,FALSE))))</f>
        <v>0</v>
      </c>
      <c r="AC43" s="44">
        <f ca="1">IF(OR(Cashflow!AC$111="C/I",Cashflow!AC$111="Not yet producing"),0,IF(AC$9-30*$I$6&lt;$I$4,0,(HLOOKUP(AC$9-30*$I$6,$C$9:$AG$13,5,FALSE))))</f>
        <v>0</v>
      </c>
      <c r="AD43" s="44">
        <f ca="1">IF(OR(Cashflow!AD$111="C/I",Cashflow!AD$111="Not yet producing"),0,IF(AD$9-30*$I$6&lt;$I$4,0,(HLOOKUP(AD$9-30*$I$6,$C$9:$AG$13,5,FALSE))))</f>
        <v>0</v>
      </c>
      <c r="AE43" s="44">
        <f ca="1">IF(OR(Cashflow!AE$111="C/I",Cashflow!AE$111="Not yet producing"),0,IF(AE$9-30*$I$6&lt;$I$4,0,(HLOOKUP(AE$9-30*$I$6,$C$9:$AG$13,5,FALSE))))</f>
        <v>0</v>
      </c>
      <c r="AF43" s="44">
        <f ca="1">IF(OR(Cashflow!AF$111="C/I",Cashflow!AF$111="Not yet producing"),0,IF(AF$9-30*$I$6&lt;$I$4,0,(HLOOKUP(AF$9-30*$I$6,$C$9:$AG$13,5,FALSE))))</f>
        <v>0</v>
      </c>
      <c r="AG43" s="44">
        <f ca="1">IF(OR(Cashflow!AG$111="C/I",Cashflow!AG$111="Not yet producing"),0,IF(AG$9-30*$I$6&lt;$I$4,0,(HLOOKUP(AG$9-30*$I$6,$C$9:$AG$13,5,FALSE))))</f>
        <v>0</v>
      </c>
      <c r="AH43" s="19"/>
      <c r="AI43" s="19"/>
      <c r="AJ43" s="19"/>
      <c r="AK43" s="19"/>
      <c r="AL43" s="21"/>
      <c r="AM43" s="21"/>
      <c r="AN43" s="19"/>
      <c r="AO43" s="19"/>
      <c r="AP43" s="19"/>
      <c r="AQ43" s="19"/>
      <c r="AR43" s="326"/>
      <c r="AS43" s="326"/>
      <c r="AT43" s="326"/>
      <c r="AU43" s="326"/>
      <c r="AV43" s="326"/>
      <c r="AW43" s="326"/>
      <c r="AX43" s="326"/>
      <c r="AY43" s="326"/>
      <c r="AZ43" s="326"/>
      <c r="BA43" s="326"/>
      <c r="BB43" s="326"/>
    </row>
    <row r="44" spans="1:54">
      <c r="A44" s="19"/>
      <c r="B44" s="42" t="s">
        <v>288</v>
      </c>
      <c r="C44" s="44">
        <f>SUM(C14:C43)</f>
        <v>0</v>
      </c>
      <c r="D44" s="44">
        <f t="shared" ref="D44:AG44" si="1">SUM(D14:D43)</f>
        <v>0</v>
      </c>
      <c r="E44" s="44">
        <f t="shared" si="1"/>
        <v>0</v>
      </c>
      <c r="F44" s="44">
        <f t="shared" si="1"/>
        <v>0</v>
      </c>
      <c r="G44" s="44">
        <f t="shared" si="1"/>
        <v>0</v>
      </c>
      <c r="H44" s="44">
        <f t="shared" si="1"/>
        <v>0</v>
      </c>
      <c r="I44" s="44">
        <f t="shared" si="1"/>
        <v>0</v>
      </c>
      <c r="J44" s="44">
        <f t="shared" si="1"/>
        <v>0</v>
      </c>
      <c r="K44" s="44">
        <f t="shared" si="1"/>
        <v>0</v>
      </c>
      <c r="L44" s="44">
        <f t="shared" ca="1" si="1"/>
        <v>0</v>
      </c>
      <c r="M44" s="44">
        <f t="shared" ca="1" si="1"/>
        <v>0</v>
      </c>
      <c r="N44" s="44">
        <f t="shared" ca="1" si="1"/>
        <v>0</v>
      </c>
      <c r="O44" s="44">
        <f t="shared" ca="1" si="1"/>
        <v>0</v>
      </c>
      <c r="P44" s="44">
        <f t="shared" ca="1" si="1"/>
        <v>0</v>
      </c>
      <c r="Q44" s="44">
        <f t="shared" ca="1" si="1"/>
        <v>-1</v>
      </c>
      <c r="R44" s="44">
        <f t="shared" ca="1" si="1"/>
        <v>-2</v>
      </c>
      <c r="S44" s="44">
        <f t="shared" ca="1" si="1"/>
        <v>-1</v>
      </c>
      <c r="T44" s="44">
        <f t="shared" ca="1" si="1"/>
        <v>-2</v>
      </c>
      <c r="U44" s="44">
        <f t="shared" ca="1" si="1"/>
        <v>-1</v>
      </c>
      <c r="V44" s="44">
        <f t="shared" ca="1" si="1"/>
        <v>-2</v>
      </c>
      <c r="W44" s="44">
        <f t="shared" ca="1" si="1"/>
        <v>0</v>
      </c>
      <c r="X44" s="44">
        <f t="shared" ca="1" si="1"/>
        <v>0</v>
      </c>
      <c r="Y44" s="44">
        <f t="shared" ca="1" si="1"/>
        <v>-1</v>
      </c>
      <c r="Z44" s="44">
        <f t="shared" ca="1" si="1"/>
        <v>-2</v>
      </c>
      <c r="AA44" s="44">
        <f t="shared" ca="1" si="1"/>
        <v>-1</v>
      </c>
      <c r="AB44" s="44">
        <f t="shared" ca="1" si="1"/>
        <v>-2</v>
      </c>
      <c r="AC44" s="44">
        <f t="shared" ca="1" si="1"/>
        <v>-1</v>
      </c>
      <c r="AD44" s="44">
        <f t="shared" ca="1" si="1"/>
        <v>-2</v>
      </c>
      <c r="AE44" s="44">
        <f t="shared" ca="1" si="1"/>
        <v>0</v>
      </c>
      <c r="AF44" s="44">
        <f t="shared" ca="1" si="1"/>
        <v>0</v>
      </c>
      <c r="AG44" s="44">
        <f t="shared" ca="1" si="1"/>
        <v>-1</v>
      </c>
      <c r="AH44" s="19"/>
      <c r="AI44" s="19"/>
      <c r="AJ44" s="19"/>
      <c r="AK44" s="19"/>
      <c r="AL44" s="21"/>
      <c r="AM44" s="21"/>
      <c r="AN44" s="19"/>
      <c r="AO44" s="19"/>
      <c r="AP44" s="19"/>
      <c r="AQ44" s="19"/>
      <c r="AR44" s="326"/>
      <c r="AS44" s="326"/>
      <c r="AT44" s="326"/>
      <c r="AU44" s="326"/>
      <c r="AV44" s="326"/>
      <c r="AW44" s="326"/>
      <c r="AX44" s="326"/>
      <c r="AY44" s="326"/>
      <c r="AZ44" s="326"/>
      <c r="BA44" s="326"/>
      <c r="BB44" s="326"/>
    </row>
    <row r="45" spans="1:54">
      <c r="A45" s="19"/>
      <c r="B45" s="619" t="s">
        <v>1133</v>
      </c>
      <c r="C45" s="190">
        <f>-C44/$O$4</f>
        <v>0</v>
      </c>
      <c r="D45" s="190">
        <f t="shared" ref="D45:AG45" si="2">-D44/$O$4</f>
        <v>0</v>
      </c>
      <c r="E45" s="190">
        <f t="shared" si="2"/>
        <v>0</v>
      </c>
      <c r="F45" s="190">
        <f t="shared" si="2"/>
        <v>0</v>
      </c>
      <c r="G45" s="190">
        <f t="shared" si="2"/>
        <v>0</v>
      </c>
      <c r="H45" s="190">
        <f t="shared" si="2"/>
        <v>0</v>
      </c>
      <c r="I45" s="190">
        <f t="shared" si="2"/>
        <v>0</v>
      </c>
      <c r="J45" s="190">
        <f t="shared" si="2"/>
        <v>0</v>
      </c>
      <c r="K45" s="190">
        <f t="shared" si="2"/>
        <v>0</v>
      </c>
      <c r="L45" s="190">
        <f t="shared" ca="1" si="2"/>
        <v>0</v>
      </c>
      <c r="M45" s="190">
        <f t="shared" ca="1" si="2"/>
        <v>0</v>
      </c>
      <c r="N45" s="190">
        <f t="shared" ca="1" si="2"/>
        <v>0</v>
      </c>
      <c r="O45" s="190">
        <f t="shared" ca="1" si="2"/>
        <v>0</v>
      </c>
      <c r="P45" s="190">
        <f t="shared" ca="1" si="2"/>
        <v>0</v>
      </c>
      <c r="Q45" s="190">
        <f t="shared" ca="1" si="2"/>
        <v>1</v>
      </c>
      <c r="R45" s="190">
        <f t="shared" ca="1" si="2"/>
        <v>2</v>
      </c>
      <c r="S45" s="190">
        <f t="shared" ca="1" si="2"/>
        <v>1</v>
      </c>
      <c r="T45" s="190">
        <f t="shared" ca="1" si="2"/>
        <v>2</v>
      </c>
      <c r="U45" s="190">
        <f t="shared" ca="1" si="2"/>
        <v>1</v>
      </c>
      <c r="V45" s="190">
        <f t="shared" ca="1" si="2"/>
        <v>2</v>
      </c>
      <c r="W45" s="190">
        <f t="shared" ca="1" si="2"/>
        <v>0</v>
      </c>
      <c r="X45" s="190">
        <f t="shared" ca="1" si="2"/>
        <v>0</v>
      </c>
      <c r="Y45" s="190">
        <f t="shared" ca="1" si="2"/>
        <v>1</v>
      </c>
      <c r="Z45" s="190">
        <f t="shared" ca="1" si="2"/>
        <v>2</v>
      </c>
      <c r="AA45" s="190">
        <f t="shared" ca="1" si="2"/>
        <v>1</v>
      </c>
      <c r="AB45" s="190">
        <f t="shared" ca="1" si="2"/>
        <v>2</v>
      </c>
      <c r="AC45" s="190">
        <f t="shared" ca="1" si="2"/>
        <v>1</v>
      </c>
      <c r="AD45" s="190">
        <f t="shared" ca="1" si="2"/>
        <v>2</v>
      </c>
      <c r="AE45" s="190">
        <f t="shared" ca="1" si="2"/>
        <v>0</v>
      </c>
      <c r="AF45" s="190">
        <f t="shared" ca="1" si="2"/>
        <v>0</v>
      </c>
      <c r="AG45" s="190">
        <f t="shared" ca="1" si="2"/>
        <v>1</v>
      </c>
      <c r="AH45" s="19"/>
      <c r="AI45" s="19"/>
      <c r="AJ45" s="19"/>
      <c r="AK45" s="19"/>
      <c r="AL45" s="21"/>
      <c r="AM45" s="21"/>
      <c r="AN45" s="19"/>
      <c r="AO45" s="19"/>
      <c r="AP45" s="19"/>
      <c r="AQ45" s="19"/>
      <c r="AR45" s="326"/>
      <c r="AS45" s="326"/>
      <c r="AT45" s="326"/>
      <c r="AU45" s="326"/>
      <c r="AV45" s="326"/>
      <c r="AW45" s="326"/>
      <c r="AX45" s="326"/>
      <c r="AY45" s="326"/>
      <c r="AZ45" s="326"/>
      <c r="BA45" s="326"/>
      <c r="BB45" s="326"/>
    </row>
    <row r="46" spans="1:54">
      <c r="A46" s="19"/>
      <c r="B46" s="28"/>
      <c r="C46" s="19"/>
      <c r="D46" s="19"/>
      <c r="E46" s="19"/>
      <c r="F46" s="19"/>
      <c r="G46" s="19"/>
      <c r="H46" s="19"/>
      <c r="I46" s="19"/>
      <c r="J46" s="132"/>
      <c r="K46" s="137"/>
      <c r="L46" s="132"/>
      <c r="M46" s="137"/>
      <c r="N46" s="137"/>
      <c r="O46" s="137"/>
      <c r="P46" s="19"/>
      <c r="Q46" s="19"/>
      <c r="R46" s="19"/>
      <c r="S46" s="19"/>
      <c r="T46" s="19"/>
      <c r="U46" s="19"/>
      <c r="V46" s="19"/>
      <c r="W46" s="19"/>
      <c r="X46" s="19"/>
      <c r="Y46" s="19"/>
      <c r="Z46" s="19"/>
      <c r="AA46" s="19"/>
      <c r="AB46" s="19"/>
      <c r="AC46" s="19"/>
      <c r="AD46" s="19"/>
      <c r="AE46" s="19"/>
      <c r="AF46" s="19"/>
      <c r="AG46" s="19"/>
      <c r="AH46" s="19"/>
      <c r="AI46" s="19"/>
      <c r="AJ46" s="19"/>
      <c r="AK46" s="19"/>
      <c r="AL46" s="21"/>
      <c r="AM46" s="21"/>
      <c r="AN46" s="19"/>
      <c r="AO46" s="19"/>
      <c r="AP46" s="19"/>
      <c r="AQ46" s="19"/>
      <c r="AR46" s="326"/>
      <c r="AS46" s="326"/>
      <c r="AT46" s="326"/>
      <c r="AU46" s="326"/>
      <c r="AV46" s="326"/>
      <c r="AW46" s="326"/>
      <c r="AX46" s="326"/>
      <c r="AY46" s="326"/>
      <c r="AZ46" s="326"/>
      <c r="BA46" s="326"/>
      <c r="BB46" s="326"/>
    </row>
    <row r="47" spans="1:54" ht="15" thickBot="1">
      <c r="A47" s="19"/>
      <c r="B47" s="52" t="s">
        <v>651</v>
      </c>
      <c r="C47" s="32">
        <f>Cashflow!C$30</f>
        <v>2017</v>
      </c>
      <c r="D47" s="32">
        <f>Cashflow!D$30</f>
        <v>2018</v>
      </c>
      <c r="E47" s="32">
        <f>Cashflow!E$30</f>
        <v>2019</v>
      </c>
      <c r="F47" s="32">
        <f>Cashflow!F$30</f>
        <v>2020</v>
      </c>
      <c r="G47" s="32">
        <f>Cashflow!G$30</f>
        <v>2021</v>
      </c>
      <c r="H47" s="32">
        <f>Cashflow!H$30</f>
        <v>2022</v>
      </c>
      <c r="I47" s="32">
        <f>Cashflow!I$30</f>
        <v>2023</v>
      </c>
      <c r="J47" s="32">
        <f>Cashflow!J$30</f>
        <v>2024</v>
      </c>
      <c r="K47" s="32">
        <f>Cashflow!K$30</f>
        <v>2025</v>
      </c>
      <c r="L47" s="32">
        <f>Cashflow!L$30</f>
        <v>2026</v>
      </c>
      <c r="M47" s="32">
        <f>Cashflow!M$30</f>
        <v>2027</v>
      </c>
      <c r="N47" s="32">
        <f>Cashflow!N$30</f>
        <v>2028</v>
      </c>
      <c r="O47" s="32">
        <f>Cashflow!O$30</f>
        <v>2029</v>
      </c>
      <c r="P47" s="32">
        <f>Cashflow!P$30</f>
        <v>2030</v>
      </c>
      <c r="Q47" s="32">
        <f>Cashflow!Q$30</f>
        <v>2031</v>
      </c>
      <c r="R47" s="32">
        <f>Cashflow!R$30</f>
        <v>2032</v>
      </c>
      <c r="S47" s="32">
        <f>Cashflow!S$30</f>
        <v>2033</v>
      </c>
      <c r="T47" s="32">
        <f>Cashflow!T$30</f>
        <v>2034</v>
      </c>
      <c r="U47" s="32">
        <f>Cashflow!U$30</f>
        <v>2035</v>
      </c>
      <c r="V47" s="32">
        <f>Cashflow!V$30</f>
        <v>2036</v>
      </c>
      <c r="W47" s="32">
        <f>Cashflow!W$30</f>
        <v>2037</v>
      </c>
      <c r="X47" s="32">
        <f>Cashflow!X$30</f>
        <v>2038</v>
      </c>
      <c r="Y47" s="32">
        <f>Cashflow!Y$30</f>
        <v>2039</v>
      </c>
      <c r="Z47" s="32">
        <f>Cashflow!Z$30</f>
        <v>2040</v>
      </c>
      <c r="AA47" s="32">
        <f>Cashflow!AA$30</f>
        <v>2041</v>
      </c>
      <c r="AB47" s="32">
        <f>Cashflow!AB$30</f>
        <v>2042</v>
      </c>
      <c r="AC47" s="32">
        <f>Cashflow!AC$30</f>
        <v>2043</v>
      </c>
      <c r="AD47" s="32">
        <f>Cashflow!AD$30</f>
        <v>2044</v>
      </c>
      <c r="AE47" s="32">
        <f>Cashflow!AE$30</f>
        <v>2045</v>
      </c>
      <c r="AF47" s="32">
        <f>Cashflow!AF$30</f>
        <v>2046</v>
      </c>
      <c r="AG47" s="32">
        <f>Cashflow!AG$30</f>
        <v>2047</v>
      </c>
      <c r="AH47" s="19"/>
      <c r="AI47" s="19"/>
      <c r="AJ47" s="19"/>
      <c r="AK47" s="19"/>
      <c r="AL47" s="21"/>
      <c r="AM47" s="21"/>
      <c r="AN47" s="19"/>
      <c r="AO47" s="19"/>
      <c r="AP47" s="19"/>
      <c r="AQ47" s="19"/>
      <c r="AR47" s="326"/>
      <c r="AS47" s="326"/>
      <c r="AT47" s="326"/>
      <c r="AU47" s="326"/>
      <c r="AV47" s="326"/>
      <c r="AW47" s="326"/>
      <c r="AX47" s="326"/>
      <c r="AY47" s="326"/>
      <c r="AZ47" s="326"/>
      <c r="BA47" s="326"/>
      <c r="BB47" s="326"/>
    </row>
    <row r="48" spans="1:54" ht="15" thickTop="1">
      <c r="A48" s="19"/>
      <c r="B48" s="42" t="s">
        <v>652</v>
      </c>
      <c r="C48" s="58">
        <f>Cashflow!C157</f>
        <v>0</v>
      </c>
      <c r="D48" s="58">
        <f>Cashflow!D157</f>
        <v>0</v>
      </c>
      <c r="E48" s="58">
        <f>Cashflow!E157</f>
        <v>0</v>
      </c>
      <c r="F48" s="58">
        <f>Cashflow!F157</f>
        <v>0</v>
      </c>
      <c r="G48" s="58">
        <f>Cashflow!G157</f>
        <v>0</v>
      </c>
      <c r="H48" s="58">
        <f>Cashflow!H157</f>
        <v>0</v>
      </c>
      <c r="I48" s="58">
        <f>Cashflow!I157</f>
        <v>1</v>
      </c>
      <c r="J48" s="58">
        <f>Cashflow!J157</f>
        <v>2</v>
      </c>
      <c r="K48" s="58">
        <f>Cashflow!K157</f>
        <v>1</v>
      </c>
      <c r="L48" s="58">
        <f ca="1">Cashflow!L157</f>
        <v>2</v>
      </c>
      <c r="M48" s="58">
        <f ca="1">Cashflow!M157</f>
        <v>1</v>
      </c>
      <c r="N48" s="58">
        <f ca="1">Cashflow!N157</f>
        <v>2</v>
      </c>
      <c r="O48" s="58">
        <f ca="1">Cashflow!O157</f>
        <v>0</v>
      </c>
      <c r="P48" s="58">
        <f ca="1">Cashflow!P157</f>
        <v>0</v>
      </c>
      <c r="Q48" s="58">
        <f ca="1">Cashflow!Q157</f>
        <v>0</v>
      </c>
      <c r="R48" s="58">
        <f ca="1">Cashflow!R157</f>
        <v>0</v>
      </c>
      <c r="S48" s="58">
        <f ca="1">Cashflow!S157</f>
        <v>0</v>
      </c>
      <c r="T48" s="58">
        <f ca="1">Cashflow!T157</f>
        <v>0</v>
      </c>
      <c r="U48" s="58">
        <f ca="1">Cashflow!U157</f>
        <v>0</v>
      </c>
      <c r="V48" s="58">
        <f ca="1">Cashflow!V157</f>
        <v>0</v>
      </c>
      <c r="W48" s="58">
        <f ca="1">Cashflow!W157</f>
        <v>0</v>
      </c>
      <c r="X48" s="58">
        <f ca="1">Cashflow!X157</f>
        <v>0</v>
      </c>
      <c r="Y48" s="58">
        <f ca="1">Cashflow!Y157</f>
        <v>0</v>
      </c>
      <c r="Z48" s="58">
        <f ca="1">Cashflow!Z157</f>
        <v>0</v>
      </c>
      <c r="AA48" s="58">
        <f ca="1">Cashflow!AA157</f>
        <v>0</v>
      </c>
      <c r="AB48" s="58">
        <f ca="1">Cashflow!AB157</f>
        <v>0</v>
      </c>
      <c r="AC48" s="58">
        <f ca="1">Cashflow!AC157</f>
        <v>0</v>
      </c>
      <c r="AD48" s="58">
        <f ca="1">Cashflow!AD157</f>
        <v>0</v>
      </c>
      <c r="AE48" s="58">
        <f ca="1">Cashflow!AE157</f>
        <v>0</v>
      </c>
      <c r="AF48" s="58">
        <f ca="1">Cashflow!AF157</f>
        <v>0</v>
      </c>
      <c r="AG48" s="58">
        <f ca="1">Cashflow!AG157</f>
        <v>0</v>
      </c>
      <c r="AH48" s="19"/>
      <c r="AI48" s="19"/>
      <c r="AJ48" s="19"/>
      <c r="AK48" s="19"/>
      <c r="AL48" s="21"/>
      <c r="AM48" s="21"/>
      <c r="AN48" s="19"/>
      <c r="AO48" s="19"/>
      <c r="AP48" s="19"/>
      <c r="AQ48" s="19"/>
      <c r="AR48" s="326"/>
      <c r="AS48" s="326"/>
      <c r="AT48" s="326"/>
      <c r="AU48" s="326"/>
      <c r="AV48" s="326"/>
      <c r="AW48" s="326"/>
      <c r="AX48" s="326"/>
      <c r="AY48" s="326"/>
      <c r="AZ48" s="326"/>
      <c r="BA48" s="326"/>
      <c r="BB48" s="326"/>
    </row>
    <row r="49" spans="1:54">
      <c r="A49" s="19"/>
      <c r="B49" s="55" t="s">
        <v>1723</v>
      </c>
      <c r="C49" s="58">
        <f>Cashflow!C155</f>
        <v>0</v>
      </c>
      <c r="D49" s="58">
        <f>Cashflow!D155</f>
        <v>0</v>
      </c>
      <c r="E49" s="58">
        <f>Cashflow!E155</f>
        <v>0</v>
      </c>
      <c r="F49" s="58">
        <f>Cashflow!F155</f>
        <v>0</v>
      </c>
      <c r="G49" s="58">
        <f>Cashflow!G155</f>
        <v>0</v>
      </c>
      <c r="H49" s="58">
        <f>Cashflow!H155</f>
        <v>0</v>
      </c>
      <c r="I49" s="58">
        <f>Cashflow!I155</f>
        <v>1</v>
      </c>
      <c r="J49" s="58">
        <f>Cashflow!J155</f>
        <v>3</v>
      </c>
      <c r="K49" s="58">
        <f>Cashflow!K155</f>
        <v>4</v>
      </c>
      <c r="L49" s="58">
        <f ca="1">Cashflow!L155</f>
        <v>6</v>
      </c>
      <c r="M49" s="58">
        <f ca="1">Cashflow!M155</f>
        <v>7</v>
      </c>
      <c r="N49" s="58">
        <f ca="1">Cashflow!N155</f>
        <v>9</v>
      </c>
      <c r="O49" s="58">
        <f ca="1">Cashflow!O155</f>
        <v>9</v>
      </c>
      <c r="P49" s="58">
        <f ca="1">Cashflow!P155</f>
        <v>9</v>
      </c>
      <c r="Q49" s="58">
        <f ca="1">Cashflow!Q155</f>
        <v>9</v>
      </c>
      <c r="R49" s="58">
        <f ca="1">Cashflow!R155</f>
        <v>9</v>
      </c>
      <c r="S49" s="58">
        <f ca="1">Cashflow!S155</f>
        <v>9</v>
      </c>
      <c r="T49" s="58">
        <f ca="1">Cashflow!T155</f>
        <v>9</v>
      </c>
      <c r="U49" s="58">
        <f ca="1">Cashflow!U155</f>
        <v>9</v>
      </c>
      <c r="V49" s="58">
        <f ca="1">Cashflow!V155</f>
        <v>9</v>
      </c>
      <c r="W49" s="58">
        <f ca="1">Cashflow!W155</f>
        <v>9</v>
      </c>
      <c r="X49" s="58">
        <f ca="1">Cashflow!X155</f>
        <v>9</v>
      </c>
      <c r="Y49" s="58">
        <f ca="1">Cashflow!Y155</f>
        <v>9</v>
      </c>
      <c r="Z49" s="58">
        <f ca="1">Cashflow!Z155</f>
        <v>9</v>
      </c>
      <c r="AA49" s="58">
        <f ca="1">Cashflow!AA155</f>
        <v>9</v>
      </c>
      <c r="AB49" s="58">
        <f ca="1">Cashflow!AB155</f>
        <v>9</v>
      </c>
      <c r="AC49" s="58">
        <f ca="1">Cashflow!AC155</f>
        <v>9</v>
      </c>
      <c r="AD49" s="58">
        <f ca="1">Cashflow!AD155</f>
        <v>9</v>
      </c>
      <c r="AE49" s="58">
        <f ca="1">Cashflow!AE155</f>
        <v>9</v>
      </c>
      <c r="AF49" s="58">
        <f ca="1">Cashflow!AF155</f>
        <v>9</v>
      </c>
      <c r="AG49" s="58">
        <f ca="1">Cashflow!AG155</f>
        <v>9</v>
      </c>
      <c r="AH49" s="19"/>
      <c r="AI49" s="19"/>
      <c r="AJ49" s="19"/>
      <c r="AK49" s="19"/>
      <c r="AL49" s="21"/>
      <c r="AM49" s="21"/>
      <c r="AN49" s="19"/>
      <c r="AO49" s="19"/>
      <c r="AP49" s="19"/>
      <c r="AQ49" s="19"/>
      <c r="AR49" s="326"/>
      <c r="AS49" s="326"/>
      <c r="AT49" s="326"/>
      <c r="AU49" s="326"/>
      <c r="AV49" s="326"/>
      <c r="AW49" s="326"/>
      <c r="AX49" s="326"/>
      <c r="AY49" s="326"/>
      <c r="AZ49" s="326"/>
      <c r="BA49" s="326"/>
      <c r="BB49" s="326"/>
    </row>
    <row r="50" spans="1:54">
      <c r="A50" s="19"/>
      <c r="B50" s="55" t="s">
        <v>280</v>
      </c>
      <c r="C50" s="59">
        <f>IF(Cashflow!C$111="C/I",0,-C$49*Cashflow!$V$22)</f>
        <v>0</v>
      </c>
      <c r="D50" s="59">
        <f>IF(Cashflow!D$111="C/I",0,-D$49*Cashflow!$V$22)</f>
        <v>0</v>
      </c>
      <c r="E50" s="59">
        <f>IF(Cashflow!E$111="C/I",0,-E$49*Cashflow!$V$22)</f>
        <v>0</v>
      </c>
      <c r="F50" s="59">
        <f>IF(Cashflow!F$111="C/I",0,-F$49*Cashflow!$V$22)</f>
        <v>0</v>
      </c>
      <c r="G50" s="59">
        <f>IF(Cashflow!G$111="C/I",0,-G$49*Cashflow!$V$22)</f>
        <v>0</v>
      </c>
      <c r="H50" s="59">
        <f>IF(Cashflow!H$111="C/I",0,-H$49*Cashflow!$V$22)</f>
        <v>0</v>
      </c>
      <c r="I50" s="59">
        <f>IF(Cashflow!I$111="C/I",0,-I$49*Cashflow!$V$22)</f>
        <v>-0.1</v>
      </c>
      <c r="J50" s="59">
        <f>IF(Cashflow!J$111="C/I",0,-J$49*Cashflow!$V$22)</f>
        <v>-0.30000000000000004</v>
      </c>
      <c r="K50" s="59">
        <f>IF(Cashflow!K$111="C/I",0,-K$49*Cashflow!$V$22)</f>
        <v>-0.4</v>
      </c>
      <c r="L50" s="59">
        <f ca="1">IF(Cashflow!L$111="C/I",0,-L$49*Cashflow!$V$22)</f>
        <v>-0.60000000000000009</v>
      </c>
      <c r="M50" s="59">
        <f ca="1">IF(Cashflow!M$111="C/I",0,-M$49*Cashflow!$V$22)</f>
        <v>-0.70000000000000007</v>
      </c>
      <c r="N50" s="59">
        <f ca="1">IF(Cashflow!N$111="C/I",0,-N$49*Cashflow!$V$22)</f>
        <v>-0.9</v>
      </c>
      <c r="O50" s="59">
        <f ca="1">IF(Cashflow!O$111="C/I",0,-O$49*Cashflow!$V$22)</f>
        <v>-0.9</v>
      </c>
      <c r="P50" s="59">
        <f ca="1">IF(Cashflow!P$111="C/I",0,-P$49*Cashflow!$V$22)</f>
        <v>-0.9</v>
      </c>
      <c r="Q50" s="59">
        <f ca="1">IF(Cashflow!Q$111="C/I",0,-Q$49*Cashflow!$V$22)</f>
        <v>-0.9</v>
      </c>
      <c r="R50" s="59">
        <f ca="1">IF(Cashflow!R$111="C/I",0,-R$49*Cashflow!$V$22)</f>
        <v>-0.9</v>
      </c>
      <c r="S50" s="59">
        <f ca="1">IF(Cashflow!S$111="C/I",0,-S$49*Cashflow!$V$22)</f>
        <v>-0.9</v>
      </c>
      <c r="T50" s="59">
        <f ca="1">IF(Cashflow!T$111="C/I",0,-T$49*Cashflow!$V$22)</f>
        <v>-0.9</v>
      </c>
      <c r="U50" s="59">
        <f ca="1">IF(Cashflow!U$111="C/I",0,-U$49*Cashflow!$V$22)</f>
        <v>-0.9</v>
      </c>
      <c r="V50" s="59">
        <f ca="1">IF(Cashflow!V$111="C/I",0,-V$49*Cashflow!$V$22)</f>
        <v>-0.9</v>
      </c>
      <c r="W50" s="59">
        <f ca="1">IF(Cashflow!W$111="C/I",0,-W$49*Cashflow!$V$22)</f>
        <v>-0.9</v>
      </c>
      <c r="X50" s="59">
        <f ca="1">IF(Cashflow!X$111="C/I",0,-X$49*Cashflow!$V$22)</f>
        <v>-0.9</v>
      </c>
      <c r="Y50" s="59">
        <f ca="1">IF(Cashflow!Y$111="C/I",0,-Y$49*Cashflow!$V$22)</f>
        <v>-0.9</v>
      </c>
      <c r="Z50" s="59">
        <f ca="1">IF(Cashflow!Z$111="C/I",0,-Z$49*Cashflow!$V$22)</f>
        <v>-0.9</v>
      </c>
      <c r="AA50" s="59">
        <f ca="1">IF(Cashflow!AA$111="C/I",0,-AA$49*Cashflow!$V$22)</f>
        <v>-0.9</v>
      </c>
      <c r="AB50" s="59">
        <f ca="1">IF(Cashflow!AB$111="C/I",0,-AB$49*Cashflow!$V$22)</f>
        <v>-0.9</v>
      </c>
      <c r="AC50" s="59">
        <f ca="1">IF(Cashflow!AC$111="C/I",0,-AC$49*Cashflow!$V$22)</f>
        <v>-0.9</v>
      </c>
      <c r="AD50" s="59">
        <f ca="1">IF(Cashflow!AD$111="C/I",0,-AD$49*Cashflow!$V$22)</f>
        <v>-0.9</v>
      </c>
      <c r="AE50" s="59">
        <f ca="1">IF(Cashflow!AE$111="C/I",0,-AE$49*Cashflow!$V$22)</f>
        <v>-0.9</v>
      </c>
      <c r="AF50" s="59">
        <f ca="1">IF(Cashflow!AF$111="C/I",0,-AF$49*Cashflow!$V$22)</f>
        <v>-0.9</v>
      </c>
      <c r="AG50" s="59">
        <f ca="1">IF(Cashflow!AG$111="C/I",0,-AG$49*Cashflow!$V$22)</f>
        <v>-0.9</v>
      </c>
      <c r="AH50" s="19"/>
      <c r="AI50" s="19"/>
      <c r="AJ50" s="19"/>
      <c r="AK50" s="19"/>
      <c r="AL50" s="21"/>
      <c r="AM50" s="21"/>
      <c r="AN50" s="19"/>
      <c r="AO50" s="19"/>
      <c r="AP50" s="19"/>
      <c r="AQ50" s="19"/>
      <c r="AR50" s="326"/>
      <c r="AS50" s="326"/>
      <c r="AT50" s="326"/>
      <c r="AU50" s="326"/>
      <c r="AV50" s="326"/>
      <c r="AW50" s="326"/>
      <c r="AX50" s="326"/>
      <c r="AY50" s="326"/>
      <c r="AZ50" s="326"/>
      <c r="BA50" s="326"/>
      <c r="BB50" s="326"/>
    </row>
    <row r="51" spans="1:54">
      <c r="A51" s="19"/>
      <c r="B51" s="55" t="s">
        <v>281</v>
      </c>
      <c r="C51" s="59">
        <f>IF(C48=0,0,-C48*Cashflow!$V$21)</f>
        <v>0</v>
      </c>
      <c r="D51" s="59">
        <f>IF(D48=0,0,-D48*Cashflow!$V$21)</f>
        <v>0</v>
      </c>
      <c r="E51" s="59">
        <f>IF(E48=0,0,-E48*Cashflow!$V$21)</f>
        <v>0</v>
      </c>
      <c r="F51" s="59">
        <f>IF(F48=0,0,-F48*Cashflow!$V$21)</f>
        <v>0</v>
      </c>
      <c r="G51" s="59">
        <f>IF(G48=0,0,-G48*Cashflow!$V$21)</f>
        <v>0</v>
      </c>
      <c r="H51" s="59">
        <f>IF(H48=0,0,-H48*Cashflow!$V$21)</f>
        <v>0</v>
      </c>
      <c r="I51" s="59">
        <f>IF(I48=0,0,-I48*Cashflow!$V$21)</f>
        <v>-1</v>
      </c>
      <c r="J51" s="59">
        <f>IF(J48=0,0,-J48*Cashflow!$V$21)</f>
        <v>-2</v>
      </c>
      <c r="K51" s="59">
        <f>IF(K48=0,0,-K48*Cashflow!$V$21)</f>
        <v>-1</v>
      </c>
      <c r="L51" s="59">
        <f ca="1">IF(L48=0,0,-L48*Cashflow!$V$21)</f>
        <v>-2</v>
      </c>
      <c r="M51" s="59">
        <f ca="1">IF(M48=0,0,-M48*Cashflow!$V$21)</f>
        <v>-1</v>
      </c>
      <c r="N51" s="59">
        <f ca="1">IF(N48=0,0,-N48*Cashflow!$V$21)</f>
        <v>-2</v>
      </c>
      <c r="O51" s="59">
        <f ca="1">IF(O48=0,0,-O48*Cashflow!$V$21)</f>
        <v>0</v>
      </c>
      <c r="P51" s="59">
        <f ca="1">IF(P48=0,0,-P48*Cashflow!$V$21)</f>
        <v>0</v>
      </c>
      <c r="Q51" s="59">
        <f ca="1">IF(Q48=0,0,-Q48*Cashflow!$V$21)</f>
        <v>0</v>
      </c>
      <c r="R51" s="59">
        <f ca="1">IF(R48=0,0,-R48*Cashflow!$V$21)</f>
        <v>0</v>
      </c>
      <c r="S51" s="59">
        <f ca="1">IF(S48=0,0,-S48*Cashflow!$V$21)</f>
        <v>0</v>
      </c>
      <c r="T51" s="59">
        <f ca="1">IF(T48=0,0,-T48*Cashflow!$V$21)</f>
        <v>0</v>
      </c>
      <c r="U51" s="59">
        <f ca="1">IF(U48=0,0,-U48*Cashflow!$V$21)</f>
        <v>0</v>
      </c>
      <c r="V51" s="59">
        <f ca="1">IF(V48=0,0,-V48*Cashflow!$V$21)</f>
        <v>0</v>
      </c>
      <c r="W51" s="59">
        <f ca="1">IF(W48=0,0,-W48*Cashflow!$V$21)</f>
        <v>0</v>
      </c>
      <c r="X51" s="59">
        <f ca="1">IF(X48=0,0,-X48*Cashflow!$V$21)</f>
        <v>0</v>
      </c>
      <c r="Y51" s="59">
        <f ca="1">IF(Y48=0,0,-Y48*Cashflow!$V$21)</f>
        <v>0</v>
      </c>
      <c r="Z51" s="59">
        <f ca="1">IF(Z48=0,0,-Z48*Cashflow!$V$21)</f>
        <v>0</v>
      </c>
      <c r="AA51" s="59">
        <f ca="1">IF(AA48=0,0,-AA48*Cashflow!$V$21)</f>
        <v>0</v>
      </c>
      <c r="AB51" s="59">
        <f ca="1">IF(AB48=0,0,-AB48*Cashflow!$V$21)</f>
        <v>0</v>
      </c>
      <c r="AC51" s="59">
        <f ca="1">IF(AC48=0,0,-AC48*Cashflow!$V$21)</f>
        <v>0</v>
      </c>
      <c r="AD51" s="59">
        <f ca="1">IF(AD48=0,0,-AD48*Cashflow!$V$21)</f>
        <v>0</v>
      </c>
      <c r="AE51" s="59">
        <f ca="1">IF(AE48=0,0,-AE48*Cashflow!$V$21)</f>
        <v>0</v>
      </c>
      <c r="AF51" s="59">
        <f ca="1">IF(AF48=0,0,-AF48*Cashflow!$V$21)</f>
        <v>0</v>
      </c>
      <c r="AG51" s="59">
        <f ca="1">IF(AG48=0,0,-AG48*Cashflow!$V$21)</f>
        <v>0</v>
      </c>
      <c r="AH51" s="19"/>
      <c r="AI51" s="19"/>
      <c r="AJ51" s="19"/>
      <c r="AK51" s="19"/>
      <c r="AL51" s="21"/>
      <c r="AM51" s="21"/>
      <c r="AN51" s="19"/>
      <c r="AO51" s="19"/>
      <c r="AP51" s="19"/>
      <c r="AQ51" s="19"/>
      <c r="AR51" s="326"/>
      <c r="AS51" s="326"/>
      <c r="AT51" s="326"/>
      <c r="AU51" s="326"/>
      <c r="AV51" s="326"/>
      <c r="AW51" s="326"/>
      <c r="AX51" s="326"/>
      <c r="AY51" s="326"/>
      <c r="AZ51" s="326"/>
      <c r="BA51" s="326"/>
      <c r="BB51" s="326"/>
    </row>
    <row r="52" spans="1:54">
      <c r="A52" s="19"/>
      <c r="B52" s="55" t="s">
        <v>282</v>
      </c>
      <c r="C52" s="44">
        <f>IF(OR(Cashflow!C$111="C/I",Cashflow!C$111="Not yet producing"),0,IF(C$47-$I$7&lt;$I$4,0,(HLOOKUP(C$47-$I$7,$C$47:$AG$51,5,FALSE))))</f>
        <v>0</v>
      </c>
      <c r="D52" s="44">
        <f>IF(OR(Cashflow!D$111="C/I",Cashflow!D$111="Not yet producing"),0,IF(D$47-$I$7&lt;$I$4,0,(HLOOKUP(D$47-$I$7,$C$47:$AG$51,5,FALSE))))</f>
        <v>0</v>
      </c>
      <c r="E52" s="44">
        <f>IF(OR(Cashflow!E$111="C/I",Cashflow!E$111="Not yet producing"),0,IF(E$47-$I$7&lt;$I$4,0,(HLOOKUP(E$47-$I$7,$C$47:$AG$51,5,FALSE))))</f>
        <v>0</v>
      </c>
      <c r="F52" s="44">
        <f>IF(OR(Cashflow!F$111="C/I",Cashflow!F$111="Not yet producing"),0,IF(F$47-$I$7&lt;$I$4,0,(HLOOKUP(F$47-$I$7,$C$47:$AG$51,5,FALSE))))</f>
        <v>0</v>
      </c>
      <c r="G52" s="44">
        <f>IF(OR(Cashflow!G$111="C/I",Cashflow!G$111="Not yet producing"),0,IF(G$47-$I$7&lt;$I$4,0,(HLOOKUP(G$47-$I$7,$C$47:$AG$51,5,FALSE))))</f>
        <v>0</v>
      </c>
      <c r="H52" s="44">
        <f>IF(OR(Cashflow!H$111="C/I",Cashflow!H$111="Not yet producing"),0,IF(H$47-$I$7&lt;$I$4,0,(HLOOKUP(H$47-$I$7,$C$47:$AG$51,5,FALSE))))</f>
        <v>0</v>
      </c>
      <c r="I52" s="44">
        <f>IF(OR(Cashflow!I$111="C/I",Cashflow!I$111="Not yet producing"),0,IF(I$47-$I$7&lt;$I$4,0,(HLOOKUP(I$47-$I$7,$C$47:$AG$51,5,FALSE))))</f>
        <v>0</v>
      </c>
      <c r="J52" s="44">
        <f>IF(OR(Cashflow!J$111="C/I",Cashflow!J$111="Not yet producing"),0,IF(J$47-$I$7&lt;$I$4,0,(HLOOKUP(J$47-$I$7,$C$47:$AG$51,5,FALSE))))</f>
        <v>0</v>
      </c>
      <c r="K52" s="44">
        <f>IF(OR(Cashflow!K$111="C/I",Cashflow!K$111="Not yet producing"),0,IF(K$47-$I$7&lt;$I$4,0,(HLOOKUP(K$47-$I$7,$C$47:$AG$51,5,FALSE))))</f>
        <v>0</v>
      </c>
      <c r="L52" s="44">
        <f ca="1">IF(OR(Cashflow!L$111="C/I",Cashflow!L$111="Not yet producing"),0,IF(L$47-$I$7&lt;$I$4,0,(HLOOKUP(L$47-$I$7,$C$47:$AG$51,5,FALSE))))</f>
        <v>0</v>
      </c>
      <c r="M52" s="44">
        <f ca="1">IF(OR(Cashflow!M$111="C/I",Cashflow!M$111="Not yet producing"),0,IF(M$47-$I$7&lt;$I$4,0,(HLOOKUP(M$47-$I$7,$C$47:$AG$51,5,FALSE))))</f>
        <v>0</v>
      </c>
      <c r="N52" s="44">
        <f ca="1">IF(OR(Cashflow!N$111="C/I",Cashflow!N$111="Not yet producing"),0,IF(N$47-$I$7&lt;$I$4,0,(HLOOKUP(N$47-$I$7,$C$47:$AG$51,5,FALSE))))</f>
        <v>0</v>
      </c>
      <c r="O52" s="44">
        <f ca="1">IF(OR(Cashflow!O$111="C/I",Cashflow!O$111="Not yet producing"),0,IF(O$47-$I$7&lt;$I$4,0,(HLOOKUP(O$47-$I$7,$C$47:$AG$51,5,FALSE))))</f>
        <v>-1</v>
      </c>
      <c r="P52" s="44">
        <f ca="1">IF(OR(Cashflow!P$111="C/I",Cashflow!P$111="Not yet producing"),0,IF(P$47-$I$7&lt;$I$4,0,(HLOOKUP(P$47-$I$7,$C$47:$AG$51,5,FALSE))))</f>
        <v>-2</v>
      </c>
      <c r="Q52" s="44">
        <f ca="1">IF(OR(Cashflow!Q$111="C/I",Cashflow!Q$111="Not yet producing"),0,IF(Q$47-$I$7&lt;$I$4,0,(HLOOKUP(Q$47-$I$7,$C$47:$AG$51,5,FALSE))))</f>
        <v>-1</v>
      </c>
      <c r="R52" s="44">
        <f ca="1">IF(OR(Cashflow!R$111="C/I",Cashflow!R$111="Not yet producing"),0,IF(R$47-$I$7&lt;$I$4,0,(HLOOKUP(R$47-$I$7,$C$47:$AG$51,5,FALSE))))</f>
        <v>-2</v>
      </c>
      <c r="S52" s="44">
        <f ca="1">IF(OR(Cashflow!S$111="C/I",Cashflow!S$111="Not yet producing"),0,IF(S$47-$I$7&lt;$I$4,0,(HLOOKUP(S$47-$I$7,$C$47:$AG$51,5,FALSE))))</f>
        <v>-1</v>
      </c>
      <c r="T52" s="44">
        <f ca="1">IF(OR(Cashflow!T$111="C/I",Cashflow!T$111="Not yet producing"),0,IF(T$47-$I$7&lt;$I$4,0,(HLOOKUP(T$47-$I$7,$C$47:$AG$51,5,FALSE))))</f>
        <v>-2</v>
      </c>
      <c r="U52" s="44">
        <f ca="1">IF(OR(Cashflow!U$111="C/I",Cashflow!U$111="Not yet producing"),0,IF(U$47-$I$7&lt;$I$4,0,(HLOOKUP(U$47-$I$7,$C$47:$AG$51,5,FALSE))))</f>
        <v>0</v>
      </c>
      <c r="V52" s="44">
        <f ca="1">IF(OR(Cashflow!V$111="C/I",Cashflow!V$111="Not yet producing"),0,IF(V$47-$I$7&lt;$I$4,0,(HLOOKUP(V$47-$I$7,$C$47:$AG$51,5,FALSE))))</f>
        <v>0</v>
      </c>
      <c r="W52" s="44">
        <f ca="1">IF(OR(Cashflow!W$111="C/I",Cashflow!W$111="Not yet producing"),0,IF(W$47-$I$7&lt;$I$4,0,(HLOOKUP(W$47-$I$7,$C$47:$AG$51,5,FALSE))))</f>
        <v>0</v>
      </c>
      <c r="X52" s="44">
        <f ca="1">IF(OR(Cashflow!X$111="C/I",Cashflow!X$111="Not yet producing"),0,IF(X$47-$I$7&lt;$I$4,0,(HLOOKUP(X$47-$I$7,$C$47:$AG$51,5,FALSE))))</f>
        <v>0</v>
      </c>
      <c r="Y52" s="44">
        <f ca="1">IF(OR(Cashflow!Y$111="C/I",Cashflow!Y$111="Not yet producing"),0,IF(Y$47-$I$7&lt;$I$4,0,(HLOOKUP(Y$47-$I$7,$C$47:$AG$51,5,FALSE))))</f>
        <v>0</v>
      </c>
      <c r="Z52" s="44">
        <f ca="1">IF(OR(Cashflow!Z$111="C/I",Cashflow!Z$111="Not yet producing"),0,IF(Z$47-$I$7&lt;$I$4,0,(HLOOKUP(Z$47-$I$7,$C$47:$AG$51,5,FALSE))))</f>
        <v>0</v>
      </c>
      <c r="AA52" s="44">
        <f ca="1">IF(OR(Cashflow!AA$111="C/I",Cashflow!AA$111="Not yet producing"),0,IF(AA$47-$I$7&lt;$I$4,0,(HLOOKUP(AA$47-$I$7,$C$47:$AG$51,5,FALSE))))</f>
        <v>0</v>
      </c>
      <c r="AB52" s="44">
        <f ca="1">IF(OR(Cashflow!AB$111="C/I",Cashflow!AB$111="Not yet producing"),0,IF(AB$47-$I$7&lt;$I$4,0,(HLOOKUP(AB$47-$I$7,$C$47:$AG$51,5,FALSE))))</f>
        <v>0</v>
      </c>
      <c r="AC52" s="44">
        <f ca="1">IF(OR(Cashflow!AC$111="C/I",Cashflow!AC$111="Not yet producing"),0,IF(AC$47-$I$7&lt;$I$4,0,(HLOOKUP(AC$47-$I$7,$C$47:$AG$51,5,FALSE))))</f>
        <v>0</v>
      </c>
      <c r="AD52" s="44">
        <f ca="1">IF(OR(Cashflow!AD$111="C/I",Cashflow!AD$111="Not yet producing"),0,IF(AD$47-$I$7&lt;$I$4,0,(HLOOKUP(AD$47-$I$7,$C$47:$AG$51,5,FALSE))))</f>
        <v>0</v>
      </c>
      <c r="AE52" s="44">
        <f ca="1">IF(OR(Cashflow!AE$111="C/I",Cashflow!AE$111="Not yet producing"),0,IF(AE$47-$I$7&lt;$I$4,0,(HLOOKUP(AE$47-$I$7,$C$47:$AG$51,5,FALSE))))</f>
        <v>0</v>
      </c>
      <c r="AF52" s="44">
        <f ca="1">IF(OR(Cashflow!AF$111="C/I",Cashflow!AF$111="Not yet producing"),0,IF(AF$47-$I$7&lt;$I$4,0,(HLOOKUP(AF$47-$I$7,$C$47:$AG$51,5,FALSE))))</f>
        <v>0</v>
      </c>
      <c r="AG52" s="44">
        <f ca="1">IF(OR(Cashflow!AG$111="C/I",Cashflow!AG$111="Not yet producing"),0,IF(AG$47-$I$7&lt;$I$4,0,(HLOOKUP(AG$47-$I$7,$C$47:$AG$51,5,FALSE))))</f>
        <v>0</v>
      </c>
      <c r="AH52" s="19"/>
      <c r="AI52" s="19"/>
      <c r="AJ52" s="19"/>
      <c r="AK52" s="19"/>
      <c r="AL52" s="21"/>
      <c r="AM52" s="21"/>
      <c r="AN52" s="19"/>
      <c r="AO52" s="19"/>
      <c r="AP52" s="19"/>
      <c r="AQ52" s="19"/>
      <c r="AR52" s="326"/>
      <c r="AS52" s="326"/>
      <c r="AT52" s="326"/>
      <c r="AU52" s="326"/>
      <c r="AV52" s="326"/>
      <c r="AW52" s="326"/>
      <c r="AX52" s="326"/>
      <c r="AY52" s="326"/>
      <c r="AZ52" s="326"/>
      <c r="BA52" s="326"/>
      <c r="BB52" s="326"/>
    </row>
    <row r="53" spans="1:54">
      <c r="A53" s="19"/>
      <c r="B53" s="55" t="s">
        <v>283</v>
      </c>
      <c r="C53" s="44">
        <f>IF(OR(Cashflow!C$111="C/I",Cashflow!C$111="Not yet producing"),0,IF(C$47-2*$I$7&lt;$I$4,0,(HLOOKUP(C$47-2*$I$7,$C$47:$AG$51,5,FALSE))))</f>
        <v>0</v>
      </c>
      <c r="D53" s="44">
        <f>IF(OR(Cashflow!D$111="C/I",Cashflow!D$111="Not yet producing"),0,IF(D$47-2*$I$7&lt;$I$4,0,(HLOOKUP(D$47-2*$I$7,$C$47:$AG$51,5,FALSE))))</f>
        <v>0</v>
      </c>
      <c r="E53" s="44">
        <f>IF(OR(Cashflow!E$111="C/I",Cashflow!E$111="Not yet producing"),0,IF(E$47-2*$I$7&lt;$I$4,0,(HLOOKUP(E$47-2*$I$7,$C$47:$AG$51,5,FALSE))))</f>
        <v>0</v>
      </c>
      <c r="F53" s="44">
        <f>IF(OR(Cashflow!F$111="C/I",Cashflow!F$111="Not yet producing"),0,IF(F$47-2*$I$7&lt;$I$4,0,(HLOOKUP(F$47-2*$I$7,$C$47:$AG$51,5,FALSE))))</f>
        <v>0</v>
      </c>
      <c r="G53" s="44">
        <f>IF(OR(Cashflow!G$111="C/I",Cashflow!G$111="Not yet producing"),0,IF(G$47-2*$I$7&lt;$I$4,0,(HLOOKUP(G$47-2*$I$7,$C$47:$AG$51,5,FALSE))))</f>
        <v>0</v>
      </c>
      <c r="H53" s="44">
        <f>IF(OR(Cashflow!H$111="C/I",Cashflow!H$111="Not yet producing"),0,IF(H$47-2*$I$7&lt;$I$4,0,(HLOOKUP(H$47-2*$I$7,$C$47:$AG$51,5,FALSE))))</f>
        <v>0</v>
      </c>
      <c r="I53" s="44">
        <f>IF(OR(Cashflow!I$111="C/I",Cashflow!I$111="Not yet producing"),0,IF(I$47-2*$I$7&lt;$I$4,0,(HLOOKUP(I$47-2*$I$7,$C$47:$AG$51,5,FALSE))))</f>
        <v>0</v>
      </c>
      <c r="J53" s="44">
        <f>IF(OR(Cashflow!J$111="C/I",Cashflow!J$111="Not yet producing"),0,IF(J$47-2*$I$7&lt;$I$4,0,(HLOOKUP(J$47-2*$I$7,$C$47:$AG$51,5,FALSE))))</f>
        <v>0</v>
      </c>
      <c r="K53" s="44">
        <f>IF(OR(Cashflow!K$111="C/I",Cashflow!K$111="Not yet producing"),0,IF(K$47-2*$I$7&lt;$I$4,0,(HLOOKUP(K$47-2*$I$7,$C$47:$AG$51,5,FALSE))))</f>
        <v>0</v>
      </c>
      <c r="L53" s="44">
        <f ca="1">IF(OR(Cashflow!L$111="C/I",Cashflow!L$111="Not yet producing"),0,IF(L$47-2*$I$7&lt;$I$4,0,(HLOOKUP(L$47-2*$I$7,$C$47:$AG$51,5,FALSE))))</f>
        <v>0</v>
      </c>
      <c r="M53" s="44">
        <f ca="1">IF(OR(Cashflow!M$111="C/I",Cashflow!M$111="Not yet producing"),0,IF(M$47-2*$I$7&lt;$I$4,0,(HLOOKUP(M$47-2*$I$7,$C$47:$AG$51,5,FALSE))))</f>
        <v>0</v>
      </c>
      <c r="N53" s="44">
        <f ca="1">IF(OR(Cashflow!N$111="C/I",Cashflow!N$111="Not yet producing"),0,IF(N$47-2*$I$7&lt;$I$4,0,(HLOOKUP(N$47-2*$I$7,$C$47:$AG$51,5,FALSE))))</f>
        <v>0</v>
      </c>
      <c r="O53" s="44">
        <f ca="1">IF(OR(Cashflow!O$111="C/I",Cashflow!O$111="Not yet producing"),0,IF(O$47-2*$I$7&lt;$I$4,0,(HLOOKUP(O$47-2*$I$7,$C$47:$AG$51,5,FALSE))))</f>
        <v>0</v>
      </c>
      <c r="P53" s="44">
        <f ca="1">IF(OR(Cashflow!P$111="C/I",Cashflow!P$111="Not yet producing"),0,IF(P$47-2*$I$7&lt;$I$4,0,(HLOOKUP(P$47-2*$I$7,$C$47:$AG$51,5,FALSE))))</f>
        <v>0</v>
      </c>
      <c r="Q53" s="44">
        <f ca="1">IF(OR(Cashflow!Q$111="C/I",Cashflow!Q$111="Not yet producing"),0,IF(Q$47-2*$I$7&lt;$I$4,0,(HLOOKUP(Q$47-2*$I$7,$C$47:$AG$51,5,FALSE))))</f>
        <v>0</v>
      </c>
      <c r="R53" s="44">
        <f ca="1">IF(OR(Cashflow!R$111="C/I",Cashflow!R$111="Not yet producing"),0,IF(R$47-2*$I$7&lt;$I$4,0,(HLOOKUP(R$47-2*$I$7,$C$47:$AG$51,5,FALSE))))</f>
        <v>0</v>
      </c>
      <c r="S53" s="44">
        <f ca="1">IF(OR(Cashflow!S$111="C/I",Cashflow!S$111="Not yet producing"),0,IF(S$47-2*$I$7&lt;$I$4,0,(HLOOKUP(S$47-2*$I$7,$C$47:$AG$51,5,FALSE))))</f>
        <v>0</v>
      </c>
      <c r="T53" s="44">
        <f ca="1">IF(OR(Cashflow!T$111="C/I",Cashflow!T$111="Not yet producing"),0,IF(T$47-2*$I$7&lt;$I$4,0,(HLOOKUP(T$47-2*$I$7,$C$47:$AG$51,5,FALSE))))</f>
        <v>0</v>
      </c>
      <c r="U53" s="44">
        <f ca="1">IF(OR(Cashflow!U$111="C/I",Cashflow!U$111="Not yet producing"),0,IF(U$47-2*$I$7&lt;$I$4,0,(HLOOKUP(U$47-2*$I$7,$C$47:$AG$51,5,FALSE))))</f>
        <v>-1</v>
      </c>
      <c r="V53" s="44">
        <f ca="1">IF(OR(Cashflow!V$111="C/I",Cashflow!V$111="Not yet producing"),0,IF(V$47-2*$I$7&lt;$I$4,0,(HLOOKUP(V$47-2*$I$7,$C$47:$AG$51,5,FALSE))))</f>
        <v>-2</v>
      </c>
      <c r="W53" s="44">
        <f ca="1">IF(OR(Cashflow!W$111="C/I",Cashflow!W$111="Not yet producing"),0,IF(W$47-2*$I$7&lt;$I$4,0,(HLOOKUP(W$47-2*$I$7,$C$47:$AG$51,5,FALSE))))</f>
        <v>-1</v>
      </c>
      <c r="X53" s="44">
        <f ca="1">IF(OR(Cashflow!X$111="C/I",Cashflow!X$111="Not yet producing"),0,IF(X$47-2*$I$7&lt;$I$4,0,(HLOOKUP(X$47-2*$I$7,$C$47:$AG$51,5,FALSE))))</f>
        <v>-2</v>
      </c>
      <c r="Y53" s="44">
        <f ca="1">IF(OR(Cashflow!Y$111="C/I",Cashflow!Y$111="Not yet producing"),0,IF(Y$47-2*$I$7&lt;$I$4,0,(HLOOKUP(Y$47-2*$I$7,$C$47:$AG$51,5,FALSE))))</f>
        <v>-1</v>
      </c>
      <c r="Z53" s="44">
        <f ca="1">IF(OR(Cashflow!Z$111="C/I",Cashflow!Z$111="Not yet producing"),0,IF(Z$47-2*$I$7&lt;$I$4,0,(HLOOKUP(Z$47-2*$I$7,$C$47:$AG$51,5,FALSE))))</f>
        <v>-2</v>
      </c>
      <c r="AA53" s="44">
        <f ca="1">IF(OR(Cashflow!AA$111="C/I",Cashflow!AA$111="Not yet producing"),0,IF(AA$47-2*$I$7&lt;$I$4,0,(HLOOKUP(AA$47-2*$I$7,$C$47:$AG$51,5,FALSE))))</f>
        <v>0</v>
      </c>
      <c r="AB53" s="44">
        <f ca="1">IF(OR(Cashflow!AB$111="C/I",Cashflow!AB$111="Not yet producing"),0,IF(AB$47-2*$I$7&lt;$I$4,0,(HLOOKUP(AB$47-2*$I$7,$C$47:$AG$51,5,FALSE))))</f>
        <v>0</v>
      </c>
      <c r="AC53" s="44">
        <f ca="1">IF(OR(Cashflow!AC$111="C/I",Cashflow!AC$111="Not yet producing"),0,IF(AC$47-2*$I$7&lt;$I$4,0,(HLOOKUP(AC$47-2*$I$7,$C$47:$AG$51,5,FALSE))))</f>
        <v>0</v>
      </c>
      <c r="AD53" s="44">
        <f ca="1">IF(OR(Cashflow!AD$111="C/I",Cashflow!AD$111="Not yet producing"),0,IF(AD$47-2*$I$7&lt;$I$4,0,(HLOOKUP(AD$47-2*$I$7,$C$47:$AG$51,5,FALSE))))</f>
        <v>0</v>
      </c>
      <c r="AE53" s="44">
        <f ca="1">IF(OR(Cashflow!AE$111="C/I",Cashflow!AE$111="Not yet producing"),0,IF(AE$47-2*$I$7&lt;$I$4,0,(HLOOKUP(AE$47-2*$I$7,$C$47:$AG$51,5,FALSE))))</f>
        <v>0</v>
      </c>
      <c r="AF53" s="44">
        <f ca="1">IF(OR(Cashflow!AF$111="C/I",Cashflow!AF$111="Not yet producing"),0,IF(AF$47-2*$I$7&lt;$I$4,0,(HLOOKUP(AF$47-2*$I$7,$C$47:$AG$51,5,FALSE))))</f>
        <v>0</v>
      </c>
      <c r="AG53" s="44">
        <f ca="1">IF(OR(Cashflow!AG$111="C/I",Cashflow!AG$111="Not yet producing"),0,IF(AG$47-2*$I$7&lt;$I$4,0,(HLOOKUP(AG$47-2*$I$7,$C$47:$AG$51,5,FALSE))))</f>
        <v>0</v>
      </c>
      <c r="AH53" s="19"/>
      <c r="AI53" s="19"/>
      <c r="AJ53" s="19"/>
      <c r="AK53" s="19"/>
      <c r="AL53" s="21"/>
      <c r="AM53" s="21"/>
      <c r="AN53" s="19"/>
      <c r="AO53" s="19"/>
      <c r="AP53" s="19"/>
      <c r="AQ53" s="19"/>
      <c r="AR53" s="326"/>
      <c r="AS53" s="326"/>
      <c r="AT53" s="326"/>
      <c r="AU53" s="326"/>
      <c r="AV53" s="326"/>
      <c r="AW53" s="326"/>
      <c r="AX53" s="326"/>
      <c r="AY53" s="326"/>
      <c r="AZ53" s="326"/>
      <c r="BA53" s="326"/>
      <c r="BB53" s="326"/>
    </row>
    <row r="54" spans="1:54">
      <c r="A54" s="19"/>
      <c r="B54" s="55" t="s">
        <v>284</v>
      </c>
      <c r="C54" s="44">
        <f>IF(OR(Cashflow!C$111="C/I",Cashflow!C$111="Not yet producing"),0,IF(C$47-3*$I$7&lt;$I$4,0,(HLOOKUP(C$47-3*$I$7,$C$47:$AG$51,5,FALSE))))</f>
        <v>0</v>
      </c>
      <c r="D54" s="44">
        <f>IF(OR(Cashflow!D$111="C/I",Cashflow!D$111="Not yet producing"),0,IF(D$47-3*$I$7&lt;$I$4,0,(HLOOKUP(D$47-3*$I$7,$C$47:$AG$51,5,FALSE))))</f>
        <v>0</v>
      </c>
      <c r="E54" s="44">
        <f>IF(OR(Cashflow!E$111="C/I",Cashflow!E$111="Not yet producing"),0,IF(E$47-3*$I$7&lt;$I$4,0,(HLOOKUP(E$47-3*$I$7,$C$47:$AG$51,5,FALSE))))</f>
        <v>0</v>
      </c>
      <c r="F54" s="44">
        <f>IF(OR(Cashflow!F$111="C/I",Cashflow!F$111="Not yet producing"),0,IF(F$47-3*$I$7&lt;$I$4,0,(HLOOKUP(F$47-3*$I$7,$C$47:$AG$51,5,FALSE))))</f>
        <v>0</v>
      </c>
      <c r="G54" s="44">
        <f>IF(OR(Cashflow!G$111="C/I",Cashflow!G$111="Not yet producing"),0,IF(G$47-3*$I$7&lt;$I$4,0,(HLOOKUP(G$47-3*$I$7,$C$47:$AG$51,5,FALSE))))</f>
        <v>0</v>
      </c>
      <c r="H54" s="44">
        <f>IF(OR(Cashflow!H$111="C/I",Cashflow!H$111="Not yet producing"),0,IF(H$47-3*$I$7&lt;$I$4,0,(HLOOKUP(H$47-3*$I$7,$C$47:$AG$51,5,FALSE))))</f>
        <v>0</v>
      </c>
      <c r="I54" s="44">
        <f>IF(OR(Cashflow!I$111="C/I",Cashflow!I$111="Not yet producing"),0,IF(I$47-3*$I$7&lt;$I$4,0,(HLOOKUP(I$47-3*$I$7,$C$47:$AG$51,5,FALSE))))</f>
        <v>0</v>
      </c>
      <c r="J54" s="44">
        <f>IF(OR(Cashflow!J$111="C/I",Cashflow!J$111="Not yet producing"),0,IF(J$47-3*$I$7&lt;$I$4,0,(HLOOKUP(J$47-3*$I$7,$C$47:$AG$51,5,FALSE))))</f>
        <v>0</v>
      </c>
      <c r="K54" s="44">
        <f>IF(OR(Cashflow!K$111="C/I",Cashflow!K$111="Not yet producing"),0,IF(K$47-3*$I$7&lt;$I$4,0,(HLOOKUP(K$47-3*$I$7,$C$47:$AG$51,5,FALSE))))</f>
        <v>0</v>
      </c>
      <c r="L54" s="44">
        <f ca="1">IF(OR(Cashflow!L$111="C/I",Cashflow!L$111="Not yet producing"),0,IF(L$47-3*$I$7&lt;$I$4,0,(HLOOKUP(L$47-3*$I$7,$C$47:$AG$51,5,FALSE))))</f>
        <v>0</v>
      </c>
      <c r="M54" s="44">
        <f ca="1">IF(OR(Cashflow!M$111="C/I",Cashflow!M$111="Not yet producing"),0,IF(M$47-3*$I$7&lt;$I$4,0,(HLOOKUP(M$47-3*$I$7,$C$47:$AG$51,5,FALSE))))</f>
        <v>0</v>
      </c>
      <c r="N54" s="44">
        <f ca="1">IF(OR(Cashflow!N$111="C/I",Cashflow!N$111="Not yet producing"),0,IF(N$47-3*$I$7&lt;$I$4,0,(HLOOKUP(N$47-3*$I$7,$C$47:$AG$51,5,FALSE))))</f>
        <v>0</v>
      </c>
      <c r="O54" s="44">
        <f ca="1">IF(OR(Cashflow!O$111="C/I",Cashflow!O$111="Not yet producing"),0,IF(O$47-3*$I$7&lt;$I$4,0,(HLOOKUP(O$47-3*$I$7,$C$47:$AG$51,5,FALSE))))</f>
        <v>0</v>
      </c>
      <c r="P54" s="44">
        <f ca="1">IF(OR(Cashflow!P$111="C/I",Cashflow!P$111="Not yet producing"),0,IF(P$47-3*$I$7&lt;$I$4,0,(HLOOKUP(P$47-3*$I$7,$C$47:$AG$51,5,FALSE))))</f>
        <v>0</v>
      </c>
      <c r="Q54" s="44">
        <f ca="1">IF(OR(Cashflow!Q$111="C/I",Cashflow!Q$111="Not yet producing"),0,IF(Q$47-3*$I$7&lt;$I$4,0,(HLOOKUP(Q$47-3*$I$7,$C$47:$AG$51,5,FALSE))))</f>
        <v>0</v>
      </c>
      <c r="R54" s="44">
        <f ca="1">IF(OR(Cashflow!R$111="C/I",Cashflow!R$111="Not yet producing"),0,IF(R$47-3*$I$7&lt;$I$4,0,(HLOOKUP(R$47-3*$I$7,$C$47:$AG$51,5,FALSE))))</f>
        <v>0</v>
      </c>
      <c r="S54" s="44">
        <f ca="1">IF(OR(Cashflow!S$111="C/I",Cashflow!S$111="Not yet producing"),0,IF(S$47-3*$I$7&lt;$I$4,0,(HLOOKUP(S$47-3*$I$7,$C$47:$AG$51,5,FALSE))))</f>
        <v>0</v>
      </c>
      <c r="T54" s="44">
        <f ca="1">IF(OR(Cashflow!T$111="C/I",Cashflow!T$111="Not yet producing"),0,IF(T$47-3*$I$7&lt;$I$4,0,(HLOOKUP(T$47-3*$I$7,$C$47:$AG$51,5,FALSE))))</f>
        <v>0</v>
      </c>
      <c r="U54" s="44">
        <f ca="1">IF(OR(Cashflow!U$111="C/I",Cashflow!U$111="Not yet producing"),0,IF(U$47-3*$I$7&lt;$I$4,0,(HLOOKUP(U$47-3*$I$7,$C$47:$AG$51,5,FALSE))))</f>
        <v>0</v>
      </c>
      <c r="V54" s="44">
        <f ca="1">IF(OR(Cashflow!V$111="C/I",Cashflow!V$111="Not yet producing"),0,IF(V$47-3*$I$7&lt;$I$4,0,(HLOOKUP(V$47-3*$I$7,$C$47:$AG$51,5,FALSE))))</f>
        <v>0</v>
      </c>
      <c r="W54" s="44">
        <f ca="1">IF(OR(Cashflow!W$111="C/I",Cashflow!W$111="Not yet producing"),0,IF(W$47-3*$I$7&lt;$I$4,0,(HLOOKUP(W$47-3*$I$7,$C$47:$AG$51,5,FALSE))))</f>
        <v>0</v>
      </c>
      <c r="X54" s="44">
        <f ca="1">IF(OR(Cashflow!X$111="C/I",Cashflow!X$111="Not yet producing"),0,IF(X$47-3*$I$7&lt;$I$4,0,(HLOOKUP(X$47-3*$I$7,$C$47:$AG$51,5,FALSE))))</f>
        <v>0</v>
      </c>
      <c r="Y54" s="44">
        <f ca="1">IF(OR(Cashflow!Y$111="C/I",Cashflow!Y$111="Not yet producing"),0,IF(Y$47-3*$I$7&lt;$I$4,0,(HLOOKUP(Y$47-3*$I$7,$C$47:$AG$51,5,FALSE))))</f>
        <v>0</v>
      </c>
      <c r="Z54" s="44">
        <f ca="1">IF(OR(Cashflow!Z$111="C/I",Cashflow!Z$111="Not yet producing"),0,IF(Z$47-3*$I$7&lt;$I$4,0,(HLOOKUP(Z$47-3*$I$7,$C$47:$AG$51,5,FALSE))))</f>
        <v>0</v>
      </c>
      <c r="AA54" s="44">
        <f ca="1">IF(OR(Cashflow!AA$111="C/I",Cashflow!AA$111="Not yet producing"),0,IF(AA$47-3*$I$7&lt;$I$4,0,(HLOOKUP(AA$47-3*$I$7,$C$47:$AG$51,5,FALSE))))</f>
        <v>-1</v>
      </c>
      <c r="AB54" s="44">
        <f ca="1">IF(OR(Cashflow!AB$111="C/I",Cashflow!AB$111="Not yet producing"),0,IF(AB$47-3*$I$7&lt;$I$4,0,(HLOOKUP(AB$47-3*$I$7,$C$47:$AG$51,5,FALSE))))</f>
        <v>-2</v>
      </c>
      <c r="AC54" s="44">
        <f ca="1">IF(OR(Cashflow!AC$111="C/I",Cashflow!AC$111="Not yet producing"),0,IF(AC$47-3*$I$7&lt;$I$4,0,(HLOOKUP(AC$47-3*$I$7,$C$47:$AG$51,5,FALSE))))</f>
        <v>-1</v>
      </c>
      <c r="AD54" s="44">
        <f ca="1">IF(OR(Cashflow!AD$111="C/I",Cashflow!AD$111="Not yet producing"),0,IF(AD$47-3*$I$7&lt;$I$4,0,(HLOOKUP(AD$47-3*$I$7,$C$47:$AG$51,5,FALSE))))</f>
        <v>-2</v>
      </c>
      <c r="AE54" s="44">
        <f ca="1">IF(OR(Cashflow!AE$111="C/I",Cashflow!AE$111="Not yet producing"),0,IF(AE$47-3*$I$7&lt;$I$4,0,(HLOOKUP(AE$47-3*$I$7,$C$47:$AG$51,5,FALSE))))</f>
        <v>-1</v>
      </c>
      <c r="AF54" s="44">
        <f ca="1">IF(OR(Cashflow!AF$111="C/I",Cashflow!AF$111="Not yet producing"),0,IF(AF$47-3*$I$7&lt;$I$4,0,(HLOOKUP(AF$47-3*$I$7,$C$47:$AG$51,5,FALSE))))</f>
        <v>-2</v>
      </c>
      <c r="AG54" s="44">
        <f ca="1">IF(OR(Cashflow!AG$111="C/I",Cashflow!AG$111="Not yet producing"),0,IF(AG$47-3*$I$7&lt;$I$4,0,(HLOOKUP(AG$47-3*$I$7,$C$47:$AG$51,5,FALSE))))</f>
        <v>0</v>
      </c>
      <c r="AH54" s="19"/>
      <c r="AI54" s="19"/>
      <c r="AJ54" s="19"/>
      <c r="AK54" s="19"/>
      <c r="AL54" s="21"/>
      <c r="AM54" s="21"/>
      <c r="AN54" s="19"/>
      <c r="AO54" s="19"/>
      <c r="AP54" s="19"/>
      <c r="AQ54" s="19"/>
      <c r="AR54" s="326"/>
      <c r="AS54" s="326"/>
      <c r="AT54" s="326"/>
      <c r="AU54" s="326"/>
      <c r="AV54" s="326"/>
      <c r="AW54" s="326"/>
      <c r="AX54" s="326"/>
      <c r="AY54" s="326"/>
      <c r="AZ54" s="326"/>
      <c r="BA54" s="326"/>
      <c r="BB54" s="326"/>
    </row>
    <row r="55" spans="1:54">
      <c r="A55" s="19"/>
      <c r="B55" s="55" t="s">
        <v>285</v>
      </c>
      <c r="C55" s="44">
        <f>IF(OR(Cashflow!C$111="C/I",Cashflow!C$111="Not yet producing"),0,IF(C$47-4*$I$7&lt;$I$4,0,(HLOOKUP(C$47-4*$I$7,$C$47:$AG$51,5,FALSE))))</f>
        <v>0</v>
      </c>
      <c r="D55" s="44">
        <f>IF(OR(Cashflow!D$111="C/I",Cashflow!D$111="Not yet producing"),0,IF(D$47-4*$I$7&lt;$I$4,0,(HLOOKUP(D$47-4*$I$7,$C$47:$AG$51,5,FALSE))))</f>
        <v>0</v>
      </c>
      <c r="E55" s="44">
        <f>IF(OR(Cashflow!E$111="C/I",Cashflow!E$111="Not yet producing"),0,IF(E$47-4*$I$7&lt;$I$4,0,(HLOOKUP(E$47-4*$I$7,$C$47:$AG$51,5,FALSE))))</f>
        <v>0</v>
      </c>
      <c r="F55" s="44">
        <f>IF(OR(Cashflow!F$111="C/I",Cashflow!F$111="Not yet producing"),0,IF(F$47-4*$I$7&lt;$I$4,0,(HLOOKUP(F$47-4*$I$7,$C$47:$AG$51,5,FALSE))))</f>
        <v>0</v>
      </c>
      <c r="G55" s="44">
        <f>IF(OR(Cashflow!G$111="C/I",Cashflow!G$111="Not yet producing"),0,IF(G$47-4*$I$7&lt;$I$4,0,(HLOOKUP(G$47-4*$I$7,$C$47:$AG$51,5,FALSE))))</f>
        <v>0</v>
      </c>
      <c r="H55" s="44">
        <f>IF(OR(Cashflow!H$111="C/I",Cashflow!H$111="Not yet producing"),0,IF(H$47-4*$I$7&lt;$I$4,0,(HLOOKUP(H$47-4*$I$7,$C$47:$AG$51,5,FALSE))))</f>
        <v>0</v>
      </c>
      <c r="I55" s="44">
        <f>IF(OR(Cashflow!I$111="C/I",Cashflow!I$111="Not yet producing"),0,IF(I$47-4*$I$7&lt;$I$4,0,(HLOOKUP(I$47-4*$I$7,$C$47:$AG$51,5,FALSE))))</f>
        <v>0</v>
      </c>
      <c r="J55" s="44">
        <f>IF(OR(Cashflow!J$111="C/I",Cashflow!J$111="Not yet producing"),0,IF(J$47-4*$I$7&lt;$I$4,0,(HLOOKUP(J$47-4*$I$7,$C$47:$AG$51,5,FALSE))))</f>
        <v>0</v>
      </c>
      <c r="K55" s="44">
        <f>IF(OR(Cashflow!K$111="C/I",Cashflow!K$111="Not yet producing"),0,IF(K$47-4*$I$7&lt;$I$4,0,(HLOOKUP(K$47-4*$I$7,$C$47:$AG$51,5,FALSE))))</f>
        <v>0</v>
      </c>
      <c r="L55" s="44">
        <f ca="1">IF(OR(Cashflow!L$111="C/I",Cashflow!L$111="Not yet producing"),0,IF(L$47-4*$I$7&lt;$I$4,0,(HLOOKUP(L$47-4*$I$7,$C$47:$AG$51,5,FALSE))))</f>
        <v>0</v>
      </c>
      <c r="M55" s="44">
        <f ca="1">IF(OR(Cashflow!M$111="C/I",Cashflow!M$111="Not yet producing"),0,IF(M$47-4*$I$7&lt;$I$4,0,(HLOOKUP(M$47-4*$I$7,$C$47:$AG$51,5,FALSE))))</f>
        <v>0</v>
      </c>
      <c r="N55" s="44">
        <f ca="1">IF(OR(Cashflow!N$111="C/I",Cashflow!N$111="Not yet producing"),0,IF(N$47-4*$I$7&lt;$I$4,0,(HLOOKUP(N$47-4*$I$7,$C$47:$AG$51,5,FALSE))))</f>
        <v>0</v>
      </c>
      <c r="O55" s="44">
        <f ca="1">IF(OR(Cashflow!O$111="C/I",Cashflow!O$111="Not yet producing"),0,IF(O$47-4*$I$7&lt;$I$4,0,(HLOOKUP(O$47-4*$I$7,$C$47:$AG$51,5,FALSE))))</f>
        <v>0</v>
      </c>
      <c r="P55" s="44">
        <f ca="1">IF(OR(Cashflow!P$111="C/I",Cashflow!P$111="Not yet producing"),0,IF(P$47-4*$I$7&lt;$I$4,0,(HLOOKUP(P$47-4*$I$7,$C$47:$AG$51,5,FALSE))))</f>
        <v>0</v>
      </c>
      <c r="Q55" s="44">
        <f ca="1">IF(OR(Cashflow!Q$111="C/I",Cashflow!Q$111="Not yet producing"),0,IF(Q$47-4*$I$7&lt;$I$4,0,(HLOOKUP(Q$47-4*$I$7,$C$47:$AG$51,5,FALSE))))</f>
        <v>0</v>
      </c>
      <c r="R55" s="44">
        <f ca="1">IF(OR(Cashflow!R$111="C/I",Cashflow!R$111="Not yet producing"),0,IF(R$47-4*$I$7&lt;$I$4,0,(HLOOKUP(R$47-4*$I$7,$C$47:$AG$51,5,FALSE))))</f>
        <v>0</v>
      </c>
      <c r="S55" s="44">
        <f ca="1">IF(OR(Cashflow!S$111="C/I",Cashflow!S$111="Not yet producing"),0,IF(S$47-4*$I$7&lt;$I$4,0,(HLOOKUP(S$47-4*$I$7,$C$47:$AG$51,5,FALSE))))</f>
        <v>0</v>
      </c>
      <c r="T55" s="44">
        <f ca="1">IF(OR(Cashflow!T$111="C/I",Cashflow!T$111="Not yet producing"),0,IF(T$47-4*$I$7&lt;$I$4,0,(HLOOKUP(T$47-4*$I$7,$C$47:$AG$51,5,FALSE))))</f>
        <v>0</v>
      </c>
      <c r="U55" s="44">
        <f ca="1">IF(OR(Cashflow!U$111="C/I",Cashflow!U$111="Not yet producing"),0,IF(U$47-4*$I$7&lt;$I$4,0,(HLOOKUP(U$47-4*$I$7,$C$47:$AG$51,5,FALSE))))</f>
        <v>0</v>
      </c>
      <c r="V55" s="44">
        <f ca="1">IF(OR(Cashflow!V$111="C/I",Cashflow!V$111="Not yet producing"),0,IF(V$47-4*$I$7&lt;$I$4,0,(HLOOKUP(V$47-4*$I$7,$C$47:$AG$51,5,FALSE))))</f>
        <v>0</v>
      </c>
      <c r="W55" s="44">
        <f ca="1">IF(OR(Cashflow!W$111="C/I",Cashflow!W$111="Not yet producing"),0,IF(W$47-4*$I$7&lt;$I$4,0,(HLOOKUP(W$47-4*$I$7,$C$47:$AG$51,5,FALSE))))</f>
        <v>0</v>
      </c>
      <c r="X55" s="44">
        <f ca="1">IF(OR(Cashflow!X$111="C/I",Cashflow!X$111="Not yet producing"),0,IF(X$47-4*$I$7&lt;$I$4,0,(HLOOKUP(X$47-4*$I$7,$C$47:$AG$51,5,FALSE))))</f>
        <v>0</v>
      </c>
      <c r="Y55" s="44">
        <f ca="1">IF(OR(Cashflow!Y$111="C/I",Cashflow!Y$111="Not yet producing"),0,IF(Y$47-4*$I$7&lt;$I$4,0,(HLOOKUP(Y$47-4*$I$7,$C$47:$AG$51,5,FALSE))))</f>
        <v>0</v>
      </c>
      <c r="Z55" s="44">
        <f ca="1">IF(OR(Cashflow!Z$111="C/I",Cashflow!Z$111="Not yet producing"),0,IF(Z$47-4*$I$7&lt;$I$4,0,(HLOOKUP(Z$47-4*$I$7,$C$47:$AG$51,5,FALSE))))</f>
        <v>0</v>
      </c>
      <c r="AA55" s="44">
        <f ca="1">IF(OR(Cashflow!AA$111="C/I",Cashflow!AA$111="Not yet producing"),0,IF(AA$47-4*$I$7&lt;$I$4,0,(HLOOKUP(AA$47-4*$I$7,$C$47:$AG$51,5,FALSE))))</f>
        <v>0</v>
      </c>
      <c r="AB55" s="44">
        <f ca="1">IF(OR(Cashflow!AB$111="C/I",Cashflow!AB$111="Not yet producing"),0,IF(AB$47-4*$I$7&lt;$I$4,0,(HLOOKUP(AB$47-4*$I$7,$C$47:$AG$51,5,FALSE))))</f>
        <v>0</v>
      </c>
      <c r="AC55" s="44">
        <f ca="1">IF(OR(Cashflow!AC$111="C/I",Cashflow!AC$111="Not yet producing"),0,IF(AC$47-4*$I$7&lt;$I$4,0,(HLOOKUP(AC$47-4*$I$7,$C$47:$AG$51,5,FALSE))))</f>
        <v>0</v>
      </c>
      <c r="AD55" s="44">
        <f ca="1">IF(OR(Cashflow!AD$111="C/I",Cashflow!AD$111="Not yet producing"),0,IF(AD$47-4*$I$7&lt;$I$4,0,(HLOOKUP(AD$47-4*$I$7,$C$47:$AG$51,5,FALSE))))</f>
        <v>0</v>
      </c>
      <c r="AE55" s="44">
        <f ca="1">IF(OR(Cashflow!AE$111="C/I",Cashflow!AE$111="Not yet producing"),0,IF(AE$47-4*$I$7&lt;$I$4,0,(HLOOKUP(AE$47-4*$I$7,$C$47:$AG$51,5,FALSE))))</f>
        <v>0</v>
      </c>
      <c r="AF55" s="44">
        <f ca="1">IF(OR(Cashflow!AF$111="C/I",Cashflow!AF$111="Not yet producing"),0,IF(AF$47-4*$I$7&lt;$I$4,0,(HLOOKUP(AF$47-4*$I$7,$C$47:$AG$51,5,FALSE))))</f>
        <v>0</v>
      </c>
      <c r="AG55" s="44">
        <f ca="1">IF(OR(Cashflow!AG$111="C/I",Cashflow!AG$111="Not yet producing"),0,IF(AG$47-4*$I$7&lt;$I$4,0,(HLOOKUP(AG$47-4*$I$7,$C$47:$AG$51,5,FALSE))))</f>
        <v>-1</v>
      </c>
      <c r="AH55" s="19"/>
      <c r="AI55" s="19"/>
      <c r="AJ55" s="19"/>
      <c r="AK55" s="19"/>
      <c r="AL55" s="21"/>
      <c r="AM55" s="21"/>
      <c r="AN55" s="19"/>
      <c r="AO55" s="19"/>
      <c r="AP55" s="19"/>
      <c r="AQ55" s="19"/>
      <c r="AR55" s="326"/>
      <c r="AS55" s="326"/>
      <c r="AT55" s="326"/>
      <c r="AU55" s="326"/>
      <c r="AV55" s="326"/>
      <c r="AW55" s="326"/>
      <c r="AX55" s="326"/>
      <c r="AY55" s="326"/>
      <c r="AZ55" s="326"/>
      <c r="BA55" s="326"/>
      <c r="BB55" s="326"/>
    </row>
    <row r="56" spans="1:54">
      <c r="A56" s="19"/>
      <c r="B56" s="55" t="s">
        <v>286</v>
      </c>
      <c r="C56" s="44">
        <f>IF(OR(Cashflow!C$111="C/I",Cashflow!C$111="Not yet producing"),0,IF(C$47-5*$I$7&lt;$I$4,0,(HLOOKUP(C$47-5*$I$7,$C$47:$AG$51,5,FALSE))))</f>
        <v>0</v>
      </c>
      <c r="D56" s="44">
        <f>IF(OR(Cashflow!D$111="C/I",Cashflow!D$111="Not yet producing"),0,IF(D$47-5*$I$7&lt;$I$4,0,(HLOOKUP(D$47-5*$I$7,$C$47:$AG$51,5,FALSE))))</f>
        <v>0</v>
      </c>
      <c r="E56" s="44">
        <f>IF(OR(Cashflow!E$111="C/I",Cashflow!E$111="Not yet producing"),0,IF(E$47-5*$I$7&lt;$I$4,0,(HLOOKUP(E$47-5*$I$7,$C$47:$AG$51,5,FALSE))))</f>
        <v>0</v>
      </c>
      <c r="F56" s="44">
        <f>IF(OR(Cashflow!F$111="C/I",Cashflow!F$111="Not yet producing"),0,IF(F$47-5*$I$7&lt;$I$4,0,(HLOOKUP(F$47-5*$I$7,$C$47:$AG$51,5,FALSE))))</f>
        <v>0</v>
      </c>
      <c r="G56" s="44">
        <f>IF(OR(Cashflow!G$111="C/I",Cashflow!G$111="Not yet producing"),0,IF(G$47-5*$I$7&lt;$I$4,0,(HLOOKUP(G$47-5*$I$7,$C$47:$AG$51,5,FALSE))))</f>
        <v>0</v>
      </c>
      <c r="H56" s="44">
        <f>IF(OR(Cashflow!H$111="C/I",Cashflow!H$111="Not yet producing"),0,IF(H$47-5*$I$7&lt;$I$4,0,(HLOOKUP(H$47-5*$I$7,$C$47:$AG$51,5,FALSE))))</f>
        <v>0</v>
      </c>
      <c r="I56" s="44">
        <f>IF(OR(Cashflow!I$111="C/I",Cashflow!I$111="Not yet producing"),0,IF(I$47-5*$I$7&lt;$I$4,0,(HLOOKUP(I$47-5*$I$7,$C$47:$AG$51,5,FALSE))))</f>
        <v>0</v>
      </c>
      <c r="J56" s="44">
        <f>IF(OR(Cashflow!J$111="C/I",Cashflow!J$111="Not yet producing"),0,IF(J$47-5*$I$7&lt;$I$4,0,(HLOOKUP(J$47-5*$I$7,$C$47:$AG$51,5,FALSE))))</f>
        <v>0</v>
      </c>
      <c r="K56" s="44">
        <f>IF(OR(Cashflow!K$111="C/I",Cashflow!K$111="Not yet producing"),0,IF(K$47-5*$I$7&lt;$I$4,0,(HLOOKUP(K$47-5*$I$7,$C$47:$AG$51,5,FALSE))))</f>
        <v>0</v>
      </c>
      <c r="L56" s="44">
        <f ca="1">IF(OR(Cashflow!L$111="C/I",Cashflow!L$111="Not yet producing"),0,IF(L$47-5*$I$7&lt;$I$4,0,(HLOOKUP(L$47-5*$I$7,$C$47:$AG$51,5,FALSE))))</f>
        <v>0</v>
      </c>
      <c r="M56" s="44">
        <f ca="1">IF(OR(Cashflow!M$111="C/I",Cashflow!M$111="Not yet producing"),0,IF(M$47-5*$I$7&lt;$I$4,0,(HLOOKUP(M$47-5*$I$7,$C$47:$AG$51,5,FALSE))))</f>
        <v>0</v>
      </c>
      <c r="N56" s="44">
        <f ca="1">IF(OR(Cashflow!N$111="C/I",Cashflow!N$111="Not yet producing"),0,IF(N$47-5*$I$7&lt;$I$4,0,(HLOOKUP(N$47-5*$I$7,$C$47:$AG$51,5,FALSE))))</f>
        <v>0</v>
      </c>
      <c r="O56" s="44">
        <f ca="1">IF(OR(Cashflow!O$111="C/I",Cashflow!O$111="Not yet producing"),0,IF(O$47-5*$I$7&lt;$I$4,0,(HLOOKUP(O$47-5*$I$7,$C$47:$AG$51,5,FALSE))))</f>
        <v>0</v>
      </c>
      <c r="P56" s="44">
        <f ca="1">IF(OR(Cashflow!P$111="C/I",Cashflow!P$111="Not yet producing"),0,IF(P$47-5*$I$7&lt;$I$4,0,(HLOOKUP(P$47-5*$I$7,$C$47:$AG$51,5,FALSE))))</f>
        <v>0</v>
      </c>
      <c r="Q56" s="44">
        <f ca="1">IF(OR(Cashflow!Q$111="C/I",Cashflow!Q$111="Not yet producing"),0,IF(Q$47-5*$I$7&lt;$I$4,0,(HLOOKUP(Q$47-5*$I$7,$C$47:$AG$51,5,FALSE))))</f>
        <v>0</v>
      </c>
      <c r="R56" s="44">
        <f ca="1">IF(OR(Cashflow!R$111="C/I",Cashflow!R$111="Not yet producing"),0,IF(R$47-5*$I$7&lt;$I$4,0,(HLOOKUP(R$47-5*$I$7,$C$47:$AG$51,5,FALSE))))</f>
        <v>0</v>
      </c>
      <c r="S56" s="44">
        <f ca="1">IF(OR(Cashflow!S$111="C/I",Cashflow!S$111="Not yet producing"),0,IF(S$47-5*$I$7&lt;$I$4,0,(HLOOKUP(S$47-5*$I$7,$C$47:$AG$51,5,FALSE))))</f>
        <v>0</v>
      </c>
      <c r="T56" s="44">
        <f ca="1">IF(OR(Cashflow!T$111="C/I",Cashflow!T$111="Not yet producing"),0,IF(T$47-5*$I$7&lt;$I$4,0,(HLOOKUP(T$47-5*$I$7,$C$47:$AG$51,5,FALSE))))</f>
        <v>0</v>
      </c>
      <c r="U56" s="44">
        <f ca="1">IF(OR(Cashflow!U$111="C/I",Cashflow!U$111="Not yet producing"),0,IF(U$47-5*$I$7&lt;$I$4,0,(HLOOKUP(U$47-5*$I$7,$C$47:$AG$51,5,FALSE))))</f>
        <v>0</v>
      </c>
      <c r="V56" s="44">
        <f ca="1">IF(OR(Cashflow!V$111="C/I",Cashflow!V$111="Not yet producing"),0,IF(V$47-5*$I$7&lt;$I$4,0,(HLOOKUP(V$47-5*$I$7,$C$47:$AG$51,5,FALSE))))</f>
        <v>0</v>
      </c>
      <c r="W56" s="44">
        <f ca="1">IF(OR(Cashflow!W$111="C/I",Cashflow!W$111="Not yet producing"),0,IF(W$47-5*$I$7&lt;$I$4,0,(HLOOKUP(W$47-5*$I$7,$C$47:$AG$51,5,FALSE))))</f>
        <v>0</v>
      </c>
      <c r="X56" s="44">
        <f ca="1">IF(OR(Cashflow!X$111="C/I",Cashflow!X$111="Not yet producing"),0,IF(X$47-5*$I$7&lt;$I$4,0,(HLOOKUP(X$47-5*$I$7,$C$47:$AG$51,5,FALSE))))</f>
        <v>0</v>
      </c>
      <c r="Y56" s="44">
        <f ca="1">IF(OR(Cashflow!Y$111="C/I",Cashflow!Y$111="Not yet producing"),0,IF(Y$47-5*$I$7&lt;$I$4,0,(HLOOKUP(Y$47-5*$I$7,$C$47:$AG$51,5,FALSE))))</f>
        <v>0</v>
      </c>
      <c r="Z56" s="44">
        <f ca="1">IF(OR(Cashflow!Z$111="C/I",Cashflow!Z$111="Not yet producing"),0,IF(Z$47-5*$I$7&lt;$I$4,0,(HLOOKUP(Z$47-5*$I$7,$C$47:$AG$51,5,FALSE))))</f>
        <v>0</v>
      </c>
      <c r="AA56" s="44">
        <f ca="1">IF(OR(Cashflow!AA$111="C/I",Cashflow!AA$111="Not yet producing"),0,IF(AA$47-5*$I$7&lt;$I$4,0,(HLOOKUP(AA$47-5*$I$7,$C$47:$AG$51,5,FALSE))))</f>
        <v>0</v>
      </c>
      <c r="AB56" s="44">
        <f ca="1">IF(OR(Cashflow!AB$111="C/I",Cashflow!AB$111="Not yet producing"),0,IF(AB$47-5*$I$7&lt;$I$4,0,(HLOOKUP(AB$47-5*$I$7,$C$47:$AG$51,5,FALSE))))</f>
        <v>0</v>
      </c>
      <c r="AC56" s="44">
        <f ca="1">IF(OR(Cashflow!AC$111="C/I",Cashflow!AC$111="Not yet producing"),0,IF(AC$47-5*$I$7&lt;$I$4,0,(HLOOKUP(AC$47-5*$I$7,$C$47:$AG$51,5,FALSE))))</f>
        <v>0</v>
      </c>
      <c r="AD56" s="44">
        <f ca="1">IF(OR(Cashflow!AD$111="C/I",Cashflow!AD$111="Not yet producing"),0,IF(AD$47-5*$I$7&lt;$I$4,0,(HLOOKUP(AD$47-5*$I$7,$C$47:$AG$51,5,FALSE))))</f>
        <v>0</v>
      </c>
      <c r="AE56" s="44">
        <f ca="1">IF(OR(Cashflow!AE$111="C/I",Cashflow!AE$111="Not yet producing"),0,IF(AE$47-5*$I$7&lt;$I$4,0,(HLOOKUP(AE$47-5*$I$7,$C$47:$AG$51,5,FALSE))))</f>
        <v>0</v>
      </c>
      <c r="AF56" s="44">
        <f ca="1">IF(OR(Cashflow!AF$111="C/I",Cashflow!AF$111="Not yet producing"),0,IF(AF$47-5*$I$7&lt;$I$4,0,(HLOOKUP(AF$47-5*$I$7,$C$47:$AG$51,5,FALSE))))</f>
        <v>0</v>
      </c>
      <c r="AG56" s="44">
        <f ca="1">IF(OR(Cashflow!AG$111="C/I",Cashflow!AG$111="Not yet producing"),0,IF(AG$47-5*$I$7&lt;$I$4,0,(HLOOKUP(AG$47-5*$I$7,$C$47:$AG$51,5,FALSE))))</f>
        <v>0</v>
      </c>
      <c r="AH56" s="19"/>
      <c r="AI56" s="19"/>
      <c r="AJ56" s="19"/>
      <c r="AK56" s="19"/>
      <c r="AL56" s="21"/>
      <c r="AM56" s="21"/>
      <c r="AN56" s="19"/>
      <c r="AO56" s="19"/>
      <c r="AP56" s="19"/>
      <c r="AQ56" s="19"/>
      <c r="AR56" s="326"/>
      <c r="AS56" s="326"/>
      <c r="AT56" s="326"/>
      <c r="AU56" s="326"/>
      <c r="AV56" s="326"/>
      <c r="AW56" s="326"/>
      <c r="AX56" s="326"/>
      <c r="AY56" s="326"/>
      <c r="AZ56" s="326"/>
      <c r="BA56" s="326"/>
      <c r="BB56" s="326"/>
    </row>
    <row r="57" spans="1:54">
      <c r="A57" s="19"/>
      <c r="B57" s="55" t="s">
        <v>287</v>
      </c>
      <c r="C57" s="44">
        <f>IF(OR(Cashflow!C$111="C/I",Cashflow!C$111="Not yet producing"),0,IF(C$47-6*$I$7&lt;$I$4,0,(HLOOKUP(C$47-6*$I$7,$C$47:$AG$51,5,FALSE))))</f>
        <v>0</v>
      </c>
      <c r="D57" s="44">
        <f>IF(OR(Cashflow!D$111="C/I",Cashflow!D$111="Not yet producing"),0,IF(D$47-6*$I$7&lt;$I$4,0,(HLOOKUP(D$47-6*$I$7,$C$47:$AG$51,5,FALSE))))</f>
        <v>0</v>
      </c>
      <c r="E57" s="44">
        <f>IF(OR(Cashflow!E$111="C/I",Cashflow!E$111="Not yet producing"),0,IF(E$47-6*$I$7&lt;$I$4,0,(HLOOKUP(E$47-6*$I$7,$C$47:$AG$51,5,FALSE))))</f>
        <v>0</v>
      </c>
      <c r="F57" s="44">
        <f>IF(OR(Cashflow!F$111="C/I",Cashflow!F$111="Not yet producing"),0,IF(F$47-6*$I$7&lt;$I$4,0,(HLOOKUP(F$47-6*$I$7,$C$47:$AG$51,5,FALSE))))</f>
        <v>0</v>
      </c>
      <c r="G57" s="44">
        <f>IF(OR(Cashflow!G$111="C/I",Cashflow!G$111="Not yet producing"),0,IF(G$47-6*$I$7&lt;$I$4,0,(HLOOKUP(G$47-6*$I$7,$C$47:$AG$51,5,FALSE))))</f>
        <v>0</v>
      </c>
      <c r="H57" s="44">
        <f>IF(OR(Cashflow!H$111="C/I",Cashflow!H$111="Not yet producing"),0,IF(H$47-6*$I$7&lt;$I$4,0,(HLOOKUP(H$47-6*$I$7,$C$47:$AG$51,5,FALSE))))</f>
        <v>0</v>
      </c>
      <c r="I57" s="44">
        <f>IF(OR(Cashflow!I$111="C/I",Cashflow!I$111="Not yet producing"),0,IF(I$47-6*$I$7&lt;$I$4,0,(HLOOKUP(I$47-6*$I$7,$C$47:$AG$51,5,FALSE))))</f>
        <v>0</v>
      </c>
      <c r="J57" s="44">
        <f>IF(OR(Cashflow!J$111="C/I",Cashflow!J$111="Not yet producing"),0,IF(J$47-6*$I$7&lt;$I$4,0,(HLOOKUP(J$47-6*$I$7,$C$47:$AG$51,5,FALSE))))</f>
        <v>0</v>
      </c>
      <c r="K57" s="44">
        <f>IF(OR(Cashflow!K$111="C/I",Cashflow!K$111="Not yet producing"),0,IF(K$47-6*$I$7&lt;$I$4,0,(HLOOKUP(K$47-6*$I$7,$C$47:$AG$51,5,FALSE))))</f>
        <v>0</v>
      </c>
      <c r="L57" s="44">
        <f ca="1">IF(OR(Cashflow!L$111="C/I",Cashflow!L$111="Not yet producing"),0,IF(L$47-6*$I$7&lt;$I$4,0,(HLOOKUP(L$47-6*$I$7,$C$47:$AG$51,5,FALSE))))</f>
        <v>0</v>
      </c>
      <c r="M57" s="44">
        <f ca="1">IF(OR(Cashflow!M$111="C/I",Cashflow!M$111="Not yet producing"),0,IF(M$47-6*$I$7&lt;$I$4,0,(HLOOKUP(M$47-6*$I$7,$C$47:$AG$51,5,FALSE))))</f>
        <v>0</v>
      </c>
      <c r="N57" s="44">
        <f ca="1">IF(OR(Cashflow!N$111="C/I",Cashflow!N$111="Not yet producing"),0,IF(N$47-6*$I$7&lt;$I$4,0,(HLOOKUP(N$47-6*$I$7,$C$47:$AG$51,5,FALSE))))</f>
        <v>0</v>
      </c>
      <c r="O57" s="44">
        <f ca="1">IF(OR(Cashflow!O$111="C/I",Cashflow!O$111="Not yet producing"),0,IF(O$47-6*$I$7&lt;$I$4,0,(HLOOKUP(O$47-6*$I$7,$C$47:$AG$51,5,FALSE))))</f>
        <v>0</v>
      </c>
      <c r="P57" s="44">
        <f ca="1">IF(OR(Cashflow!P$111="C/I",Cashflow!P$111="Not yet producing"),0,IF(P$47-6*$I$7&lt;$I$4,0,(HLOOKUP(P$47-6*$I$7,$C$47:$AG$51,5,FALSE))))</f>
        <v>0</v>
      </c>
      <c r="Q57" s="44">
        <f ca="1">IF(OR(Cashflow!Q$111="C/I",Cashflow!Q$111="Not yet producing"),0,IF(Q$47-6*$I$7&lt;$I$4,0,(HLOOKUP(Q$47-6*$I$7,$C$47:$AG$51,5,FALSE))))</f>
        <v>0</v>
      </c>
      <c r="R57" s="44">
        <f ca="1">IF(OR(Cashflow!R$111="C/I",Cashflow!R$111="Not yet producing"),0,IF(R$47-6*$I$7&lt;$I$4,0,(HLOOKUP(R$47-6*$I$7,$C$47:$AG$51,5,FALSE))))</f>
        <v>0</v>
      </c>
      <c r="S57" s="44">
        <f ca="1">IF(OR(Cashflow!S$111="C/I",Cashflow!S$111="Not yet producing"),0,IF(S$47-6*$I$7&lt;$I$4,0,(HLOOKUP(S$47-6*$I$7,$C$47:$AG$51,5,FALSE))))</f>
        <v>0</v>
      </c>
      <c r="T57" s="44">
        <f ca="1">IF(OR(Cashflow!T$111="C/I",Cashflow!T$111="Not yet producing"),0,IF(T$47-6*$I$7&lt;$I$4,0,(HLOOKUP(T$47-6*$I$7,$C$47:$AG$51,5,FALSE))))</f>
        <v>0</v>
      </c>
      <c r="U57" s="44">
        <f ca="1">IF(OR(Cashflow!U$111="C/I",Cashflow!U$111="Not yet producing"),0,IF(U$47-6*$I$7&lt;$I$4,0,(HLOOKUP(U$47-6*$I$7,$C$47:$AG$51,5,FALSE))))</f>
        <v>0</v>
      </c>
      <c r="V57" s="44">
        <f ca="1">IF(OR(Cashflow!V$111="C/I",Cashflow!V$111="Not yet producing"),0,IF(V$47-6*$I$7&lt;$I$4,0,(HLOOKUP(V$47-6*$I$7,$C$47:$AG$51,5,FALSE))))</f>
        <v>0</v>
      </c>
      <c r="W57" s="44">
        <f ca="1">IF(OR(Cashflow!W$111="C/I",Cashflow!W$111="Not yet producing"),0,IF(W$47-6*$I$7&lt;$I$4,0,(HLOOKUP(W$47-6*$I$7,$C$47:$AG$51,5,FALSE))))</f>
        <v>0</v>
      </c>
      <c r="X57" s="44">
        <f ca="1">IF(OR(Cashflow!X$111="C/I",Cashflow!X$111="Not yet producing"),0,IF(X$47-6*$I$7&lt;$I$4,0,(HLOOKUP(X$47-6*$I$7,$C$47:$AG$51,5,FALSE))))</f>
        <v>0</v>
      </c>
      <c r="Y57" s="44">
        <f ca="1">IF(OR(Cashflow!Y$111="C/I",Cashflow!Y$111="Not yet producing"),0,IF(Y$47-6*$I$7&lt;$I$4,0,(HLOOKUP(Y$47-6*$I$7,$C$47:$AG$51,5,FALSE))))</f>
        <v>0</v>
      </c>
      <c r="Z57" s="44">
        <f ca="1">IF(OR(Cashflow!Z$111="C/I",Cashflow!Z$111="Not yet producing"),0,IF(Z$47-6*$I$7&lt;$I$4,0,(HLOOKUP(Z$47-6*$I$7,$C$47:$AG$51,5,FALSE))))</f>
        <v>0</v>
      </c>
      <c r="AA57" s="44">
        <f ca="1">IF(OR(Cashflow!AA$111="C/I",Cashflow!AA$111="Not yet producing"),0,IF(AA$47-6*$I$7&lt;$I$4,0,(HLOOKUP(AA$47-6*$I$7,$C$47:$AG$51,5,FALSE))))</f>
        <v>0</v>
      </c>
      <c r="AB57" s="44">
        <f ca="1">IF(OR(Cashflow!AB$111="C/I",Cashflow!AB$111="Not yet producing"),0,IF(AB$47-6*$I$7&lt;$I$4,0,(HLOOKUP(AB$47-6*$I$7,$C$47:$AG$51,5,FALSE))))</f>
        <v>0</v>
      </c>
      <c r="AC57" s="44">
        <f ca="1">IF(OR(Cashflow!AC$111="C/I",Cashflow!AC$111="Not yet producing"),0,IF(AC$47-6*$I$7&lt;$I$4,0,(HLOOKUP(AC$47-6*$I$7,$C$47:$AG$51,5,FALSE))))</f>
        <v>0</v>
      </c>
      <c r="AD57" s="44">
        <f ca="1">IF(OR(Cashflow!AD$111="C/I",Cashflow!AD$111="Not yet producing"),0,IF(AD$47-6*$I$7&lt;$I$4,0,(HLOOKUP(AD$47-6*$I$7,$C$47:$AG$51,5,FALSE))))</f>
        <v>0</v>
      </c>
      <c r="AE57" s="44">
        <f ca="1">IF(OR(Cashflow!AE$111="C/I",Cashflow!AE$111="Not yet producing"),0,IF(AE$47-6*$I$7&lt;$I$4,0,(HLOOKUP(AE$47-6*$I$7,$C$47:$AG$51,5,FALSE))))</f>
        <v>0</v>
      </c>
      <c r="AF57" s="44">
        <f ca="1">IF(OR(Cashflow!AF$111="C/I",Cashflow!AF$111="Not yet producing"),0,IF(AF$47-6*$I$7&lt;$I$4,0,(HLOOKUP(AF$47-6*$I$7,$C$47:$AG$51,5,FALSE))))</f>
        <v>0</v>
      </c>
      <c r="AG57" s="44">
        <f ca="1">IF(OR(Cashflow!AG$111="C/I",Cashflow!AG$111="Not yet producing"),0,IF(AG$47-6*$I$7&lt;$I$4,0,(HLOOKUP(AG$47-6*$I$7,$C$47:$AG$51,5,FALSE))))</f>
        <v>0</v>
      </c>
      <c r="AH57" s="19"/>
      <c r="AI57" s="19"/>
      <c r="AJ57" s="19"/>
      <c r="AK57" s="19"/>
      <c r="AL57" s="21"/>
      <c r="AM57" s="21"/>
      <c r="AN57" s="19"/>
      <c r="AO57" s="19"/>
      <c r="AP57" s="19"/>
      <c r="AQ57" s="19"/>
    </row>
    <row r="58" spans="1:54" s="26" customFormat="1" ht="13.2">
      <c r="A58" s="19"/>
      <c r="B58" s="55" t="s">
        <v>1725</v>
      </c>
      <c r="C58" s="44">
        <f>IF(OR(Cashflow!C$111="C/I",Cashflow!C$111="Not yet producing"),0,IF(C$47-7*$I$7&lt;$I$4,0,(HLOOKUP(C$47-7*$I$7,$C$47:$AG$51,5,FALSE))))</f>
        <v>0</v>
      </c>
      <c r="D58" s="44">
        <f>IF(OR(Cashflow!D$111="C/I",Cashflow!D$111="Not yet producing"),0,IF(D$47-7*$I$7&lt;$I$4,0,(HLOOKUP(D$47-7*$I$7,$C$47:$AG$51,5,FALSE))))</f>
        <v>0</v>
      </c>
      <c r="E58" s="44">
        <f>IF(OR(Cashflow!E$111="C/I",Cashflow!E$111="Not yet producing"),0,IF(E$47-7*$I$7&lt;$I$4,0,(HLOOKUP(E$47-7*$I$7,$C$47:$AG$51,5,FALSE))))</f>
        <v>0</v>
      </c>
      <c r="F58" s="44">
        <f>IF(OR(Cashflow!F$111="C/I",Cashflow!F$111="Not yet producing"),0,IF(F$47-7*$I$7&lt;$I$4,0,(HLOOKUP(F$47-7*$I$7,$C$47:$AG$51,5,FALSE))))</f>
        <v>0</v>
      </c>
      <c r="G58" s="44">
        <f>IF(OR(Cashflow!G$111="C/I",Cashflow!G$111="Not yet producing"),0,IF(G$47-7*$I$7&lt;$I$4,0,(HLOOKUP(G$47-7*$I$7,$C$47:$AG$51,5,FALSE))))</f>
        <v>0</v>
      </c>
      <c r="H58" s="44">
        <f>IF(OR(Cashflow!H$111="C/I",Cashflow!H$111="Not yet producing"),0,IF(H$47-7*$I$7&lt;$I$4,0,(HLOOKUP(H$47-7*$I$7,$C$47:$AG$51,5,FALSE))))</f>
        <v>0</v>
      </c>
      <c r="I58" s="44">
        <f>IF(OR(Cashflow!I$111="C/I",Cashflow!I$111="Not yet producing"),0,IF(I$47-7*$I$7&lt;$I$4,0,(HLOOKUP(I$47-7*$I$7,$C$47:$AG$51,5,FALSE))))</f>
        <v>0</v>
      </c>
      <c r="J58" s="44">
        <f>IF(OR(Cashflow!J$111="C/I",Cashflow!J$111="Not yet producing"),0,IF(J$47-7*$I$7&lt;$I$4,0,(HLOOKUP(J$47-7*$I$7,$C$47:$AG$51,5,FALSE))))</f>
        <v>0</v>
      </c>
      <c r="K58" s="44">
        <f>IF(OR(Cashflow!K$111="C/I",Cashflow!K$111="Not yet producing"),0,IF(K$47-7*$I$7&lt;$I$4,0,(HLOOKUP(K$47-7*$I$7,$C$47:$AG$51,5,FALSE))))</f>
        <v>0</v>
      </c>
      <c r="L58" s="44">
        <f ca="1">IF(OR(Cashflow!L$111="C/I",Cashflow!L$111="Not yet producing"),0,IF(L$47-7*$I$7&lt;$I$4,0,(HLOOKUP(L$47-7*$I$7,$C$47:$AG$51,5,FALSE))))</f>
        <v>0</v>
      </c>
      <c r="M58" s="44">
        <f ca="1">IF(OR(Cashflow!M$111="C/I",Cashflow!M$111="Not yet producing"),0,IF(M$47-7*$I$7&lt;$I$4,0,(HLOOKUP(M$47-7*$I$7,$C$47:$AG$51,5,FALSE))))</f>
        <v>0</v>
      </c>
      <c r="N58" s="44">
        <f ca="1">IF(OR(Cashflow!N$111="C/I",Cashflow!N$111="Not yet producing"),0,IF(N$47-7*$I$7&lt;$I$4,0,(HLOOKUP(N$47-7*$I$7,$C$47:$AG$51,5,FALSE))))</f>
        <v>0</v>
      </c>
      <c r="O58" s="44">
        <f ca="1">IF(OR(Cashflow!O$111="C/I",Cashflow!O$111="Not yet producing"),0,IF(O$47-7*$I$7&lt;$I$4,0,(HLOOKUP(O$47-7*$I$7,$C$47:$AG$51,5,FALSE))))</f>
        <v>0</v>
      </c>
      <c r="P58" s="44">
        <f ca="1">IF(OR(Cashflow!P$111="C/I",Cashflow!P$111="Not yet producing"),0,IF(P$47-7*$I$7&lt;$I$4,0,(HLOOKUP(P$47-7*$I$7,$C$47:$AG$51,5,FALSE))))</f>
        <v>0</v>
      </c>
      <c r="Q58" s="44">
        <f ca="1">IF(OR(Cashflow!Q$111="C/I",Cashflow!Q$111="Not yet producing"),0,IF(Q$47-7*$I$7&lt;$I$4,0,(HLOOKUP(Q$47-7*$I$7,$C$47:$AG$51,5,FALSE))))</f>
        <v>0</v>
      </c>
      <c r="R58" s="44">
        <f ca="1">IF(OR(Cashflow!R$111="C/I",Cashflow!R$111="Not yet producing"),0,IF(R$47-7*$I$7&lt;$I$4,0,(HLOOKUP(R$47-7*$I$7,$C$47:$AG$51,5,FALSE))))</f>
        <v>0</v>
      </c>
      <c r="S58" s="44">
        <f ca="1">IF(OR(Cashflow!S$111="C/I",Cashflow!S$111="Not yet producing"),0,IF(S$47-7*$I$7&lt;$I$4,0,(HLOOKUP(S$47-7*$I$7,$C$47:$AG$51,5,FALSE))))</f>
        <v>0</v>
      </c>
      <c r="T58" s="44">
        <f ca="1">IF(OR(Cashflow!T$111="C/I",Cashflow!T$111="Not yet producing"),0,IF(T$47-7*$I$7&lt;$I$4,0,(HLOOKUP(T$47-7*$I$7,$C$47:$AG$51,5,FALSE))))</f>
        <v>0</v>
      </c>
      <c r="U58" s="44">
        <f ca="1">IF(OR(Cashflow!U$111="C/I",Cashflow!U$111="Not yet producing"),0,IF(U$47-7*$I$7&lt;$I$4,0,(HLOOKUP(U$47-7*$I$7,$C$47:$AG$51,5,FALSE))))</f>
        <v>0</v>
      </c>
      <c r="V58" s="44">
        <f ca="1">IF(OR(Cashflow!V$111="C/I",Cashflow!V$111="Not yet producing"),0,IF(V$47-7*$I$7&lt;$I$4,0,(HLOOKUP(V$47-7*$I$7,$C$47:$AG$51,5,FALSE))))</f>
        <v>0</v>
      </c>
      <c r="W58" s="44">
        <f ca="1">IF(OR(Cashflow!W$111="C/I",Cashflow!W$111="Not yet producing"),0,IF(W$47-7*$I$7&lt;$I$4,0,(HLOOKUP(W$47-7*$I$7,$C$47:$AG$51,5,FALSE))))</f>
        <v>0</v>
      </c>
      <c r="X58" s="44">
        <f ca="1">IF(OR(Cashflow!X$111="C/I",Cashflow!X$111="Not yet producing"),0,IF(X$47-7*$I$7&lt;$I$4,0,(HLOOKUP(X$47-7*$I$7,$C$47:$AG$51,5,FALSE))))</f>
        <v>0</v>
      </c>
      <c r="Y58" s="44">
        <f ca="1">IF(OR(Cashflow!Y$111="C/I",Cashflow!Y$111="Not yet producing"),0,IF(Y$47-7*$I$7&lt;$I$4,0,(HLOOKUP(Y$47-7*$I$7,$C$47:$AG$51,5,FALSE))))</f>
        <v>0</v>
      </c>
      <c r="Z58" s="44">
        <f ca="1">IF(OR(Cashflow!Z$111="C/I",Cashflow!Z$111="Not yet producing"),0,IF(Z$47-7*$I$7&lt;$I$4,0,(HLOOKUP(Z$47-7*$I$7,$C$47:$AG$51,5,FALSE))))</f>
        <v>0</v>
      </c>
      <c r="AA58" s="44">
        <f ca="1">IF(OR(Cashflow!AA$111="C/I",Cashflow!AA$111="Not yet producing"),0,IF(AA$47-7*$I$7&lt;$I$4,0,(HLOOKUP(AA$47-7*$I$7,$C$47:$AG$51,5,FALSE))))</f>
        <v>0</v>
      </c>
      <c r="AB58" s="44">
        <f ca="1">IF(OR(Cashflow!AB$111="C/I",Cashflow!AB$111="Not yet producing"),0,IF(AB$47-7*$I$7&lt;$I$4,0,(HLOOKUP(AB$47-7*$I$7,$C$47:$AG$51,5,FALSE))))</f>
        <v>0</v>
      </c>
      <c r="AC58" s="44">
        <f ca="1">IF(OR(Cashflow!AC$111="C/I",Cashflow!AC$111="Not yet producing"),0,IF(AC$47-7*$I$7&lt;$I$4,0,(HLOOKUP(AC$47-7*$I$7,$C$47:$AG$51,5,FALSE))))</f>
        <v>0</v>
      </c>
      <c r="AD58" s="44">
        <f ca="1">IF(OR(Cashflow!AD$111="C/I",Cashflow!AD$111="Not yet producing"),0,IF(AD$47-7*$I$7&lt;$I$4,0,(HLOOKUP(AD$47-7*$I$7,$C$47:$AG$51,5,FALSE))))</f>
        <v>0</v>
      </c>
      <c r="AE58" s="44">
        <f ca="1">IF(OR(Cashflow!AE$111="C/I",Cashflow!AE$111="Not yet producing"),0,IF(AE$47-7*$I$7&lt;$I$4,0,(HLOOKUP(AE$47-7*$I$7,$C$47:$AG$51,5,FALSE))))</f>
        <v>0</v>
      </c>
      <c r="AF58" s="44">
        <f ca="1">IF(OR(Cashflow!AF$111="C/I",Cashflow!AF$111="Not yet producing"),0,IF(AF$47-7*$I$7&lt;$I$4,0,(HLOOKUP(AF$47-7*$I$7,$C$47:$AG$51,5,FALSE))))</f>
        <v>0</v>
      </c>
      <c r="AG58" s="44">
        <f ca="1">IF(OR(Cashflow!AG$111="C/I",Cashflow!AG$111="Not yet producing"),0,IF(AG$47-7*$I$7&lt;$I$4,0,(HLOOKUP(AG$47-7*$I$7,$C$47:$AG$51,5,FALSE))))</f>
        <v>0</v>
      </c>
      <c r="AH58" s="19"/>
      <c r="AI58" s="19"/>
      <c r="AJ58" s="19"/>
      <c r="AK58" s="19"/>
      <c r="AL58" s="21"/>
      <c r="AM58" s="21"/>
      <c r="AN58" s="19"/>
      <c r="AO58" s="19"/>
      <c r="AP58" s="19"/>
      <c r="AQ58" s="19"/>
      <c r="AR58" s="326"/>
      <c r="AS58" s="326"/>
      <c r="AT58" s="326"/>
      <c r="AU58" s="326"/>
      <c r="AV58" s="326"/>
      <c r="AW58" s="326"/>
      <c r="AX58" s="326"/>
      <c r="AY58" s="326"/>
      <c r="AZ58" s="326"/>
      <c r="BA58" s="326"/>
      <c r="BB58" s="326"/>
    </row>
    <row r="59" spans="1:54" s="26" customFormat="1" ht="13.2">
      <c r="A59" s="19"/>
      <c r="B59" s="55" t="s">
        <v>1726</v>
      </c>
      <c r="C59" s="44">
        <f>IF(OR(Cashflow!C$111="C/I",Cashflow!C$111="Not yet producing"),0,IF(C$47-8*$I$7&lt;$I$4,0,(HLOOKUP(C$47-8*$I$7,$C$47:$AG$51,5,FALSE))))</f>
        <v>0</v>
      </c>
      <c r="D59" s="44">
        <f>IF(OR(Cashflow!D$111="C/I",Cashflow!D$111="Not yet producing"),0,IF(D$47-8*$I$7&lt;$I$4,0,(HLOOKUP(D$47-8*$I$7,$C$47:$AG$51,5,FALSE))))</f>
        <v>0</v>
      </c>
      <c r="E59" s="44">
        <f>IF(OR(Cashflow!E$111="C/I",Cashflow!E$111="Not yet producing"),0,IF(E$47-8*$I$7&lt;$I$4,0,(HLOOKUP(E$47-8*$I$7,$C$47:$AG$51,5,FALSE))))</f>
        <v>0</v>
      </c>
      <c r="F59" s="44">
        <f>IF(OR(Cashflow!F$111="C/I",Cashflow!F$111="Not yet producing"),0,IF(F$47-8*$I$7&lt;$I$4,0,(HLOOKUP(F$47-8*$I$7,$C$47:$AG$51,5,FALSE))))</f>
        <v>0</v>
      </c>
      <c r="G59" s="44">
        <f>IF(OR(Cashflow!G$111="C/I",Cashflow!G$111="Not yet producing"),0,IF(G$47-8*$I$7&lt;$I$4,0,(HLOOKUP(G$47-8*$I$7,$C$47:$AG$51,5,FALSE))))</f>
        <v>0</v>
      </c>
      <c r="H59" s="44">
        <f>IF(OR(Cashflow!H$111="C/I",Cashflow!H$111="Not yet producing"),0,IF(H$47-8*$I$7&lt;$I$4,0,(HLOOKUP(H$47-8*$I$7,$C$47:$AG$51,5,FALSE))))</f>
        <v>0</v>
      </c>
      <c r="I59" s="44">
        <f>IF(OR(Cashflow!I$111="C/I",Cashflow!I$111="Not yet producing"),0,IF(I$47-8*$I$7&lt;$I$4,0,(HLOOKUP(I$47-8*$I$7,$C$47:$AG$51,5,FALSE))))</f>
        <v>0</v>
      </c>
      <c r="J59" s="44">
        <f>IF(OR(Cashflow!J$111="C/I",Cashflow!J$111="Not yet producing"),0,IF(J$47-8*$I$7&lt;$I$4,0,(HLOOKUP(J$47-8*$I$7,$C$47:$AG$51,5,FALSE))))</f>
        <v>0</v>
      </c>
      <c r="K59" s="44">
        <f>IF(OR(Cashflow!K$111="C/I",Cashflow!K$111="Not yet producing"),0,IF(K$47-8*$I$7&lt;$I$4,0,(HLOOKUP(K$47-8*$I$7,$C$47:$AG$51,5,FALSE))))</f>
        <v>0</v>
      </c>
      <c r="L59" s="44">
        <f ca="1">IF(OR(Cashflow!L$111="C/I",Cashflow!L$111="Not yet producing"),0,IF(L$47-8*$I$7&lt;$I$4,0,(HLOOKUP(L$47-8*$I$7,$C$47:$AG$51,5,FALSE))))</f>
        <v>0</v>
      </c>
      <c r="M59" s="44">
        <f ca="1">IF(OR(Cashflow!M$111="C/I",Cashflow!M$111="Not yet producing"),0,IF(M$47-8*$I$7&lt;$I$4,0,(HLOOKUP(M$47-8*$I$7,$C$47:$AG$51,5,FALSE))))</f>
        <v>0</v>
      </c>
      <c r="N59" s="44">
        <f ca="1">IF(OR(Cashflow!N$111="C/I",Cashflow!N$111="Not yet producing"),0,IF(N$47-8*$I$7&lt;$I$4,0,(HLOOKUP(N$47-8*$I$7,$C$47:$AG$51,5,FALSE))))</f>
        <v>0</v>
      </c>
      <c r="O59" s="44">
        <f ca="1">IF(OR(Cashflow!O$111="C/I",Cashflow!O$111="Not yet producing"),0,IF(O$47-8*$I$7&lt;$I$4,0,(HLOOKUP(O$47-8*$I$7,$C$47:$AG$51,5,FALSE))))</f>
        <v>0</v>
      </c>
      <c r="P59" s="44">
        <f ca="1">IF(OR(Cashflow!P$111="C/I",Cashflow!P$111="Not yet producing"),0,IF(P$47-8*$I$7&lt;$I$4,0,(HLOOKUP(P$47-8*$I$7,$C$47:$AG$51,5,FALSE))))</f>
        <v>0</v>
      </c>
      <c r="Q59" s="44">
        <f ca="1">IF(OR(Cashflow!Q$111="C/I",Cashflow!Q$111="Not yet producing"),0,IF(Q$47-8*$I$7&lt;$I$4,0,(HLOOKUP(Q$47-8*$I$7,$C$47:$AG$51,5,FALSE))))</f>
        <v>0</v>
      </c>
      <c r="R59" s="44">
        <f ca="1">IF(OR(Cashflow!R$111="C/I",Cashflow!R$111="Not yet producing"),0,IF(R$47-8*$I$7&lt;$I$4,0,(HLOOKUP(R$47-8*$I$7,$C$47:$AG$51,5,FALSE))))</f>
        <v>0</v>
      </c>
      <c r="S59" s="44">
        <f ca="1">IF(OR(Cashflow!S$111="C/I",Cashflow!S$111="Not yet producing"),0,IF(S$47-8*$I$7&lt;$I$4,0,(HLOOKUP(S$47-8*$I$7,$C$47:$AG$51,5,FALSE))))</f>
        <v>0</v>
      </c>
      <c r="T59" s="44">
        <f ca="1">IF(OR(Cashflow!T$111="C/I",Cashflow!T$111="Not yet producing"),0,IF(T$47-8*$I$7&lt;$I$4,0,(HLOOKUP(T$47-8*$I$7,$C$47:$AG$51,5,FALSE))))</f>
        <v>0</v>
      </c>
      <c r="U59" s="44">
        <f ca="1">IF(OR(Cashflow!U$111="C/I",Cashflow!U$111="Not yet producing"),0,IF(U$47-8*$I$7&lt;$I$4,0,(HLOOKUP(U$47-8*$I$7,$C$47:$AG$51,5,FALSE))))</f>
        <v>0</v>
      </c>
      <c r="V59" s="44">
        <f ca="1">IF(OR(Cashflow!V$111="C/I",Cashflow!V$111="Not yet producing"),0,IF(V$47-8*$I$7&lt;$I$4,0,(HLOOKUP(V$47-8*$I$7,$C$47:$AG$51,5,FALSE))))</f>
        <v>0</v>
      </c>
      <c r="W59" s="44">
        <f ca="1">IF(OR(Cashflow!W$111="C/I",Cashflow!W$111="Not yet producing"),0,IF(W$47-8*$I$7&lt;$I$4,0,(HLOOKUP(W$47-8*$I$7,$C$47:$AG$51,5,FALSE))))</f>
        <v>0</v>
      </c>
      <c r="X59" s="44">
        <f ca="1">IF(OR(Cashflow!X$111="C/I",Cashflow!X$111="Not yet producing"),0,IF(X$47-8*$I$7&lt;$I$4,0,(HLOOKUP(X$47-8*$I$7,$C$47:$AG$51,5,FALSE))))</f>
        <v>0</v>
      </c>
      <c r="Y59" s="44">
        <f ca="1">IF(OR(Cashflow!Y$111="C/I",Cashflow!Y$111="Not yet producing"),0,IF(Y$47-8*$I$7&lt;$I$4,0,(HLOOKUP(Y$47-8*$I$7,$C$47:$AG$51,5,FALSE))))</f>
        <v>0</v>
      </c>
      <c r="Z59" s="44">
        <f ca="1">IF(OR(Cashflow!Z$111="C/I",Cashflow!Z$111="Not yet producing"),0,IF(Z$47-8*$I$7&lt;$I$4,0,(HLOOKUP(Z$47-8*$I$7,$C$47:$AG$51,5,FALSE))))</f>
        <v>0</v>
      </c>
      <c r="AA59" s="44">
        <f ca="1">IF(OR(Cashflow!AA$111="C/I",Cashflow!AA$111="Not yet producing"),0,IF(AA$47-8*$I$7&lt;$I$4,0,(HLOOKUP(AA$47-8*$I$7,$C$47:$AG$51,5,FALSE))))</f>
        <v>0</v>
      </c>
      <c r="AB59" s="44">
        <f ca="1">IF(OR(Cashflow!AB$111="C/I",Cashflow!AB$111="Not yet producing"),0,IF(AB$47-8*$I$7&lt;$I$4,0,(HLOOKUP(AB$47-8*$I$7,$C$47:$AG$51,5,FALSE))))</f>
        <v>0</v>
      </c>
      <c r="AC59" s="44">
        <f ca="1">IF(OR(Cashflow!AC$111="C/I",Cashflow!AC$111="Not yet producing"),0,IF(AC$47-8*$I$7&lt;$I$4,0,(HLOOKUP(AC$47-8*$I$7,$C$47:$AG$51,5,FALSE))))</f>
        <v>0</v>
      </c>
      <c r="AD59" s="44">
        <f ca="1">IF(OR(Cashflow!AD$111="C/I",Cashflow!AD$111="Not yet producing"),0,IF(AD$47-8*$I$7&lt;$I$4,0,(HLOOKUP(AD$47-8*$I$7,$C$47:$AG$51,5,FALSE))))</f>
        <v>0</v>
      </c>
      <c r="AE59" s="44">
        <f ca="1">IF(OR(Cashflow!AE$111="C/I",Cashflow!AE$111="Not yet producing"),0,IF(AE$47-8*$I$7&lt;$I$4,0,(HLOOKUP(AE$47-8*$I$7,$C$47:$AG$51,5,FALSE))))</f>
        <v>0</v>
      </c>
      <c r="AF59" s="44">
        <f ca="1">IF(OR(Cashflow!AF$111="C/I",Cashflow!AF$111="Not yet producing"),0,IF(AF$47-8*$I$7&lt;$I$4,0,(HLOOKUP(AF$47-8*$I$7,$C$47:$AG$51,5,FALSE))))</f>
        <v>0</v>
      </c>
      <c r="AG59" s="44">
        <f ca="1">IF(OR(Cashflow!AG$111="C/I",Cashflow!AG$111="Not yet producing"),0,IF(AG$47-8*$I$7&lt;$I$4,0,(HLOOKUP(AG$47-8*$I$7,$C$47:$AG$51,5,FALSE))))</f>
        <v>0</v>
      </c>
      <c r="AH59" s="19"/>
      <c r="AI59" s="19"/>
      <c r="AJ59" s="19"/>
      <c r="AK59" s="19"/>
      <c r="AL59" s="21"/>
      <c r="AM59" s="21"/>
      <c r="AN59" s="19"/>
      <c r="AO59" s="19"/>
      <c r="AP59" s="19"/>
      <c r="AQ59" s="19"/>
      <c r="AR59" s="326"/>
      <c r="AS59" s="326"/>
      <c r="AT59" s="326"/>
      <c r="AU59" s="326"/>
      <c r="AV59" s="326"/>
      <c r="AW59" s="326"/>
      <c r="AX59" s="326"/>
      <c r="AY59" s="326"/>
      <c r="AZ59" s="326"/>
      <c r="BA59" s="326"/>
      <c r="BB59" s="326"/>
    </row>
    <row r="60" spans="1:54" s="26" customFormat="1" ht="13.2">
      <c r="A60" s="19"/>
      <c r="B60" s="55" t="s">
        <v>1727</v>
      </c>
      <c r="C60" s="44">
        <f>IF(OR(Cashflow!C$111="C/I",Cashflow!C$111="Not yet producing"),0,IF(C$47-9*$I$7&lt;$I$4,0,(HLOOKUP(C$47-9*$I$7,$C$47:$AG$51,5,FALSE))))</f>
        <v>0</v>
      </c>
      <c r="D60" s="44">
        <f>IF(OR(Cashflow!D$111="C/I",Cashflow!D$111="Not yet producing"),0,IF(D$47-9*$I$7&lt;$I$4,0,(HLOOKUP(D$47-9*$I$7,$C$47:$AG$51,5,FALSE))))</f>
        <v>0</v>
      </c>
      <c r="E60" s="44">
        <f>IF(OR(Cashflow!E$111="C/I",Cashflow!E$111="Not yet producing"),0,IF(E$47-9*$I$7&lt;$I$4,0,(HLOOKUP(E$47-9*$I$7,$C$47:$AG$51,5,FALSE))))</f>
        <v>0</v>
      </c>
      <c r="F60" s="44">
        <f>IF(OR(Cashflow!F$111="C/I",Cashflow!F$111="Not yet producing"),0,IF(F$47-9*$I$7&lt;$I$4,0,(HLOOKUP(F$47-9*$I$7,$C$47:$AG$51,5,FALSE))))</f>
        <v>0</v>
      </c>
      <c r="G60" s="44">
        <f>IF(OR(Cashflow!G$111="C/I",Cashflow!G$111="Not yet producing"),0,IF(G$47-9*$I$7&lt;$I$4,0,(HLOOKUP(G$47-9*$I$7,$C$47:$AG$51,5,FALSE))))</f>
        <v>0</v>
      </c>
      <c r="H60" s="44">
        <f>IF(OR(Cashflow!H$111="C/I",Cashflow!H$111="Not yet producing"),0,IF(H$47-9*$I$7&lt;$I$4,0,(HLOOKUP(H$47-9*$I$7,$C$47:$AG$51,5,FALSE))))</f>
        <v>0</v>
      </c>
      <c r="I60" s="44">
        <f>IF(OR(Cashflow!I$111="C/I",Cashflow!I$111="Not yet producing"),0,IF(I$47-9*$I$7&lt;$I$4,0,(HLOOKUP(I$47-9*$I$7,$C$47:$AG$51,5,FALSE))))</f>
        <v>0</v>
      </c>
      <c r="J60" s="44">
        <f>IF(OR(Cashflow!J$111="C/I",Cashflow!J$111="Not yet producing"),0,IF(J$47-9*$I$7&lt;$I$4,0,(HLOOKUP(J$47-9*$I$7,$C$47:$AG$51,5,FALSE))))</f>
        <v>0</v>
      </c>
      <c r="K60" s="44">
        <f>IF(OR(Cashflow!K$111="C/I",Cashflow!K$111="Not yet producing"),0,IF(K$47-9*$I$7&lt;$I$4,0,(HLOOKUP(K$47-9*$I$7,$C$47:$AG$51,5,FALSE))))</f>
        <v>0</v>
      </c>
      <c r="L60" s="44">
        <f ca="1">IF(OR(Cashflow!L$111="C/I",Cashflow!L$111="Not yet producing"),0,IF(L$47-9*$I$7&lt;$I$4,0,(HLOOKUP(L$47-9*$I$7,$C$47:$AG$51,5,FALSE))))</f>
        <v>0</v>
      </c>
      <c r="M60" s="44">
        <f ca="1">IF(OR(Cashflow!M$111="C/I",Cashflow!M$111="Not yet producing"),0,IF(M$47-9*$I$7&lt;$I$4,0,(HLOOKUP(M$47-9*$I$7,$C$47:$AG$51,5,FALSE))))</f>
        <v>0</v>
      </c>
      <c r="N60" s="44">
        <f ca="1">IF(OR(Cashflow!N$111="C/I",Cashflow!N$111="Not yet producing"),0,IF(N$47-9*$I$7&lt;$I$4,0,(HLOOKUP(N$47-9*$I$7,$C$47:$AG$51,5,FALSE))))</f>
        <v>0</v>
      </c>
      <c r="O60" s="44">
        <f ca="1">IF(OR(Cashflow!O$111="C/I",Cashflow!O$111="Not yet producing"),0,IF(O$47-9*$I$7&lt;$I$4,0,(HLOOKUP(O$47-9*$I$7,$C$47:$AG$51,5,FALSE))))</f>
        <v>0</v>
      </c>
      <c r="P60" s="44">
        <f ca="1">IF(OR(Cashflow!P$111="C/I",Cashflow!P$111="Not yet producing"),0,IF(P$47-9*$I$7&lt;$I$4,0,(HLOOKUP(P$47-9*$I$7,$C$47:$AG$51,5,FALSE))))</f>
        <v>0</v>
      </c>
      <c r="Q60" s="44">
        <f ca="1">IF(OR(Cashflow!Q$111="C/I",Cashflow!Q$111="Not yet producing"),0,IF(Q$47-9*$I$7&lt;$I$4,0,(HLOOKUP(Q$47-9*$I$7,$C$47:$AG$51,5,FALSE))))</f>
        <v>0</v>
      </c>
      <c r="R60" s="44">
        <f ca="1">IF(OR(Cashflow!R$111="C/I",Cashflow!R$111="Not yet producing"),0,IF(R$47-9*$I$7&lt;$I$4,0,(HLOOKUP(R$47-9*$I$7,$C$47:$AG$51,5,FALSE))))</f>
        <v>0</v>
      </c>
      <c r="S60" s="44">
        <f ca="1">IF(OR(Cashflow!S$111="C/I",Cashflow!S$111="Not yet producing"),0,IF(S$47-9*$I$7&lt;$I$4,0,(HLOOKUP(S$47-9*$I$7,$C$47:$AG$51,5,FALSE))))</f>
        <v>0</v>
      </c>
      <c r="T60" s="44">
        <f ca="1">IF(OR(Cashflow!T$111="C/I",Cashflow!T$111="Not yet producing"),0,IF(T$47-9*$I$7&lt;$I$4,0,(HLOOKUP(T$47-9*$I$7,$C$47:$AG$51,5,FALSE))))</f>
        <v>0</v>
      </c>
      <c r="U60" s="44">
        <f ca="1">IF(OR(Cashflow!U$111="C/I",Cashflow!U$111="Not yet producing"),0,IF(U$47-9*$I$7&lt;$I$4,0,(HLOOKUP(U$47-9*$I$7,$C$47:$AG$51,5,FALSE))))</f>
        <v>0</v>
      </c>
      <c r="V60" s="44">
        <f ca="1">IF(OR(Cashflow!V$111="C/I",Cashflow!V$111="Not yet producing"),0,IF(V$47-9*$I$7&lt;$I$4,0,(HLOOKUP(V$47-9*$I$7,$C$47:$AG$51,5,FALSE))))</f>
        <v>0</v>
      </c>
      <c r="W60" s="44">
        <f ca="1">IF(OR(Cashflow!W$111="C/I",Cashflow!W$111="Not yet producing"),0,IF(W$47-9*$I$7&lt;$I$4,0,(HLOOKUP(W$47-9*$I$7,$C$47:$AG$51,5,FALSE))))</f>
        <v>0</v>
      </c>
      <c r="X60" s="44">
        <f ca="1">IF(OR(Cashflow!X$111="C/I",Cashflow!X$111="Not yet producing"),0,IF(X$47-9*$I$7&lt;$I$4,0,(HLOOKUP(X$47-9*$I$7,$C$47:$AG$51,5,FALSE))))</f>
        <v>0</v>
      </c>
      <c r="Y60" s="44">
        <f ca="1">IF(OR(Cashflow!Y$111="C/I",Cashflow!Y$111="Not yet producing"),0,IF(Y$47-9*$I$7&lt;$I$4,0,(HLOOKUP(Y$47-9*$I$7,$C$47:$AG$51,5,FALSE))))</f>
        <v>0</v>
      </c>
      <c r="Z60" s="44">
        <f ca="1">IF(OR(Cashflow!Z$111="C/I",Cashflow!Z$111="Not yet producing"),0,IF(Z$47-9*$I$7&lt;$I$4,0,(HLOOKUP(Z$47-9*$I$7,$C$47:$AG$51,5,FALSE))))</f>
        <v>0</v>
      </c>
      <c r="AA60" s="44">
        <f ca="1">IF(OR(Cashflow!AA$111="C/I",Cashflow!AA$111="Not yet producing"),0,IF(AA$47-9*$I$7&lt;$I$4,0,(HLOOKUP(AA$47-9*$I$7,$C$47:$AG$51,5,FALSE))))</f>
        <v>0</v>
      </c>
      <c r="AB60" s="44">
        <f ca="1">IF(OR(Cashflow!AB$111="C/I",Cashflow!AB$111="Not yet producing"),0,IF(AB$47-9*$I$7&lt;$I$4,0,(HLOOKUP(AB$47-9*$I$7,$C$47:$AG$51,5,FALSE))))</f>
        <v>0</v>
      </c>
      <c r="AC60" s="44">
        <f ca="1">IF(OR(Cashflow!AC$111="C/I",Cashflow!AC$111="Not yet producing"),0,IF(AC$47-9*$I$7&lt;$I$4,0,(HLOOKUP(AC$47-9*$I$7,$C$47:$AG$51,5,FALSE))))</f>
        <v>0</v>
      </c>
      <c r="AD60" s="44">
        <f ca="1">IF(OR(Cashflow!AD$111="C/I",Cashflow!AD$111="Not yet producing"),0,IF(AD$47-9*$I$7&lt;$I$4,0,(HLOOKUP(AD$47-9*$I$7,$C$47:$AG$51,5,FALSE))))</f>
        <v>0</v>
      </c>
      <c r="AE60" s="44">
        <f ca="1">IF(OR(Cashflow!AE$111="C/I",Cashflow!AE$111="Not yet producing"),0,IF(AE$47-9*$I$7&lt;$I$4,0,(HLOOKUP(AE$47-9*$I$7,$C$47:$AG$51,5,FALSE))))</f>
        <v>0</v>
      </c>
      <c r="AF60" s="44">
        <f ca="1">IF(OR(Cashflow!AF$111="C/I",Cashflow!AF$111="Not yet producing"),0,IF(AF$47-9*$I$7&lt;$I$4,0,(HLOOKUP(AF$47-9*$I$7,$C$47:$AG$51,5,FALSE))))</f>
        <v>0</v>
      </c>
      <c r="AG60" s="44">
        <f ca="1">IF(OR(Cashflow!AG$111="C/I",Cashflow!AG$111="Not yet producing"),0,IF(AG$47-9*$I$7&lt;$I$4,0,(HLOOKUP(AG$47-9*$I$7,$C$47:$AG$51,5,FALSE))))</f>
        <v>0</v>
      </c>
      <c r="AH60" s="19"/>
      <c r="AI60" s="19"/>
      <c r="AJ60" s="19"/>
      <c r="AK60" s="19"/>
      <c r="AL60" s="21"/>
      <c r="AM60" s="21"/>
      <c r="AN60" s="19"/>
      <c r="AO60" s="19"/>
      <c r="AP60" s="19"/>
      <c r="AQ60" s="19"/>
      <c r="AR60" s="326"/>
      <c r="AS60" s="326"/>
      <c r="AT60" s="326"/>
      <c r="AU60" s="326"/>
      <c r="AV60" s="326"/>
      <c r="AW60" s="326"/>
      <c r="AX60" s="326"/>
      <c r="AY60" s="326"/>
      <c r="AZ60" s="326"/>
      <c r="BA60" s="326"/>
      <c r="BB60" s="326"/>
    </row>
    <row r="61" spans="1:54" s="26" customFormat="1" ht="13.2">
      <c r="A61" s="19"/>
      <c r="B61" s="55" t="s">
        <v>1728</v>
      </c>
      <c r="C61" s="44">
        <f>IF(OR(Cashflow!C$111="C/I",Cashflow!C$111="Not yet producing"),0,IF(C$47-10*$I$7&lt;$I$4,0,(HLOOKUP(C$47-10*$I$7,$C$47:$AG$51,5,FALSE))))</f>
        <v>0</v>
      </c>
      <c r="D61" s="44">
        <f>IF(OR(Cashflow!D$111="C/I",Cashflow!D$111="Not yet producing"),0,IF(D$47-10*$I$7&lt;$I$4,0,(HLOOKUP(D$47-10*$I$7,$C$47:$AG$51,5,FALSE))))</f>
        <v>0</v>
      </c>
      <c r="E61" s="44">
        <f>IF(OR(Cashflow!E$111="C/I",Cashflow!E$111="Not yet producing"),0,IF(E$47-10*$I$7&lt;$I$4,0,(HLOOKUP(E$47-10*$I$7,$C$47:$AG$51,5,FALSE))))</f>
        <v>0</v>
      </c>
      <c r="F61" s="44">
        <f>IF(OR(Cashflow!F$111="C/I",Cashflow!F$111="Not yet producing"),0,IF(F$47-10*$I$7&lt;$I$4,0,(HLOOKUP(F$47-10*$I$7,$C$47:$AG$51,5,FALSE))))</f>
        <v>0</v>
      </c>
      <c r="G61" s="44">
        <f>IF(OR(Cashflow!G$111="C/I",Cashflow!G$111="Not yet producing"),0,IF(G$47-10*$I$7&lt;$I$4,0,(HLOOKUP(G$47-10*$I$7,$C$47:$AG$51,5,FALSE))))</f>
        <v>0</v>
      </c>
      <c r="H61" s="44">
        <f>IF(OR(Cashflow!H$111="C/I",Cashflow!H$111="Not yet producing"),0,IF(H$47-10*$I$7&lt;$I$4,0,(HLOOKUP(H$47-10*$I$7,$C$47:$AG$51,5,FALSE))))</f>
        <v>0</v>
      </c>
      <c r="I61" s="44">
        <f>IF(OR(Cashflow!I$111="C/I",Cashflow!I$111="Not yet producing"),0,IF(I$47-10*$I$7&lt;$I$4,0,(HLOOKUP(I$47-10*$I$7,$C$47:$AG$51,5,FALSE))))</f>
        <v>0</v>
      </c>
      <c r="J61" s="44">
        <f>IF(OR(Cashflow!J$111="C/I",Cashflow!J$111="Not yet producing"),0,IF(J$47-10*$I$7&lt;$I$4,0,(HLOOKUP(J$47-10*$I$7,$C$47:$AG$51,5,FALSE))))</f>
        <v>0</v>
      </c>
      <c r="K61" s="44">
        <f>IF(OR(Cashflow!K$111="C/I",Cashflow!K$111="Not yet producing"),0,IF(K$47-10*$I$7&lt;$I$4,0,(HLOOKUP(K$47-10*$I$7,$C$47:$AG$51,5,FALSE))))</f>
        <v>0</v>
      </c>
      <c r="L61" s="44">
        <f ca="1">IF(OR(Cashflow!L$111="C/I",Cashflow!L$111="Not yet producing"),0,IF(L$47-10*$I$7&lt;$I$4,0,(HLOOKUP(L$47-10*$I$7,$C$47:$AG$51,5,FALSE))))</f>
        <v>0</v>
      </c>
      <c r="M61" s="44">
        <f ca="1">IF(OR(Cashflow!M$111="C/I",Cashflow!M$111="Not yet producing"),0,IF(M$47-10*$I$7&lt;$I$4,0,(HLOOKUP(M$47-10*$I$7,$C$47:$AG$51,5,FALSE))))</f>
        <v>0</v>
      </c>
      <c r="N61" s="44">
        <f ca="1">IF(OR(Cashflow!N$111="C/I",Cashflow!N$111="Not yet producing"),0,IF(N$47-10*$I$7&lt;$I$4,0,(HLOOKUP(N$47-10*$I$7,$C$47:$AG$51,5,FALSE))))</f>
        <v>0</v>
      </c>
      <c r="O61" s="44">
        <f ca="1">IF(OR(Cashflow!O$111="C/I",Cashflow!O$111="Not yet producing"),0,IF(O$47-10*$I$7&lt;$I$4,0,(HLOOKUP(O$47-10*$I$7,$C$47:$AG$51,5,FALSE))))</f>
        <v>0</v>
      </c>
      <c r="P61" s="44">
        <f ca="1">IF(OR(Cashflow!P$111="C/I",Cashflow!P$111="Not yet producing"),0,IF(P$47-10*$I$7&lt;$I$4,0,(HLOOKUP(P$47-10*$I$7,$C$47:$AG$51,5,FALSE))))</f>
        <v>0</v>
      </c>
      <c r="Q61" s="44">
        <f ca="1">IF(OR(Cashflow!Q$111="C/I",Cashflow!Q$111="Not yet producing"),0,IF(Q$47-10*$I$7&lt;$I$4,0,(HLOOKUP(Q$47-10*$I$7,$C$47:$AG$51,5,FALSE))))</f>
        <v>0</v>
      </c>
      <c r="R61" s="44">
        <f ca="1">IF(OR(Cashflow!R$111="C/I",Cashflow!R$111="Not yet producing"),0,IF(R$47-10*$I$7&lt;$I$4,0,(HLOOKUP(R$47-10*$I$7,$C$47:$AG$51,5,FALSE))))</f>
        <v>0</v>
      </c>
      <c r="S61" s="44">
        <f ca="1">IF(OR(Cashflow!S$111="C/I",Cashflow!S$111="Not yet producing"),0,IF(S$47-10*$I$7&lt;$I$4,0,(HLOOKUP(S$47-10*$I$7,$C$47:$AG$51,5,FALSE))))</f>
        <v>0</v>
      </c>
      <c r="T61" s="44">
        <f ca="1">IF(OR(Cashflow!T$111="C/I",Cashflow!T$111="Not yet producing"),0,IF(T$47-10*$I$7&lt;$I$4,0,(HLOOKUP(T$47-10*$I$7,$C$47:$AG$51,5,FALSE))))</f>
        <v>0</v>
      </c>
      <c r="U61" s="44">
        <f ca="1">IF(OR(Cashflow!U$111="C/I",Cashflow!U$111="Not yet producing"),0,IF(U$47-10*$I$7&lt;$I$4,0,(HLOOKUP(U$47-10*$I$7,$C$47:$AG$51,5,FALSE))))</f>
        <v>0</v>
      </c>
      <c r="V61" s="44">
        <f ca="1">IF(OR(Cashflow!V$111="C/I",Cashflow!V$111="Not yet producing"),0,IF(V$47-10*$I$7&lt;$I$4,0,(HLOOKUP(V$47-10*$I$7,$C$47:$AG$51,5,FALSE))))</f>
        <v>0</v>
      </c>
      <c r="W61" s="44">
        <f ca="1">IF(OR(Cashflow!W$111="C/I",Cashflow!W$111="Not yet producing"),0,IF(W$47-10*$I$7&lt;$I$4,0,(HLOOKUP(W$47-10*$I$7,$C$47:$AG$51,5,FALSE))))</f>
        <v>0</v>
      </c>
      <c r="X61" s="44">
        <f ca="1">IF(OR(Cashflow!X$111="C/I",Cashflow!X$111="Not yet producing"),0,IF(X$47-10*$I$7&lt;$I$4,0,(HLOOKUP(X$47-10*$I$7,$C$47:$AG$51,5,FALSE))))</f>
        <v>0</v>
      </c>
      <c r="Y61" s="44">
        <f ca="1">IF(OR(Cashflow!Y$111="C/I",Cashflow!Y$111="Not yet producing"),0,IF(Y$47-10*$I$7&lt;$I$4,0,(HLOOKUP(Y$47-10*$I$7,$C$47:$AG$51,5,FALSE))))</f>
        <v>0</v>
      </c>
      <c r="Z61" s="44">
        <f ca="1">IF(OR(Cashflow!Z$111="C/I",Cashflow!Z$111="Not yet producing"),0,IF(Z$47-10*$I$7&lt;$I$4,0,(HLOOKUP(Z$47-10*$I$7,$C$47:$AG$51,5,FALSE))))</f>
        <v>0</v>
      </c>
      <c r="AA61" s="44">
        <f ca="1">IF(OR(Cashflow!AA$111="C/I",Cashflow!AA$111="Not yet producing"),0,IF(AA$47-10*$I$7&lt;$I$4,0,(HLOOKUP(AA$47-10*$I$7,$C$47:$AG$51,5,FALSE))))</f>
        <v>0</v>
      </c>
      <c r="AB61" s="44">
        <f ca="1">IF(OR(Cashflow!AB$111="C/I",Cashflow!AB$111="Not yet producing"),0,IF(AB$47-10*$I$7&lt;$I$4,0,(HLOOKUP(AB$47-10*$I$7,$C$47:$AG$51,5,FALSE))))</f>
        <v>0</v>
      </c>
      <c r="AC61" s="44">
        <f ca="1">IF(OR(Cashflow!AC$111="C/I",Cashflow!AC$111="Not yet producing"),0,IF(AC$47-10*$I$7&lt;$I$4,0,(HLOOKUP(AC$47-10*$I$7,$C$47:$AG$51,5,FALSE))))</f>
        <v>0</v>
      </c>
      <c r="AD61" s="44">
        <f ca="1">IF(OR(Cashflow!AD$111="C/I",Cashflow!AD$111="Not yet producing"),0,IF(AD$47-10*$I$7&lt;$I$4,0,(HLOOKUP(AD$47-10*$I$7,$C$47:$AG$51,5,FALSE))))</f>
        <v>0</v>
      </c>
      <c r="AE61" s="44">
        <f ca="1">IF(OR(Cashflow!AE$111="C/I",Cashflow!AE$111="Not yet producing"),0,IF(AE$47-10*$I$7&lt;$I$4,0,(HLOOKUP(AE$47-10*$I$7,$C$47:$AG$51,5,FALSE))))</f>
        <v>0</v>
      </c>
      <c r="AF61" s="44">
        <f ca="1">IF(OR(Cashflow!AF$111="C/I",Cashflow!AF$111="Not yet producing"),0,IF(AF$47-10*$I$7&lt;$I$4,0,(HLOOKUP(AF$47-10*$I$7,$C$47:$AG$51,5,FALSE))))</f>
        <v>0</v>
      </c>
      <c r="AG61" s="44">
        <f ca="1">IF(OR(Cashflow!AG$111="C/I",Cashflow!AG$111="Not yet producing"),0,IF(AG$47-10*$I$7&lt;$I$4,0,(HLOOKUP(AG$47-10*$I$7,$C$47:$AG$51,5,FALSE))))</f>
        <v>0</v>
      </c>
      <c r="AH61" s="19"/>
      <c r="AI61" s="19"/>
      <c r="AJ61" s="19"/>
      <c r="AK61" s="19"/>
      <c r="AL61" s="21"/>
      <c r="AM61" s="21"/>
      <c r="AN61" s="19"/>
      <c r="AO61" s="19"/>
      <c r="AP61" s="19"/>
      <c r="AQ61" s="19"/>
      <c r="AR61" s="326"/>
      <c r="AS61" s="326"/>
      <c r="AT61" s="326"/>
      <c r="AU61" s="326"/>
      <c r="AV61" s="326"/>
      <c r="AW61" s="326"/>
      <c r="AX61" s="326"/>
      <c r="AY61" s="326"/>
      <c r="AZ61" s="326"/>
      <c r="BA61" s="326"/>
      <c r="BB61" s="326"/>
    </row>
    <row r="62" spans="1:54" s="26" customFormat="1" ht="13.2">
      <c r="A62" s="19"/>
      <c r="B62" s="55" t="s">
        <v>1729</v>
      </c>
      <c r="C62" s="44">
        <f>IF(OR(Cashflow!C$111="C/I",Cashflow!C$111="Not yet producing"),0,IF(C$47-11*$I$7&lt;$I$4,0,(HLOOKUP(C$47-11*$I$7,$C$47:$AG$51,5,FALSE))))</f>
        <v>0</v>
      </c>
      <c r="D62" s="44">
        <f>IF(OR(Cashflow!D$111="C/I",Cashflow!D$111="Not yet producing"),0,IF(D$47-11*$I$7&lt;$I$4,0,(HLOOKUP(D$47-11*$I$7,$C$47:$AG$51,5,FALSE))))</f>
        <v>0</v>
      </c>
      <c r="E62" s="44">
        <f>IF(OR(Cashflow!E$111="C/I",Cashflow!E$111="Not yet producing"),0,IF(E$47-11*$I$7&lt;$I$4,0,(HLOOKUP(E$47-11*$I$7,$C$47:$AG$51,5,FALSE))))</f>
        <v>0</v>
      </c>
      <c r="F62" s="44">
        <f>IF(OR(Cashflow!F$111="C/I",Cashflow!F$111="Not yet producing"),0,IF(F$47-11*$I$7&lt;$I$4,0,(HLOOKUP(F$47-11*$I$7,$C$47:$AG$51,5,FALSE))))</f>
        <v>0</v>
      </c>
      <c r="G62" s="44">
        <f>IF(OR(Cashflow!G$111="C/I",Cashflow!G$111="Not yet producing"),0,IF(G$47-11*$I$7&lt;$I$4,0,(HLOOKUP(G$47-11*$I$7,$C$47:$AG$51,5,FALSE))))</f>
        <v>0</v>
      </c>
      <c r="H62" s="44">
        <f>IF(OR(Cashflow!H$111="C/I",Cashflow!H$111="Not yet producing"),0,IF(H$47-11*$I$7&lt;$I$4,0,(HLOOKUP(H$47-11*$I$7,$C$47:$AG$51,5,FALSE))))</f>
        <v>0</v>
      </c>
      <c r="I62" s="44">
        <f>IF(OR(Cashflow!I$111="C/I",Cashflow!I$111="Not yet producing"),0,IF(I$47-11*$I$7&lt;$I$4,0,(HLOOKUP(I$47-11*$I$7,$C$47:$AG$51,5,FALSE))))</f>
        <v>0</v>
      </c>
      <c r="J62" s="44">
        <f>IF(OR(Cashflow!J$111="C/I",Cashflow!J$111="Not yet producing"),0,IF(J$47-11*$I$7&lt;$I$4,0,(HLOOKUP(J$47-11*$I$7,$C$47:$AG$51,5,FALSE))))</f>
        <v>0</v>
      </c>
      <c r="K62" s="44">
        <f>IF(OR(Cashflow!K$111="C/I",Cashflow!K$111="Not yet producing"),0,IF(K$47-11*$I$7&lt;$I$4,0,(HLOOKUP(K$47-11*$I$7,$C$47:$AG$51,5,FALSE))))</f>
        <v>0</v>
      </c>
      <c r="L62" s="44">
        <f ca="1">IF(OR(Cashflow!L$111="C/I",Cashflow!L$111="Not yet producing"),0,IF(L$47-11*$I$7&lt;$I$4,0,(HLOOKUP(L$47-11*$I$7,$C$47:$AG$51,5,FALSE))))</f>
        <v>0</v>
      </c>
      <c r="M62" s="44">
        <f ca="1">IF(OR(Cashflow!M$111="C/I",Cashflow!M$111="Not yet producing"),0,IF(M$47-11*$I$7&lt;$I$4,0,(HLOOKUP(M$47-11*$I$7,$C$47:$AG$51,5,FALSE))))</f>
        <v>0</v>
      </c>
      <c r="N62" s="44">
        <f ca="1">IF(OR(Cashflow!N$111="C/I",Cashflow!N$111="Not yet producing"),0,IF(N$47-11*$I$7&lt;$I$4,0,(HLOOKUP(N$47-11*$I$7,$C$47:$AG$51,5,FALSE))))</f>
        <v>0</v>
      </c>
      <c r="O62" s="44">
        <f ca="1">IF(OR(Cashflow!O$111="C/I",Cashflow!O$111="Not yet producing"),0,IF(O$47-11*$I$7&lt;$I$4,0,(HLOOKUP(O$47-11*$I$7,$C$47:$AG$51,5,FALSE))))</f>
        <v>0</v>
      </c>
      <c r="P62" s="44">
        <f ca="1">IF(OR(Cashflow!P$111="C/I",Cashflow!P$111="Not yet producing"),0,IF(P$47-11*$I$7&lt;$I$4,0,(HLOOKUP(P$47-11*$I$7,$C$47:$AG$51,5,FALSE))))</f>
        <v>0</v>
      </c>
      <c r="Q62" s="44">
        <f ca="1">IF(OR(Cashflow!Q$111="C/I",Cashflow!Q$111="Not yet producing"),0,IF(Q$47-11*$I$7&lt;$I$4,0,(HLOOKUP(Q$47-11*$I$7,$C$47:$AG$51,5,FALSE))))</f>
        <v>0</v>
      </c>
      <c r="R62" s="44">
        <f ca="1">IF(OR(Cashflow!R$111="C/I",Cashflow!R$111="Not yet producing"),0,IF(R$47-11*$I$7&lt;$I$4,0,(HLOOKUP(R$47-11*$I$7,$C$47:$AG$51,5,FALSE))))</f>
        <v>0</v>
      </c>
      <c r="S62" s="44">
        <f ca="1">IF(OR(Cashflow!S$111="C/I",Cashflow!S$111="Not yet producing"),0,IF(S$47-11*$I$7&lt;$I$4,0,(HLOOKUP(S$47-11*$I$7,$C$47:$AG$51,5,FALSE))))</f>
        <v>0</v>
      </c>
      <c r="T62" s="44">
        <f ca="1">IF(OR(Cashflow!T$111="C/I",Cashflow!T$111="Not yet producing"),0,IF(T$47-11*$I$7&lt;$I$4,0,(HLOOKUP(T$47-11*$I$7,$C$47:$AG$51,5,FALSE))))</f>
        <v>0</v>
      </c>
      <c r="U62" s="44">
        <f ca="1">IF(OR(Cashflow!U$111="C/I",Cashflow!U$111="Not yet producing"),0,IF(U$47-11*$I$7&lt;$I$4,0,(HLOOKUP(U$47-11*$I$7,$C$47:$AG$51,5,FALSE))))</f>
        <v>0</v>
      </c>
      <c r="V62" s="44">
        <f ca="1">IF(OR(Cashflow!V$111="C/I",Cashflow!V$111="Not yet producing"),0,IF(V$47-11*$I$7&lt;$I$4,0,(HLOOKUP(V$47-11*$I$7,$C$47:$AG$51,5,FALSE))))</f>
        <v>0</v>
      </c>
      <c r="W62" s="44">
        <f ca="1">IF(OR(Cashflow!W$111="C/I",Cashflow!W$111="Not yet producing"),0,IF(W$47-11*$I$7&lt;$I$4,0,(HLOOKUP(W$47-11*$I$7,$C$47:$AG$51,5,FALSE))))</f>
        <v>0</v>
      </c>
      <c r="X62" s="44">
        <f ca="1">IF(OR(Cashflow!X$111="C/I",Cashflow!X$111="Not yet producing"),0,IF(X$47-11*$I$7&lt;$I$4,0,(HLOOKUP(X$47-11*$I$7,$C$47:$AG$51,5,FALSE))))</f>
        <v>0</v>
      </c>
      <c r="Y62" s="44">
        <f ca="1">IF(OR(Cashflow!Y$111="C/I",Cashflow!Y$111="Not yet producing"),0,IF(Y$47-11*$I$7&lt;$I$4,0,(HLOOKUP(Y$47-11*$I$7,$C$47:$AG$51,5,FALSE))))</f>
        <v>0</v>
      </c>
      <c r="Z62" s="44">
        <f ca="1">IF(OR(Cashflow!Z$111="C/I",Cashflow!Z$111="Not yet producing"),0,IF(Z$47-11*$I$7&lt;$I$4,0,(HLOOKUP(Z$47-11*$I$7,$C$47:$AG$51,5,FALSE))))</f>
        <v>0</v>
      </c>
      <c r="AA62" s="44">
        <f ca="1">IF(OR(Cashflow!AA$111="C/I",Cashflow!AA$111="Not yet producing"),0,IF(AA$47-11*$I$7&lt;$I$4,0,(HLOOKUP(AA$47-11*$I$7,$C$47:$AG$51,5,FALSE))))</f>
        <v>0</v>
      </c>
      <c r="AB62" s="44">
        <f ca="1">IF(OR(Cashflow!AB$111="C/I",Cashflow!AB$111="Not yet producing"),0,IF(AB$47-11*$I$7&lt;$I$4,0,(HLOOKUP(AB$47-11*$I$7,$C$47:$AG$51,5,FALSE))))</f>
        <v>0</v>
      </c>
      <c r="AC62" s="44">
        <f ca="1">IF(OR(Cashflow!AC$111="C/I",Cashflow!AC$111="Not yet producing"),0,IF(AC$47-11*$I$7&lt;$I$4,0,(HLOOKUP(AC$47-11*$I$7,$C$47:$AG$51,5,FALSE))))</f>
        <v>0</v>
      </c>
      <c r="AD62" s="44">
        <f ca="1">IF(OR(Cashflow!AD$111="C/I",Cashflow!AD$111="Not yet producing"),0,IF(AD$47-11*$I$7&lt;$I$4,0,(HLOOKUP(AD$47-11*$I$7,$C$47:$AG$51,5,FALSE))))</f>
        <v>0</v>
      </c>
      <c r="AE62" s="44">
        <f ca="1">IF(OR(Cashflow!AE$111="C/I",Cashflow!AE$111="Not yet producing"),0,IF(AE$47-11*$I$7&lt;$I$4,0,(HLOOKUP(AE$47-11*$I$7,$C$47:$AG$51,5,FALSE))))</f>
        <v>0</v>
      </c>
      <c r="AF62" s="44">
        <f ca="1">IF(OR(Cashflow!AF$111="C/I",Cashflow!AF$111="Not yet producing"),0,IF(AF$47-11*$I$7&lt;$I$4,0,(HLOOKUP(AF$47-11*$I$7,$C$47:$AG$51,5,FALSE))))</f>
        <v>0</v>
      </c>
      <c r="AG62" s="44">
        <f ca="1">IF(OR(Cashflow!AG$111="C/I",Cashflow!AG$111="Not yet producing"),0,IF(AG$47-11*$I$7&lt;$I$4,0,(HLOOKUP(AG$47-11*$I$7,$C$47:$AG$51,5,FALSE))))</f>
        <v>0</v>
      </c>
      <c r="AH62" s="19"/>
      <c r="AI62" s="19"/>
      <c r="AJ62" s="19"/>
      <c r="AK62" s="19"/>
      <c r="AL62" s="21"/>
      <c r="AM62" s="21"/>
      <c r="AN62" s="19"/>
      <c r="AO62" s="19"/>
      <c r="AP62" s="19"/>
      <c r="AQ62" s="19"/>
      <c r="AR62" s="326"/>
      <c r="AS62" s="326"/>
      <c r="AT62" s="326"/>
      <c r="AU62" s="326"/>
      <c r="AV62" s="326"/>
      <c r="AW62" s="326"/>
      <c r="AX62" s="326"/>
      <c r="AY62" s="326"/>
      <c r="AZ62" s="326"/>
      <c r="BA62" s="326"/>
      <c r="BB62" s="326"/>
    </row>
    <row r="63" spans="1:54" s="26" customFormat="1" ht="13.2">
      <c r="A63" s="19"/>
      <c r="B63" s="55" t="s">
        <v>1730</v>
      </c>
      <c r="C63" s="44">
        <f>IF(OR(Cashflow!C$111="C/I",Cashflow!C$111="Not yet producing"),0,IF(C$47-12*$I$7&lt;$I$4,0,(HLOOKUP(C$47-12*$I$7,$C$47:$AG$51,5,FALSE))))</f>
        <v>0</v>
      </c>
      <c r="D63" s="44">
        <f>IF(OR(Cashflow!D$111="C/I",Cashflow!D$111="Not yet producing"),0,IF(D$47-12*$I$7&lt;$I$4,0,(HLOOKUP(D$47-12*$I$7,$C$47:$AG$51,5,FALSE))))</f>
        <v>0</v>
      </c>
      <c r="E63" s="44">
        <f>IF(OR(Cashflow!E$111="C/I",Cashflow!E$111="Not yet producing"),0,IF(E$47-12*$I$7&lt;$I$4,0,(HLOOKUP(E$47-12*$I$7,$C$47:$AG$51,5,FALSE))))</f>
        <v>0</v>
      </c>
      <c r="F63" s="44">
        <f>IF(OR(Cashflow!F$111="C/I",Cashflow!F$111="Not yet producing"),0,IF(F$47-12*$I$7&lt;$I$4,0,(HLOOKUP(F$47-12*$I$7,$C$47:$AG$51,5,FALSE))))</f>
        <v>0</v>
      </c>
      <c r="G63" s="44">
        <f>IF(OR(Cashflow!G$111="C/I",Cashflow!G$111="Not yet producing"),0,IF(G$47-12*$I$7&lt;$I$4,0,(HLOOKUP(G$47-12*$I$7,$C$47:$AG$51,5,FALSE))))</f>
        <v>0</v>
      </c>
      <c r="H63" s="44">
        <f>IF(OR(Cashflow!H$111="C/I",Cashflow!H$111="Not yet producing"),0,IF(H$47-12*$I$7&lt;$I$4,0,(HLOOKUP(H$47-12*$I$7,$C$47:$AG$51,5,FALSE))))</f>
        <v>0</v>
      </c>
      <c r="I63" s="44">
        <f>IF(OR(Cashflow!I$111="C/I",Cashflow!I$111="Not yet producing"),0,IF(I$47-12*$I$7&lt;$I$4,0,(HLOOKUP(I$47-12*$I$7,$C$47:$AG$51,5,FALSE))))</f>
        <v>0</v>
      </c>
      <c r="J63" s="44">
        <f>IF(OR(Cashflow!J$111="C/I",Cashflow!J$111="Not yet producing"),0,IF(J$47-12*$I$7&lt;$I$4,0,(HLOOKUP(J$47-12*$I$7,$C$47:$AG$51,5,FALSE))))</f>
        <v>0</v>
      </c>
      <c r="K63" s="44">
        <f>IF(OR(Cashflow!K$111="C/I",Cashflow!K$111="Not yet producing"),0,IF(K$47-12*$I$7&lt;$I$4,0,(HLOOKUP(K$47-12*$I$7,$C$47:$AG$51,5,FALSE))))</f>
        <v>0</v>
      </c>
      <c r="L63" s="44">
        <f ca="1">IF(OR(Cashflow!L$111="C/I",Cashflow!L$111="Not yet producing"),0,IF(L$47-12*$I$7&lt;$I$4,0,(HLOOKUP(L$47-12*$I$7,$C$47:$AG$51,5,FALSE))))</f>
        <v>0</v>
      </c>
      <c r="M63" s="44">
        <f ca="1">IF(OR(Cashflow!M$111="C/I",Cashflow!M$111="Not yet producing"),0,IF(M$47-12*$I$7&lt;$I$4,0,(HLOOKUP(M$47-12*$I$7,$C$47:$AG$51,5,FALSE))))</f>
        <v>0</v>
      </c>
      <c r="N63" s="44">
        <f ca="1">IF(OR(Cashflow!N$111="C/I",Cashflow!N$111="Not yet producing"),0,IF(N$47-12*$I$7&lt;$I$4,0,(HLOOKUP(N$47-12*$I$7,$C$47:$AG$51,5,FALSE))))</f>
        <v>0</v>
      </c>
      <c r="O63" s="44">
        <f ca="1">IF(OR(Cashflow!O$111="C/I",Cashflow!O$111="Not yet producing"),0,IF(O$47-12*$I$7&lt;$I$4,0,(HLOOKUP(O$47-12*$I$7,$C$47:$AG$51,5,FALSE))))</f>
        <v>0</v>
      </c>
      <c r="P63" s="44">
        <f ca="1">IF(OR(Cashflow!P$111="C/I",Cashflow!P$111="Not yet producing"),0,IF(P$47-12*$I$7&lt;$I$4,0,(HLOOKUP(P$47-12*$I$7,$C$47:$AG$51,5,FALSE))))</f>
        <v>0</v>
      </c>
      <c r="Q63" s="44">
        <f ca="1">IF(OR(Cashflow!Q$111="C/I",Cashflow!Q$111="Not yet producing"),0,IF(Q$47-12*$I$7&lt;$I$4,0,(HLOOKUP(Q$47-12*$I$7,$C$47:$AG$51,5,FALSE))))</f>
        <v>0</v>
      </c>
      <c r="R63" s="44">
        <f ca="1">IF(OR(Cashflow!R$111="C/I",Cashflow!R$111="Not yet producing"),0,IF(R$47-12*$I$7&lt;$I$4,0,(HLOOKUP(R$47-12*$I$7,$C$47:$AG$51,5,FALSE))))</f>
        <v>0</v>
      </c>
      <c r="S63" s="44">
        <f ca="1">IF(OR(Cashflow!S$111="C/I",Cashflow!S$111="Not yet producing"),0,IF(S$47-12*$I$7&lt;$I$4,0,(HLOOKUP(S$47-12*$I$7,$C$47:$AG$51,5,FALSE))))</f>
        <v>0</v>
      </c>
      <c r="T63" s="44">
        <f ca="1">IF(OR(Cashflow!T$111="C/I",Cashflow!T$111="Not yet producing"),0,IF(T$47-12*$I$7&lt;$I$4,0,(HLOOKUP(T$47-12*$I$7,$C$47:$AG$51,5,FALSE))))</f>
        <v>0</v>
      </c>
      <c r="U63" s="44">
        <f ca="1">IF(OR(Cashflow!U$111="C/I",Cashflow!U$111="Not yet producing"),0,IF(U$47-12*$I$7&lt;$I$4,0,(HLOOKUP(U$47-12*$I$7,$C$47:$AG$51,5,FALSE))))</f>
        <v>0</v>
      </c>
      <c r="V63" s="44">
        <f ca="1">IF(OR(Cashflow!V$111="C/I",Cashflow!V$111="Not yet producing"),0,IF(V$47-12*$I$7&lt;$I$4,0,(HLOOKUP(V$47-12*$I$7,$C$47:$AG$51,5,FALSE))))</f>
        <v>0</v>
      </c>
      <c r="W63" s="44">
        <f ca="1">IF(OR(Cashflow!W$111="C/I",Cashflow!W$111="Not yet producing"),0,IF(W$47-12*$I$7&lt;$I$4,0,(HLOOKUP(W$47-12*$I$7,$C$47:$AG$51,5,FALSE))))</f>
        <v>0</v>
      </c>
      <c r="X63" s="44">
        <f ca="1">IF(OR(Cashflow!X$111="C/I",Cashflow!X$111="Not yet producing"),0,IF(X$47-12*$I$7&lt;$I$4,0,(HLOOKUP(X$47-12*$I$7,$C$47:$AG$51,5,FALSE))))</f>
        <v>0</v>
      </c>
      <c r="Y63" s="44">
        <f ca="1">IF(OR(Cashflow!Y$111="C/I",Cashflow!Y$111="Not yet producing"),0,IF(Y$47-12*$I$7&lt;$I$4,0,(HLOOKUP(Y$47-12*$I$7,$C$47:$AG$51,5,FALSE))))</f>
        <v>0</v>
      </c>
      <c r="Z63" s="44">
        <f ca="1">IF(OR(Cashflow!Z$111="C/I",Cashflow!Z$111="Not yet producing"),0,IF(Z$47-12*$I$7&lt;$I$4,0,(HLOOKUP(Z$47-12*$I$7,$C$47:$AG$51,5,FALSE))))</f>
        <v>0</v>
      </c>
      <c r="AA63" s="44">
        <f ca="1">IF(OR(Cashflow!AA$111="C/I",Cashflow!AA$111="Not yet producing"),0,IF(AA$47-12*$I$7&lt;$I$4,0,(HLOOKUP(AA$47-12*$I$7,$C$47:$AG$51,5,FALSE))))</f>
        <v>0</v>
      </c>
      <c r="AB63" s="44">
        <f ca="1">IF(OR(Cashflow!AB$111="C/I",Cashflow!AB$111="Not yet producing"),0,IF(AB$47-12*$I$7&lt;$I$4,0,(HLOOKUP(AB$47-12*$I$7,$C$47:$AG$51,5,FALSE))))</f>
        <v>0</v>
      </c>
      <c r="AC63" s="44">
        <f ca="1">IF(OR(Cashflow!AC$111="C/I",Cashflow!AC$111="Not yet producing"),0,IF(AC$47-12*$I$7&lt;$I$4,0,(HLOOKUP(AC$47-12*$I$7,$C$47:$AG$51,5,FALSE))))</f>
        <v>0</v>
      </c>
      <c r="AD63" s="44">
        <f ca="1">IF(OR(Cashflow!AD$111="C/I",Cashflow!AD$111="Not yet producing"),0,IF(AD$47-12*$I$7&lt;$I$4,0,(HLOOKUP(AD$47-12*$I$7,$C$47:$AG$51,5,FALSE))))</f>
        <v>0</v>
      </c>
      <c r="AE63" s="44">
        <f ca="1">IF(OR(Cashflow!AE$111="C/I",Cashflow!AE$111="Not yet producing"),0,IF(AE$47-12*$I$7&lt;$I$4,0,(HLOOKUP(AE$47-12*$I$7,$C$47:$AG$51,5,FALSE))))</f>
        <v>0</v>
      </c>
      <c r="AF63" s="44">
        <f ca="1">IF(OR(Cashflow!AF$111="C/I",Cashflow!AF$111="Not yet producing"),0,IF(AF$47-12*$I$7&lt;$I$4,0,(HLOOKUP(AF$47-12*$I$7,$C$47:$AG$51,5,FALSE))))</f>
        <v>0</v>
      </c>
      <c r="AG63" s="44">
        <f ca="1">IF(OR(Cashflow!AG$111="C/I",Cashflow!AG$111="Not yet producing"),0,IF(AG$47-12*$I$7&lt;$I$4,0,(HLOOKUP(AG$47-12*$I$7,$C$47:$AG$51,5,FALSE))))</f>
        <v>0</v>
      </c>
      <c r="AH63" s="19"/>
      <c r="AI63" s="19"/>
      <c r="AJ63" s="19"/>
      <c r="AK63" s="19"/>
      <c r="AL63" s="21"/>
      <c r="AM63" s="21"/>
      <c r="AN63" s="19"/>
      <c r="AO63" s="19"/>
      <c r="AP63" s="19"/>
      <c r="AQ63" s="19"/>
      <c r="AR63" s="326"/>
      <c r="AS63" s="326"/>
      <c r="AT63" s="326"/>
      <c r="AU63" s="326"/>
      <c r="AV63" s="326"/>
      <c r="AW63" s="326"/>
      <c r="AX63" s="326"/>
      <c r="AY63" s="326"/>
      <c r="AZ63" s="326"/>
      <c r="BA63" s="326"/>
      <c r="BB63" s="326"/>
    </row>
    <row r="64" spans="1:54" s="26" customFormat="1" ht="13.2">
      <c r="A64" s="19"/>
      <c r="B64" s="55" t="s">
        <v>1731</v>
      </c>
      <c r="C64" s="44">
        <f>IF(OR(Cashflow!C$111="C/I",Cashflow!C$111="Not yet producing"),0,IF(C$47-13*$I$7&lt;$I$4,0,(HLOOKUP(C$47-13*$I$7,$C$47:$AG$51,5,FALSE))))</f>
        <v>0</v>
      </c>
      <c r="D64" s="44">
        <f>IF(OR(Cashflow!D$111="C/I",Cashflow!D$111="Not yet producing"),0,IF(D$47-13*$I$7&lt;$I$4,0,(HLOOKUP(D$47-13*$I$7,$C$47:$AG$51,5,FALSE))))</f>
        <v>0</v>
      </c>
      <c r="E64" s="44">
        <f>IF(OR(Cashflow!E$111="C/I",Cashflow!E$111="Not yet producing"),0,IF(E$47-13*$I$7&lt;$I$4,0,(HLOOKUP(E$47-13*$I$7,$C$47:$AG$51,5,FALSE))))</f>
        <v>0</v>
      </c>
      <c r="F64" s="44">
        <f>IF(OR(Cashflow!F$111="C/I",Cashflow!F$111="Not yet producing"),0,IF(F$47-13*$I$7&lt;$I$4,0,(HLOOKUP(F$47-13*$I$7,$C$47:$AG$51,5,FALSE))))</f>
        <v>0</v>
      </c>
      <c r="G64" s="44">
        <f>IF(OR(Cashflow!G$111="C/I",Cashflow!G$111="Not yet producing"),0,IF(G$47-13*$I$7&lt;$I$4,0,(HLOOKUP(G$47-13*$I$7,$C$47:$AG$51,5,FALSE))))</f>
        <v>0</v>
      </c>
      <c r="H64" s="44">
        <f>IF(OR(Cashflow!H$111="C/I",Cashflow!H$111="Not yet producing"),0,IF(H$47-13*$I$7&lt;$I$4,0,(HLOOKUP(H$47-13*$I$7,$C$47:$AG$51,5,FALSE))))</f>
        <v>0</v>
      </c>
      <c r="I64" s="44">
        <f>IF(OR(Cashflow!I$111="C/I",Cashflow!I$111="Not yet producing"),0,IF(I$47-13*$I$7&lt;$I$4,0,(HLOOKUP(I$47-13*$I$7,$C$47:$AG$51,5,FALSE))))</f>
        <v>0</v>
      </c>
      <c r="J64" s="44">
        <f>IF(OR(Cashflow!J$111="C/I",Cashflow!J$111="Not yet producing"),0,IF(J$47-13*$I$7&lt;$I$4,0,(HLOOKUP(J$47-13*$I$7,$C$47:$AG$51,5,FALSE))))</f>
        <v>0</v>
      </c>
      <c r="K64" s="44">
        <f>IF(OR(Cashflow!K$111="C/I",Cashflow!K$111="Not yet producing"),0,IF(K$47-13*$I$7&lt;$I$4,0,(HLOOKUP(K$47-13*$I$7,$C$47:$AG$51,5,FALSE))))</f>
        <v>0</v>
      </c>
      <c r="L64" s="44">
        <f ca="1">IF(OR(Cashflow!L$111="C/I",Cashflow!L$111="Not yet producing"),0,IF(L$47-13*$I$7&lt;$I$4,0,(HLOOKUP(L$47-13*$I$7,$C$47:$AG$51,5,FALSE))))</f>
        <v>0</v>
      </c>
      <c r="M64" s="44">
        <f ca="1">IF(OR(Cashflow!M$111="C/I",Cashflow!M$111="Not yet producing"),0,IF(M$47-13*$I$7&lt;$I$4,0,(HLOOKUP(M$47-13*$I$7,$C$47:$AG$51,5,FALSE))))</f>
        <v>0</v>
      </c>
      <c r="N64" s="44">
        <f ca="1">IF(OR(Cashflow!N$111="C/I",Cashflow!N$111="Not yet producing"),0,IF(N$47-13*$I$7&lt;$I$4,0,(HLOOKUP(N$47-13*$I$7,$C$47:$AG$51,5,FALSE))))</f>
        <v>0</v>
      </c>
      <c r="O64" s="44">
        <f ca="1">IF(OR(Cashflow!O$111="C/I",Cashflow!O$111="Not yet producing"),0,IF(O$47-13*$I$7&lt;$I$4,0,(HLOOKUP(O$47-13*$I$7,$C$47:$AG$51,5,FALSE))))</f>
        <v>0</v>
      </c>
      <c r="P64" s="44">
        <f ca="1">IF(OR(Cashflow!P$111="C/I",Cashflow!P$111="Not yet producing"),0,IF(P$47-13*$I$7&lt;$I$4,0,(HLOOKUP(P$47-13*$I$7,$C$47:$AG$51,5,FALSE))))</f>
        <v>0</v>
      </c>
      <c r="Q64" s="44">
        <f ca="1">IF(OR(Cashflow!Q$111="C/I",Cashflow!Q$111="Not yet producing"),0,IF(Q$47-13*$I$7&lt;$I$4,0,(HLOOKUP(Q$47-13*$I$7,$C$47:$AG$51,5,FALSE))))</f>
        <v>0</v>
      </c>
      <c r="R64" s="44">
        <f ca="1">IF(OR(Cashflow!R$111="C/I",Cashflow!R$111="Not yet producing"),0,IF(R$47-13*$I$7&lt;$I$4,0,(HLOOKUP(R$47-13*$I$7,$C$47:$AG$51,5,FALSE))))</f>
        <v>0</v>
      </c>
      <c r="S64" s="44">
        <f ca="1">IF(OR(Cashflow!S$111="C/I",Cashflow!S$111="Not yet producing"),0,IF(S$47-13*$I$7&lt;$I$4,0,(HLOOKUP(S$47-13*$I$7,$C$47:$AG$51,5,FALSE))))</f>
        <v>0</v>
      </c>
      <c r="T64" s="44">
        <f ca="1">IF(OR(Cashflow!T$111="C/I",Cashflow!T$111="Not yet producing"),0,IF(T$47-13*$I$7&lt;$I$4,0,(HLOOKUP(T$47-13*$I$7,$C$47:$AG$51,5,FALSE))))</f>
        <v>0</v>
      </c>
      <c r="U64" s="44">
        <f ca="1">IF(OR(Cashflow!U$111="C/I",Cashflow!U$111="Not yet producing"),0,IF(U$47-13*$I$7&lt;$I$4,0,(HLOOKUP(U$47-13*$I$7,$C$47:$AG$51,5,FALSE))))</f>
        <v>0</v>
      </c>
      <c r="V64" s="44">
        <f ca="1">IF(OR(Cashflow!V$111="C/I",Cashflow!V$111="Not yet producing"),0,IF(V$47-13*$I$7&lt;$I$4,0,(HLOOKUP(V$47-13*$I$7,$C$47:$AG$51,5,FALSE))))</f>
        <v>0</v>
      </c>
      <c r="W64" s="44">
        <f ca="1">IF(OR(Cashflow!W$111="C/I",Cashflow!W$111="Not yet producing"),0,IF(W$47-13*$I$7&lt;$I$4,0,(HLOOKUP(W$47-13*$I$7,$C$47:$AG$51,5,FALSE))))</f>
        <v>0</v>
      </c>
      <c r="X64" s="44">
        <f ca="1">IF(OR(Cashflow!X$111="C/I",Cashflow!X$111="Not yet producing"),0,IF(X$47-13*$I$7&lt;$I$4,0,(HLOOKUP(X$47-13*$I$7,$C$47:$AG$51,5,FALSE))))</f>
        <v>0</v>
      </c>
      <c r="Y64" s="44">
        <f ca="1">IF(OR(Cashflow!Y$111="C/I",Cashflow!Y$111="Not yet producing"),0,IF(Y$47-13*$I$7&lt;$I$4,0,(HLOOKUP(Y$47-13*$I$7,$C$47:$AG$51,5,FALSE))))</f>
        <v>0</v>
      </c>
      <c r="Z64" s="44">
        <f ca="1">IF(OR(Cashflow!Z$111="C/I",Cashflow!Z$111="Not yet producing"),0,IF(Z$47-13*$I$7&lt;$I$4,0,(HLOOKUP(Z$47-13*$I$7,$C$47:$AG$51,5,FALSE))))</f>
        <v>0</v>
      </c>
      <c r="AA64" s="44">
        <f ca="1">IF(OR(Cashflow!AA$111="C/I",Cashflow!AA$111="Not yet producing"),0,IF(AA$47-13*$I$7&lt;$I$4,0,(HLOOKUP(AA$47-13*$I$7,$C$47:$AG$51,5,FALSE))))</f>
        <v>0</v>
      </c>
      <c r="AB64" s="44">
        <f ca="1">IF(OR(Cashflow!AB$111="C/I",Cashflow!AB$111="Not yet producing"),0,IF(AB$47-13*$I$7&lt;$I$4,0,(HLOOKUP(AB$47-13*$I$7,$C$47:$AG$51,5,FALSE))))</f>
        <v>0</v>
      </c>
      <c r="AC64" s="44">
        <f ca="1">IF(OR(Cashflow!AC$111="C/I",Cashflow!AC$111="Not yet producing"),0,IF(AC$47-13*$I$7&lt;$I$4,0,(HLOOKUP(AC$47-13*$I$7,$C$47:$AG$51,5,FALSE))))</f>
        <v>0</v>
      </c>
      <c r="AD64" s="44">
        <f ca="1">IF(OR(Cashflow!AD$111="C/I",Cashflow!AD$111="Not yet producing"),0,IF(AD$47-13*$I$7&lt;$I$4,0,(HLOOKUP(AD$47-13*$I$7,$C$47:$AG$51,5,FALSE))))</f>
        <v>0</v>
      </c>
      <c r="AE64" s="44">
        <f ca="1">IF(OR(Cashflow!AE$111="C/I",Cashflow!AE$111="Not yet producing"),0,IF(AE$47-13*$I$7&lt;$I$4,0,(HLOOKUP(AE$47-13*$I$7,$C$47:$AG$51,5,FALSE))))</f>
        <v>0</v>
      </c>
      <c r="AF64" s="44">
        <f ca="1">IF(OR(Cashflow!AF$111="C/I",Cashflow!AF$111="Not yet producing"),0,IF(AF$47-13*$I$7&lt;$I$4,0,(HLOOKUP(AF$47-13*$I$7,$C$47:$AG$51,5,FALSE))))</f>
        <v>0</v>
      </c>
      <c r="AG64" s="44">
        <f ca="1">IF(OR(Cashflow!AG$111="C/I",Cashflow!AG$111="Not yet producing"),0,IF(AG$47-13*$I$7&lt;$I$4,0,(HLOOKUP(AG$47-13*$I$7,$C$47:$AG$51,5,FALSE))))</f>
        <v>0</v>
      </c>
      <c r="AH64" s="19"/>
      <c r="AI64" s="19"/>
      <c r="AJ64" s="19"/>
      <c r="AK64" s="19"/>
      <c r="AL64" s="21"/>
      <c r="AM64" s="21"/>
      <c r="AN64" s="19"/>
      <c r="AO64" s="19"/>
      <c r="AP64" s="19"/>
      <c r="AQ64" s="19"/>
      <c r="AR64" s="326"/>
      <c r="AS64" s="326"/>
      <c r="AT64" s="326"/>
      <c r="AU64" s="326"/>
      <c r="AV64" s="326"/>
      <c r="AW64" s="326"/>
      <c r="AX64" s="326"/>
      <c r="AY64" s="326"/>
      <c r="AZ64" s="326"/>
      <c r="BA64" s="326"/>
      <c r="BB64" s="326"/>
    </row>
    <row r="65" spans="1:54" s="26" customFormat="1" ht="13.2">
      <c r="A65" s="19"/>
      <c r="B65" s="55" t="s">
        <v>1732</v>
      </c>
      <c r="C65" s="44">
        <f>IF(OR(Cashflow!C$111="C/I",Cashflow!C$111="Not yet producing"),0,IF(C$47-14*$I$7&lt;$I$4,0,(HLOOKUP(C$47-14*$I$7,$C$47:$AG$51,5,FALSE))))</f>
        <v>0</v>
      </c>
      <c r="D65" s="44">
        <f>IF(OR(Cashflow!D$111="C/I",Cashflow!D$111="Not yet producing"),0,IF(D$47-14*$I$7&lt;$I$4,0,(HLOOKUP(D$47-14*$I$7,$C$47:$AG$51,5,FALSE))))</f>
        <v>0</v>
      </c>
      <c r="E65" s="44">
        <f>IF(OR(Cashflow!E$111="C/I",Cashflow!E$111="Not yet producing"),0,IF(E$47-14*$I$7&lt;$I$4,0,(HLOOKUP(E$47-14*$I$7,$C$47:$AG$51,5,FALSE))))</f>
        <v>0</v>
      </c>
      <c r="F65" s="44">
        <f>IF(OR(Cashflow!F$111="C/I",Cashflow!F$111="Not yet producing"),0,IF(F$47-14*$I$7&lt;$I$4,0,(HLOOKUP(F$47-14*$I$7,$C$47:$AG$51,5,FALSE))))</f>
        <v>0</v>
      </c>
      <c r="G65" s="44">
        <f>IF(OR(Cashflow!G$111="C/I",Cashflow!G$111="Not yet producing"),0,IF(G$47-14*$I$7&lt;$I$4,0,(HLOOKUP(G$47-14*$I$7,$C$47:$AG$51,5,FALSE))))</f>
        <v>0</v>
      </c>
      <c r="H65" s="44">
        <f>IF(OR(Cashflow!H$111="C/I",Cashflow!H$111="Not yet producing"),0,IF(H$47-14*$I$7&lt;$I$4,0,(HLOOKUP(H$47-14*$I$7,$C$47:$AG$51,5,FALSE))))</f>
        <v>0</v>
      </c>
      <c r="I65" s="44">
        <f>IF(OR(Cashflow!I$111="C/I",Cashflow!I$111="Not yet producing"),0,IF(I$47-14*$I$7&lt;$I$4,0,(HLOOKUP(I$47-14*$I$7,$C$47:$AG$51,5,FALSE))))</f>
        <v>0</v>
      </c>
      <c r="J65" s="44">
        <f>IF(OR(Cashflow!J$111="C/I",Cashflow!J$111="Not yet producing"),0,IF(J$47-14*$I$7&lt;$I$4,0,(HLOOKUP(J$47-14*$I$7,$C$47:$AG$51,5,FALSE))))</f>
        <v>0</v>
      </c>
      <c r="K65" s="44">
        <f>IF(OR(Cashflow!K$111="C/I",Cashflow!K$111="Not yet producing"),0,IF(K$47-14*$I$7&lt;$I$4,0,(HLOOKUP(K$47-14*$I$7,$C$47:$AG$51,5,FALSE))))</f>
        <v>0</v>
      </c>
      <c r="L65" s="44">
        <f ca="1">IF(OR(Cashflow!L$111="C/I",Cashflow!L$111="Not yet producing"),0,IF(L$47-14*$I$7&lt;$I$4,0,(HLOOKUP(L$47-14*$I$7,$C$47:$AG$51,5,FALSE))))</f>
        <v>0</v>
      </c>
      <c r="M65" s="44">
        <f ca="1">IF(OR(Cashflow!M$111="C/I",Cashflow!M$111="Not yet producing"),0,IF(M$47-14*$I$7&lt;$I$4,0,(HLOOKUP(M$47-14*$I$7,$C$47:$AG$51,5,FALSE))))</f>
        <v>0</v>
      </c>
      <c r="N65" s="44">
        <f ca="1">IF(OR(Cashflow!N$111="C/I",Cashflow!N$111="Not yet producing"),0,IF(N$47-14*$I$7&lt;$I$4,0,(HLOOKUP(N$47-14*$I$7,$C$47:$AG$51,5,FALSE))))</f>
        <v>0</v>
      </c>
      <c r="O65" s="44">
        <f ca="1">IF(OR(Cashflow!O$111="C/I",Cashflow!O$111="Not yet producing"),0,IF(O$47-14*$I$7&lt;$I$4,0,(HLOOKUP(O$47-14*$I$7,$C$47:$AG$51,5,FALSE))))</f>
        <v>0</v>
      </c>
      <c r="P65" s="44">
        <f ca="1">IF(OR(Cashflow!P$111="C/I",Cashflow!P$111="Not yet producing"),0,IF(P$47-14*$I$7&lt;$I$4,0,(HLOOKUP(P$47-14*$I$7,$C$47:$AG$51,5,FALSE))))</f>
        <v>0</v>
      </c>
      <c r="Q65" s="44">
        <f ca="1">IF(OR(Cashflow!Q$111="C/I",Cashflow!Q$111="Not yet producing"),0,IF(Q$47-14*$I$7&lt;$I$4,0,(HLOOKUP(Q$47-14*$I$7,$C$47:$AG$51,5,FALSE))))</f>
        <v>0</v>
      </c>
      <c r="R65" s="44">
        <f ca="1">IF(OR(Cashflow!R$111="C/I",Cashflow!R$111="Not yet producing"),0,IF(R$47-14*$I$7&lt;$I$4,0,(HLOOKUP(R$47-14*$I$7,$C$47:$AG$51,5,FALSE))))</f>
        <v>0</v>
      </c>
      <c r="S65" s="44">
        <f ca="1">IF(OR(Cashflow!S$111="C/I",Cashflow!S$111="Not yet producing"),0,IF(S$47-14*$I$7&lt;$I$4,0,(HLOOKUP(S$47-14*$I$7,$C$47:$AG$51,5,FALSE))))</f>
        <v>0</v>
      </c>
      <c r="T65" s="44">
        <f ca="1">IF(OR(Cashflow!T$111="C/I",Cashflow!T$111="Not yet producing"),0,IF(T$47-14*$I$7&lt;$I$4,0,(HLOOKUP(T$47-14*$I$7,$C$47:$AG$51,5,FALSE))))</f>
        <v>0</v>
      </c>
      <c r="U65" s="44">
        <f ca="1">IF(OR(Cashflow!U$111="C/I",Cashflow!U$111="Not yet producing"),0,IF(U$47-14*$I$7&lt;$I$4,0,(HLOOKUP(U$47-14*$I$7,$C$47:$AG$51,5,FALSE))))</f>
        <v>0</v>
      </c>
      <c r="V65" s="44">
        <f ca="1">IF(OR(Cashflow!V$111="C/I",Cashflow!V$111="Not yet producing"),0,IF(V$47-14*$I$7&lt;$I$4,0,(HLOOKUP(V$47-14*$I$7,$C$47:$AG$51,5,FALSE))))</f>
        <v>0</v>
      </c>
      <c r="W65" s="44">
        <f ca="1">IF(OR(Cashflow!W$111="C/I",Cashflow!W$111="Not yet producing"),0,IF(W$47-14*$I$7&lt;$I$4,0,(HLOOKUP(W$47-14*$I$7,$C$47:$AG$51,5,FALSE))))</f>
        <v>0</v>
      </c>
      <c r="X65" s="44">
        <f ca="1">IF(OR(Cashflow!X$111="C/I",Cashflow!X$111="Not yet producing"),0,IF(X$47-14*$I$7&lt;$I$4,0,(HLOOKUP(X$47-14*$I$7,$C$47:$AG$51,5,FALSE))))</f>
        <v>0</v>
      </c>
      <c r="Y65" s="44">
        <f ca="1">IF(OR(Cashflow!Y$111="C/I",Cashflow!Y$111="Not yet producing"),0,IF(Y$47-14*$I$7&lt;$I$4,0,(HLOOKUP(Y$47-14*$I$7,$C$47:$AG$51,5,FALSE))))</f>
        <v>0</v>
      </c>
      <c r="Z65" s="44">
        <f ca="1">IF(OR(Cashflow!Z$111="C/I",Cashflow!Z$111="Not yet producing"),0,IF(Z$47-14*$I$7&lt;$I$4,0,(HLOOKUP(Z$47-14*$I$7,$C$47:$AG$51,5,FALSE))))</f>
        <v>0</v>
      </c>
      <c r="AA65" s="44">
        <f ca="1">IF(OR(Cashflow!AA$111="C/I",Cashflow!AA$111="Not yet producing"),0,IF(AA$47-14*$I$7&lt;$I$4,0,(HLOOKUP(AA$47-14*$I$7,$C$47:$AG$51,5,FALSE))))</f>
        <v>0</v>
      </c>
      <c r="AB65" s="44">
        <f ca="1">IF(OR(Cashflow!AB$111="C/I",Cashflow!AB$111="Not yet producing"),0,IF(AB$47-14*$I$7&lt;$I$4,0,(HLOOKUP(AB$47-14*$I$7,$C$47:$AG$51,5,FALSE))))</f>
        <v>0</v>
      </c>
      <c r="AC65" s="44">
        <f ca="1">IF(OR(Cashflow!AC$111="C/I",Cashflow!AC$111="Not yet producing"),0,IF(AC$47-14*$I$7&lt;$I$4,0,(HLOOKUP(AC$47-14*$I$7,$C$47:$AG$51,5,FALSE))))</f>
        <v>0</v>
      </c>
      <c r="AD65" s="44">
        <f ca="1">IF(OR(Cashflow!AD$111="C/I",Cashflow!AD$111="Not yet producing"),0,IF(AD$47-14*$I$7&lt;$I$4,0,(HLOOKUP(AD$47-14*$I$7,$C$47:$AG$51,5,FALSE))))</f>
        <v>0</v>
      </c>
      <c r="AE65" s="44">
        <f ca="1">IF(OR(Cashflow!AE$111="C/I",Cashflow!AE$111="Not yet producing"),0,IF(AE$47-14*$I$7&lt;$I$4,0,(HLOOKUP(AE$47-14*$I$7,$C$47:$AG$51,5,FALSE))))</f>
        <v>0</v>
      </c>
      <c r="AF65" s="44">
        <f ca="1">IF(OR(Cashflow!AF$111="C/I",Cashflow!AF$111="Not yet producing"),0,IF(AF$47-14*$I$7&lt;$I$4,0,(HLOOKUP(AF$47-14*$I$7,$C$47:$AG$51,5,FALSE))))</f>
        <v>0</v>
      </c>
      <c r="AG65" s="44">
        <f ca="1">IF(OR(Cashflow!AG$111="C/I",Cashflow!AG$111="Not yet producing"),0,IF(AG$47-14*$I$7&lt;$I$4,0,(HLOOKUP(AG$47-14*$I$7,$C$47:$AG$51,5,FALSE))))</f>
        <v>0</v>
      </c>
      <c r="AH65" s="19"/>
      <c r="AI65" s="19"/>
      <c r="AJ65" s="19"/>
      <c r="AK65" s="19"/>
      <c r="AL65" s="21"/>
      <c r="AM65" s="21"/>
      <c r="AN65" s="19"/>
      <c r="AO65" s="19"/>
      <c r="AP65" s="19"/>
      <c r="AQ65" s="19"/>
      <c r="AR65" s="326"/>
      <c r="AS65" s="326"/>
      <c r="AT65" s="326"/>
      <c r="AU65" s="326"/>
      <c r="AV65" s="326"/>
      <c r="AW65" s="326"/>
      <c r="AX65" s="326"/>
      <c r="AY65" s="326"/>
      <c r="AZ65" s="326"/>
      <c r="BA65" s="326"/>
      <c r="BB65" s="326"/>
    </row>
    <row r="66" spans="1:54" s="26" customFormat="1" ht="13.2">
      <c r="A66" s="19"/>
      <c r="B66" s="55" t="s">
        <v>1733</v>
      </c>
      <c r="C66" s="44">
        <f>IF(OR(Cashflow!C$111="C/I",Cashflow!C$111="Not yet producing"),0,IF(C$47-15*$I$7&lt;$I$4,0,(HLOOKUP(C$47-15*$I$7,$C$47:$AG$51,5,FALSE))))</f>
        <v>0</v>
      </c>
      <c r="D66" s="44">
        <f>IF(OR(Cashflow!D$111="C/I",Cashflow!D$111="Not yet producing"),0,IF(D$47-15*$I$7&lt;$I$4,0,(HLOOKUP(D$47-15*$I$7,$C$47:$AG$51,5,FALSE))))</f>
        <v>0</v>
      </c>
      <c r="E66" s="44">
        <f>IF(OR(Cashflow!E$111="C/I",Cashflow!E$111="Not yet producing"),0,IF(E$47-15*$I$7&lt;$I$4,0,(HLOOKUP(E$47-15*$I$7,$C$47:$AG$51,5,FALSE))))</f>
        <v>0</v>
      </c>
      <c r="F66" s="44">
        <f>IF(OR(Cashflow!F$111="C/I",Cashflow!F$111="Not yet producing"),0,IF(F$47-15*$I$7&lt;$I$4,0,(HLOOKUP(F$47-15*$I$7,$C$47:$AG$51,5,FALSE))))</f>
        <v>0</v>
      </c>
      <c r="G66" s="44">
        <f>IF(OR(Cashflow!G$111="C/I",Cashflow!G$111="Not yet producing"),0,IF(G$47-15*$I$7&lt;$I$4,0,(HLOOKUP(G$47-15*$I$7,$C$47:$AG$51,5,FALSE))))</f>
        <v>0</v>
      </c>
      <c r="H66" s="44">
        <f>IF(OR(Cashflow!H$111="C/I",Cashflow!H$111="Not yet producing"),0,IF(H$47-15*$I$7&lt;$I$4,0,(HLOOKUP(H$47-15*$I$7,$C$47:$AG$51,5,FALSE))))</f>
        <v>0</v>
      </c>
      <c r="I66" s="44">
        <f>IF(OR(Cashflow!I$111="C/I",Cashflow!I$111="Not yet producing"),0,IF(I$47-15*$I$7&lt;$I$4,0,(HLOOKUP(I$47-15*$I$7,$C$47:$AG$51,5,FALSE))))</f>
        <v>0</v>
      </c>
      <c r="J66" s="44">
        <f>IF(OR(Cashflow!J$111="C/I",Cashflow!J$111="Not yet producing"),0,IF(J$47-15*$I$7&lt;$I$4,0,(HLOOKUP(J$47-15*$I$7,$C$47:$AG$51,5,FALSE))))</f>
        <v>0</v>
      </c>
      <c r="K66" s="44">
        <f>IF(OR(Cashflow!K$111="C/I",Cashflow!K$111="Not yet producing"),0,IF(K$47-15*$I$7&lt;$I$4,0,(HLOOKUP(K$47-15*$I$7,$C$47:$AG$51,5,FALSE))))</f>
        <v>0</v>
      </c>
      <c r="L66" s="44">
        <f ca="1">IF(OR(Cashflow!L$111="C/I",Cashflow!L$111="Not yet producing"),0,IF(L$47-15*$I$7&lt;$I$4,0,(HLOOKUP(L$47-15*$I$7,$C$47:$AG$51,5,FALSE))))</f>
        <v>0</v>
      </c>
      <c r="M66" s="44">
        <f ca="1">IF(OR(Cashflow!M$111="C/I",Cashflow!M$111="Not yet producing"),0,IF(M$47-15*$I$7&lt;$I$4,0,(HLOOKUP(M$47-15*$I$7,$C$47:$AG$51,5,FALSE))))</f>
        <v>0</v>
      </c>
      <c r="N66" s="44">
        <f ca="1">IF(OR(Cashflow!N$111="C/I",Cashflow!N$111="Not yet producing"),0,IF(N$47-15*$I$7&lt;$I$4,0,(HLOOKUP(N$47-15*$I$7,$C$47:$AG$51,5,FALSE))))</f>
        <v>0</v>
      </c>
      <c r="O66" s="44">
        <f ca="1">IF(OR(Cashflow!O$111="C/I",Cashflow!O$111="Not yet producing"),0,IF(O$47-15*$I$7&lt;$I$4,0,(HLOOKUP(O$47-15*$I$7,$C$47:$AG$51,5,FALSE))))</f>
        <v>0</v>
      </c>
      <c r="P66" s="44">
        <f ca="1">IF(OR(Cashflow!P$111="C/I",Cashflow!P$111="Not yet producing"),0,IF(P$47-15*$I$7&lt;$I$4,0,(HLOOKUP(P$47-15*$I$7,$C$47:$AG$51,5,FALSE))))</f>
        <v>0</v>
      </c>
      <c r="Q66" s="44">
        <f ca="1">IF(OR(Cashflow!Q$111="C/I",Cashflow!Q$111="Not yet producing"),0,IF(Q$47-15*$I$7&lt;$I$4,0,(HLOOKUP(Q$47-15*$I$7,$C$47:$AG$51,5,FALSE))))</f>
        <v>0</v>
      </c>
      <c r="R66" s="44">
        <f ca="1">IF(OR(Cashflow!R$111="C/I",Cashflow!R$111="Not yet producing"),0,IF(R$47-15*$I$7&lt;$I$4,0,(HLOOKUP(R$47-15*$I$7,$C$47:$AG$51,5,FALSE))))</f>
        <v>0</v>
      </c>
      <c r="S66" s="44">
        <f ca="1">IF(OR(Cashflow!S$111="C/I",Cashflow!S$111="Not yet producing"),0,IF(S$47-15*$I$7&lt;$I$4,0,(HLOOKUP(S$47-15*$I$7,$C$47:$AG$51,5,FALSE))))</f>
        <v>0</v>
      </c>
      <c r="T66" s="44">
        <f ca="1">IF(OR(Cashflow!T$111="C/I",Cashflow!T$111="Not yet producing"),0,IF(T$47-15*$I$7&lt;$I$4,0,(HLOOKUP(T$47-15*$I$7,$C$47:$AG$51,5,FALSE))))</f>
        <v>0</v>
      </c>
      <c r="U66" s="44">
        <f ca="1">IF(OR(Cashflow!U$111="C/I",Cashflow!U$111="Not yet producing"),0,IF(U$47-15*$I$7&lt;$I$4,0,(HLOOKUP(U$47-15*$I$7,$C$47:$AG$51,5,FALSE))))</f>
        <v>0</v>
      </c>
      <c r="V66" s="44">
        <f ca="1">IF(OR(Cashflow!V$111="C/I",Cashflow!V$111="Not yet producing"),0,IF(V$47-15*$I$7&lt;$I$4,0,(HLOOKUP(V$47-15*$I$7,$C$47:$AG$51,5,FALSE))))</f>
        <v>0</v>
      </c>
      <c r="W66" s="44">
        <f ca="1">IF(OR(Cashflow!W$111="C/I",Cashflow!W$111="Not yet producing"),0,IF(W$47-15*$I$7&lt;$I$4,0,(HLOOKUP(W$47-15*$I$7,$C$47:$AG$51,5,FALSE))))</f>
        <v>0</v>
      </c>
      <c r="X66" s="44">
        <f ca="1">IF(OR(Cashflow!X$111="C/I",Cashflow!X$111="Not yet producing"),0,IF(X$47-15*$I$7&lt;$I$4,0,(HLOOKUP(X$47-15*$I$7,$C$47:$AG$51,5,FALSE))))</f>
        <v>0</v>
      </c>
      <c r="Y66" s="44">
        <f ca="1">IF(OR(Cashflow!Y$111="C/I",Cashflow!Y$111="Not yet producing"),0,IF(Y$47-15*$I$7&lt;$I$4,0,(HLOOKUP(Y$47-15*$I$7,$C$47:$AG$51,5,FALSE))))</f>
        <v>0</v>
      </c>
      <c r="Z66" s="44">
        <f ca="1">IF(OR(Cashflow!Z$111="C/I",Cashflow!Z$111="Not yet producing"),0,IF(Z$47-15*$I$7&lt;$I$4,0,(HLOOKUP(Z$47-15*$I$7,$C$47:$AG$51,5,FALSE))))</f>
        <v>0</v>
      </c>
      <c r="AA66" s="44">
        <f ca="1">IF(OR(Cashflow!AA$111="C/I",Cashflow!AA$111="Not yet producing"),0,IF(AA$47-15*$I$7&lt;$I$4,0,(HLOOKUP(AA$47-15*$I$7,$C$47:$AG$51,5,FALSE))))</f>
        <v>0</v>
      </c>
      <c r="AB66" s="44">
        <f ca="1">IF(OR(Cashflow!AB$111="C/I",Cashflow!AB$111="Not yet producing"),0,IF(AB$47-15*$I$7&lt;$I$4,0,(HLOOKUP(AB$47-15*$I$7,$C$47:$AG$51,5,FALSE))))</f>
        <v>0</v>
      </c>
      <c r="AC66" s="44">
        <f ca="1">IF(OR(Cashflow!AC$111="C/I",Cashflow!AC$111="Not yet producing"),0,IF(AC$47-15*$I$7&lt;$I$4,0,(HLOOKUP(AC$47-15*$I$7,$C$47:$AG$51,5,FALSE))))</f>
        <v>0</v>
      </c>
      <c r="AD66" s="44">
        <f ca="1">IF(OR(Cashflow!AD$111="C/I",Cashflow!AD$111="Not yet producing"),0,IF(AD$47-15*$I$7&lt;$I$4,0,(HLOOKUP(AD$47-15*$I$7,$C$47:$AG$51,5,FALSE))))</f>
        <v>0</v>
      </c>
      <c r="AE66" s="44">
        <f ca="1">IF(OR(Cashflow!AE$111="C/I",Cashflow!AE$111="Not yet producing"),0,IF(AE$47-15*$I$7&lt;$I$4,0,(HLOOKUP(AE$47-15*$I$7,$C$47:$AG$51,5,FALSE))))</f>
        <v>0</v>
      </c>
      <c r="AF66" s="44">
        <f ca="1">IF(OR(Cashflow!AF$111="C/I",Cashflow!AF$111="Not yet producing"),0,IF(AF$47-15*$I$7&lt;$I$4,0,(HLOOKUP(AF$47-15*$I$7,$C$47:$AG$51,5,FALSE))))</f>
        <v>0</v>
      </c>
      <c r="AG66" s="44">
        <f ca="1">IF(OR(Cashflow!AG$111="C/I",Cashflow!AG$111="Not yet producing"),0,IF(AG$47-15*$I$7&lt;$I$4,0,(HLOOKUP(AG$47-15*$I$7,$C$47:$AG$51,5,FALSE))))</f>
        <v>0</v>
      </c>
      <c r="AH66" s="19"/>
      <c r="AI66" s="19"/>
      <c r="AJ66" s="19"/>
      <c r="AK66" s="19"/>
      <c r="AL66" s="21"/>
      <c r="AM66" s="21"/>
      <c r="AN66" s="19"/>
      <c r="AO66" s="19"/>
      <c r="AP66" s="19"/>
      <c r="AQ66" s="19"/>
      <c r="AR66" s="326"/>
      <c r="AS66" s="326"/>
      <c r="AT66" s="326"/>
      <c r="AU66" s="326"/>
      <c r="AV66" s="326"/>
      <c r="AW66" s="326"/>
      <c r="AX66" s="326"/>
      <c r="AY66" s="326"/>
      <c r="AZ66" s="326"/>
      <c r="BA66" s="326"/>
      <c r="BB66" s="326"/>
    </row>
    <row r="67" spans="1:54" s="26" customFormat="1" ht="13.2">
      <c r="A67" s="19"/>
      <c r="B67" s="55" t="s">
        <v>1734</v>
      </c>
      <c r="C67" s="44">
        <f>IF(OR(Cashflow!C$111="C/I",Cashflow!C$111="Not yet producing"),0,IF(C$47-16*$I$7&lt;$I$4,0,(HLOOKUP(C$47-16*$I$7,$C$47:$AG$51,5,FALSE))))</f>
        <v>0</v>
      </c>
      <c r="D67" s="44">
        <f>IF(OR(Cashflow!D$111="C/I",Cashflow!D$111="Not yet producing"),0,IF(D$47-16*$I$7&lt;$I$4,0,(HLOOKUP(D$47-16*$I$7,$C$47:$AG$51,5,FALSE))))</f>
        <v>0</v>
      </c>
      <c r="E67" s="44">
        <f>IF(OR(Cashflow!E$111="C/I",Cashflow!E$111="Not yet producing"),0,IF(E$47-16*$I$7&lt;$I$4,0,(HLOOKUP(E$47-16*$I$7,$C$47:$AG$51,5,FALSE))))</f>
        <v>0</v>
      </c>
      <c r="F67" s="44">
        <f>IF(OR(Cashflow!F$111="C/I",Cashflow!F$111="Not yet producing"),0,IF(F$47-16*$I$7&lt;$I$4,0,(HLOOKUP(F$47-16*$I$7,$C$47:$AG$51,5,FALSE))))</f>
        <v>0</v>
      </c>
      <c r="G67" s="44">
        <f>IF(OR(Cashflow!G$111="C/I",Cashflow!G$111="Not yet producing"),0,IF(G$47-16*$I$7&lt;$I$4,0,(HLOOKUP(G$47-16*$I$7,$C$47:$AG$51,5,FALSE))))</f>
        <v>0</v>
      </c>
      <c r="H67" s="44">
        <f>IF(OR(Cashflow!H$111="C/I",Cashflow!H$111="Not yet producing"),0,IF(H$47-16*$I$7&lt;$I$4,0,(HLOOKUP(H$47-16*$I$7,$C$47:$AG$51,5,FALSE))))</f>
        <v>0</v>
      </c>
      <c r="I67" s="44">
        <f>IF(OR(Cashflow!I$111="C/I",Cashflow!I$111="Not yet producing"),0,IF(I$47-16*$I$7&lt;$I$4,0,(HLOOKUP(I$47-16*$I$7,$C$47:$AG$51,5,FALSE))))</f>
        <v>0</v>
      </c>
      <c r="J67" s="44">
        <f>IF(OR(Cashflow!J$111="C/I",Cashflow!J$111="Not yet producing"),0,IF(J$47-16*$I$7&lt;$I$4,0,(HLOOKUP(J$47-16*$I$7,$C$47:$AG$51,5,FALSE))))</f>
        <v>0</v>
      </c>
      <c r="K67" s="44">
        <f>IF(OR(Cashflow!K$111="C/I",Cashflow!K$111="Not yet producing"),0,IF(K$47-16*$I$7&lt;$I$4,0,(HLOOKUP(K$47-16*$I$7,$C$47:$AG$51,5,FALSE))))</f>
        <v>0</v>
      </c>
      <c r="L67" s="44">
        <f ca="1">IF(OR(Cashflow!L$111="C/I",Cashflow!L$111="Not yet producing"),0,IF(L$47-16*$I$7&lt;$I$4,0,(HLOOKUP(L$47-16*$I$7,$C$47:$AG$51,5,FALSE))))</f>
        <v>0</v>
      </c>
      <c r="M67" s="44">
        <f ca="1">IF(OR(Cashflow!M$111="C/I",Cashflow!M$111="Not yet producing"),0,IF(M$47-16*$I$7&lt;$I$4,0,(HLOOKUP(M$47-16*$I$7,$C$47:$AG$51,5,FALSE))))</f>
        <v>0</v>
      </c>
      <c r="N67" s="44">
        <f ca="1">IF(OR(Cashflow!N$111="C/I",Cashflow!N$111="Not yet producing"),0,IF(N$47-16*$I$7&lt;$I$4,0,(HLOOKUP(N$47-16*$I$7,$C$47:$AG$51,5,FALSE))))</f>
        <v>0</v>
      </c>
      <c r="O67" s="44">
        <f ca="1">IF(OR(Cashflow!O$111="C/I",Cashflow!O$111="Not yet producing"),0,IF(O$47-16*$I$7&lt;$I$4,0,(HLOOKUP(O$47-16*$I$7,$C$47:$AG$51,5,FALSE))))</f>
        <v>0</v>
      </c>
      <c r="P67" s="44">
        <f ca="1">IF(OR(Cashflow!P$111="C/I",Cashflow!P$111="Not yet producing"),0,IF(P$47-16*$I$7&lt;$I$4,0,(HLOOKUP(P$47-16*$I$7,$C$47:$AG$51,5,FALSE))))</f>
        <v>0</v>
      </c>
      <c r="Q67" s="44">
        <f ca="1">IF(OR(Cashflow!Q$111="C/I",Cashflow!Q$111="Not yet producing"),0,IF(Q$47-16*$I$7&lt;$I$4,0,(HLOOKUP(Q$47-16*$I$7,$C$47:$AG$51,5,FALSE))))</f>
        <v>0</v>
      </c>
      <c r="R67" s="44">
        <f ca="1">IF(OR(Cashflow!R$111="C/I",Cashflow!R$111="Not yet producing"),0,IF(R$47-16*$I$7&lt;$I$4,0,(HLOOKUP(R$47-16*$I$7,$C$47:$AG$51,5,FALSE))))</f>
        <v>0</v>
      </c>
      <c r="S67" s="44">
        <f ca="1">IF(OR(Cashflow!S$111="C/I",Cashflow!S$111="Not yet producing"),0,IF(S$47-16*$I$7&lt;$I$4,0,(HLOOKUP(S$47-16*$I$7,$C$47:$AG$51,5,FALSE))))</f>
        <v>0</v>
      </c>
      <c r="T67" s="44">
        <f ca="1">IF(OR(Cashflow!T$111="C/I",Cashflow!T$111="Not yet producing"),0,IF(T$47-16*$I$7&lt;$I$4,0,(HLOOKUP(T$47-16*$I$7,$C$47:$AG$51,5,FALSE))))</f>
        <v>0</v>
      </c>
      <c r="U67" s="44">
        <f ca="1">IF(OR(Cashflow!U$111="C/I",Cashflow!U$111="Not yet producing"),0,IF(U$47-16*$I$7&lt;$I$4,0,(HLOOKUP(U$47-16*$I$7,$C$47:$AG$51,5,FALSE))))</f>
        <v>0</v>
      </c>
      <c r="V67" s="44">
        <f ca="1">IF(OR(Cashflow!V$111="C/I",Cashflow!V$111="Not yet producing"),0,IF(V$47-16*$I$7&lt;$I$4,0,(HLOOKUP(V$47-16*$I$7,$C$47:$AG$51,5,FALSE))))</f>
        <v>0</v>
      </c>
      <c r="W67" s="44">
        <f ca="1">IF(OR(Cashflow!W$111="C/I",Cashflow!W$111="Not yet producing"),0,IF(W$47-16*$I$7&lt;$I$4,0,(HLOOKUP(W$47-16*$I$7,$C$47:$AG$51,5,FALSE))))</f>
        <v>0</v>
      </c>
      <c r="X67" s="44">
        <f ca="1">IF(OR(Cashflow!X$111="C/I",Cashflow!X$111="Not yet producing"),0,IF(X$47-16*$I$7&lt;$I$4,0,(HLOOKUP(X$47-16*$I$7,$C$47:$AG$51,5,FALSE))))</f>
        <v>0</v>
      </c>
      <c r="Y67" s="44">
        <f ca="1">IF(OR(Cashflow!Y$111="C/I",Cashflow!Y$111="Not yet producing"),0,IF(Y$47-16*$I$7&lt;$I$4,0,(HLOOKUP(Y$47-16*$I$7,$C$47:$AG$51,5,FALSE))))</f>
        <v>0</v>
      </c>
      <c r="Z67" s="44">
        <f ca="1">IF(OR(Cashflow!Z$111="C/I",Cashflow!Z$111="Not yet producing"),0,IF(Z$47-16*$I$7&lt;$I$4,0,(HLOOKUP(Z$47-16*$I$7,$C$47:$AG$51,5,FALSE))))</f>
        <v>0</v>
      </c>
      <c r="AA67" s="44">
        <f ca="1">IF(OR(Cashflow!AA$111="C/I",Cashflow!AA$111="Not yet producing"),0,IF(AA$47-16*$I$7&lt;$I$4,0,(HLOOKUP(AA$47-16*$I$7,$C$47:$AG$51,5,FALSE))))</f>
        <v>0</v>
      </c>
      <c r="AB67" s="44">
        <f ca="1">IF(OR(Cashflow!AB$111="C/I",Cashflow!AB$111="Not yet producing"),0,IF(AB$47-16*$I$7&lt;$I$4,0,(HLOOKUP(AB$47-16*$I$7,$C$47:$AG$51,5,FALSE))))</f>
        <v>0</v>
      </c>
      <c r="AC67" s="44">
        <f ca="1">IF(OR(Cashflow!AC$111="C/I",Cashflow!AC$111="Not yet producing"),0,IF(AC$47-16*$I$7&lt;$I$4,0,(HLOOKUP(AC$47-16*$I$7,$C$47:$AG$51,5,FALSE))))</f>
        <v>0</v>
      </c>
      <c r="AD67" s="44">
        <f ca="1">IF(OR(Cashflow!AD$111="C/I",Cashflow!AD$111="Not yet producing"),0,IF(AD$47-16*$I$7&lt;$I$4,0,(HLOOKUP(AD$47-16*$I$7,$C$47:$AG$51,5,FALSE))))</f>
        <v>0</v>
      </c>
      <c r="AE67" s="44">
        <f ca="1">IF(OR(Cashflow!AE$111="C/I",Cashflow!AE$111="Not yet producing"),0,IF(AE$47-16*$I$7&lt;$I$4,0,(HLOOKUP(AE$47-16*$I$7,$C$47:$AG$51,5,FALSE))))</f>
        <v>0</v>
      </c>
      <c r="AF67" s="44">
        <f ca="1">IF(OR(Cashflow!AF$111="C/I",Cashflow!AF$111="Not yet producing"),0,IF(AF$47-16*$I$7&lt;$I$4,0,(HLOOKUP(AF$47-16*$I$7,$C$47:$AG$51,5,FALSE))))</f>
        <v>0</v>
      </c>
      <c r="AG67" s="44">
        <f ca="1">IF(OR(Cashflow!AG$111="C/I",Cashflow!AG$111="Not yet producing"),0,IF(AG$47-16*$I$7&lt;$I$4,0,(HLOOKUP(AG$47-16*$I$7,$C$47:$AG$51,5,FALSE))))</f>
        <v>0</v>
      </c>
      <c r="AH67" s="19"/>
      <c r="AI67" s="19"/>
      <c r="AJ67" s="19"/>
      <c r="AK67" s="19"/>
      <c r="AL67" s="21"/>
      <c r="AM67" s="21"/>
      <c r="AN67" s="19"/>
      <c r="AO67" s="19"/>
      <c r="AP67" s="19"/>
      <c r="AQ67" s="19"/>
      <c r="AR67" s="326"/>
      <c r="AS67" s="326"/>
      <c r="AT67" s="326"/>
      <c r="AU67" s="326"/>
      <c r="AV67" s="326"/>
      <c r="AW67" s="326"/>
      <c r="AX67" s="326"/>
      <c r="AY67" s="326"/>
      <c r="AZ67" s="326"/>
      <c r="BA67" s="326"/>
      <c r="BB67" s="326"/>
    </row>
    <row r="68" spans="1:54" s="26" customFormat="1" ht="13.2">
      <c r="A68" s="19"/>
      <c r="B68" s="55" t="s">
        <v>1735</v>
      </c>
      <c r="C68" s="44">
        <f>IF(OR(Cashflow!C$111="C/I",Cashflow!C$111="Not yet producing"),0,IF(C$47-17*$I$7&lt;$I$4,0,(HLOOKUP(C$47-17*$I$7,$C$47:$AG$51,5,FALSE))))</f>
        <v>0</v>
      </c>
      <c r="D68" s="44">
        <f>IF(OR(Cashflow!D$111="C/I",Cashflow!D$111="Not yet producing"),0,IF(D$47-17*$I$7&lt;$I$4,0,(HLOOKUP(D$47-17*$I$7,$C$47:$AG$51,5,FALSE))))</f>
        <v>0</v>
      </c>
      <c r="E68" s="44">
        <f>IF(OR(Cashflow!E$111="C/I",Cashflow!E$111="Not yet producing"),0,IF(E$47-17*$I$7&lt;$I$4,0,(HLOOKUP(E$47-17*$I$7,$C$47:$AG$51,5,FALSE))))</f>
        <v>0</v>
      </c>
      <c r="F68" s="44">
        <f>IF(OR(Cashflow!F$111="C/I",Cashflow!F$111="Not yet producing"),0,IF(F$47-17*$I$7&lt;$I$4,0,(HLOOKUP(F$47-17*$I$7,$C$47:$AG$51,5,FALSE))))</f>
        <v>0</v>
      </c>
      <c r="G68" s="44">
        <f>IF(OR(Cashflow!G$111="C/I",Cashflow!G$111="Not yet producing"),0,IF(G$47-17*$I$7&lt;$I$4,0,(HLOOKUP(G$47-17*$I$7,$C$47:$AG$51,5,FALSE))))</f>
        <v>0</v>
      </c>
      <c r="H68" s="44">
        <f>IF(OR(Cashflow!H$111="C/I",Cashflow!H$111="Not yet producing"),0,IF(H$47-17*$I$7&lt;$I$4,0,(HLOOKUP(H$47-17*$I$7,$C$47:$AG$51,5,FALSE))))</f>
        <v>0</v>
      </c>
      <c r="I68" s="44">
        <f>IF(OR(Cashflow!I$111="C/I",Cashflow!I$111="Not yet producing"),0,IF(I$47-17*$I$7&lt;$I$4,0,(HLOOKUP(I$47-17*$I$7,$C$47:$AG$51,5,FALSE))))</f>
        <v>0</v>
      </c>
      <c r="J68" s="44">
        <f>IF(OR(Cashflow!J$111="C/I",Cashflow!J$111="Not yet producing"),0,IF(J$47-17*$I$7&lt;$I$4,0,(HLOOKUP(J$47-17*$I$7,$C$47:$AG$51,5,FALSE))))</f>
        <v>0</v>
      </c>
      <c r="K68" s="44">
        <f>IF(OR(Cashflow!K$111="C/I",Cashflow!K$111="Not yet producing"),0,IF(K$47-17*$I$7&lt;$I$4,0,(HLOOKUP(K$47-17*$I$7,$C$47:$AG$51,5,FALSE))))</f>
        <v>0</v>
      </c>
      <c r="L68" s="44">
        <f ca="1">IF(OR(Cashflow!L$111="C/I",Cashflow!L$111="Not yet producing"),0,IF(L$47-17*$I$7&lt;$I$4,0,(HLOOKUP(L$47-17*$I$7,$C$47:$AG$51,5,FALSE))))</f>
        <v>0</v>
      </c>
      <c r="M68" s="44">
        <f ca="1">IF(OR(Cashflow!M$111="C/I",Cashflow!M$111="Not yet producing"),0,IF(M$47-17*$I$7&lt;$I$4,0,(HLOOKUP(M$47-17*$I$7,$C$47:$AG$51,5,FALSE))))</f>
        <v>0</v>
      </c>
      <c r="N68" s="44">
        <f ca="1">IF(OR(Cashflow!N$111="C/I",Cashflow!N$111="Not yet producing"),0,IF(N$47-17*$I$7&lt;$I$4,0,(HLOOKUP(N$47-17*$I$7,$C$47:$AG$51,5,FALSE))))</f>
        <v>0</v>
      </c>
      <c r="O68" s="44">
        <f ca="1">IF(OR(Cashflow!O$111="C/I",Cashflow!O$111="Not yet producing"),0,IF(O$47-17*$I$7&lt;$I$4,0,(HLOOKUP(O$47-17*$I$7,$C$47:$AG$51,5,FALSE))))</f>
        <v>0</v>
      </c>
      <c r="P68" s="44">
        <f ca="1">IF(OR(Cashflow!P$111="C/I",Cashflow!P$111="Not yet producing"),0,IF(P$47-17*$I$7&lt;$I$4,0,(HLOOKUP(P$47-17*$I$7,$C$47:$AG$51,5,FALSE))))</f>
        <v>0</v>
      </c>
      <c r="Q68" s="44">
        <f ca="1">IF(OR(Cashflow!Q$111="C/I",Cashflow!Q$111="Not yet producing"),0,IF(Q$47-17*$I$7&lt;$I$4,0,(HLOOKUP(Q$47-17*$I$7,$C$47:$AG$51,5,FALSE))))</f>
        <v>0</v>
      </c>
      <c r="R68" s="44">
        <f ca="1">IF(OR(Cashflow!R$111="C/I",Cashflow!R$111="Not yet producing"),0,IF(R$47-17*$I$7&lt;$I$4,0,(HLOOKUP(R$47-17*$I$7,$C$47:$AG$51,5,FALSE))))</f>
        <v>0</v>
      </c>
      <c r="S68" s="44">
        <f ca="1">IF(OR(Cashflow!S$111="C/I",Cashflow!S$111="Not yet producing"),0,IF(S$47-17*$I$7&lt;$I$4,0,(HLOOKUP(S$47-17*$I$7,$C$47:$AG$51,5,FALSE))))</f>
        <v>0</v>
      </c>
      <c r="T68" s="44">
        <f ca="1">IF(OR(Cashflow!T$111="C/I",Cashflow!T$111="Not yet producing"),0,IF(T$47-17*$I$7&lt;$I$4,0,(HLOOKUP(T$47-17*$I$7,$C$47:$AG$51,5,FALSE))))</f>
        <v>0</v>
      </c>
      <c r="U68" s="44">
        <f ca="1">IF(OR(Cashflow!U$111="C/I",Cashflow!U$111="Not yet producing"),0,IF(U$47-17*$I$7&lt;$I$4,0,(HLOOKUP(U$47-17*$I$7,$C$47:$AG$51,5,FALSE))))</f>
        <v>0</v>
      </c>
      <c r="V68" s="44">
        <f ca="1">IF(OR(Cashflow!V$111="C/I",Cashflow!V$111="Not yet producing"),0,IF(V$47-17*$I$7&lt;$I$4,0,(HLOOKUP(V$47-17*$I$7,$C$47:$AG$51,5,FALSE))))</f>
        <v>0</v>
      </c>
      <c r="W68" s="44">
        <f ca="1">IF(OR(Cashflow!W$111="C/I",Cashflow!W$111="Not yet producing"),0,IF(W$47-17*$I$7&lt;$I$4,0,(HLOOKUP(W$47-17*$I$7,$C$47:$AG$51,5,FALSE))))</f>
        <v>0</v>
      </c>
      <c r="X68" s="44">
        <f ca="1">IF(OR(Cashflow!X$111="C/I",Cashflow!X$111="Not yet producing"),0,IF(X$47-17*$I$7&lt;$I$4,0,(HLOOKUP(X$47-17*$I$7,$C$47:$AG$51,5,FALSE))))</f>
        <v>0</v>
      </c>
      <c r="Y68" s="44">
        <f ca="1">IF(OR(Cashflow!Y$111="C/I",Cashflow!Y$111="Not yet producing"),0,IF(Y$47-17*$I$7&lt;$I$4,0,(HLOOKUP(Y$47-17*$I$7,$C$47:$AG$51,5,FALSE))))</f>
        <v>0</v>
      </c>
      <c r="Z68" s="44">
        <f ca="1">IF(OR(Cashflow!Z$111="C/I",Cashflow!Z$111="Not yet producing"),0,IF(Z$47-17*$I$7&lt;$I$4,0,(HLOOKUP(Z$47-17*$I$7,$C$47:$AG$51,5,FALSE))))</f>
        <v>0</v>
      </c>
      <c r="AA68" s="44">
        <f ca="1">IF(OR(Cashflow!AA$111="C/I",Cashflow!AA$111="Not yet producing"),0,IF(AA$47-17*$I$7&lt;$I$4,0,(HLOOKUP(AA$47-17*$I$7,$C$47:$AG$51,5,FALSE))))</f>
        <v>0</v>
      </c>
      <c r="AB68" s="44">
        <f ca="1">IF(OR(Cashflow!AB$111="C/I",Cashflow!AB$111="Not yet producing"),0,IF(AB$47-17*$I$7&lt;$I$4,0,(HLOOKUP(AB$47-17*$I$7,$C$47:$AG$51,5,FALSE))))</f>
        <v>0</v>
      </c>
      <c r="AC68" s="44">
        <f ca="1">IF(OR(Cashflow!AC$111="C/I",Cashflow!AC$111="Not yet producing"),0,IF(AC$47-17*$I$7&lt;$I$4,0,(HLOOKUP(AC$47-17*$I$7,$C$47:$AG$51,5,FALSE))))</f>
        <v>0</v>
      </c>
      <c r="AD68" s="44">
        <f ca="1">IF(OR(Cashflow!AD$111="C/I",Cashflow!AD$111="Not yet producing"),0,IF(AD$47-17*$I$7&lt;$I$4,0,(HLOOKUP(AD$47-17*$I$7,$C$47:$AG$51,5,FALSE))))</f>
        <v>0</v>
      </c>
      <c r="AE68" s="44">
        <f ca="1">IF(OR(Cashflow!AE$111="C/I",Cashflow!AE$111="Not yet producing"),0,IF(AE$47-17*$I$7&lt;$I$4,0,(HLOOKUP(AE$47-17*$I$7,$C$47:$AG$51,5,FALSE))))</f>
        <v>0</v>
      </c>
      <c r="AF68" s="44">
        <f ca="1">IF(OR(Cashflow!AF$111="C/I",Cashflow!AF$111="Not yet producing"),0,IF(AF$47-17*$I$7&lt;$I$4,0,(HLOOKUP(AF$47-17*$I$7,$C$47:$AG$51,5,FALSE))))</f>
        <v>0</v>
      </c>
      <c r="AG68" s="44">
        <f ca="1">IF(OR(Cashflow!AG$111="C/I",Cashflow!AG$111="Not yet producing"),0,IF(AG$47-17*$I$7&lt;$I$4,0,(HLOOKUP(AG$47-17*$I$7,$C$47:$AG$51,5,FALSE))))</f>
        <v>0</v>
      </c>
      <c r="AH68" s="19"/>
      <c r="AI68" s="19"/>
      <c r="AJ68" s="19"/>
      <c r="AK68" s="19"/>
      <c r="AL68" s="21"/>
      <c r="AM68" s="21"/>
      <c r="AN68" s="19"/>
      <c r="AO68" s="19"/>
      <c r="AP68" s="19"/>
      <c r="AQ68" s="19"/>
      <c r="AR68" s="326"/>
      <c r="AS68" s="326"/>
      <c r="AT68" s="326"/>
      <c r="AU68" s="326"/>
      <c r="AV68" s="326"/>
      <c r="AW68" s="326"/>
      <c r="AX68" s="326"/>
      <c r="AY68" s="326"/>
      <c r="AZ68" s="326"/>
      <c r="BA68" s="326"/>
      <c r="BB68" s="326"/>
    </row>
    <row r="69" spans="1:54" s="26" customFormat="1" ht="13.2">
      <c r="A69" s="19"/>
      <c r="B69" s="55" t="s">
        <v>1736</v>
      </c>
      <c r="C69" s="44">
        <f>IF(OR(Cashflow!C$111="C/I",Cashflow!C$111="Not yet producing"),0,IF(C$47-18*$I$7&lt;$I$4,0,(HLOOKUP(C$47-18*$I$7,$C$47:$AG$51,5,FALSE))))</f>
        <v>0</v>
      </c>
      <c r="D69" s="44">
        <f>IF(OR(Cashflow!D$111="C/I",Cashflow!D$111="Not yet producing"),0,IF(D$47-18*$I$7&lt;$I$4,0,(HLOOKUP(D$47-18*$I$7,$C$47:$AG$51,5,FALSE))))</f>
        <v>0</v>
      </c>
      <c r="E69" s="44">
        <f>IF(OR(Cashflow!E$111="C/I",Cashflow!E$111="Not yet producing"),0,IF(E$47-18*$I$7&lt;$I$4,0,(HLOOKUP(E$47-18*$I$7,$C$47:$AG$51,5,FALSE))))</f>
        <v>0</v>
      </c>
      <c r="F69" s="44">
        <f>IF(OR(Cashflow!F$111="C/I",Cashflow!F$111="Not yet producing"),0,IF(F$47-18*$I$7&lt;$I$4,0,(HLOOKUP(F$47-18*$I$7,$C$47:$AG$51,5,FALSE))))</f>
        <v>0</v>
      </c>
      <c r="G69" s="44">
        <f>IF(OR(Cashflow!G$111="C/I",Cashflow!G$111="Not yet producing"),0,IF(G$47-18*$I$7&lt;$I$4,0,(HLOOKUP(G$47-18*$I$7,$C$47:$AG$51,5,FALSE))))</f>
        <v>0</v>
      </c>
      <c r="H69" s="44">
        <f>IF(OR(Cashflow!H$111="C/I",Cashflow!H$111="Not yet producing"),0,IF(H$47-18*$I$7&lt;$I$4,0,(HLOOKUP(H$47-18*$I$7,$C$47:$AG$51,5,FALSE))))</f>
        <v>0</v>
      </c>
      <c r="I69" s="44">
        <f>IF(OR(Cashflow!I$111="C/I",Cashflow!I$111="Not yet producing"),0,IF(I$47-18*$I$7&lt;$I$4,0,(HLOOKUP(I$47-18*$I$7,$C$47:$AG$51,5,FALSE))))</f>
        <v>0</v>
      </c>
      <c r="J69" s="44">
        <f>IF(OR(Cashflow!J$111="C/I",Cashflow!J$111="Not yet producing"),0,IF(J$47-18*$I$7&lt;$I$4,0,(HLOOKUP(J$47-18*$I$7,$C$47:$AG$51,5,FALSE))))</f>
        <v>0</v>
      </c>
      <c r="K69" s="44">
        <f>IF(OR(Cashflow!K$111="C/I",Cashflow!K$111="Not yet producing"),0,IF(K$47-18*$I$7&lt;$I$4,0,(HLOOKUP(K$47-18*$I$7,$C$47:$AG$51,5,FALSE))))</f>
        <v>0</v>
      </c>
      <c r="L69" s="44">
        <f ca="1">IF(OR(Cashflow!L$111="C/I",Cashflow!L$111="Not yet producing"),0,IF(L$47-18*$I$7&lt;$I$4,0,(HLOOKUP(L$47-18*$I$7,$C$47:$AG$51,5,FALSE))))</f>
        <v>0</v>
      </c>
      <c r="M69" s="44">
        <f ca="1">IF(OR(Cashflow!M$111="C/I",Cashflow!M$111="Not yet producing"),0,IF(M$47-18*$I$7&lt;$I$4,0,(HLOOKUP(M$47-18*$I$7,$C$47:$AG$51,5,FALSE))))</f>
        <v>0</v>
      </c>
      <c r="N69" s="44">
        <f ca="1">IF(OR(Cashflow!N$111="C/I",Cashflow!N$111="Not yet producing"),0,IF(N$47-18*$I$7&lt;$I$4,0,(HLOOKUP(N$47-18*$I$7,$C$47:$AG$51,5,FALSE))))</f>
        <v>0</v>
      </c>
      <c r="O69" s="44">
        <f ca="1">IF(OR(Cashflow!O$111="C/I",Cashflow!O$111="Not yet producing"),0,IF(O$47-18*$I$7&lt;$I$4,0,(HLOOKUP(O$47-18*$I$7,$C$47:$AG$51,5,FALSE))))</f>
        <v>0</v>
      </c>
      <c r="P69" s="44">
        <f ca="1">IF(OR(Cashflow!P$111="C/I",Cashflow!P$111="Not yet producing"),0,IF(P$47-18*$I$7&lt;$I$4,0,(HLOOKUP(P$47-18*$I$7,$C$47:$AG$51,5,FALSE))))</f>
        <v>0</v>
      </c>
      <c r="Q69" s="44">
        <f ca="1">IF(OR(Cashflow!Q$111="C/I",Cashflow!Q$111="Not yet producing"),0,IF(Q$47-18*$I$7&lt;$I$4,0,(HLOOKUP(Q$47-18*$I$7,$C$47:$AG$51,5,FALSE))))</f>
        <v>0</v>
      </c>
      <c r="R69" s="44">
        <f ca="1">IF(OR(Cashflow!R$111="C/I",Cashflow!R$111="Not yet producing"),0,IF(R$47-18*$I$7&lt;$I$4,0,(HLOOKUP(R$47-18*$I$7,$C$47:$AG$51,5,FALSE))))</f>
        <v>0</v>
      </c>
      <c r="S69" s="44">
        <f ca="1">IF(OR(Cashflow!S$111="C/I",Cashflow!S$111="Not yet producing"),0,IF(S$47-18*$I$7&lt;$I$4,0,(HLOOKUP(S$47-18*$I$7,$C$47:$AG$51,5,FALSE))))</f>
        <v>0</v>
      </c>
      <c r="T69" s="44">
        <f ca="1">IF(OR(Cashflow!T$111="C/I",Cashflow!T$111="Not yet producing"),0,IF(T$47-18*$I$7&lt;$I$4,0,(HLOOKUP(T$47-18*$I$7,$C$47:$AG$51,5,FALSE))))</f>
        <v>0</v>
      </c>
      <c r="U69" s="44">
        <f ca="1">IF(OR(Cashflow!U$111="C/I",Cashflow!U$111="Not yet producing"),0,IF(U$47-18*$I$7&lt;$I$4,0,(HLOOKUP(U$47-18*$I$7,$C$47:$AG$51,5,FALSE))))</f>
        <v>0</v>
      </c>
      <c r="V69" s="44">
        <f ca="1">IF(OR(Cashflow!V$111="C/I",Cashflow!V$111="Not yet producing"),0,IF(V$47-18*$I$7&lt;$I$4,0,(HLOOKUP(V$47-18*$I$7,$C$47:$AG$51,5,FALSE))))</f>
        <v>0</v>
      </c>
      <c r="W69" s="44">
        <f ca="1">IF(OR(Cashflow!W$111="C/I",Cashflow!W$111="Not yet producing"),0,IF(W$47-18*$I$7&lt;$I$4,0,(HLOOKUP(W$47-18*$I$7,$C$47:$AG$51,5,FALSE))))</f>
        <v>0</v>
      </c>
      <c r="X69" s="44">
        <f ca="1">IF(OR(Cashflow!X$111="C/I",Cashflow!X$111="Not yet producing"),0,IF(X$47-18*$I$7&lt;$I$4,0,(HLOOKUP(X$47-18*$I$7,$C$47:$AG$51,5,FALSE))))</f>
        <v>0</v>
      </c>
      <c r="Y69" s="44">
        <f ca="1">IF(OR(Cashflow!Y$111="C/I",Cashflow!Y$111="Not yet producing"),0,IF(Y$47-18*$I$7&lt;$I$4,0,(HLOOKUP(Y$47-18*$I$7,$C$47:$AG$51,5,FALSE))))</f>
        <v>0</v>
      </c>
      <c r="Z69" s="44">
        <f ca="1">IF(OR(Cashflow!Z$111="C/I",Cashflow!Z$111="Not yet producing"),0,IF(Z$47-18*$I$7&lt;$I$4,0,(HLOOKUP(Z$47-18*$I$7,$C$47:$AG$51,5,FALSE))))</f>
        <v>0</v>
      </c>
      <c r="AA69" s="44">
        <f ca="1">IF(OR(Cashflow!AA$111="C/I",Cashflow!AA$111="Not yet producing"),0,IF(AA$47-18*$I$7&lt;$I$4,0,(HLOOKUP(AA$47-18*$I$7,$C$47:$AG$51,5,FALSE))))</f>
        <v>0</v>
      </c>
      <c r="AB69" s="44">
        <f ca="1">IF(OR(Cashflow!AB$111="C/I",Cashflow!AB$111="Not yet producing"),0,IF(AB$47-18*$I$7&lt;$I$4,0,(HLOOKUP(AB$47-18*$I$7,$C$47:$AG$51,5,FALSE))))</f>
        <v>0</v>
      </c>
      <c r="AC69" s="44">
        <f ca="1">IF(OR(Cashflow!AC$111="C/I",Cashflow!AC$111="Not yet producing"),0,IF(AC$47-18*$I$7&lt;$I$4,0,(HLOOKUP(AC$47-18*$I$7,$C$47:$AG$51,5,FALSE))))</f>
        <v>0</v>
      </c>
      <c r="AD69" s="44">
        <f ca="1">IF(OR(Cashflow!AD$111="C/I",Cashflow!AD$111="Not yet producing"),0,IF(AD$47-18*$I$7&lt;$I$4,0,(HLOOKUP(AD$47-18*$I$7,$C$47:$AG$51,5,FALSE))))</f>
        <v>0</v>
      </c>
      <c r="AE69" s="44">
        <f ca="1">IF(OR(Cashflow!AE$111="C/I",Cashflow!AE$111="Not yet producing"),0,IF(AE$47-18*$I$7&lt;$I$4,0,(HLOOKUP(AE$47-18*$I$7,$C$47:$AG$51,5,FALSE))))</f>
        <v>0</v>
      </c>
      <c r="AF69" s="44">
        <f ca="1">IF(OR(Cashflow!AF$111="C/I",Cashflow!AF$111="Not yet producing"),0,IF(AF$47-18*$I$7&lt;$I$4,0,(HLOOKUP(AF$47-18*$I$7,$C$47:$AG$51,5,FALSE))))</f>
        <v>0</v>
      </c>
      <c r="AG69" s="44">
        <f ca="1">IF(OR(Cashflow!AG$111="C/I",Cashflow!AG$111="Not yet producing"),0,IF(AG$47-18*$I$7&lt;$I$4,0,(HLOOKUP(AG$47-18*$I$7,$C$47:$AG$51,5,FALSE))))</f>
        <v>0</v>
      </c>
      <c r="AH69" s="19"/>
      <c r="AI69" s="19"/>
      <c r="AJ69" s="19"/>
      <c r="AK69" s="19"/>
      <c r="AL69" s="21"/>
      <c r="AM69" s="21"/>
      <c r="AN69" s="19"/>
      <c r="AO69" s="19"/>
      <c r="AP69" s="19"/>
      <c r="AQ69" s="19"/>
      <c r="AR69" s="326"/>
      <c r="AS69" s="326"/>
      <c r="AT69" s="326"/>
      <c r="AU69" s="326"/>
      <c r="AV69" s="326"/>
      <c r="AW69" s="326"/>
      <c r="AX69" s="326"/>
      <c r="AY69" s="326"/>
      <c r="AZ69" s="326"/>
      <c r="BA69" s="326"/>
      <c r="BB69" s="326"/>
    </row>
    <row r="70" spans="1:54" s="26" customFormat="1" ht="13.2">
      <c r="A70" s="19"/>
      <c r="B70" s="55" t="s">
        <v>1737</v>
      </c>
      <c r="C70" s="44">
        <f>IF(OR(Cashflow!C$111="C/I",Cashflow!C$111="Not yet producing"),0,IF(C$47-19*$I$7&lt;$I$4,0,(HLOOKUP(C$47-19*$I$7,$C$47:$AG$51,5,FALSE))))</f>
        <v>0</v>
      </c>
      <c r="D70" s="44">
        <f>IF(OR(Cashflow!D$111="C/I",Cashflow!D$111="Not yet producing"),0,IF(D$47-19*$I$7&lt;$I$4,0,(HLOOKUP(D$47-19*$I$7,$C$47:$AG$51,5,FALSE))))</f>
        <v>0</v>
      </c>
      <c r="E70" s="44">
        <f>IF(OR(Cashflow!E$111="C/I",Cashflow!E$111="Not yet producing"),0,IF(E$47-19*$I$7&lt;$I$4,0,(HLOOKUP(E$47-19*$I$7,$C$47:$AG$51,5,FALSE))))</f>
        <v>0</v>
      </c>
      <c r="F70" s="44">
        <f>IF(OR(Cashflow!F$111="C/I",Cashflow!F$111="Not yet producing"),0,IF(F$47-19*$I$7&lt;$I$4,0,(HLOOKUP(F$47-19*$I$7,$C$47:$AG$51,5,FALSE))))</f>
        <v>0</v>
      </c>
      <c r="G70" s="44">
        <f>IF(OR(Cashflow!G$111="C/I",Cashflow!G$111="Not yet producing"),0,IF(G$47-19*$I$7&lt;$I$4,0,(HLOOKUP(G$47-19*$I$7,$C$47:$AG$51,5,FALSE))))</f>
        <v>0</v>
      </c>
      <c r="H70" s="44">
        <f>IF(OR(Cashflow!H$111="C/I",Cashflow!H$111="Not yet producing"),0,IF(H$47-19*$I$7&lt;$I$4,0,(HLOOKUP(H$47-19*$I$7,$C$47:$AG$51,5,FALSE))))</f>
        <v>0</v>
      </c>
      <c r="I70" s="44">
        <f>IF(OR(Cashflow!I$111="C/I",Cashflow!I$111="Not yet producing"),0,IF(I$47-19*$I$7&lt;$I$4,0,(HLOOKUP(I$47-19*$I$7,$C$47:$AG$51,5,FALSE))))</f>
        <v>0</v>
      </c>
      <c r="J70" s="44">
        <f>IF(OR(Cashflow!J$111="C/I",Cashflow!J$111="Not yet producing"),0,IF(J$47-19*$I$7&lt;$I$4,0,(HLOOKUP(J$47-19*$I$7,$C$47:$AG$51,5,FALSE))))</f>
        <v>0</v>
      </c>
      <c r="K70" s="44">
        <f>IF(OR(Cashflow!K$111="C/I",Cashflow!K$111="Not yet producing"),0,IF(K$47-19*$I$7&lt;$I$4,0,(HLOOKUP(K$47-19*$I$7,$C$47:$AG$51,5,FALSE))))</f>
        <v>0</v>
      </c>
      <c r="L70" s="44">
        <f ca="1">IF(OR(Cashflow!L$111="C/I",Cashflow!L$111="Not yet producing"),0,IF(L$47-19*$I$7&lt;$I$4,0,(HLOOKUP(L$47-19*$I$7,$C$47:$AG$51,5,FALSE))))</f>
        <v>0</v>
      </c>
      <c r="M70" s="44">
        <f ca="1">IF(OR(Cashflow!M$111="C/I",Cashflow!M$111="Not yet producing"),0,IF(M$47-19*$I$7&lt;$I$4,0,(HLOOKUP(M$47-19*$I$7,$C$47:$AG$51,5,FALSE))))</f>
        <v>0</v>
      </c>
      <c r="N70" s="44">
        <f ca="1">IF(OR(Cashflow!N$111="C/I",Cashflow!N$111="Not yet producing"),0,IF(N$47-19*$I$7&lt;$I$4,0,(HLOOKUP(N$47-19*$I$7,$C$47:$AG$51,5,FALSE))))</f>
        <v>0</v>
      </c>
      <c r="O70" s="44">
        <f ca="1">IF(OR(Cashflow!O$111="C/I",Cashflow!O$111="Not yet producing"),0,IF(O$47-19*$I$7&lt;$I$4,0,(HLOOKUP(O$47-19*$I$7,$C$47:$AG$51,5,FALSE))))</f>
        <v>0</v>
      </c>
      <c r="P70" s="44">
        <f ca="1">IF(OR(Cashflow!P$111="C/I",Cashflow!P$111="Not yet producing"),0,IF(P$47-19*$I$7&lt;$I$4,0,(HLOOKUP(P$47-19*$I$7,$C$47:$AG$51,5,FALSE))))</f>
        <v>0</v>
      </c>
      <c r="Q70" s="44">
        <f ca="1">IF(OR(Cashflow!Q$111="C/I",Cashflow!Q$111="Not yet producing"),0,IF(Q$47-19*$I$7&lt;$I$4,0,(HLOOKUP(Q$47-19*$I$7,$C$47:$AG$51,5,FALSE))))</f>
        <v>0</v>
      </c>
      <c r="R70" s="44">
        <f ca="1">IF(OR(Cashflow!R$111="C/I",Cashflow!R$111="Not yet producing"),0,IF(R$47-19*$I$7&lt;$I$4,0,(HLOOKUP(R$47-19*$I$7,$C$47:$AG$51,5,FALSE))))</f>
        <v>0</v>
      </c>
      <c r="S70" s="44">
        <f ca="1">IF(OR(Cashflow!S$111="C/I",Cashflow!S$111="Not yet producing"),0,IF(S$47-19*$I$7&lt;$I$4,0,(HLOOKUP(S$47-19*$I$7,$C$47:$AG$51,5,FALSE))))</f>
        <v>0</v>
      </c>
      <c r="T70" s="44">
        <f ca="1">IF(OR(Cashflow!T$111="C/I",Cashflow!T$111="Not yet producing"),0,IF(T$47-19*$I$7&lt;$I$4,0,(HLOOKUP(T$47-19*$I$7,$C$47:$AG$51,5,FALSE))))</f>
        <v>0</v>
      </c>
      <c r="U70" s="44">
        <f ca="1">IF(OR(Cashflow!U$111="C/I",Cashflow!U$111="Not yet producing"),0,IF(U$47-19*$I$7&lt;$I$4,0,(HLOOKUP(U$47-19*$I$7,$C$47:$AG$51,5,FALSE))))</f>
        <v>0</v>
      </c>
      <c r="V70" s="44">
        <f ca="1">IF(OR(Cashflow!V$111="C/I",Cashflow!V$111="Not yet producing"),0,IF(V$47-19*$I$7&lt;$I$4,0,(HLOOKUP(V$47-19*$I$7,$C$47:$AG$51,5,FALSE))))</f>
        <v>0</v>
      </c>
      <c r="W70" s="44">
        <f ca="1">IF(OR(Cashflow!W$111="C/I",Cashflow!W$111="Not yet producing"),0,IF(W$47-19*$I$7&lt;$I$4,0,(HLOOKUP(W$47-19*$I$7,$C$47:$AG$51,5,FALSE))))</f>
        <v>0</v>
      </c>
      <c r="X70" s="44">
        <f ca="1">IF(OR(Cashflow!X$111="C/I",Cashflow!X$111="Not yet producing"),0,IF(X$47-19*$I$7&lt;$I$4,0,(HLOOKUP(X$47-19*$I$7,$C$47:$AG$51,5,FALSE))))</f>
        <v>0</v>
      </c>
      <c r="Y70" s="44">
        <f ca="1">IF(OR(Cashflow!Y$111="C/I",Cashflow!Y$111="Not yet producing"),0,IF(Y$47-19*$I$7&lt;$I$4,0,(HLOOKUP(Y$47-19*$I$7,$C$47:$AG$51,5,FALSE))))</f>
        <v>0</v>
      </c>
      <c r="Z70" s="44">
        <f ca="1">IF(OR(Cashflow!Z$111="C/I",Cashflow!Z$111="Not yet producing"),0,IF(Z$47-19*$I$7&lt;$I$4,0,(HLOOKUP(Z$47-19*$I$7,$C$47:$AG$51,5,FALSE))))</f>
        <v>0</v>
      </c>
      <c r="AA70" s="44">
        <f ca="1">IF(OR(Cashflow!AA$111="C/I",Cashflow!AA$111="Not yet producing"),0,IF(AA$47-19*$I$7&lt;$I$4,0,(HLOOKUP(AA$47-19*$I$7,$C$47:$AG$51,5,FALSE))))</f>
        <v>0</v>
      </c>
      <c r="AB70" s="44">
        <f ca="1">IF(OR(Cashflow!AB$111="C/I",Cashflow!AB$111="Not yet producing"),0,IF(AB$47-19*$I$7&lt;$I$4,0,(HLOOKUP(AB$47-19*$I$7,$C$47:$AG$51,5,FALSE))))</f>
        <v>0</v>
      </c>
      <c r="AC70" s="44">
        <f ca="1">IF(OR(Cashflow!AC$111="C/I",Cashflow!AC$111="Not yet producing"),0,IF(AC$47-19*$I$7&lt;$I$4,0,(HLOOKUP(AC$47-19*$I$7,$C$47:$AG$51,5,FALSE))))</f>
        <v>0</v>
      </c>
      <c r="AD70" s="44">
        <f ca="1">IF(OR(Cashflow!AD$111="C/I",Cashflow!AD$111="Not yet producing"),0,IF(AD$47-19*$I$7&lt;$I$4,0,(HLOOKUP(AD$47-19*$I$7,$C$47:$AG$51,5,FALSE))))</f>
        <v>0</v>
      </c>
      <c r="AE70" s="44">
        <f ca="1">IF(OR(Cashflow!AE$111="C/I",Cashflow!AE$111="Not yet producing"),0,IF(AE$47-19*$I$7&lt;$I$4,0,(HLOOKUP(AE$47-19*$I$7,$C$47:$AG$51,5,FALSE))))</f>
        <v>0</v>
      </c>
      <c r="AF70" s="44">
        <f ca="1">IF(OR(Cashflow!AF$111="C/I",Cashflow!AF$111="Not yet producing"),0,IF(AF$47-19*$I$7&lt;$I$4,0,(HLOOKUP(AF$47-19*$I$7,$C$47:$AG$51,5,FALSE))))</f>
        <v>0</v>
      </c>
      <c r="AG70" s="44">
        <f ca="1">IF(OR(Cashflow!AG$111="C/I",Cashflow!AG$111="Not yet producing"),0,IF(AG$47-19*$I$7&lt;$I$4,0,(HLOOKUP(AG$47-19*$I$7,$C$47:$AG$51,5,FALSE))))</f>
        <v>0</v>
      </c>
      <c r="AH70" s="19"/>
      <c r="AI70" s="19"/>
      <c r="AJ70" s="19"/>
      <c r="AK70" s="19"/>
      <c r="AL70" s="21"/>
      <c r="AM70" s="21"/>
      <c r="AN70" s="19"/>
      <c r="AO70" s="19"/>
      <c r="AP70" s="19"/>
      <c r="AQ70" s="19"/>
      <c r="AR70" s="326"/>
      <c r="AS70" s="326"/>
      <c r="AT70" s="326"/>
      <c r="AU70" s="326"/>
      <c r="AV70" s="326"/>
      <c r="AW70" s="326"/>
      <c r="AX70" s="326"/>
      <c r="AY70" s="326"/>
      <c r="AZ70" s="326"/>
      <c r="BA70" s="326"/>
      <c r="BB70" s="326"/>
    </row>
    <row r="71" spans="1:54" s="26" customFormat="1" ht="13.2">
      <c r="A71" s="19"/>
      <c r="B71" s="55" t="s">
        <v>1738</v>
      </c>
      <c r="C71" s="44">
        <f>IF(OR(Cashflow!C$111="C/I",Cashflow!C$111="Not yet producing"),0,IF(C$47-20*$I$7&lt;$I$4,0,(HLOOKUP(C$47-20*$I$7,$C$47:$AG$51,5,FALSE))))</f>
        <v>0</v>
      </c>
      <c r="D71" s="44">
        <f>IF(OR(Cashflow!D$111="C/I",Cashflow!D$111="Not yet producing"),0,IF(D$47-20*$I$7&lt;$I$4,0,(HLOOKUP(D$47-20*$I$7,$C$47:$AG$51,5,FALSE))))</f>
        <v>0</v>
      </c>
      <c r="E71" s="44">
        <f>IF(OR(Cashflow!E$111="C/I",Cashflow!E$111="Not yet producing"),0,IF(E$47-20*$I$7&lt;$I$4,0,(HLOOKUP(E$47-20*$I$7,$C$47:$AG$51,5,FALSE))))</f>
        <v>0</v>
      </c>
      <c r="F71" s="44">
        <f>IF(OR(Cashflow!F$111="C/I",Cashflow!F$111="Not yet producing"),0,IF(F$47-20*$I$7&lt;$I$4,0,(HLOOKUP(F$47-20*$I$7,$C$47:$AG$51,5,FALSE))))</f>
        <v>0</v>
      </c>
      <c r="G71" s="44">
        <f>IF(OR(Cashflow!G$111="C/I",Cashflow!G$111="Not yet producing"),0,IF(G$47-20*$I$7&lt;$I$4,0,(HLOOKUP(G$47-20*$I$7,$C$47:$AG$51,5,FALSE))))</f>
        <v>0</v>
      </c>
      <c r="H71" s="44">
        <f>IF(OR(Cashflow!H$111="C/I",Cashflow!H$111="Not yet producing"),0,IF(H$47-20*$I$7&lt;$I$4,0,(HLOOKUP(H$47-20*$I$7,$C$47:$AG$51,5,FALSE))))</f>
        <v>0</v>
      </c>
      <c r="I71" s="44">
        <f>IF(OR(Cashflow!I$111="C/I",Cashflow!I$111="Not yet producing"),0,IF(I$47-20*$I$7&lt;$I$4,0,(HLOOKUP(I$47-20*$I$7,$C$47:$AG$51,5,FALSE))))</f>
        <v>0</v>
      </c>
      <c r="J71" s="44">
        <f>IF(OR(Cashflow!J$111="C/I",Cashflow!J$111="Not yet producing"),0,IF(J$47-20*$I$7&lt;$I$4,0,(HLOOKUP(J$47-20*$I$7,$C$47:$AG$51,5,FALSE))))</f>
        <v>0</v>
      </c>
      <c r="K71" s="44">
        <f>IF(OR(Cashflow!K$111="C/I",Cashflow!K$111="Not yet producing"),0,IF(K$47-20*$I$7&lt;$I$4,0,(HLOOKUP(K$47-20*$I$7,$C$47:$AG$51,5,FALSE))))</f>
        <v>0</v>
      </c>
      <c r="L71" s="44">
        <f ca="1">IF(OR(Cashflow!L$111="C/I",Cashflow!L$111="Not yet producing"),0,IF(L$47-20*$I$7&lt;$I$4,0,(HLOOKUP(L$47-20*$I$7,$C$47:$AG$51,5,FALSE))))</f>
        <v>0</v>
      </c>
      <c r="M71" s="44">
        <f ca="1">IF(OR(Cashflow!M$111="C/I",Cashflow!M$111="Not yet producing"),0,IF(M$47-20*$I$7&lt;$I$4,0,(HLOOKUP(M$47-20*$I$7,$C$47:$AG$51,5,FALSE))))</f>
        <v>0</v>
      </c>
      <c r="N71" s="44">
        <f ca="1">IF(OR(Cashflow!N$111="C/I",Cashflow!N$111="Not yet producing"),0,IF(N$47-20*$I$7&lt;$I$4,0,(HLOOKUP(N$47-20*$I$7,$C$47:$AG$51,5,FALSE))))</f>
        <v>0</v>
      </c>
      <c r="O71" s="44">
        <f ca="1">IF(OR(Cashflow!O$111="C/I",Cashflow!O$111="Not yet producing"),0,IF(O$47-20*$I$7&lt;$I$4,0,(HLOOKUP(O$47-20*$I$7,$C$47:$AG$51,5,FALSE))))</f>
        <v>0</v>
      </c>
      <c r="P71" s="44">
        <f ca="1">IF(OR(Cashflow!P$111="C/I",Cashflow!P$111="Not yet producing"),0,IF(P$47-20*$I$7&lt;$I$4,0,(HLOOKUP(P$47-20*$I$7,$C$47:$AG$51,5,FALSE))))</f>
        <v>0</v>
      </c>
      <c r="Q71" s="44">
        <f ca="1">IF(OR(Cashflow!Q$111="C/I",Cashflow!Q$111="Not yet producing"),0,IF(Q$47-20*$I$7&lt;$I$4,0,(HLOOKUP(Q$47-20*$I$7,$C$47:$AG$51,5,FALSE))))</f>
        <v>0</v>
      </c>
      <c r="R71" s="44">
        <f ca="1">IF(OR(Cashflow!R$111="C/I",Cashflow!R$111="Not yet producing"),0,IF(R$47-20*$I$7&lt;$I$4,0,(HLOOKUP(R$47-20*$I$7,$C$47:$AG$51,5,FALSE))))</f>
        <v>0</v>
      </c>
      <c r="S71" s="44">
        <f ca="1">IF(OR(Cashflow!S$111="C/I",Cashflow!S$111="Not yet producing"),0,IF(S$47-20*$I$7&lt;$I$4,0,(HLOOKUP(S$47-20*$I$7,$C$47:$AG$51,5,FALSE))))</f>
        <v>0</v>
      </c>
      <c r="T71" s="44">
        <f ca="1">IF(OR(Cashflow!T$111="C/I",Cashflow!T$111="Not yet producing"),0,IF(T$47-20*$I$7&lt;$I$4,0,(HLOOKUP(T$47-20*$I$7,$C$47:$AG$51,5,FALSE))))</f>
        <v>0</v>
      </c>
      <c r="U71" s="44">
        <f ca="1">IF(OR(Cashflow!U$111="C/I",Cashflow!U$111="Not yet producing"),0,IF(U$47-20*$I$7&lt;$I$4,0,(HLOOKUP(U$47-20*$I$7,$C$47:$AG$51,5,FALSE))))</f>
        <v>0</v>
      </c>
      <c r="V71" s="44">
        <f ca="1">IF(OR(Cashflow!V$111="C/I",Cashflow!V$111="Not yet producing"),0,IF(V$47-20*$I$7&lt;$I$4,0,(HLOOKUP(V$47-20*$I$7,$C$47:$AG$51,5,FALSE))))</f>
        <v>0</v>
      </c>
      <c r="W71" s="44">
        <f ca="1">IF(OR(Cashflow!W$111="C/I",Cashflow!W$111="Not yet producing"),0,IF(W$47-20*$I$7&lt;$I$4,0,(HLOOKUP(W$47-20*$I$7,$C$47:$AG$51,5,FALSE))))</f>
        <v>0</v>
      </c>
      <c r="X71" s="44">
        <f ca="1">IF(OR(Cashflow!X$111="C/I",Cashflow!X$111="Not yet producing"),0,IF(X$47-20*$I$7&lt;$I$4,0,(HLOOKUP(X$47-20*$I$7,$C$47:$AG$51,5,FALSE))))</f>
        <v>0</v>
      </c>
      <c r="Y71" s="44">
        <f ca="1">IF(OR(Cashflow!Y$111="C/I",Cashflow!Y$111="Not yet producing"),0,IF(Y$47-20*$I$7&lt;$I$4,0,(HLOOKUP(Y$47-20*$I$7,$C$47:$AG$51,5,FALSE))))</f>
        <v>0</v>
      </c>
      <c r="Z71" s="44">
        <f ca="1">IF(OR(Cashflow!Z$111="C/I",Cashflow!Z$111="Not yet producing"),0,IF(Z$47-20*$I$7&lt;$I$4,0,(HLOOKUP(Z$47-20*$I$7,$C$47:$AG$51,5,FALSE))))</f>
        <v>0</v>
      </c>
      <c r="AA71" s="44">
        <f ca="1">IF(OR(Cashflow!AA$111="C/I",Cashflow!AA$111="Not yet producing"),0,IF(AA$47-20*$I$7&lt;$I$4,0,(HLOOKUP(AA$47-20*$I$7,$C$47:$AG$51,5,FALSE))))</f>
        <v>0</v>
      </c>
      <c r="AB71" s="44">
        <f ca="1">IF(OR(Cashflow!AB$111="C/I",Cashflow!AB$111="Not yet producing"),0,IF(AB$47-20*$I$7&lt;$I$4,0,(HLOOKUP(AB$47-20*$I$7,$C$47:$AG$51,5,FALSE))))</f>
        <v>0</v>
      </c>
      <c r="AC71" s="44">
        <f ca="1">IF(OR(Cashflow!AC$111="C/I",Cashflow!AC$111="Not yet producing"),0,IF(AC$47-20*$I$7&lt;$I$4,0,(HLOOKUP(AC$47-20*$I$7,$C$47:$AG$51,5,FALSE))))</f>
        <v>0</v>
      </c>
      <c r="AD71" s="44">
        <f ca="1">IF(OR(Cashflow!AD$111="C/I",Cashflow!AD$111="Not yet producing"),0,IF(AD$47-20*$I$7&lt;$I$4,0,(HLOOKUP(AD$47-20*$I$7,$C$47:$AG$51,5,FALSE))))</f>
        <v>0</v>
      </c>
      <c r="AE71" s="44">
        <f ca="1">IF(OR(Cashflow!AE$111="C/I",Cashflow!AE$111="Not yet producing"),0,IF(AE$47-20*$I$7&lt;$I$4,0,(HLOOKUP(AE$47-20*$I$7,$C$47:$AG$51,5,FALSE))))</f>
        <v>0</v>
      </c>
      <c r="AF71" s="44">
        <f ca="1">IF(OR(Cashflow!AF$111="C/I",Cashflow!AF$111="Not yet producing"),0,IF(AF$47-20*$I$7&lt;$I$4,0,(HLOOKUP(AF$47-20*$I$7,$C$47:$AG$51,5,FALSE))))</f>
        <v>0</v>
      </c>
      <c r="AG71" s="44">
        <f ca="1">IF(OR(Cashflow!AG$111="C/I",Cashflow!AG$111="Not yet producing"),0,IF(AG$47-20*$I$7&lt;$I$4,0,(HLOOKUP(AG$47-20*$I$7,$C$47:$AG$51,5,FALSE))))</f>
        <v>0</v>
      </c>
      <c r="AH71" s="19"/>
      <c r="AI71" s="19"/>
      <c r="AJ71" s="19"/>
      <c r="AK71" s="19"/>
      <c r="AL71" s="21"/>
      <c r="AM71" s="21"/>
      <c r="AN71" s="19"/>
      <c r="AO71" s="19"/>
      <c r="AP71" s="19"/>
      <c r="AQ71" s="19"/>
      <c r="AR71" s="326"/>
      <c r="AS71" s="326"/>
      <c r="AT71" s="326"/>
      <c r="AU71" s="326"/>
      <c r="AV71" s="326"/>
      <c r="AW71" s="326"/>
      <c r="AX71" s="326"/>
      <c r="AY71" s="326"/>
      <c r="AZ71" s="326"/>
      <c r="BA71" s="326"/>
      <c r="BB71" s="326"/>
    </row>
    <row r="72" spans="1:54" s="26" customFormat="1" ht="13.2">
      <c r="A72" s="19"/>
      <c r="B72" s="55" t="s">
        <v>1739</v>
      </c>
      <c r="C72" s="44">
        <f>IF(OR(Cashflow!C$111="C/I",Cashflow!C$111="Not yet producing"),0,IF(C$47-21*$I$7&lt;$I$4,0,(HLOOKUP(C$47-21*$I$7,$C$47:$AG$51,5,FALSE))))</f>
        <v>0</v>
      </c>
      <c r="D72" s="44">
        <f>IF(OR(Cashflow!D$111="C/I",Cashflow!D$111="Not yet producing"),0,IF(D$47-21*$I$7&lt;$I$4,0,(HLOOKUP(D$47-21*$I$7,$C$47:$AG$51,5,FALSE))))</f>
        <v>0</v>
      </c>
      <c r="E72" s="44">
        <f>IF(OR(Cashflow!E$111="C/I",Cashflow!E$111="Not yet producing"),0,IF(E$47-21*$I$7&lt;$I$4,0,(HLOOKUP(E$47-21*$I$7,$C$47:$AG$51,5,FALSE))))</f>
        <v>0</v>
      </c>
      <c r="F72" s="44">
        <f>IF(OR(Cashflow!F$111="C/I",Cashflow!F$111="Not yet producing"),0,IF(F$47-21*$I$7&lt;$I$4,0,(HLOOKUP(F$47-21*$I$7,$C$47:$AG$51,5,FALSE))))</f>
        <v>0</v>
      </c>
      <c r="G72" s="44">
        <f>IF(OR(Cashflow!G$111="C/I",Cashflow!G$111="Not yet producing"),0,IF(G$47-21*$I$7&lt;$I$4,0,(HLOOKUP(G$47-21*$I$7,$C$47:$AG$51,5,FALSE))))</f>
        <v>0</v>
      </c>
      <c r="H72" s="44">
        <f>IF(OR(Cashflow!H$111="C/I",Cashflow!H$111="Not yet producing"),0,IF(H$47-21*$I$7&lt;$I$4,0,(HLOOKUP(H$47-21*$I$7,$C$47:$AG$51,5,FALSE))))</f>
        <v>0</v>
      </c>
      <c r="I72" s="44">
        <f>IF(OR(Cashflow!I$111="C/I",Cashflow!I$111="Not yet producing"),0,IF(I$47-21*$I$7&lt;$I$4,0,(HLOOKUP(I$47-21*$I$7,$C$47:$AG$51,5,FALSE))))</f>
        <v>0</v>
      </c>
      <c r="J72" s="44">
        <f>IF(OR(Cashflow!J$111="C/I",Cashflow!J$111="Not yet producing"),0,IF(J$47-21*$I$7&lt;$I$4,0,(HLOOKUP(J$47-21*$I$7,$C$47:$AG$51,5,FALSE))))</f>
        <v>0</v>
      </c>
      <c r="K72" s="44">
        <f>IF(OR(Cashflow!K$111="C/I",Cashflow!K$111="Not yet producing"),0,IF(K$47-21*$I$7&lt;$I$4,0,(HLOOKUP(K$47-21*$I$7,$C$47:$AG$51,5,FALSE))))</f>
        <v>0</v>
      </c>
      <c r="L72" s="44">
        <f ca="1">IF(OR(Cashflow!L$111="C/I",Cashflow!L$111="Not yet producing"),0,IF(L$47-21*$I$7&lt;$I$4,0,(HLOOKUP(L$47-21*$I$7,$C$47:$AG$51,5,FALSE))))</f>
        <v>0</v>
      </c>
      <c r="M72" s="44">
        <f ca="1">IF(OR(Cashflow!M$111="C/I",Cashflow!M$111="Not yet producing"),0,IF(M$47-21*$I$7&lt;$I$4,0,(HLOOKUP(M$47-21*$I$7,$C$47:$AG$51,5,FALSE))))</f>
        <v>0</v>
      </c>
      <c r="N72" s="44">
        <f ca="1">IF(OR(Cashflow!N$111="C/I",Cashflow!N$111="Not yet producing"),0,IF(N$47-21*$I$7&lt;$I$4,0,(HLOOKUP(N$47-21*$I$7,$C$47:$AG$51,5,FALSE))))</f>
        <v>0</v>
      </c>
      <c r="O72" s="44">
        <f ca="1">IF(OR(Cashflow!O$111="C/I",Cashflow!O$111="Not yet producing"),0,IF(O$47-21*$I$7&lt;$I$4,0,(HLOOKUP(O$47-21*$I$7,$C$47:$AG$51,5,FALSE))))</f>
        <v>0</v>
      </c>
      <c r="P72" s="44">
        <f ca="1">IF(OR(Cashflow!P$111="C/I",Cashflow!P$111="Not yet producing"),0,IF(P$47-21*$I$7&lt;$I$4,0,(HLOOKUP(P$47-21*$I$7,$C$47:$AG$51,5,FALSE))))</f>
        <v>0</v>
      </c>
      <c r="Q72" s="44">
        <f ca="1">IF(OR(Cashflow!Q$111="C/I",Cashflow!Q$111="Not yet producing"),0,IF(Q$47-21*$I$7&lt;$I$4,0,(HLOOKUP(Q$47-21*$I$7,$C$47:$AG$51,5,FALSE))))</f>
        <v>0</v>
      </c>
      <c r="R72" s="44">
        <f ca="1">IF(OR(Cashflow!R$111="C/I",Cashflow!R$111="Not yet producing"),0,IF(R$47-21*$I$7&lt;$I$4,0,(HLOOKUP(R$47-21*$I$7,$C$47:$AG$51,5,FALSE))))</f>
        <v>0</v>
      </c>
      <c r="S72" s="44">
        <f ca="1">IF(OR(Cashflow!S$111="C/I",Cashflow!S$111="Not yet producing"),0,IF(S$47-21*$I$7&lt;$I$4,0,(HLOOKUP(S$47-21*$I$7,$C$47:$AG$51,5,FALSE))))</f>
        <v>0</v>
      </c>
      <c r="T72" s="44">
        <f ca="1">IF(OR(Cashflow!T$111="C/I",Cashflow!T$111="Not yet producing"),0,IF(T$47-21*$I$7&lt;$I$4,0,(HLOOKUP(T$47-21*$I$7,$C$47:$AG$51,5,FALSE))))</f>
        <v>0</v>
      </c>
      <c r="U72" s="44">
        <f ca="1">IF(OR(Cashflow!U$111="C/I",Cashflow!U$111="Not yet producing"),0,IF(U$47-21*$I$7&lt;$I$4,0,(HLOOKUP(U$47-21*$I$7,$C$47:$AG$51,5,FALSE))))</f>
        <v>0</v>
      </c>
      <c r="V72" s="44">
        <f ca="1">IF(OR(Cashflow!V$111="C/I",Cashflow!V$111="Not yet producing"),0,IF(V$47-21*$I$7&lt;$I$4,0,(HLOOKUP(V$47-21*$I$7,$C$47:$AG$51,5,FALSE))))</f>
        <v>0</v>
      </c>
      <c r="W72" s="44">
        <f ca="1">IF(OR(Cashflow!W$111="C/I",Cashflow!W$111="Not yet producing"),0,IF(W$47-21*$I$7&lt;$I$4,0,(HLOOKUP(W$47-21*$I$7,$C$47:$AG$51,5,FALSE))))</f>
        <v>0</v>
      </c>
      <c r="X72" s="44">
        <f ca="1">IF(OR(Cashflow!X$111="C/I",Cashflow!X$111="Not yet producing"),0,IF(X$47-21*$I$7&lt;$I$4,0,(HLOOKUP(X$47-21*$I$7,$C$47:$AG$51,5,FALSE))))</f>
        <v>0</v>
      </c>
      <c r="Y72" s="44">
        <f ca="1">IF(OR(Cashflow!Y$111="C/I",Cashflow!Y$111="Not yet producing"),0,IF(Y$47-21*$I$7&lt;$I$4,0,(HLOOKUP(Y$47-21*$I$7,$C$47:$AG$51,5,FALSE))))</f>
        <v>0</v>
      </c>
      <c r="Z72" s="44">
        <f ca="1">IF(OR(Cashflow!Z$111="C/I",Cashflow!Z$111="Not yet producing"),0,IF(Z$47-21*$I$7&lt;$I$4,0,(HLOOKUP(Z$47-21*$I$7,$C$47:$AG$51,5,FALSE))))</f>
        <v>0</v>
      </c>
      <c r="AA72" s="44">
        <f ca="1">IF(OR(Cashflow!AA$111="C/I",Cashflow!AA$111="Not yet producing"),0,IF(AA$47-21*$I$7&lt;$I$4,0,(HLOOKUP(AA$47-21*$I$7,$C$47:$AG$51,5,FALSE))))</f>
        <v>0</v>
      </c>
      <c r="AB72" s="44">
        <f ca="1">IF(OR(Cashflow!AB$111="C/I",Cashflow!AB$111="Not yet producing"),0,IF(AB$47-21*$I$7&lt;$I$4,0,(HLOOKUP(AB$47-21*$I$7,$C$47:$AG$51,5,FALSE))))</f>
        <v>0</v>
      </c>
      <c r="AC72" s="44">
        <f ca="1">IF(OR(Cashflow!AC$111="C/I",Cashflow!AC$111="Not yet producing"),0,IF(AC$47-21*$I$7&lt;$I$4,0,(HLOOKUP(AC$47-21*$I$7,$C$47:$AG$51,5,FALSE))))</f>
        <v>0</v>
      </c>
      <c r="AD72" s="44">
        <f ca="1">IF(OR(Cashflow!AD$111="C/I",Cashflow!AD$111="Not yet producing"),0,IF(AD$47-21*$I$7&lt;$I$4,0,(HLOOKUP(AD$47-21*$I$7,$C$47:$AG$51,5,FALSE))))</f>
        <v>0</v>
      </c>
      <c r="AE72" s="44">
        <f ca="1">IF(OR(Cashflow!AE$111="C/I",Cashflow!AE$111="Not yet producing"),0,IF(AE$47-21*$I$7&lt;$I$4,0,(HLOOKUP(AE$47-21*$I$7,$C$47:$AG$51,5,FALSE))))</f>
        <v>0</v>
      </c>
      <c r="AF72" s="44">
        <f ca="1">IF(OR(Cashflow!AF$111="C/I",Cashflow!AF$111="Not yet producing"),0,IF(AF$47-21*$I$7&lt;$I$4,0,(HLOOKUP(AF$47-21*$I$7,$C$47:$AG$51,5,FALSE))))</f>
        <v>0</v>
      </c>
      <c r="AG72" s="44">
        <f ca="1">IF(OR(Cashflow!AG$111="C/I",Cashflow!AG$111="Not yet producing"),0,IF(AG$47-21*$I$7&lt;$I$4,0,(HLOOKUP(AG$47-21*$I$7,$C$47:$AG$51,5,FALSE))))</f>
        <v>0</v>
      </c>
      <c r="AH72" s="19"/>
      <c r="AI72" s="19"/>
      <c r="AJ72" s="19"/>
      <c r="AK72" s="19"/>
      <c r="AL72" s="21"/>
      <c r="AM72" s="21"/>
      <c r="AN72" s="19"/>
      <c r="AO72" s="19"/>
      <c r="AP72" s="19"/>
      <c r="AQ72" s="19"/>
      <c r="AR72" s="326"/>
      <c r="AS72" s="326"/>
      <c r="AT72" s="326"/>
      <c r="AU72" s="326"/>
      <c r="AV72" s="326"/>
      <c r="AW72" s="326"/>
      <c r="AX72" s="326"/>
      <c r="AY72" s="326"/>
      <c r="AZ72" s="326"/>
      <c r="BA72" s="326"/>
      <c r="BB72" s="326"/>
    </row>
    <row r="73" spans="1:54" s="26" customFormat="1" ht="13.2">
      <c r="A73" s="19"/>
      <c r="B73" s="55" t="s">
        <v>1740</v>
      </c>
      <c r="C73" s="44">
        <f>IF(OR(Cashflow!C$111="C/I",Cashflow!C$111="Not yet producing"),0,IF(C$47-22*$I$7&lt;$I$4,0,(HLOOKUP(C$47-22*$I$7,$C$47:$AG$51,5,FALSE))))</f>
        <v>0</v>
      </c>
      <c r="D73" s="44">
        <f>IF(OR(Cashflow!D$111="C/I",Cashflow!D$111="Not yet producing"),0,IF(D$47-22*$I$7&lt;$I$4,0,(HLOOKUP(D$47-22*$I$7,$C$47:$AG$51,5,FALSE))))</f>
        <v>0</v>
      </c>
      <c r="E73" s="44">
        <f>IF(OR(Cashflow!E$111="C/I",Cashflow!E$111="Not yet producing"),0,IF(E$47-22*$I$7&lt;$I$4,0,(HLOOKUP(E$47-22*$I$7,$C$47:$AG$51,5,FALSE))))</f>
        <v>0</v>
      </c>
      <c r="F73" s="44">
        <f>IF(OR(Cashflow!F$111="C/I",Cashflow!F$111="Not yet producing"),0,IF(F$47-22*$I$7&lt;$I$4,0,(HLOOKUP(F$47-22*$I$7,$C$47:$AG$51,5,FALSE))))</f>
        <v>0</v>
      </c>
      <c r="G73" s="44">
        <f>IF(OR(Cashflow!G$111="C/I",Cashflow!G$111="Not yet producing"),0,IF(G$47-22*$I$7&lt;$I$4,0,(HLOOKUP(G$47-22*$I$7,$C$47:$AG$51,5,FALSE))))</f>
        <v>0</v>
      </c>
      <c r="H73" s="44">
        <f>IF(OR(Cashflow!H$111="C/I",Cashflow!H$111="Not yet producing"),0,IF(H$47-22*$I$7&lt;$I$4,0,(HLOOKUP(H$47-22*$I$7,$C$47:$AG$51,5,FALSE))))</f>
        <v>0</v>
      </c>
      <c r="I73" s="44">
        <f>IF(OR(Cashflow!I$111="C/I",Cashflow!I$111="Not yet producing"),0,IF(I$47-22*$I$7&lt;$I$4,0,(HLOOKUP(I$47-22*$I$7,$C$47:$AG$51,5,FALSE))))</f>
        <v>0</v>
      </c>
      <c r="J73" s="44">
        <f>IF(OR(Cashflow!J$111="C/I",Cashflow!J$111="Not yet producing"),0,IF(J$47-22*$I$7&lt;$I$4,0,(HLOOKUP(J$47-22*$I$7,$C$47:$AG$51,5,FALSE))))</f>
        <v>0</v>
      </c>
      <c r="K73" s="44">
        <f>IF(OR(Cashflow!K$111="C/I",Cashflow!K$111="Not yet producing"),0,IF(K$47-22*$I$7&lt;$I$4,0,(HLOOKUP(K$47-22*$I$7,$C$47:$AG$51,5,FALSE))))</f>
        <v>0</v>
      </c>
      <c r="L73" s="44">
        <f ca="1">IF(OR(Cashflow!L$111="C/I",Cashflow!L$111="Not yet producing"),0,IF(L$47-22*$I$7&lt;$I$4,0,(HLOOKUP(L$47-22*$I$7,$C$47:$AG$51,5,FALSE))))</f>
        <v>0</v>
      </c>
      <c r="M73" s="44">
        <f ca="1">IF(OR(Cashflow!M$111="C/I",Cashflow!M$111="Not yet producing"),0,IF(M$47-22*$I$7&lt;$I$4,0,(HLOOKUP(M$47-22*$I$7,$C$47:$AG$51,5,FALSE))))</f>
        <v>0</v>
      </c>
      <c r="N73" s="44">
        <f ca="1">IF(OR(Cashflow!N$111="C/I",Cashflow!N$111="Not yet producing"),0,IF(N$47-22*$I$7&lt;$I$4,0,(HLOOKUP(N$47-22*$I$7,$C$47:$AG$51,5,FALSE))))</f>
        <v>0</v>
      </c>
      <c r="O73" s="44">
        <f ca="1">IF(OR(Cashflow!O$111="C/I",Cashflow!O$111="Not yet producing"),0,IF(O$47-22*$I$7&lt;$I$4,0,(HLOOKUP(O$47-22*$I$7,$C$47:$AG$51,5,FALSE))))</f>
        <v>0</v>
      </c>
      <c r="P73" s="44">
        <f ca="1">IF(OR(Cashflow!P$111="C/I",Cashflow!P$111="Not yet producing"),0,IF(P$47-22*$I$7&lt;$I$4,0,(HLOOKUP(P$47-22*$I$7,$C$47:$AG$51,5,FALSE))))</f>
        <v>0</v>
      </c>
      <c r="Q73" s="44">
        <f ca="1">IF(OR(Cashflow!Q$111="C/I",Cashflow!Q$111="Not yet producing"),0,IF(Q$47-22*$I$7&lt;$I$4,0,(HLOOKUP(Q$47-22*$I$7,$C$47:$AG$51,5,FALSE))))</f>
        <v>0</v>
      </c>
      <c r="R73" s="44">
        <f ca="1">IF(OR(Cashflow!R$111="C/I",Cashflow!R$111="Not yet producing"),0,IF(R$47-22*$I$7&lt;$I$4,0,(HLOOKUP(R$47-22*$I$7,$C$47:$AG$51,5,FALSE))))</f>
        <v>0</v>
      </c>
      <c r="S73" s="44">
        <f ca="1">IF(OR(Cashflow!S$111="C/I",Cashflow!S$111="Not yet producing"),0,IF(S$47-22*$I$7&lt;$I$4,0,(HLOOKUP(S$47-22*$I$7,$C$47:$AG$51,5,FALSE))))</f>
        <v>0</v>
      </c>
      <c r="T73" s="44">
        <f ca="1">IF(OR(Cashflow!T$111="C/I",Cashflow!T$111="Not yet producing"),0,IF(T$47-22*$I$7&lt;$I$4,0,(HLOOKUP(T$47-22*$I$7,$C$47:$AG$51,5,FALSE))))</f>
        <v>0</v>
      </c>
      <c r="U73" s="44">
        <f ca="1">IF(OR(Cashflow!U$111="C/I",Cashflow!U$111="Not yet producing"),0,IF(U$47-22*$I$7&lt;$I$4,0,(HLOOKUP(U$47-22*$I$7,$C$47:$AG$51,5,FALSE))))</f>
        <v>0</v>
      </c>
      <c r="V73" s="44">
        <f ca="1">IF(OR(Cashflow!V$111="C/I",Cashflow!V$111="Not yet producing"),0,IF(V$47-22*$I$7&lt;$I$4,0,(HLOOKUP(V$47-22*$I$7,$C$47:$AG$51,5,FALSE))))</f>
        <v>0</v>
      </c>
      <c r="W73" s="44">
        <f ca="1">IF(OR(Cashflow!W$111="C/I",Cashflow!W$111="Not yet producing"),0,IF(W$47-22*$I$7&lt;$I$4,0,(HLOOKUP(W$47-22*$I$7,$C$47:$AG$51,5,FALSE))))</f>
        <v>0</v>
      </c>
      <c r="X73" s="44">
        <f ca="1">IF(OR(Cashflow!X$111="C/I",Cashflow!X$111="Not yet producing"),0,IF(X$47-22*$I$7&lt;$I$4,0,(HLOOKUP(X$47-22*$I$7,$C$47:$AG$51,5,FALSE))))</f>
        <v>0</v>
      </c>
      <c r="Y73" s="44">
        <f ca="1">IF(OR(Cashflow!Y$111="C/I",Cashflow!Y$111="Not yet producing"),0,IF(Y$47-22*$I$7&lt;$I$4,0,(HLOOKUP(Y$47-22*$I$7,$C$47:$AG$51,5,FALSE))))</f>
        <v>0</v>
      </c>
      <c r="Z73" s="44">
        <f ca="1">IF(OR(Cashflow!Z$111="C/I",Cashflow!Z$111="Not yet producing"),0,IF(Z$47-22*$I$7&lt;$I$4,0,(HLOOKUP(Z$47-22*$I$7,$C$47:$AG$51,5,FALSE))))</f>
        <v>0</v>
      </c>
      <c r="AA73" s="44">
        <f ca="1">IF(OR(Cashflow!AA$111="C/I",Cashflow!AA$111="Not yet producing"),0,IF(AA$47-22*$I$7&lt;$I$4,0,(HLOOKUP(AA$47-22*$I$7,$C$47:$AG$51,5,FALSE))))</f>
        <v>0</v>
      </c>
      <c r="AB73" s="44">
        <f ca="1">IF(OR(Cashflow!AB$111="C/I",Cashflow!AB$111="Not yet producing"),0,IF(AB$47-22*$I$7&lt;$I$4,0,(HLOOKUP(AB$47-22*$I$7,$C$47:$AG$51,5,FALSE))))</f>
        <v>0</v>
      </c>
      <c r="AC73" s="44">
        <f ca="1">IF(OR(Cashflow!AC$111="C/I",Cashflow!AC$111="Not yet producing"),0,IF(AC$47-22*$I$7&lt;$I$4,0,(HLOOKUP(AC$47-22*$I$7,$C$47:$AG$51,5,FALSE))))</f>
        <v>0</v>
      </c>
      <c r="AD73" s="44">
        <f ca="1">IF(OR(Cashflow!AD$111="C/I",Cashflow!AD$111="Not yet producing"),0,IF(AD$47-22*$I$7&lt;$I$4,0,(HLOOKUP(AD$47-22*$I$7,$C$47:$AG$51,5,FALSE))))</f>
        <v>0</v>
      </c>
      <c r="AE73" s="44">
        <f ca="1">IF(OR(Cashflow!AE$111="C/I",Cashflow!AE$111="Not yet producing"),0,IF(AE$47-22*$I$7&lt;$I$4,0,(HLOOKUP(AE$47-22*$I$7,$C$47:$AG$51,5,FALSE))))</f>
        <v>0</v>
      </c>
      <c r="AF73" s="44">
        <f ca="1">IF(OR(Cashflow!AF$111="C/I",Cashflow!AF$111="Not yet producing"),0,IF(AF$47-22*$I$7&lt;$I$4,0,(HLOOKUP(AF$47-22*$I$7,$C$47:$AG$51,5,FALSE))))</f>
        <v>0</v>
      </c>
      <c r="AG73" s="44">
        <f ca="1">IF(OR(Cashflow!AG$111="C/I",Cashflow!AG$111="Not yet producing"),0,IF(AG$47-22*$I$7&lt;$I$4,0,(HLOOKUP(AG$47-22*$I$7,$C$47:$AG$51,5,FALSE))))</f>
        <v>0</v>
      </c>
      <c r="AH73" s="19"/>
      <c r="AI73" s="19"/>
      <c r="AJ73" s="19"/>
      <c r="AK73" s="19"/>
      <c r="AL73" s="21"/>
      <c r="AM73" s="21"/>
      <c r="AN73" s="19"/>
      <c r="AO73" s="19"/>
      <c r="AP73" s="19"/>
      <c r="AQ73" s="19"/>
      <c r="AR73" s="326"/>
      <c r="AS73" s="326"/>
      <c r="AT73" s="326"/>
      <c r="AU73" s="326"/>
      <c r="AV73" s="326"/>
      <c r="AW73" s="326"/>
      <c r="AX73" s="326"/>
      <c r="AY73" s="326"/>
      <c r="AZ73" s="326"/>
      <c r="BA73" s="326"/>
      <c r="BB73" s="326"/>
    </row>
    <row r="74" spans="1:54" s="26" customFormat="1" ht="13.2">
      <c r="A74" s="19"/>
      <c r="B74" s="55" t="s">
        <v>1741</v>
      </c>
      <c r="C74" s="44">
        <f>IF(OR(Cashflow!C$111="C/I",Cashflow!C$111="Not yet producing"),0,IF(C$47-23*$I$7&lt;$I$4,0,(HLOOKUP(C$47-23*$I$7,$C$47:$AG$51,5,FALSE))))</f>
        <v>0</v>
      </c>
      <c r="D74" s="44">
        <f>IF(OR(Cashflow!D$111="C/I",Cashflow!D$111="Not yet producing"),0,IF(D$47-23*$I$7&lt;$I$4,0,(HLOOKUP(D$47-23*$I$7,$C$47:$AG$51,5,FALSE))))</f>
        <v>0</v>
      </c>
      <c r="E74" s="44">
        <f>IF(OR(Cashflow!E$111="C/I",Cashflow!E$111="Not yet producing"),0,IF(E$47-23*$I$7&lt;$I$4,0,(HLOOKUP(E$47-23*$I$7,$C$47:$AG$51,5,FALSE))))</f>
        <v>0</v>
      </c>
      <c r="F74" s="44">
        <f>IF(OR(Cashflow!F$111="C/I",Cashflow!F$111="Not yet producing"),0,IF(F$47-23*$I$7&lt;$I$4,0,(HLOOKUP(F$47-23*$I$7,$C$47:$AG$51,5,FALSE))))</f>
        <v>0</v>
      </c>
      <c r="G74" s="44">
        <f>IF(OR(Cashflow!G$111="C/I",Cashflow!G$111="Not yet producing"),0,IF(G$47-23*$I$7&lt;$I$4,0,(HLOOKUP(G$47-23*$I$7,$C$47:$AG$51,5,FALSE))))</f>
        <v>0</v>
      </c>
      <c r="H74" s="44">
        <f>IF(OR(Cashflow!H$111="C/I",Cashflow!H$111="Not yet producing"),0,IF(H$47-23*$I$7&lt;$I$4,0,(HLOOKUP(H$47-23*$I$7,$C$47:$AG$51,5,FALSE))))</f>
        <v>0</v>
      </c>
      <c r="I74" s="44">
        <f>IF(OR(Cashflow!I$111="C/I",Cashflow!I$111="Not yet producing"),0,IF(I$47-23*$I$7&lt;$I$4,0,(HLOOKUP(I$47-23*$I$7,$C$47:$AG$51,5,FALSE))))</f>
        <v>0</v>
      </c>
      <c r="J74" s="44">
        <f>IF(OR(Cashflow!J$111="C/I",Cashflow!J$111="Not yet producing"),0,IF(J$47-23*$I$7&lt;$I$4,0,(HLOOKUP(J$47-23*$I$7,$C$47:$AG$51,5,FALSE))))</f>
        <v>0</v>
      </c>
      <c r="K74" s="44">
        <f>IF(OR(Cashflow!K$111="C/I",Cashflow!K$111="Not yet producing"),0,IF(K$47-23*$I$7&lt;$I$4,0,(HLOOKUP(K$47-23*$I$7,$C$47:$AG$51,5,FALSE))))</f>
        <v>0</v>
      </c>
      <c r="L74" s="44">
        <f ca="1">IF(OR(Cashflow!L$111="C/I",Cashflow!L$111="Not yet producing"),0,IF(L$47-23*$I$7&lt;$I$4,0,(HLOOKUP(L$47-23*$I$7,$C$47:$AG$51,5,FALSE))))</f>
        <v>0</v>
      </c>
      <c r="M74" s="44">
        <f ca="1">IF(OR(Cashflow!M$111="C/I",Cashflow!M$111="Not yet producing"),0,IF(M$47-23*$I$7&lt;$I$4,0,(HLOOKUP(M$47-23*$I$7,$C$47:$AG$51,5,FALSE))))</f>
        <v>0</v>
      </c>
      <c r="N74" s="44">
        <f ca="1">IF(OR(Cashflow!N$111="C/I",Cashflow!N$111="Not yet producing"),0,IF(N$47-23*$I$7&lt;$I$4,0,(HLOOKUP(N$47-23*$I$7,$C$47:$AG$51,5,FALSE))))</f>
        <v>0</v>
      </c>
      <c r="O74" s="44">
        <f ca="1">IF(OR(Cashflow!O$111="C/I",Cashflow!O$111="Not yet producing"),0,IF(O$47-23*$I$7&lt;$I$4,0,(HLOOKUP(O$47-23*$I$7,$C$47:$AG$51,5,FALSE))))</f>
        <v>0</v>
      </c>
      <c r="P74" s="44">
        <f ca="1">IF(OR(Cashflow!P$111="C/I",Cashflow!P$111="Not yet producing"),0,IF(P$47-23*$I$7&lt;$I$4,0,(HLOOKUP(P$47-23*$I$7,$C$47:$AG$51,5,FALSE))))</f>
        <v>0</v>
      </c>
      <c r="Q74" s="44">
        <f ca="1">IF(OR(Cashflow!Q$111="C/I",Cashflow!Q$111="Not yet producing"),0,IF(Q$47-23*$I$7&lt;$I$4,0,(HLOOKUP(Q$47-23*$I$7,$C$47:$AG$51,5,FALSE))))</f>
        <v>0</v>
      </c>
      <c r="R74" s="44">
        <f ca="1">IF(OR(Cashflow!R$111="C/I",Cashflow!R$111="Not yet producing"),0,IF(R$47-23*$I$7&lt;$I$4,0,(HLOOKUP(R$47-23*$I$7,$C$47:$AG$51,5,FALSE))))</f>
        <v>0</v>
      </c>
      <c r="S74" s="44">
        <f ca="1">IF(OR(Cashflow!S$111="C/I",Cashflow!S$111="Not yet producing"),0,IF(S$47-23*$I$7&lt;$I$4,0,(HLOOKUP(S$47-23*$I$7,$C$47:$AG$51,5,FALSE))))</f>
        <v>0</v>
      </c>
      <c r="T74" s="44">
        <f ca="1">IF(OR(Cashflow!T$111="C/I",Cashflow!T$111="Not yet producing"),0,IF(T$47-23*$I$7&lt;$I$4,0,(HLOOKUP(T$47-23*$I$7,$C$47:$AG$51,5,FALSE))))</f>
        <v>0</v>
      </c>
      <c r="U74" s="44">
        <f ca="1">IF(OR(Cashflow!U$111="C/I",Cashflow!U$111="Not yet producing"),0,IF(U$47-23*$I$7&lt;$I$4,0,(HLOOKUP(U$47-23*$I$7,$C$47:$AG$51,5,FALSE))))</f>
        <v>0</v>
      </c>
      <c r="V74" s="44">
        <f ca="1">IF(OR(Cashflow!V$111="C/I",Cashflow!V$111="Not yet producing"),0,IF(V$47-23*$I$7&lt;$I$4,0,(HLOOKUP(V$47-23*$I$7,$C$47:$AG$51,5,FALSE))))</f>
        <v>0</v>
      </c>
      <c r="W74" s="44">
        <f ca="1">IF(OR(Cashflow!W$111="C/I",Cashflow!W$111="Not yet producing"),0,IF(W$47-23*$I$7&lt;$I$4,0,(HLOOKUP(W$47-23*$I$7,$C$47:$AG$51,5,FALSE))))</f>
        <v>0</v>
      </c>
      <c r="X74" s="44">
        <f ca="1">IF(OR(Cashflow!X$111="C/I",Cashflow!X$111="Not yet producing"),0,IF(X$47-23*$I$7&lt;$I$4,0,(HLOOKUP(X$47-23*$I$7,$C$47:$AG$51,5,FALSE))))</f>
        <v>0</v>
      </c>
      <c r="Y74" s="44">
        <f ca="1">IF(OR(Cashflow!Y$111="C/I",Cashflow!Y$111="Not yet producing"),0,IF(Y$47-23*$I$7&lt;$I$4,0,(HLOOKUP(Y$47-23*$I$7,$C$47:$AG$51,5,FALSE))))</f>
        <v>0</v>
      </c>
      <c r="Z74" s="44">
        <f ca="1">IF(OR(Cashflow!Z$111="C/I",Cashflow!Z$111="Not yet producing"),0,IF(Z$47-23*$I$7&lt;$I$4,0,(HLOOKUP(Z$47-23*$I$7,$C$47:$AG$51,5,FALSE))))</f>
        <v>0</v>
      </c>
      <c r="AA74" s="44">
        <f ca="1">IF(OR(Cashflow!AA$111="C/I",Cashflow!AA$111="Not yet producing"),0,IF(AA$47-23*$I$7&lt;$I$4,0,(HLOOKUP(AA$47-23*$I$7,$C$47:$AG$51,5,FALSE))))</f>
        <v>0</v>
      </c>
      <c r="AB74" s="44">
        <f ca="1">IF(OR(Cashflow!AB$111="C/I",Cashflow!AB$111="Not yet producing"),0,IF(AB$47-23*$I$7&lt;$I$4,0,(HLOOKUP(AB$47-23*$I$7,$C$47:$AG$51,5,FALSE))))</f>
        <v>0</v>
      </c>
      <c r="AC74" s="44">
        <f ca="1">IF(OR(Cashflow!AC$111="C/I",Cashflow!AC$111="Not yet producing"),0,IF(AC$47-23*$I$7&lt;$I$4,0,(HLOOKUP(AC$47-23*$I$7,$C$47:$AG$51,5,FALSE))))</f>
        <v>0</v>
      </c>
      <c r="AD74" s="44">
        <f ca="1">IF(OR(Cashflow!AD$111="C/I",Cashflow!AD$111="Not yet producing"),0,IF(AD$47-23*$I$7&lt;$I$4,0,(HLOOKUP(AD$47-23*$I$7,$C$47:$AG$51,5,FALSE))))</f>
        <v>0</v>
      </c>
      <c r="AE74" s="44">
        <f ca="1">IF(OR(Cashflow!AE$111="C/I",Cashflow!AE$111="Not yet producing"),0,IF(AE$47-23*$I$7&lt;$I$4,0,(HLOOKUP(AE$47-23*$I$7,$C$47:$AG$51,5,FALSE))))</f>
        <v>0</v>
      </c>
      <c r="AF74" s="44">
        <f ca="1">IF(OR(Cashflow!AF$111="C/I",Cashflow!AF$111="Not yet producing"),0,IF(AF$47-23*$I$7&lt;$I$4,0,(HLOOKUP(AF$47-23*$I$7,$C$47:$AG$51,5,FALSE))))</f>
        <v>0</v>
      </c>
      <c r="AG74" s="44">
        <f ca="1">IF(OR(Cashflow!AG$111="C/I",Cashflow!AG$111="Not yet producing"),0,IF(AG$47-23*$I$7&lt;$I$4,0,(HLOOKUP(AG$47-23*$I$7,$C$47:$AG$51,5,FALSE))))</f>
        <v>0</v>
      </c>
      <c r="AH74" s="19"/>
      <c r="AI74" s="19"/>
      <c r="AJ74" s="19"/>
      <c r="AK74" s="19"/>
      <c r="AL74" s="21"/>
      <c r="AM74" s="21"/>
      <c r="AN74" s="19"/>
      <c r="AO74" s="19"/>
      <c r="AP74" s="19"/>
      <c r="AQ74" s="19"/>
      <c r="AR74" s="326"/>
      <c r="AS74" s="326"/>
      <c r="AT74" s="326"/>
      <c r="AU74" s="326"/>
      <c r="AV74" s="326"/>
      <c r="AW74" s="326"/>
      <c r="AX74" s="326"/>
      <c r="AY74" s="326"/>
      <c r="AZ74" s="326"/>
      <c r="BA74" s="326"/>
      <c r="BB74" s="326"/>
    </row>
    <row r="75" spans="1:54" s="68" customFormat="1" ht="13.2">
      <c r="A75" s="19"/>
      <c r="B75" s="55" t="s">
        <v>1742</v>
      </c>
      <c r="C75" s="44">
        <f>IF(OR(Cashflow!C$111="C/I",Cashflow!C$111="Not yet producing"),0,IF(C$47-24*$I$7&lt;$I$4,0,(HLOOKUP(C$47-24*$I$7,$C$47:$AG$51,5,FALSE))))</f>
        <v>0</v>
      </c>
      <c r="D75" s="44">
        <f>IF(OR(Cashflow!D$111="C/I",Cashflow!D$111="Not yet producing"),0,IF(D$47-24*$I$7&lt;$I$4,0,(HLOOKUP(D$47-24*$I$7,$C$47:$AG$51,5,FALSE))))</f>
        <v>0</v>
      </c>
      <c r="E75" s="44">
        <f>IF(OR(Cashflow!E$111="C/I",Cashflow!E$111="Not yet producing"),0,IF(E$47-24*$I$7&lt;$I$4,0,(HLOOKUP(E$47-24*$I$7,$C$47:$AG$51,5,FALSE))))</f>
        <v>0</v>
      </c>
      <c r="F75" s="44">
        <f>IF(OR(Cashflow!F$111="C/I",Cashflow!F$111="Not yet producing"),0,IF(F$47-24*$I$7&lt;$I$4,0,(HLOOKUP(F$47-24*$I$7,$C$47:$AG$51,5,FALSE))))</f>
        <v>0</v>
      </c>
      <c r="G75" s="44">
        <f>IF(OR(Cashflow!G$111="C/I",Cashflow!G$111="Not yet producing"),0,IF(G$47-24*$I$7&lt;$I$4,0,(HLOOKUP(G$47-24*$I$7,$C$47:$AG$51,5,FALSE))))</f>
        <v>0</v>
      </c>
      <c r="H75" s="44">
        <f>IF(OR(Cashflow!H$111="C/I",Cashflow!H$111="Not yet producing"),0,IF(H$47-24*$I$7&lt;$I$4,0,(HLOOKUP(H$47-24*$I$7,$C$47:$AG$51,5,FALSE))))</f>
        <v>0</v>
      </c>
      <c r="I75" s="44">
        <f>IF(OR(Cashflow!I$111="C/I",Cashflow!I$111="Not yet producing"),0,IF(I$47-24*$I$7&lt;$I$4,0,(HLOOKUP(I$47-24*$I$7,$C$47:$AG$51,5,FALSE))))</f>
        <v>0</v>
      </c>
      <c r="J75" s="44">
        <f>IF(OR(Cashflow!J$111="C/I",Cashflow!J$111="Not yet producing"),0,IF(J$47-24*$I$7&lt;$I$4,0,(HLOOKUP(J$47-24*$I$7,$C$47:$AG$51,5,FALSE))))</f>
        <v>0</v>
      </c>
      <c r="K75" s="44">
        <f>IF(OR(Cashflow!K$111="C/I",Cashflow!K$111="Not yet producing"),0,IF(K$47-24*$I$7&lt;$I$4,0,(HLOOKUP(K$47-24*$I$7,$C$47:$AG$51,5,FALSE))))</f>
        <v>0</v>
      </c>
      <c r="L75" s="44">
        <f ca="1">IF(OR(Cashflow!L$111="C/I",Cashflow!L$111="Not yet producing"),0,IF(L$47-24*$I$7&lt;$I$4,0,(HLOOKUP(L$47-24*$I$7,$C$47:$AG$51,5,FALSE))))</f>
        <v>0</v>
      </c>
      <c r="M75" s="44">
        <f ca="1">IF(OR(Cashflow!M$111="C/I",Cashflow!M$111="Not yet producing"),0,IF(M$47-24*$I$7&lt;$I$4,0,(HLOOKUP(M$47-24*$I$7,$C$47:$AG$51,5,FALSE))))</f>
        <v>0</v>
      </c>
      <c r="N75" s="44">
        <f ca="1">IF(OR(Cashflow!N$111="C/I",Cashflow!N$111="Not yet producing"),0,IF(N$47-24*$I$7&lt;$I$4,0,(HLOOKUP(N$47-24*$I$7,$C$47:$AG$51,5,FALSE))))</f>
        <v>0</v>
      </c>
      <c r="O75" s="44">
        <f ca="1">IF(OR(Cashflow!O$111="C/I",Cashflow!O$111="Not yet producing"),0,IF(O$47-24*$I$7&lt;$I$4,0,(HLOOKUP(O$47-24*$I$7,$C$47:$AG$51,5,FALSE))))</f>
        <v>0</v>
      </c>
      <c r="P75" s="44">
        <f ca="1">IF(OR(Cashflow!P$111="C/I",Cashflow!P$111="Not yet producing"),0,IF(P$47-24*$I$7&lt;$I$4,0,(HLOOKUP(P$47-24*$I$7,$C$47:$AG$51,5,FALSE))))</f>
        <v>0</v>
      </c>
      <c r="Q75" s="44">
        <f ca="1">IF(OR(Cashflow!Q$111="C/I",Cashflow!Q$111="Not yet producing"),0,IF(Q$47-24*$I$7&lt;$I$4,0,(HLOOKUP(Q$47-24*$I$7,$C$47:$AG$51,5,FALSE))))</f>
        <v>0</v>
      </c>
      <c r="R75" s="44">
        <f ca="1">IF(OR(Cashflow!R$111="C/I",Cashflow!R$111="Not yet producing"),0,IF(R$47-24*$I$7&lt;$I$4,0,(HLOOKUP(R$47-24*$I$7,$C$47:$AG$51,5,FALSE))))</f>
        <v>0</v>
      </c>
      <c r="S75" s="44">
        <f ca="1">IF(OR(Cashflow!S$111="C/I",Cashflow!S$111="Not yet producing"),0,IF(S$47-24*$I$7&lt;$I$4,0,(HLOOKUP(S$47-24*$I$7,$C$47:$AG$51,5,FALSE))))</f>
        <v>0</v>
      </c>
      <c r="T75" s="44">
        <f ca="1">IF(OR(Cashflow!T$111="C/I",Cashflow!T$111="Not yet producing"),0,IF(T$47-24*$I$7&lt;$I$4,0,(HLOOKUP(T$47-24*$I$7,$C$47:$AG$51,5,FALSE))))</f>
        <v>0</v>
      </c>
      <c r="U75" s="44">
        <f ca="1">IF(OR(Cashflow!U$111="C/I",Cashflow!U$111="Not yet producing"),0,IF(U$47-24*$I$7&lt;$I$4,0,(HLOOKUP(U$47-24*$I$7,$C$47:$AG$51,5,FALSE))))</f>
        <v>0</v>
      </c>
      <c r="V75" s="44">
        <f ca="1">IF(OR(Cashflow!V$111="C/I",Cashflow!V$111="Not yet producing"),0,IF(V$47-24*$I$7&lt;$I$4,0,(HLOOKUP(V$47-24*$I$7,$C$47:$AG$51,5,FALSE))))</f>
        <v>0</v>
      </c>
      <c r="W75" s="44">
        <f ca="1">IF(OR(Cashflow!W$111="C/I",Cashflow!W$111="Not yet producing"),0,IF(W$47-24*$I$7&lt;$I$4,0,(HLOOKUP(W$47-24*$I$7,$C$47:$AG$51,5,FALSE))))</f>
        <v>0</v>
      </c>
      <c r="X75" s="44">
        <f ca="1">IF(OR(Cashflow!X$111="C/I",Cashflow!X$111="Not yet producing"),0,IF(X$47-24*$I$7&lt;$I$4,0,(HLOOKUP(X$47-24*$I$7,$C$47:$AG$51,5,FALSE))))</f>
        <v>0</v>
      </c>
      <c r="Y75" s="44">
        <f ca="1">IF(OR(Cashflow!Y$111="C/I",Cashflow!Y$111="Not yet producing"),0,IF(Y$47-24*$I$7&lt;$I$4,0,(HLOOKUP(Y$47-24*$I$7,$C$47:$AG$51,5,FALSE))))</f>
        <v>0</v>
      </c>
      <c r="Z75" s="44">
        <f ca="1">IF(OR(Cashflow!Z$111="C/I",Cashflow!Z$111="Not yet producing"),0,IF(Z$47-24*$I$7&lt;$I$4,0,(HLOOKUP(Z$47-24*$I$7,$C$47:$AG$51,5,FALSE))))</f>
        <v>0</v>
      </c>
      <c r="AA75" s="44">
        <f ca="1">IF(OR(Cashflow!AA$111="C/I",Cashflow!AA$111="Not yet producing"),0,IF(AA$47-24*$I$7&lt;$I$4,0,(HLOOKUP(AA$47-24*$I$7,$C$47:$AG$51,5,FALSE))))</f>
        <v>0</v>
      </c>
      <c r="AB75" s="44">
        <f ca="1">IF(OR(Cashflow!AB$111="C/I",Cashflow!AB$111="Not yet producing"),0,IF(AB$47-24*$I$7&lt;$I$4,0,(HLOOKUP(AB$47-24*$I$7,$C$47:$AG$51,5,FALSE))))</f>
        <v>0</v>
      </c>
      <c r="AC75" s="44">
        <f ca="1">IF(OR(Cashflow!AC$111="C/I",Cashflow!AC$111="Not yet producing"),0,IF(AC$47-24*$I$7&lt;$I$4,0,(HLOOKUP(AC$47-24*$I$7,$C$47:$AG$51,5,FALSE))))</f>
        <v>0</v>
      </c>
      <c r="AD75" s="44">
        <f ca="1">IF(OR(Cashflow!AD$111="C/I",Cashflow!AD$111="Not yet producing"),0,IF(AD$47-24*$I$7&lt;$I$4,0,(HLOOKUP(AD$47-24*$I$7,$C$47:$AG$51,5,FALSE))))</f>
        <v>0</v>
      </c>
      <c r="AE75" s="44">
        <f ca="1">IF(OR(Cashflow!AE$111="C/I",Cashflow!AE$111="Not yet producing"),0,IF(AE$47-24*$I$7&lt;$I$4,0,(HLOOKUP(AE$47-24*$I$7,$C$47:$AG$51,5,FALSE))))</f>
        <v>0</v>
      </c>
      <c r="AF75" s="44">
        <f ca="1">IF(OR(Cashflow!AF$111="C/I",Cashflow!AF$111="Not yet producing"),0,IF(AF$47-24*$I$7&lt;$I$4,0,(HLOOKUP(AF$47-24*$I$7,$C$47:$AG$51,5,FALSE))))</f>
        <v>0</v>
      </c>
      <c r="AG75" s="44">
        <f ca="1">IF(OR(Cashflow!AG$111="C/I",Cashflow!AG$111="Not yet producing"),0,IF(AG$47-24*$I$7&lt;$I$4,0,(HLOOKUP(AG$47-24*$I$7,$C$47:$AG$51,5,FALSE))))</f>
        <v>0</v>
      </c>
      <c r="AH75" s="19"/>
      <c r="AI75" s="19"/>
      <c r="AJ75" s="19"/>
      <c r="AK75" s="19"/>
      <c r="AL75" s="21"/>
      <c r="AM75" s="21"/>
      <c r="AN75" s="19"/>
      <c r="AO75" s="19"/>
      <c r="AP75" s="19"/>
      <c r="AQ75" s="19"/>
      <c r="AR75" s="326"/>
      <c r="AS75" s="326"/>
      <c r="AT75" s="326"/>
      <c r="AU75" s="326"/>
      <c r="AV75" s="326"/>
      <c r="AW75" s="326"/>
      <c r="AX75" s="326"/>
      <c r="AY75" s="326"/>
      <c r="AZ75" s="326"/>
      <c r="BA75" s="326"/>
      <c r="BB75" s="326"/>
    </row>
    <row r="76" spans="1:54" s="68" customFormat="1" ht="13.2">
      <c r="A76" s="19"/>
      <c r="B76" s="55" t="s">
        <v>1743</v>
      </c>
      <c r="C76" s="44">
        <f>IF(OR(Cashflow!C$111="C/I",Cashflow!C$111="Not yet producing"),0,IF(C$47-25*$I$7&lt;$I$4,0,(HLOOKUP(C$47-25*$I$7,$C$47:$AG$51,5,FALSE))))</f>
        <v>0</v>
      </c>
      <c r="D76" s="44">
        <f>IF(OR(Cashflow!D$111="C/I",Cashflow!D$111="Not yet producing"),0,IF(D$47-25*$I$7&lt;$I$4,0,(HLOOKUP(D$47-25*$I$7,$C$47:$AG$51,5,FALSE))))</f>
        <v>0</v>
      </c>
      <c r="E76" s="44">
        <f>IF(OR(Cashflow!E$111="C/I",Cashflow!E$111="Not yet producing"),0,IF(E$47-25*$I$7&lt;$I$4,0,(HLOOKUP(E$47-25*$I$7,$C$47:$AG$51,5,FALSE))))</f>
        <v>0</v>
      </c>
      <c r="F76" s="44">
        <f>IF(OR(Cashflow!F$111="C/I",Cashflow!F$111="Not yet producing"),0,IF(F$47-25*$I$7&lt;$I$4,0,(HLOOKUP(F$47-25*$I$7,$C$47:$AG$51,5,FALSE))))</f>
        <v>0</v>
      </c>
      <c r="G76" s="44">
        <f>IF(OR(Cashflow!G$111="C/I",Cashflow!G$111="Not yet producing"),0,IF(G$47-25*$I$7&lt;$I$4,0,(HLOOKUP(G$47-25*$I$7,$C$47:$AG$51,5,FALSE))))</f>
        <v>0</v>
      </c>
      <c r="H76" s="44">
        <f>IF(OR(Cashflow!H$111="C/I",Cashflow!H$111="Not yet producing"),0,IF(H$47-25*$I$7&lt;$I$4,0,(HLOOKUP(H$47-25*$I$7,$C$47:$AG$51,5,FALSE))))</f>
        <v>0</v>
      </c>
      <c r="I76" s="44">
        <f>IF(OR(Cashflow!I$111="C/I",Cashflow!I$111="Not yet producing"),0,IF(I$47-25*$I$7&lt;$I$4,0,(HLOOKUP(I$47-25*$I$7,$C$47:$AG$51,5,FALSE))))</f>
        <v>0</v>
      </c>
      <c r="J76" s="44">
        <f>IF(OR(Cashflow!J$111="C/I",Cashflow!J$111="Not yet producing"),0,IF(J$47-25*$I$7&lt;$I$4,0,(HLOOKUP(J$47-25*$I$7,$C$47:$AG$51,5,FALSE))))</f>
        <v>0</v>
      </c>
      <c r="K76" s="44">
        <f>IF(OR(Cashflow!K$111="C/I",Cashflow!K$111="Not yet producing"),0,IF(K$47-25*$I$7&lt;$I$4,0,(HLOOKUP(K$47-25*$I$7,$C$47:$AG$51,5,FALSE))))</f>
        <v>0</v>
      </c>
      <c r="L76" s="44">
        <f ca="1">IF(OR(Cashflow!L$111="C/I",Cashflow!L$111="Not yet producing"),0,IF(L$47-25*$I$7&lt;$I$4,0,(HLOOKUP(L$47-25*$I$7,$C$47:$AG$51,5,FALSE))))</f>
        <v>0</v>
      </c>
      <c r="M76" s="44">
        <f ca="1">IF(OR(Cashflow!M$111="C/I",Cashflow!M$111="Not yet producing"),0,IF(M$47-25*$I$7&lt;$I$4,0,(HLOOKUP(M$47-25*$I$7,$C$47:$AG$51,5,FALSE))))</f>
        <v>0</v>
      </c>
      <c r="N76" s="44">
        <f ca="1">IF(OR(Cashflow!N$111="C/I",Cashflow!N$111="Not yet producing"),0,IF(N$47-25*$I$7&lt;$I$4,0,(HLOOKUP(N$47-25*$I$7,$C$47:$AG$51,5,FALSE))))</f>
        <v>0</v>
      </c>
      <c r="O76" s="44">
        <f ca="1">IF(OR(Cashflow!O$111="C/I",Cashflow!O$111="Not yet producing"),0,IF(O$47-25*$I$7&lt;$I$4,0,(HLOOKUP(O$47-25*$I$7,$C$47:$AG$51,5,FALSE))))</f>
        <v>0</v>
      </c>
      <c r="P76" s="44">
        <f ca="1">IF(OR(Cashflow!P$111="C/I",Cashflow!P$111="Not yet producing"),0,IF(P$47-25*$I$7&lt;$I$4,0,(HLOOKUP(P$47-25*$I$7,$C$47:$AG$51,5,FALSE))))</f>
        <v>0</v>
      </c>
      <c r="Q76" s="44">
        <f ca="1">IF(OR(Cashflow!Q$111="C/I",Cashflow!Q$111="Not yet producing"),0,IF(Q$47-25*$I$7&lt;$I$4,0,(HLOOKUP(Q$47-25*$I$7,$C$47:$AG$51,5,FALSE))))</f>
        <v>0</v>
      </c>
      <c r="R76" s="44">
        <f ca="1">IF(OR(Cashflow!R$111="C/I",Cashflow!R$111="Not yet producing"),0,IF(R$47-25*$I$7&lt;$I$4,0,(HLOOKUP(R$47-25*$I$7,$C$47:$AG$51,5,FALSE))))</f>
        <v>0</v>
      </c>
      <c r="S76" s="44">
        <f ca="1">IF(OR(Cashflow!S$111="C/I",Cashflow!S$111="Not yet producing"),0,IF(S$47-25*$I$7&lt;$I$4,0,(HLOOKUP(S$47-25*$I$7,$C$47:$AG$51,5,FALSE))))</f>
        <v>0</v>
      </c>
      <c r="T76" s="44">
        <f ca="1">IF(OR(Cashflow!T$111="C/I",Cashflow!T$111="Not yet producing"),0,IF(T$47-25*$I$7&lt;$I$4,0,(HLOOKUP(T$47-25*$I$7,$C$47:$AG$51,5,FALSE))))</f>
        <v>0</v>
      </c>
      <c r="U76" s="44">
        <f ca="1">IF(OR(Cashflow!U$111="C/I",Cashflow!U$111="Not yet producing"),0,IF(U$47-25*$I$7&lt;$I$4,0,(HLOOKUP(U$47-25*$I$7,$C$47:$AG$51,5,FALSE))))</f>
        <v>0</v>
      </c>
      <c r="V76" s="44">
        <f ca="1">IF(OR(Cashflow!V$111="C/I",Cashflow!V$111="Not yet producing"),0,IF(V$47-25*$I$7&lt;$I$4,0,(HLOOKUP(V$47-25*$I$7,$C$47:$AG$51,5,FALSE))))</f>
        <v>0</v>
      </c>
      <c r="W76" s="44">
        <f ca="1">IF(OR(Cashflow!W$111="C/I",Cashflow!W$111="Not yet producing"),0,IF(W$47-25*$I$7&lt;$I$4,0,(HLOOKUP(W$47-25*$I$7,$C$47:$AG$51,5,FALSE))))</f>
        <v>0</v>
      </c>
      <c r="X76" s="44">
        <f ca="1">IF(OR(Cashflow!X$111="C/I",Cashflow!X$111="Not yet producing"),0,IF(X$47-25*$I$7&lt;$I$4,0,(HLOOKUP(X$47-25*$I$7,$C$47:$AG$51,5,FALSE))))</f>
        <v>0</v>
      </c>
      <c r="Y76" s="44">
        <f ca="1">IF(OR(Cashflow!Y$111="C/I",Cashflow!Y$111="Not yet producing"),0,IF(Y$47-25*$I$7&lt;$I$4,0,(HLOOKUP(Y$47-25*$I$7,$C$47:$AG$51,5,FALSE))))</f>
        <v>0</v>
      </c>
      <c r="Z76" s="44">
        <f ca="1">IF(OR(Cashflow!Z$111="C/I",Cashflow!Z$111="Not yet producing"),0,IF(Z$47-25*$I$7&lt;$I$4,0,(HLOOKUP(Z$47-25*$I$7,$C$47:$AG$51,5,FALSE))))</f>
        <v>0</v>
      </c>
      <c r="AA76" s="44">
        <f ca="1">IF(OR(Cashflow!AA$111="C/I",Cashflow!AA$111="Not yet producing"),0,IF(AA$47-25*$I$7&lt;$I$4,0,(HLOOKUP(AA$47-25*$I$7,$C$47:$AG$51,5,FALSE))))</f>
        <v>0</v>
      </c>
      <c r="AB76" s="44">
        <f ca="1">IF(OR(Cashflow!AB$111="C/I",Cashflow!AB$111="Not yet producing"),0,IF(AB$47-25*$I$7&lt;$I$4,0,(HLOOKUP(AB$47-25*$I$7,$C$47:$AG$51,5,FALSE))))</f>
        <v>0</v>
      </c>
      <c r="AC76" s="44">
        <f ca="1">IF(OR(Cashflow!AC$111="C/I",Cashflow!AC$111="Not yet producing"),0,IF(AC$47-25*$I$7&lt;$I$4,0,(HLOOKUP(AC$47-25*$I$7,$C$47:$AG$51,5,FALSE))))</f>
        <v>0</v>
      </c>
      <c r="AD76" s="44">
        <f ca="1">IF(OR(Cashflow!AD$111="C/I",Cashflow!AD$111="Not yet producing"),0,IF(AD$47-25*$I$7&lt;$I$4,0,(HLOOKUP(AD$47-25*$I$7,$C$47:$AG$51,5,FALSE))))</f>
        <v>0</v>
      </c>
      <c r="AE76" s="44">
        <f ca="1">IF(OR(Cashflow!AE$111="C/I",Cashflow!AE$111="Not yet producing"),0,IF(AE$47-25*$I$7&lt;$I$4,0,(HLOOKUP(AE$47-25*$I$7,$C$47:$AG$51,5,FALSE))))</f>
        <v>0</v>
      </c>
      <c r="AF76" s="44">
        <f ca="1">IF(OR(Cashflow!AF$111="C/I",Cashflow!AF$111="Not yet producing"),0,IF(AF$47-25*$I$7&lt;$I$4,0,(HLOOKUP(AF$47-25*$I$7,$C$47:$AG$51,5,FALSE))))</f>
        <v>0</v>
      </c>
      <c r="AG76" s="44">
        <f ca="1">IF(OR(Cashflow!AG$111="C/I",Cashflow!AG$111="Not yet producing"),0,IF(AG$47-25*$I$7&lt;$I$4,0,(HLOOKUP(AG$47-25*$I$7,$C$47:$AG$51,5,FALSE))))</f>
        <v>0</v>
      </c>
      <c r="AH76" s="19"/>
      <c r="AI76" s="19"/>
      <c r="AJ76" s="19"/>
      <c r="AK76" s="19"/>
      <c r="AL76" s="21"/>
      <c r="AM76" s="21"/>
      <c r="AN76" s="19"/>
      <c r="AO76" s="19"/>
      <c r="AP76" s="19"/>
      <c r="AQ76" s="19"/>
      <c r="AR76" s="326"/>
      <c r="AS76" s="326"/>
      <c r="AT76" s="326"/>
      <c r="AU76" s="326"/>
      <c r="AV76" s="326"/>
      <c r="AW76" s="326"/>
      <c r="AX76" s="326"/>
      <c r="AY76" s="326"/>
      <c r="AZ76" s="326"/>
      <c r="BA76" s="326"/>
      <c r="BB76" s="326"/>
    </row>
    <row r="77" spans="1:54" s="68" customFormat="1" ht="13.2">
      <c r="A77" s="19"/>
      <c r="B77" s="55" t="s">
        <v>1744</v>
      </c>
      <c r="C77" s="44">
        <f>IF(OR(Cashflow!C$111="C/I",Cashflow!C$111="Not yet producing"),0,IF(C$47-26*$I$7&lt;$I$4,0,(HLOOKUP(C$47-26*$I$7,$C$47:$AG$51,5,FALSE))))</f>
        <v>0</v>
      </c>
      <c r="D77" s="44">
        <f>IF(OR(Cashflow!D$111="C/I",Cashflow!D$111="Not yet producing"),0,IF(D$47-26*$I$7&lt;$I$4,0,(HLOOKUP(D$47-26*$I$7,$C$47:$AG$51,5,FALSE))))</f>
        <v>0</v>
      </c>
      <c r="E77" s="44">
        <f>IF(OR(Cashflow!E$111="C/I",Cashflow!E$111="Not yet producing"),0,IF(E$47-26*$I$7&lt;$I$4,0,(HLOOKUP(E$47-26*$I$7,$C$47:$AG$51,5,FALSE))))</f>
        <v>0</v>
      </c>
      <c r="F77" s="44">
        <f>IF(OR(Cashflow!F$111="C/I",Cashflow!F$111="Not yet producing"),0,IF(F$47-26*$I$7&lt;$I$4,0,(HLOOKUP(F$47-26*$I$7,$C$47:$AG$51,5,FALSE))))</f>
        <v>0</v>
      </c>
      <c r="G77" s="44">
        <f>IF(OR(Cashflow!G$111="C/I",Cashflow!G$111="Not yet producing"),0,IF(G$47-26*$I$7&lt;$I$4,0,(HLOOKUP(G$47-26*$I$7,$C$47:$AG$51,5,FALSE))))</f>
        <v>0</v>
      </c>
      <c r="H77" s="44">
        <f>IF(OR(Cashflow!H$111="C/I",Cashflow!H$111="Not yet producing"),0,IF(H$47-26*$I$7&lt;$I$4,0,(HLOOKUP(H$47-26*$I$7,$C$47:$AG$51,5,FALSE))))</f>
        <v>0</v>
      </c>
      <c r="I77" s="44">
        <f>IF(OR(Cashflow!I$111="C/I",Cashflow!I$111="Not yet producing"),0,IF(I$47-26*$I$7&lt;$I$4,0,(HLOOKUP(I$47-26*$I$7,$C$47:$AG$51,5,FALSE))))</f>
        <v>0</v>
      </c>
      <c r="J77" s="44">
        <f>IF(OR(Cashflow!J$111="C/I",Cashflow!J$111="Not yet producing"),0,IF(J$47-26*$I$7&lt;$I$4,0,(HLOOKUP(J$47-26*$I$7,$C$47:$AG$51,5,FALSE))))</f>
        <v>0</v>
      </c>
      <c r="K77" s="44">
        <f>IF(OR(Cashflow!K$111="C/I",Cashflow!K$111="Not yet producing"),0,IF(K$47-26*$I$7&lt;$I$4,0,(HLOOKUP(K$47-26*$I$7,$C$47:$AG$51,5,FALSE))))</f>
        <v>0</v>
      </c>
      <c r="L77" s="44">
        <f ca="1">IF(OR(Cashflow!L$111="C/I",Cashflow!L$111="Not yet producing"),0,IF(L$47-26*$I$7&lt;$I$4,0,(HLOOKUP(L$47-26*$I$7,$C$47:$AG$51,5,FALSE))))</f>
        <v>0</v>
      </c>
      <c r="M77" s="44">
        <f ca="1">IF(OR(Cashflow!M$111="C/I",Cashflow!M$111="Not yet producing"),0,IF(M$47-26*$I$7&lt;$I$4,0,(HLOOKUP(M$47-26*$I$7,$C$47:$AG$51,5,FALSE))))</f>
        <v>0</v>
      </c>
      <c r="N77" s="44">
        <f ca="1">IF(OR(Cashflow!N$111="C/I",Cashflow!N$111="Not yet producing"),0,IF(N$47-26*$I$7&lt;$I$4,0,(HLOOKUP(N$47-26*$I$7,$C$47:$AG$51,5,FALSE))))</f>
        <v>0</v>
      </c>
      <c r="O77" s="44">
        <f ca="1">IF(OR(Cashflow!O$111="C/I",Cashflow!O$111="Not yet producing"),0,IF(O$47-26*$I$7&lt;$I$4,0,(HLOOKUP(O$47-26*$I$7,$C$47:$AG$51,5,FALSE))))</f>
        <v>0</v>
      </c>
      <c r="P77" s="44">
        <f ca="1">IF(OR(Cashflow!P$111="C/I",Cashflow!P$111="Not yet producing"),0,IF(P$47-26*$I$7&lt;$I$4,0,(HLOOKUP(P$47-26*$I$7,$C$47:$AG$51,5,FALSE))))</f>
        <v>0</v>
      </c>
      <c r="Q77" s="44">
        <f ca="1">IF(OR(Cashflow!Q$111="C/I",Cashflow!Q$111="Not yet producing"),0,IF(Q$47-26*$I$7&lt;$I$4,0,(HLOOKUP(Q$47-26*$I$7,$C$47:$AG$51,5,FALSE))))</f>
        <v>0</v>
      </c>
      <c r="R77" s="44">
        <f ca="1">IF(OR(Cashflow!R$111="C/I",Cashflow!R$111="Not yet producing"),0,IF(R$47-26*$I$7&lt;$I$4,0,(HLOOKUP(R$47-26*$I$7,$C$47:$AG$51,5,FALSE))))</f>
        <v>0</v>
      </c>
      <c r="S77" s="44">
        <f ca="1">IF(OR(Cashflow!S$111="C/I",Cashflow!S$111="Not yet producing"),0,IF(S$47-26*$I$7&lt;$I$4,0,(HLOOKUP(S$47-26*$I$7,$C$47:$AG$51,5,FALSE))))</f>
        <v>0</v>
      </c>
      <c r="T77" s="44">
        <f ca="1">IF(OR(Cashflow!T$111="C/I",Cashflow!T$111="Not yet producing"),0,IF(T$47-26*$I$7&lt;$I$4,0,(HLOOKUP(T$47-26*$I$7,$C$47:$AG$51,5,FALSE))))</f>
        <v>0</v>
      </c>
      <c r="U77" s="44">
        <f ca="1">IF(OR(Cashflow!U$111="C/I",Cashflow!U$111="Not yet producing"),0,IF(U$47-26*$I$7&lt;$I$4,0,(HLOOKUP(U$47-26*$I$7,$C$47:$AG$51,5,FALSE))))</f>
        <v>0</v>
      </c>
      <c r="V77" s="44">
        <f ca="1">IF(OR(Cashflow!V$111="C/I",Cashflow!V$111="Not yet producing"),0,IF(V$47-26*$I$7&lt;$I$4,0,(HLOOKUP(V$47-26*$I$7,$C$47:$AG$51,5,FALSE))))</f>
        <v>0</v>
      </c>
      <c r="W77" s="44">
        <f ca="1">IF(OR(Cashflow!W$111="C/I",Cashflow!W$111="Not yet producing"),0,IF(W$47-26*$I$7&lt;$I$4,0,(HLOOKUP(W$47-26*$I$7,$C$47:$AG$51,5,FALSE))))</f>
        <v>0</v>
      </c>
      <c r="X77" s="44">
        <f ca="1">IF(OR(Cashflow!X$111="C/I",Cashflow!X$111="Not yet producing"),0,IF(X$47-26*$I$7&lt;$I$4,0,(HLOOKUP(X$47-26*$I$7,$C$47:$AG$51,5,FALSE))))</f>
        <v>0</v>
      </c>
      <c r="Y77" s="44">
        <f ca="1">IF(OR(Cashflow!Y$111="C/I",Cashflow!Y$111="Not yet producing"),0,IF(Y$47-26*$I$7&lt;$I$4,0,(HLOOKUP(Y$47-26*$I$7,$C$47:$AG$51,5,FALSE))))</f>
        <v>0</v>
      </c>
      <c r="Z77" s="44">
        <f ca="1">IF(OR(Cashflow!Z$111="C/I",Cashflow!Z$111="Not yet producing"),0,IF(Z$47-26*$I$7&lt;$I$4,0,(HLOOKUP(Z$47-26*$I$7,$C$47:$AG$51,5,FALSE))))</f>
        <v>0</v>
      </c>
      <c r="AA77" s="44">
        <f ca="1">IF(OR(Cashflow!AA$111="C/I",Cashflow!AA$111="Not yet producing"),0,IF(AA$47-26*$I$7&lt;$I$4,0,(HLOOKUP(AA$47-26*$I$7,$C$47:$AG$51,5,FALSE))))</f>
        <v>0</v>
      </c>
      <c r="AB77" s="44">
        <f ca="1">IF(OR(Cashflow!AB$111="C/I",Cashflow!AB$111="Not yet producing"),0,IF(AB$47-26*$I$7&lt;$I$4,0,(HLOOKUP(AB$47-26*$I$7,$C$47:$AG$51,5,FALSE))))</f>
        <v>0</v>
      </c>
      <c r="AC77" s="44">
        <f ca="1">IF(OR(Cashflow!AC$111="C/I",Cashflow!AC$111="Not yet producing"),0,IF(AC$47-26*$I$7&lt;$I$4,0,(HLOOKUP(AC$47-26*$I$7,$C$47:$AG$51,5,FALSE))))</f>
        <v>0</v>
      </c>
      <c r="AD77" s="44">
        <f ca="1">IF(OR(Cashflow!AD$111="C/I",Cashflow!AD$111="Not yet producing"),0,IF(AD$47-26*$I$7&lt;$I$4,0,(HLOOKUP(AD$47-26*$I$7,$C$47:$AG$51,5,FALSE))))</f>
        <v>0</v>
      </c>
      <c r="AE77" s="44">
        <f ca="1">IF(OR(Cashflow!AE$111="C/I",Cashflow!AE$111="Not yet producing"),0,IF(AE$47-26*$I$7&lt;$I$4,0,(HLOOKUP(AE$47-26*$I$7,$C$47:$AG$51,5,FALSE))))</f>
        <v>0</v>
      </c>
      <c r="AF77" s="44">
        <f ca="1">IF(OR(Cashflow!AF$111="C/I",Cashflow!AF$111="Not yet producing"),0,IF(AF$47-26*$I$7&lt;$I$4,0,(HLOOKUP(AF$47-26*$I$7,$C$47:$AG$51,5,FALSE))))</f>
        <v>0</v>
      </c>
      <c r="AG77" s="44">
        <f ca="1">IF(OR(Cashflow!AG$111="C/I",Cashflow!AG$111="Not yet producing"),0,IF(AG$47-26*$I$7&lt;$I$4,0,(HLOOKUP(AG$47-26*$I$7,$C$47:$AG$51,5,FALSE))))</f>
        <v>0</v>
      </c>
      <c r="AH77" s="19"/>
      <c r="AI77" s="19"/>
      <c r="AJ77" s="19"/>
      <c r="AK77" s="19"/>
      <c r="AL77" s="21"/>
      <c r="AM77" s="21"/>
      <c r="AN77" s="19"/>
      <c r="AO77" s="19"/>
      <c r="AP77" s="19"/>
      <c r="AQ77" s="19"/>
      <c r="AR77" s="326"/>
      <c r="AS77" s="326"/>
      <c r="AT77" s="326"/>
      <c r="AU77" s="326"/>
      <c r="AV77" s="326"/>
      <c r="AW77" s="326"/>
      <c r="AX77" s="326"/>
      <c r="AY77" s="326"/>
      <c r="AZ77" s="326"/>
      <c r="BA77" s="326"/>
      <c r="BB77" s="326"/>
    </row>
    <row r="78" spans="1:54" s="78" customFormat="1" ht="13.2">
      <c r="A78" s="19"/>
      <c r="B78" s="55" t="s">
        <v>1745</v>
      </c>
      <c r="C78" s="44">
        <f>IF(OR(Cashflow!C$111="C/I",Cashflow!C$111="Not yet producing"),0,IF(C$47-27*$I$7&lt;$I$4,0,(HLOOKUP(C$47-27*$I$7,$C$47:$AG$51,5,FALSE))))</f>
        <v>0</v>
      </c>
      <c r="D78" s="44">
        <f>IF(OR(Cashflow!D$111="C/I",Cashflow!D$111="Not yet producing"),0,IF(D$47-27*$I$7&lt;$I$4,0,(HLOOKUP(D$47-27*$I$7,$C$47:$AG$51,5,FALSE))))</f>
        <v>0</v>
      </c>
      <c r="E78" s="44">
        <f>IF(OR(Cashflow!E$111="C/I",Cashflow!E$111="Not yet producing"),0,IF(E$47-27*$I$7&lt;$I$4,0,(HLOOKUP(E$47-27*$I$7,$C$47:$AG$51,5,FALSE))))</f>
        <v>0</v>
      </c>
      <c r="F78" s="44">
        <f>IF(OR(Cashflow!F$111="C/I",Cashflow!F$111="Not yet producing"),0,IF(F$47-27*$I$7&lt;$I$4,0,(HLOOKUP(F$47-27*$I$7,$C$47:$AG$51,5,FALSE))))</f>
        <v>0</v>
      </c>
      <c r="G78" s="44">
        <f>IF(OR(Cashflow!G$111="C/I",Cashflow!G$111="Not yet producing"),0,IF(G$47-27*$I$7&lt;$I$4,0,(HLOOKUP(G$47-27*$I$7,$C$47:$AG$51,5,FALSE))))</f>
        <v>0</v>
      </c>
      <c r="H78" s="44">
        <f>IF(OR(Cashflow!H$111="C/I",Cashflow!H$111="Not yet producing"),0,IF(H$47-27*$I$7&lt;$I$4,0,(HLOOKUP(H$47-27*$I$7,$C$47:$AG$51,5,FALSE))))</f>
        <v>0</v>
      </c>
      <c r="I78" s="44">
        <f>IF(OR(Cashflow!I$111="C/I",Cashflow!I$111="Not yet producing"),0,IF(I$47-27*$I$7&lt;$I$4,0,(HLOOKUP(I$47-27*$I$7,$C$47:$AG$51,5,FALSE))))</f>
        <v>0</v>
      </c>
      <c r="J78" s="44">
        <f>IF(OR(Cashflow!J$111="C/I",Cashflow!J$111="Not yet producing"),0,IF(J$47-27*$I$7&lt;$I$4,0,(HLOOKUP(J$47-27*$I$7,$C$47:$AG$51,5,FALSE))))</f>
        <v>0</v>
      </c>
      <c r="K78" s="44">
        <f>IF(OR(Cashflow!K$111="C/I",Cashflow!K$111="Not yet producing"),0,IF(K$47-27*$I$7&lt;$I$4,0,(HLOOKUP(K$47-27*$I$7,$C$47:$AG$51,5,FALSE))))</f>
        <v>0</v>
      </c>
      <c r="L78" s="44">
        <f ca="1">IF(OR(Cashflow!L$111="C/I",Cashflow!L$111="Not yet producing"),0,IF(L$47-27*$I$7&lt;$I$4,0,(HLOOKUP(L$47-27*$I$7,$C$47:$AG$51,5,FALSE))))</f>
        <v>0</v>
      </c>
      <c r="M78" s="44">
        <f ca="1">IF(OR(Cashflow!M$111="C/I",Cashflow!M$111="Not yet producing"),0,IF(M$47-27*$I$7&lt;$I$4,0,(HLOOKUP(M$47-27*$I$7,$C$47:$AG$51,5,FALSE))))</f>
        <v>0</v>
      </c>
      <c r="N78" s="44">
        <f ca="1">IF(OR(Cashflow!N$111="C/I",Cashflow!N$111="Not yet producing"),0,IF(N$47-27*$I$7&lt;$I$4,0,(HLOOKUP(N$47-27*$I$7,$C$47:$AG$51,5,FALSE))))</f>
        <v>0</v>
      </c>
      <c r="O78" s="44">
        <f ca="1">IF(OR(Cashflow!O$111="C/I",Cashflow!O$111="Not yet producing"),0,IF(O$47-27*$I$7&lt;$I$4,0,(HLOOKUP(O$47-27*$I$7,$C$47:$AG$51,5,FALSE))))</f>
        <v>0</v>
      </c>
      <c r="P78" s="44">
        <f ca="1">IF(OR(Cashflow!P$111="C/I",Cashflow!P$111="Not yet producing"),0,IF(P$47-27*$I$7&lt;$I$4,0,(HLOOKUP(P$47-27*$I$7,$C$47:$AG$51,5,FALSE))))</f>
        <v>0</v>
      </c>
      <c r="Q78" s="44">
        <f ca="1">IF(OR(Cashflow!Q$111="C/I",Cashflow!Q$111="Not yet producing"),0,IF(Q$47-27*$I$7&lt;$I$4,0,(HLOOKUP(Q$47-27*$I$7,$C$47:$AG$51,5,FALSE))))</f>
        <v>0</v>
      </c>
      <c r="R78" s="44">
        <f ca="1">IF(OR(Cashflow!R$111="C/I",Cashflow!R$111="Not yet producing"),0,IF(R$47-27*$I$7&lt;$I$4,0,(HLOOKUP(R$47-27*$I$7,$C$47:$AG$51,5,FALSE))))</f>
        <v>0</v>
      </c>
      <c r="S78" s="44">
        <f ca="1">IF(OR(Cashflow!S$111="C/I",Cashflow!S$111="Not yet producing"),0,IF(S$47-27*$I$7&lt;$I$4,0,(HLOOKUP(S$47-27*$I$7,$C$47:$AG$51,5,FALSE))))</f>
        <v>0</v>
      </c>
      <c r="T78" s="44">
        <f ca="1">IF(OR(Cashflow!T$111="C/I",Cashflow!T$111="Not yet producing"),0,IF(T$47-27*$I$7&lt;$I$4,0,(HLOOKUP(T$47-27*$I$7,$C$47:$AG$51,5,FALSE))))</f>
        <v>0</v>
      </c>
      <c r="U78" s="44">
        <f ca="1">IF(OR(Cashflow!U$111="C/I",Cashflow!U$111="Not yet producing"),0,IF(U$47-27*$I$7&lt;$I$4,0,(HLOOKUP(U$47-27*$I$7,$C$47:$AG$51,5,FALSE))))</f>
        <v>0</v>
      </c>
      <c r="V78" s="44">
        <f ca="1">IF(OR(Cashflow!V$111="C/I",Cashflow!V$111="Not yet producing"),0,IF(V$47-27*$I$7&lt;$I$4,0,(HLOOKUP(V$47-27*$I$7,$C$47:$AG$51,5,FALSE))))</f>
        <v>0</v>
      </c>
      <c r="W78" s="44">
        <f ca="1">IF(OR(Cashflow!W$111="C/I",Cashflow!W$111="Not yet producing"),0,IF(W$47-27*$I$7&lt;$I$4,0,(HLOOKUP(W$47-27*$I$7,$C$47:$AG$51,5,FALSE))))</f>
        <v>0</v>
      </c>
      <c r="X78" s="44">
        <f ca="1">IF(OR(Cashflow!X$111="C/I",Cashflow!X$111="Not yet producing"),0,IF(X$47-27*$I$7&lt;$I$4,0,(HLOOKUP(X$47-27*$I$7,$C$47:$AG$51,5,FALSE))))</f>
        <v>0</v>
      </c>
      <c r="Y78" s="44">
        <f ca="1">IF(OR(Cashflow!Y$111="C/I",Cashflow!Y$111="Not yet producing"),0,IF(Y$47-27*$I$7&lt;$I$4,0,(HLOOKUP(Y$47-27*$I$7,$C$47:$AG$51,5,FALSE))))</f>
        <v>0</v>
      </c>
      <c r="Z78" s="44">
        <f ca="1">IF(OR(Cashflow!Z$111="C/I",Cashflow!Z$111="Not yet producing"),0,IF(Z$47-27*$I$7&lt;$I$4,0,(HLOOKUP(Z$47-27*$I$7,$C$47:$AG$51,5,FALSE))))</f>
        <v>0</v>
      </c>
      <c r="AA78" s="44">
        <f ca="1">IF(OR(Cashflow!AA$111="C/I",Cashflow!AA$111="Not yet producing"),0,IF(AA$47-27*$I$7&lt;$I$4,0,(HLOOKUP(AA$47-27*$I$7,$C$47:$AG$51,5,FALSE))))</f>
        <v>0</v>
      </c>
      <c r="AB78" s="44">
        <f ca="1">IF(OR(Cashflow!AB$111="C/I",Cashflow!AB$111="Not yet producing"),0,IF(AB$47-27*$I$7&lt;$I$4,0,(HLOOKUP(AB$47-27*$I$7,$C$47:$AG$51,5,FALSE))))</f>
        <v>0</v>
      </c>
      <c r="AC78" s="44">
        <f ca="1">IF(OR(Cashflow!AC$111="C/I",Cashflow!AC$111="Not yet producing"),0,IF(AC$47-27*$I$7&lt;$I$4,0,(HLOOKUP(AC$47-27*$I$7,$C$47:$AG$51,5,FALSE))))</f>
        <v>0</v>
      </c>
      <c r="AD78" s="44">
        <f ca="1">IF(OR(Cashflow!AD$111="C/I",Cashflow!AD$111="Not yet producing"),0,IF(AD$47-27*$I$7&lt;$I$4,0,(HLOOKUP(AD$47-27*$I$7,$C$47:$AG$51,5,FALSE))))</f>
        <v>0</v>
      </c>
      <c r="AE78" s="44">
        <f ca="1">IF(OR(Cashflow!AE$111="C/I",Cashflow!AE$111="Not yet producing"),0,IF(AE$47-27*$I$7&lt;$I$4,0,(HLOOKUP(AE$47-27*$I$7,$C$47:$AG$51,5,FALSE))))</f>
        <v>0</v>
      </c>
      <c r="AF78" s="44">
        <f ca="1">IF(OR(Cashflow!AF$111="C/I",Cashflow!AF$111="Not yet producing"),0,IF(AF$47-27*$I$7&lt;$I$4,0,(HLOOKUP(AF$47-27*$I$7,$C$47:$AG$51,5,FALSE))))</f>
        <v>0</v>
      </c>
      <c r="AG78" s="44">
        <f ca="1">IF(OR(Cashflow!AG$111="C/I",Cashflow!AG$111="Not yet producing"),0,IF(AG$47-27*$I$7&lt;$I$4,0,(HLOOKUP(AG$47-27*$I$7,$C$47:$AG$51,5,FALSE))))</f>
        <v>0</v>
      </c>
      <c r="AH78" s="19"/>
      <c r="AI78" s="19"/>
      <c r="AJ78" s="19"/>
      <c r="AK78" s="19"/>
      <c r="AL78" s="21"/>
      <c r="AM78" s="21"/>
      <c r="AN78" s="19"/>
      <c r="AO78" s="19"/>
      <c r="AP78" s="19"/>
      <c r="AQ78" s="19"/>
      <c r="AR78" s="326"/>
      <c r="AS78" s="326"/>
      <c r="AT78" s="326"/>
      <c r="AU78" s="326"/>
      <c r="AV78" s="326"/>
      <c r="AW78" s="326"/>
      <c r="AX78" s="326"/>
      <c r="AY78" s="326"/>
      <c r="AZ78" s="326"/>
      <c r="BA78" s="326"/>
      <c r="BB78" s="326"/>
    </row>
    <row r="79" spans="1:54">
      <c r="A79" s="19"/>
      <c r="B79" s="55" t="s">
        <v>1746</v>
      </c>
      <c r="C79" s="44">
        <f>IF(OR(Cashflow!C$111="C/I",Cashflow!C$111="Not yet producing"),0,IF(C$47-28*$I$7&lt;$I$4,0,(HLOOKUP(C$47-28*$I$7,$C$47:$AG$51,5,FALSE))))</f>
        <v>0</v>
      </c>
      <c r="D79" s="44">
        <f>IF(OR(Cashflow!D$111="C/I",Cashflow!D$111="Not yet producing"),0,IF(D$47-28*$I$7&lt;$I$4,0,(HLOOKUP(D$47-28*$I$7,$C$47:$AG$51,5,FALSE))))</f>
        <v>0</v>
      </c>
      <c r="E79" s="44">
        <f>IF(OR(Cashflow!E$111="C/I",Cashflow!E$111="Not yet producing"),0,IF(E$47-28*$I$7&lt;$I$4,0,(HLOOKUP(E$47-28*$I$7,$C$47:$AG$51,5,FALSE))))</f>
        <v>0</v>
      </c>
      <c r="F79" s="44">
        <f>IF(OR(Cashflow!F$111="C/I",Cashflow!F$111="Not yet producing"),0,IF(F$47-28*$I$7&lt;$I$4,0,(HLOOKUP(F$47-28*$I$7,$C$47:$AG$51,5,FALSE))))</f>
        <v>0</v>
      </c>
      <c r="G79" s="44">
        <f>IF(OR(Cashflow!G$111="C/I",Cashflow!G$111="Not yet producing"),0,IF(G$47-28*$I$7&lt;$I$4,0,(HLOOKUP(G$47-28*$I$7,$C$47:$AG$51,5,FALSE))))</f>
        <v>0</v>
      </c>
      <c r="H79" s="44">
        <f>IF(OR(Cashflow!H$111="C/I",Cashflow!H$111="Not yet producing"),0,IF(H$47-28*$I$7&lt;$I$4,0,(HLOOKUP(H$47-28*$I$7,$C$47:$AG$51,5,FALSE))))</f>
        <v>0</v>
      </c>
      <c r="I79" s="44">
        <f>IF(OR(Cashflow!I$111="C/I",Cashflow!I$111="Not yet producing"),0,IF(I$47-28*$I$7&lt;$I$4,0,(HLOOKUP(I$47-28*$I$7,$C$47:$AG$51,5,FALSE))))</f>
        <v>0</v>
      </c>
      <c r="J79" s="44">
        <f>IF(OR(Cashflow!J$111="C/I",Cashflow!J$111="Not yet producing"),0,IF(J$47-28*$I$7&lt;$I$4,0,(HLOOKUP(J$47-28*$I$7,$C$47:$AG$51,5,FALSE))))</f>
        <v>0</v>
      </c>
      <c r="K79" s="44">
        <f>IF(OR(Cashflow!K$111="C/I",Cashflow!K$111="Not yet producing"),0,IF(K$47-28*$I$7&lt;$I$4,0,(HLOOKUP(K$47-28*$I$7,$C$47:$AG$51,5,FALSE))))</f>
        <v>0</v>
      </c>
      <c r="L79" s="44">
        <f ca="1">IF(OR(Cashflow!L$111="C/I",Cashflow!L$111="Not yet producing"),0,IF(L$47-28*$I$7&lt;$I$4,0,(HLOOKUP(L$47-28*$I$7,$C$47:$AG$51,5,FALSE))))</f>
        <v>0</v>
      </c>
      <c r="M79" s="44">
        <f ca="1">IF(OR(Cashflow!M$111="C/I",Cashflow!M$111="Not yet producing"),0,IF(M$47-28*$I$7&lt;$I$4,0,(HLOOKUP(M$47-28*$I$7,$C$47:$AG$51,5,FALSE))))</f>
        <v>0</v>
      </c>
      <c r="N79" s="44">
        <f ca="1">IF(OR(Cashflow!N$111="C/I",Cashflow!N$111="Not yet producing"),0,IF(N$47-28*$I$7&lt;$I$4,0,(HLOOKUP(N$47-28*$I$7,$C$47:$AG$51,5,FALSE))))</f>
        <v>0</v>
      </c>
      <c r="O79" s="44">
        <f ca="1">IF(OR(Cashflow!O$111="C/I",Cashflow!O$111="Not yet producing"),0,IF(O$47-28*$I$7&lt;$I$4,0,(HLOOKUP(O$47-28*$I$7,$C$47:$AG$51,5,FALSE))))</f>
        <v>0</v>
      </c>
      <c r="P79" s="44">
        <f ca="1">IF(OR(Cashflow!P$111="C/I",Cashflow!P$111="Not yet producing"),0,IF(P$47-28*$I$7&lt;$I$4,0,(HLOOKUP(P$47-28*$I$7,$C$47:$AG$51,5,FALSE))))</f>
        <v>0</v>
      </c>
      <c r="Q79" s="44">
        <f ca="1">IF(OR(Cashflow!Q$111="C/I",Cashflow!Q$111="Not yet producing"),0,IF(Q$47-28*$I$7&lt;$I$4,0,(HLOOKUP(Q$47-28*$I$7,$C$47:$AG$51,5,FALSE))))</f>
        <v>0</v>
      </c>
      <c r="R79" s="44">
        <f ca="1">IF(OR(Cashflow!R$111="C/I",Cashflow!R$111="Not yet producing"),0,IF(R$47-28*$I$7&lt;$I$4,0,(HLOOKUP(R$47-28*$I$7,$C$47:$AG$51,5,FALSE))))</f>
        <v>0</v>
      </c>
      <c r="S79" s="44">
        <f ca="1">IF(OR(Cashflow!S$111="C/I",Cashflow!S$111="Not yet producing"),0,IF(S$47-28*$I$7&lt;$I$4,0,(HLOOKUP(S$47-28*$I$7,$C$47:$AG$51,5,FALSE))))</f>
        <v>0</v>
      </c>
      <c r="T79" s="44">
        <f ca="1">IF(OR(Cashflow!T$111="C/I",Cashflow!T$111="Not yet producing"),0,IF(T$47-28*$I$7&lt;$I$4,0,(HLOOKUP(T$47-28*$I$7,$C$47:$AG$51,5,FALSE))))</f>
        <v>0</v>
      </c>
      <c r="U79" s="44">
        <f ca="1">IF(OR(Cashflow!U$111="C/I",Cashflow!U$111="Not yet producing"),0,IF(U$47-28*$I$7&lt;$I$4,0,(HLOOKUP(U$47-28*$I$7,$C$47:$AG$51,5,FALSE))))</f>
        <v>0</v>
      </c>
      <c r="V79" s="44">
        <f ca="1">IF(OR(Cashflow!V$111="C/I",Cashflow!V$111="Not yet producing"),0,IF(V$47-28*$I$7&lt;$I$4,0,(HLOOKUP(V$47-28*$I$7,$C$47:$AG$51,5,FALSE))))</f>
        <v>0</v>
      </c>
      <c r="W79" s="44">
        <f ca="1">IF(OR(Cashflow!W$111="C/I",Cashflow!W$111="Not yet producing"),0,IF(W$47-28*$I$7&lt;$I$4,0,(HLOOKUP(W$47-28*$I$7,$C$47:$AG$51,5,FALSE))))</f>
        <v>0</v>
      </c>
      <c r="X79" s="44">
        <f ca="1">IF(OR(Cashflow!X$111="C/I",Cashflow!X$111="Not yet producing"),0,IF(X$47-28*$I$7&lt;$I$4,0,(HLOOKUP(X$47-28*$I$7,$C$47:$AG$51,5,FALSE))))</f>
        <v>0</v>
      </c>
      <c r="Y79" s="44">
        <f ca="1">IF(OR(Cashflow!Y$111="C/I",Cashflow!Y$111="Not yet producing"),0,IF(Y$47-28*$I$7&lt;$I$4,0,(HLOOKUP(Y$47-28*$I$7,$C$47:$AG$51,5,FALSE))))</f>
        <v>0</v>
      </c>
      <c r="Z79" s="44">
        <f ca="1">IF(OR(Cashflow!Z$111="C/I",Cashflow!Z$111="Not yet producing"),0,IF(Z$47-28*$I$7&lt;$I$4,0,(HLOOKUP(Z$47-28*$I$7,$C$47:$AG$51,5,FALSE))))</f>
        <v>0</v>
      </c>
      <c r="AA79" s="44">
        <f ca="1">IF(OR(Cashflow!AA$111="C/I",Cashflow!AA$111="Not yet producing"),0,IF(AA$47-28*$I$7&lt;$I$4,0,(HLOOKUP(AA$47-28*$I$7,$C$47:$AG$51,5,FALSE))))</f>
        <v>0</v>
      </c>
      <c r="AB79" s="44">
        <f ca="1">IF(OR(Cashflow!AB$111="C/I",Cashflow!AB$111="Not yet producing"),0,IF(AB$47-28*$I$7&lt;$I$4,0,(HLOOKUP(AB$47-28*$I$7,$C$47:$AG$51,5,FALSE))))</f>
        <v>0</v>
      </c>
      <c r="AC79" s="44">
        <f ca="1">IF(OR(Cashflow!AC$111="C/I",Cashflow!AC$111="Not yet producing"),0,IF(AC$47-28*$I$7&lt;$I$4,0,(HLOOKUP(AC$47-28*$I$7,$C$47:$AG$51,5,FALSE))))</f>
        <v>0</v>
      </c>
      <c r="AD79" s="44">
        <f ca="1">IF(OR(Cashflow!AD$111="C/I",Cashflow!AD$111="Not yet producing"),0,IF(AD$47-28*$I$7&lt;$I$4,0,(HLOOKUP(AD$47-28*$I$7,$C$47:$AG$51,5,FALSE))))</f>
        <v>0</v>
      </c>
      <c r="AE79" s="44">
        <f ca="1">IF(OR(Cashflow!AE$111="C/I",Cashflow!AE$111="Not yet producing"),0,IF(AE$47-28*$I$7&lt;$I$4,0,(HLOOKUP(AE$47-28*$I$7,$C$47:$AG$51,5,FALSE))))</f>
        <v>0</v>
      </c>
      <c r="AF79" s="44">
        <f ca="1">IF(OR(Cashflow!AF$111="C/I",Cashflow!AF$111="Not yet producing"),0,IF(AF$47-28*$I$7&lt;$I$4,0,(HLOOKUP(AF$47-28*$I$7,$C$47:$AG$51,5,FALSE))))</f>
        <v>0</v>
      </c>
      <c r="AG79" s="44">
        <f ca="1">IF(OR(Cashflow!AG$111="C/I",Cashflow!AG$111="Not yet producing"),0,IF(AG$47-28*$I$7&lt;$I$4,0,(HLOOKUP(AG$47-28*$I$7,$C$47:$AG$51,5,FALSE))))</f>
        <v>0</v>
      </c>
      <c r="AH79" s="19"/>
      <c r="AI79" s="19"/>
      <c r="AJ79" s="19"/>
      <c r="AK79" s="19"/>
      <c r="AL79" s="21"/>
      <c r="AM79" s="21"/>
      <c r="AN79" s="19"/>
      <c r="AO79" s="19"/>
      <c r="AP79" s="19"/>
      <c r="AQ79" s="19"/>
      <c r="AR79" s="326"/>
      <c r="AS79" s="326"/>
      <c r="AT79" s="326"/>
      <c r="AU79" s="326"/>
      <c r="AV79" s="326"/>
      <c r="AW79" s="326"/>
      <c r="AX79" s="326"/>
      <c r="AY79" s="326"/>
      <c r="AZ79" s="326"/>
      <c r="BA79" s="326"/>
      <c r="BB79" s="326"/>
    </row>
    <row r="80" spans="1:54">
      <c r="A80" s="19"/>
      <c r="B80" s="55" t="s">
        <v>1747</v>
      </c>
      <c r="C80" s="44">
        <f>IF(OR(Cashflow!C$111="C/I",Cashflow!C$111="Not yet producing"),0,IF(C$47-29*$I$7&lt;$I$4,0,(HLOOKUP(C$47-29*$I$7,$C$47:$AG$51,5,FALSE))))</f>
        <v>0</v>
      </c>
      <c r="D80" s="44">
        <f>IF(OR(Cashflow!D$111="C/I",Cashflow!D$111="Not yet producing"),0,IF(D$47-29*$I$7&lt;$I$4,0,(HLOOKUP(D$47-29*$I$7,$C$47:$AG$51,5,FALSE))))</f>
        <v>0</v>
      </c>
      <c r="E80" s="44">
        <f>IF(OR(Cashflow!E$111="C/I",Cashflow!E$111="Not yet producing"),0,IF(E$47-29*$I$7&lt;$I$4,0,(HLOOKUP(E$47-29*$I$7,$C$47:$AG$51,5,FALSE))))</f>
        <v>0</v>
      </c>
      <c r="F80" s="44">
        <f>IF(OR(Cashflow!F$111="C/I",Cashflow!F$111="Not yet producing"),0,IF(F$47-29*$I$7&lt;$I$4,0,(HLOOKUP(F$47-29*$I$7,$C$47:$AG$51,5,FALSE))))</f>
        <v>0</v>
      </c>
      <c r="G80" s="44">
        <f>IF(OR(Cashflow!G$111="C/I",Cashflow!G$111="Not yet producing"),0,IF(G$47-29*$I$7&lt;$I$4,0,(HLOOKUP(G$47-29*$I$7,$C$47:$AG$51,5,FALSE))))</f>
        <v>0</v>
      </c>
      <c r="H80" s="44">
        <f>IF(OR(Cashflow!H$111="C/I",Cashflow!H$111="Not yet producing"),0,IF(H$47-29*$I$7&lt;$I$4,0,(HLOOKUP(H$47-29*$I$7,$C$47:$AG$51,5,FALSE))))</f>
        <v>0</v>
      </c>
      <c r="I80" s="44">
        <f>IF(OR(Cashflow!I$111="C/I",Cashflow!I$111="Not yet producing"),0,IF(I$47-29*$I$7&lt;$I$4,0,(HLOOKUP(I$47-29*$I$7,$C$47:$AG$51,5,FALSE))))</f>
        <v>0</v>
      </c>
      <c r="J80" s="44">
        <f>IF(OR(Cashflow!J$111="C/I",Cashflow!J$111="Not yet producing"),0,IF(J$47-29*$I$7&lt;$I$4,0,(HLOOKUP(J$47-29*$I$7,$C$47:$AG$51,5,FALSE))))</f>
        <v>0</v>
      </c>
      <c r="K80" s="44">
        <f>IF(OR(Cashflow!K$111="C/I",Cashflow!K$111="Not yet producing"),0,IF(K$47-29*$I$7&lt;$I$4,0,(HLOOKUP(K$47-29*$I$7,$C$47:$AG$51,5,FALSE))))</f>
        <v>0</v>
      </c>
      <c r="L80" s="44">
        <f ca="1">IF(OR(Cashflow!L$111="C/I",Cashflow!L$111="Not yet producing"),0,IF(L$47-29*$I$7&lt;$I$4,0,(HLOOKUP(L$47-29*$I$7,$C$47:$AG$51,5,FALSE))))</f>
        <v>0</v>
      </c>
      <c r="M80" s="44">
        <f ca="1">IF(OR(Cashflow!M$111="C/I",Cashflow!M$111="Not yet producing"),0,IF(M$47-29*$I$7&lt;$I$4,0,(HLOOKUP(M$47-29*$I$7,$C$47:$AG$51,5,FALSE))))</f>
        <v>0</v>
      </c>
      <c r="N80" s="44">
        <f ca="1">IF(OR(Cashflow!N$111="C/I",Cashflow!N$111="Not yet producing"),0,IF(N$47-29*$I$7&lt;$I$4,0,(HLOOKUP(N$47-29*$I$7,$C$47:$AG$51,5,FALSE))))</f>
        <v>0</v>
      </c>
      <c r="O80" s="44">
        <f ca="1">IF(OR(Cashflow!O$111="C/I",Cashflow!O$111="Not yet producing"),0,IF(O$47-29*$I$7&lt;$I$4,0,(HLOOKUP(O$47-29*$I$7,$C$47:$AG$51,5,FALSE))))</f>
        <v>0</v>
      </c>
      <c r="P80" s="44">
        <f ca="1">IF(OR(Cashflow!P$111="C/I",Cashflow!P$111="Not yet producing"),0,IF(P$47-29*$I$7&lt;$I$4,0,(HLOOKUP(P$47-29*$I$7,$C$47:$AG$51,5,FALSE))))</f>
        <v>0</v>
      </c>
      <c r="Q80" s="44">
        <f ca="1">IF(OR(Cashflow!Q$111="C/I",Cashflow!Q$111="Not yet producing"),0,IF(Q$47-29*$I$7&lt;$I$4,0,(HLOOKUP(Q$47-29*$I$7,$C$47:$AG$51,5,FALSE))))</f>
        <v>0</v>
      </c>
      <c r="R80" s="44">
        <f ca="1">IF(OR(Cashflow!R$111="C/I",Cashflow!R$111="Not yet producing"),0,IF(R$47-29*$I$7&lt;$I$4,0,(HLOOKUP(R$47-29*$I$7,$C$47:$AG$51,5,FALSE))))</f>
        <v>0</v>
      </c>
      <c r="S80" s="44">
        <f ca="1">IF(OR(Cashflow!S$111="C/I",Cashflow!S$111="Not yet producing"),0,IF(S$47-29*$I$7&lt;$I$4,0,(HLOOKUP(S$47-29*$I$7,$C$47:$AG$51,5,FALSE))))</f>
        <v>0</v>
      </c>
      <c r="T80" s="44">
        <f ca="1">IF(OR(Cashflow!T$111="C/I",Cashflow!T$111="Not yet producing"),0,IF(T$47-29*$I$7&lt;$I$4,0,(HLOOKUP(T$47-29*$I$7,$C$47:$AG$51,5,FALSE))))</f>
        <v>0</v>
      </c>
      <c r="U80" s="44">
        <f ca="1">IF(OR(Cashflow!U$111="C/I",Cashflow!U$111="Not yet producing"),0,IF(U$47-29*$I$7&lt;$I$4,0,(HLOOKUP(U$47-29*$I$7,$C$47:$AG$51,5,FALSE))))</f>
        <v>0</v>
      </c>
      <c r="V80" s="44">
        <f ca="1">IF(OR(Cashflow!V$111="C/I",Cashflow!V$111="Not yet producing"),0,IF(V$47-29*$I$7&lt;$I$4,0,(HLOOKUP(V$47-29*$I$7,$C$47:$AG$51,5,FALSE))))</f>
        <v>0</v>
      </c>
      <c r="W80" s="44">
        <f ca="1">IF(OR(Cashflow!W$111="C/I",Cashflow!W$111="Not yet producing"),0,IF(W$47-29*$I$7&lt;$I$4,0,(HLOOKUP(W$47-29*$I$7,$C$47:$AG$51,5,FALSE))))</f>
        <v>0</v>
      </c>
      <c r="X80" s="44">
        <f ca="1">IF(OR(Cashflow!X$111="C/I",Cashflow!X$111="Not yet producing"),0,IF(X$47-29*$I$7&lt;$I$4,0,(HLOOKUP(X$47-29*$I$7,$C$47:$AG$51,5,FALSE))))</f>
        <v>0</v>
      </c>
      <c r="Y80" s="44">
        <f ca="1">IF(OR(Cashflow!Y$111="C/I",Cashflow!Y$111="Not yet producing"),0,IF(Y$47-29*$I$7&lt;$I$4,0,(HLOOKUP(Y$47-29*$I$7,$C$47:$AG$51,5,FALSE))))</f>
        <v>0</v>
      </c>
      <c r="Z80" s="44">
        <f ca="1">IF(OR(Cashflow!Z$111="C/I",Cashflow!Z$111="Not yet producing"),0,IF(Z$47-29*$I$7&lt;$I$4,0,(HLOOKUP(Z$47-29*$I$7,$C$47:$AG$51,5,FALSE))))</f>
        <v>0</v>
      </c>
      <c r="AA80" s="44">
        <f ca="1">IF(OR(Cashflow!AA$111="C/I",Cashflow!AA$111="Not yet producing"),0,IF(AA$47-29*$I$7&lt;$I$4,0,(HLOOKUP(AA$47-29*$I$7,$C$47:$AG$51,5,FALSE))))</f>
        <v>0</v>
      </c>
      <c r="AB80" s="44">
        <f ca="1">IF(OR(Cashflow!AB$111="C/I",Cashflow!AB$111="Not yet producing"),0,IF(AB$47-29*$I$7&lt;$I$4,0,(HLOOKUP(AB$47-29*$I$7,$C$47:$AG$51,5,FALSE))))</f>
        <v>0</v>
      </c>
      <c r="AC80" s="44">
        <f ca="1">IF(OR(Cashflow!AC$111="C/I",Cashflow!AC$111="Not yet producing"),0,IF(AC$47-29*$I$7&lt;$I$4,0,(HLOOKUP(AC$47-29*$I$7,$C$47:$AG$51,5,FALSE))))</f>
        <v>0</v>
      </c>
      <c r="AD80" s="44">
        <f ca="1">IF(OR(Cashflow!AD$111="C/I",Cashflow!AD$111="Not yet producing"),0,IF(AD$47-29*$I$7&lt;$I$4,0,(HLOOKUP(AD$47-29*$I$7,$C$47:$AG$51,5,FALSE))))</f>
        <v>0</v>
      </c>
      <c r="AE80" s="44">
        <f ca="1">IF(OR(Cashflow!AE$111="C/I",Cashflow!AE$111="Not yet producing"),0,IF(AE$47-29*$I$7&lt;$I$4,0,(HLOOKUP(AE$47-29*$I$7,$C$47:$AG$51,5,FALSE))))</f>
        <v>0</v>
      </c>
      <c r="AF80" s="44">
        <f ca="1">IF(OR(Cashflow!AF$111="C/I",Cashflow!AF$111="Not yet producing"),0,IF(AF$47-29*$I$7&lt;$I$4,0,(HLOOKUP(AF$47-29*$I$7,$C$47:$AG$51,5,FALSE))))</f>
        <v>0</v>
      </c>
      <c r="AG80" s="44">
        <f ca="1">IF(OR(Cashflow!AG$111="C/I",Cashflow!AG$111="Not yet producing"),0,IF(AG$47-29*$I$7&lt;$I$4,0,(HLOOKUP(AG$47-29*$I$7,$C$47:$AG$51,5,FALSE))))</f>
        <v>0</v>
      </c>
      <c r="AH80" s="19"/>
      <c r="AI80" s="19"/>
      <c r="AJ80" s="19"/>
      <c r="AK80" s="19"/>
      <c r="AL80" s="21"/>
      <c r="AM80" s="21"/>
      <c r="AN80" s="19"/>
      <c r="AO80" s="19"/>
      <c r="AP80" s="19"/>
      <c r="AQ80" s="19"/>
      <c r="AR80" s="326"/>
      <c r="AS80" s="326"/>
      <c r="AT80" s="326"/>
      <c r="AU80" s="326"/>
      <c r="AV80" s="326"/>
      <c r="AW80" s="326"/>
      <c r="AX80" s="326"/>
      <c r="AY80" s="326"/>
      <c r="AZ80" s="326"/>
      <c r="BA80" s="326"/>
      <c r="BB80" s="326"/>
    </row>
    <row r="81" spans="1:54">
      <c r="A81" s="19"/>
      <c r="B81" s="55" t="s">
        <v>1748</v>
      </c>
      <c r="C81" s="44">
        <f>IF(OR(Cashflow!C$111="C/I",Cashflow!C$111="Not yet producing"),0,IF(C$47-30*$I$7&lt;$I$4,0,(HLOOKUP(C$47-30*$I$7,$C$47:$AG$51,5,FALSE))))</f>
        <v>0</v>
      </c>
      <c r="D81" s="44">
        <f>IF(OR(Cashflow!D$111="C/I",Cashflow!D$111="Not yet producing"),0,IF(D$47-30*$I$7&lt;$I$4,0,(HLOOKUP(D$47-30*$I$7,$C$47:$AG$51,5,FALSE))))</f>
        <v>0</v>
      </c>
      <c r="E81" s="44">
        <f>IF(OR(Cashflow!E$111="C/I",Cashflow!E$111="Not yet producing"),0,IF(E$47-30*$I$7&lt;$I$4,0,(HLOOKUP(E$47-30*$I$7,$C$47:$AG$51,5,FALSE))))</f>
        <v>0</v>
      </c>
      <c r="F81" s="44">
        <f>IF(OR(Cashflow!F$111="C/I",Cashflow!F$111="Not yet producing"),0,IF(F$47-30*$I$7&lt;$I$4,0,(HLOOKUP(F$47-30*$I$7,$C$47:$AG$51,5,FALSE))))</f>
        <v>0</v>
      </c>
      <c r="G81" s="44">
        <f>IF(OR(Cashflow!G$111="C/I",Cashflow!G$111="Not yet producing"),0,IF(G$47-30*$I$7&lt;$I$4,0,(HLOOKUP(G$47-30*$I$7,$C$47:$AG$51,5,FALSE))))</f>
        <v>0</v>
      </c>
      <c r="H81" s="44">
        <f>IF(OR(Cashflow!H$111="C/I",Cashflow!H$111="Not yet producing"),0,IF(H$47-30*$I$7&lt;$I$4,0,(HLOOKUP(H$47-30*$I$7,$C$47:$AG$51,5,FALSE))))</f>
        <v>0</v>
      </c>
      <c r="I81" s="44">
        <f>IF(OR(Cashflow!I$111="C/I",Cashflow!I$111="Not yet producing"),0,IF(I$47-30*$I$7&lt;$I$4,0,(HLOOKUP(I$47-30*$I$7,$C$47:$AG$51,5,FALSE))))</f>
        <v>0</v>
      </c>
      <c r="J81" s="44">
        <f>IF(OR(Cashflow!J$111="C/I",Cashflow!J$111="Not yet producing"),0,IF(J$47-30*$I$7&lt;$I$4,0,(HLOOKUP(J$47-30*$I$7,$C$47:$AG$51,5,FALSE))))</f>
        <v>0</v>
      </c>
      <c r="K81" s="44">
        <f>IF(OR(Cashflow!K$111="C/I",Cashflow!K$111="Not yet producing"),0,IF(K$47-30*$I$7&lt;$I$4,0,(HLOOKUP(K$47-30*$I$7,$C$47:$AG$51,5,FALSE))))</f>
        <v>0</v>
      </c>
      <c r="L81" s="44">
        <f ca="1">IF(OR(Cashflow!L$111="C/I",Cashflow!L$111="Not yet producing"),0,IF(L$47-30*$I$7&lt;$I$4,0,(HLOOKUP(L$47-30*$I$7,$C$47:$AG$51,5,FALSE))))</f>
        <v>0</v>
      </c>
      <c r="M81" s="44">
        <f ca="1">IF(OR(Cashflow!M$111="C/I",Cashflow!M$111="Not yet producing"),0,IF(M$47-30*$I$7&lt;$I$4,0,(HLOOKUP(M$47-30*$I$7,$C$47:$AG$51,5,FALSE))))</f>
        <v>0</v>
      </c>
      <c r="N81" s="44">
        <f ca="1">IF(OR(Cashflow!N$111="C/I",Cashflow!N$111="Not yet producing"),0,IF(N$47-30*$I$7&lt;$I$4,0,(HLOOKUP(N$47-30*$I$7,$C$47:$AG$51,5,FALSE))))</f>
        <v>0</v>
      </c>
      <c r="O81" s="44">
        <f ca="1">IF(OR(Cashflow!O$111="C/I",Cashflow!O$111="Not yet producing"),0,IF(O$47-30*$I$7&lt;$I$4,0,(HLOOKUP(O$47-30*$I$7,$C$47:$AG$51,5,FALSE))))</f>
        <v>0</v>
      </c>
      <c r="P81" s="44">
        <f ca="1">IF(OR(Cashflow!P$111="C/I",Cashflow!P$111="Not yet producing"),0,IF(P$47-30*$I$7&lt;$I$4,0,(HLOOKUP(P$47-30*$I$7,$C$47:$AG$51,5,FALSE))))</f>
        <v>0</v>
      </c>
      <c r="Q81" s="44">
        <f ca="1">IF(OR(Cashflow!Q$111="C/I",Cashflow!Q$111="Not yet producing"),0,IF(Q$47-30*$I$7&lt;$I$4,0,(HLOOKUP(Q$47-30*$I$7,$C$47:$AG$51,5,FALSE))))</f>
        <v>0</v>
      </c>
      <c r="R81" s="44">
        <f ca="1">IF(OR(Cashflow!R$111="C/I",Cashflow!R$111="Not yet producing"),0,IF(R$47-30*$I$7&lt;$I$4,0,(HLOOKUP(R$47-30*$I$7,$C$47:$AG$51,5,FALSE))))</f>
        <v>0</v>
      </c>
      <c r="S81" s="44">
        <f ca="1">IF(OR(Cashflow!S$111="C/I",Cashflow!S$111="Not yet producing"),0,IF(S$47-30*$I$7&lt;$I$4,0,(HLOOKUP(S$47-30*$I$7,$C$47:$AG$51,5,FALSE))))</f>
        <v>0</v>
      </c>
      <c r="T81" s="44">
        <f ca="1">IF(OR(Cashflow!T$111="C/I",Cashflow!T$111="Not yet producing"),0,IF(T$47-30*$I$7&lt;$I$4,0,(HLOOKUP(T$47-30*$I$7,$C$47:$AG$51,5,FALSE))))</f>
        <v>0</v>
      </c>
      <c r="U81" s="44">
        <f ca="1">IF(OR(Cashflow!U$111="C/I",Cashflow!U$111="Not yet producing"),0,IF(U$47-30*$I$7&lt;$I$4,0,(HLOOKUP(U$47-30*$I$7,$C$47:$AG$51,5,FALSE))))</f>
        <v>0</v>
      </c>
      <c r="V81" s="44">
        <f ca="1">IF(OR(Cashflow!V$111="C/I",Cashflow!V$111="Not yet producing"),0,IF(V$47-30*$I$7&lt;$I$4,0,(HLOOKUP(V$47-30*$I$7,$C$47:$AG$51,5,FALSE))))</f>
        <v>0</v>
      </c>
      <c r="W81" s="44">
        <f ca="1">IF(OR(Cashflow!W$111="C/I",Cashflow!W$111="Not yet producing"),0,IF(W$47-30*$I$7&lt;$I$4,0,(HLOOKUP(W$47-30*$I$7,$C$47:$AG$51,5,FALSE))))</f>
        <v>0</v>
      </c>
      <c r="X81" s="44">
        <f ca="1">IF(OR(Cashflow!X$111="C/I",Cashflow!X$111="Not yet producing"),0,IF(X$47-30*$I$7&lt;$I$4,0,(HLOOKUP(X$47-30*$I$7,$C$47:$AG$51,5,FALSE))))</f>
        <v>0</v>
      </c>
      <c r="Y81" s="44">
        <f ca="1">IF(OR(Cashflow!Y$111="C/I",Cashflow!Y$111="Not yet producing"),0,IF(Y$47-30*$I$7&lt;$I$4,0,(HLOOKUP(Y$47-30*$I$7,$C$47:$AG$51,5,FALSE))))</f>
        <v>0</v>
      </c>
      <c r="Z81" s="44">
        <f ca="1">IF(OR(Cashflow!Z$111="C/I",Cashflow!Z$111="Not yet producing"),0,IF(Z$47-30*$I$7&lt;$I$4,0,(HLOOKUP(Z$47-30*$I$7,$C$47:$AG$51,5,FALSE))))</f>
        <v>0</v>
      </c>
      <c r="AA81" s="44">
        <f ca="1">IF(OR(Cashflow!AA$111="C/I",Cashflow!AA$111="Not yet producing"),0,IF(AA$47-30*$I$7&lt;$I$4,0,(HLOOKUP(AA$47-30*$I$7,$C$47:$AG$51,5,FALSE))))</f>
        <v>0</v>
      </c>
      <c r="AB81" s="44">
        <f ca="1">IF(OR(Cashflow!AB$111="C/I",Cashflow!AB$111="Not yet producing"),0,IF(AB$47-30*$I$7&lt;$I$4,0,(HLOOKUP(AB$47-30*$I$7,$C$47:$AG$51,5,FALSE))))</f>
        <v>0</v>
      </c>
      <c r="AC81" s="44">
        <f ca="1">IF(OR(Cashflow!AC$111="C/I",Cashflow!AC$111="Not yet producing"),0,IF(AC$47-30*$I$7&lt;$I$4,0,(HLOOKUP(AC$47-30*$I$7,$C$47:$AG$51,5,FALSE))))</f>
        <v>0</v>
      </c>
      <c r="AD81" s="44">
        <f ca="1">IF(OR(Cashflow!AD$111="C/I",Cashflow!AD$111="Not yet producing"),0,IF(AD$47-30*$I$7&lt;$I$4,0,(HLOOKUP(AD$47-30*$I$7,$C$47:$AG$51,5,FALSE))))</f>
        <v>0</v>
      </c>
      <c r="AE81" s="44">
        <f ca="1">IF(OR(Cashflow!AE$111="C/I",Cashflow!AE$111="Not yet producing"),0,IF(AE$47-30*$I$7&lt;$I$4,0,(HLOOKUP(AE$47-30*$I$7,$C$47:$AG$51,5,FALSE))))</f>
        <v>0</v>
      </c>
      <c r="AF81" s="44">
        <f ca="1">IF(OR(Cashflow!AF$111="C/I",Cashflow!AF$111="Not yet producing"),0,IF(AF$47-30*$I$7&lt;$I$4,0,(HLOOKUP(AF$47-30*$I$7,$C$47:$AG$51,5,FALSE))))</f>
        <v>0</v>
      </c>
      <c r="AG81" s="44">
        <f ca="1">IF(OR(Cashflow!AG$111="C/I",Cashflow!AG$111="Not yet producing"),0,IF(AG$47-30*$I$7&lt;$I$4,0,(HLOOKUP(AG$47-30*$I$7,$C$47:$AG$51,5,FALSE))))</f>
        <v>0</v>
      </c>
      <c r="AH81" s="19"/>
      <c r="AI81" s="19"/>
      <c r="AJ81" s="19"/>
      <c r="AK81" s="19"/>
      <c r="AL81" s="21"/>
      <c r="AM81" s="21"/>
      <c r="AN81" s="19"/>
      <c r="AO81" s="19"/>
      <c r="AP81" s="19"/>
      <c r="AQ81" s="19"/>
      <c r="AR81" s="326"/>
      <c r="AS81" s="326"/>
      <c r="AT81" s="326"/>
      <c r="AU81" s="326"/>
      <c r="AV81" s="326"/>
      <c r="AW81" s="326"/>
      <c r="AX81" s="326"/>
      <c r="AY81" s="326"/>
      <c r="AZ81" s="326"/>
      <c r="BA81" s="326"/>
      <c r="BB81" s="326"/>
    </row>
    <row r="82" spans="1:54">
      <c r="A82" s="19"/>
      <c r="B82" s="42" t="s">
        <v>288</v>
      </c>
      <c r="C82" s="44">
        <f>SUM(C52:C81)</f>
        <v>0</v>
      </c>
      <c r="D82" s="44">
        <f t="shared" ref="D82:AG82" si="3">SUM(D52:D81)</f>
        <v>0</v>
      </c>
      <c r="E82" s="44">
        <f t="shared" si="3"/>
        <v>0</v>
      </c>
      <c r="F82" s="44">
        <f t="shared" si="3"/>
        <v>0</v>
      </c>
      <c r="G82" s="44">
        <f t="shared" si="3"/>
        <v>0</v>
      </c>
      <c r="H82" s="44">
        <f t="shared" si="3"/>
        <v>0</v>
      </c>
      <c r="I82" s="44">
        <f t="shared" si="3"/>
        <v>0</v>
      </c>
      <c r="J82" s="44">
        <f t="shared" si="3"/>
        <v>0</v>
      </c>
      <c r="K82" s="44">
        <f t="shared" si="3"/>
        <v>0</v>
      </c>
      <c r="L82" s="44">
        <f t="shared" ca="1" si="3"/>
        <v>0</v>
      </c>
      <c r="M82" s="44">
        <f t="shared" ca="1" si="3"/>
        <v>0</v>
      </c>
      <c r="N82" s="44">
        <f t="shared" ca="1" si="3"/>
        <v>0</v>
      </c>
      <c r="O82" s="44">
        <f t="shared" ca="1" si="3"/>
        <v>-1</v>
      </c>
      <c r="P82" s="44">
        <f t="shared" ca="1" si="3"/>
        <v>-2</v>
      </c>
      <c r="Q82" s="44">
        <f t="shared" ca="1" si="3"/>
        <v>-1</v>
      </c>
      <c r="R82" s="44">
        <f t="shared" ca="1" si="3"/>
        <v>-2</v>
      </c>
      <c r="S82" s="44">
        <f t="shared" ca="1" si="3"/>
        <v>-1</v>
      </c>
      <c r="T82" s="44">
        <f t="shared" ca="1" si="3"/>
        <v>-2</v>
      </c>
      <c r="U82" s="44">
        <f t="shared" ca="1" si="3"/>
        <v>-1</v>
      </c>
      <c r="V82" s="44">
        <f t="shared" ca="1" si="3"/>
        <v>-2</v>
      </c>
      <c r="W82" s="44">
        <f t="shared" ca="1" si="3"/>
        <v>-1</v>
      </c>
      <c r="X82" s="44">
        <f t="shared" ca="1" si="3"/>
        <v>-2</v>
      </c>
      <c r="Y82" s="44">
        <f t="shared" ca="1" si="3"/>
        <v>-1</v>
      </c>
      <c r="Z82" s="44">
        <f t="shared" ca="1" si="3"/>
        <v>-2</v>
      </c>
      <c r="AA82" s="44">
        <f t="shared" ca="1" si="3"/>
        <v>-1</v>
      </c>
      <c r="AB82" s="44">
        <f t="shared" ca="1" si="3"/>
        <v>-2</v>
      </c>
      <c r="AC82" s="44">
        <f t="shared" ca="1" si="3"/>
        <v>-1</v>
      </c>
      <c r="AD82" s="44">
        <f t="shared" ca="1" si="3"/>
        <v>-2</v>
      </c>
      <c r="AE82" s="44">
        <f t="shared" ca="1" si="3"/>
        <v>-1</v>
      </c>
      <c r="AF82" s="44">
        <f t="shared" ca="1" si="3"/>
        <v>-2</v>
      </c>
      <c r="AG82" s="44">
        <f t="shared" ca="1" si="3"/>
        <v>-1</v>
      </c>
      <c r="AH82" s="19"/>
      <c r="AI82" s="19"/>
      <c r="AJ82" s="19"/>
      <c r="AK82" s="19"/>
      <c r="AL82" s="21"/>
      <c r="AM82" s="21"/>
      <c r="AN82" s="19"/>
      <c r="AO82" s="19"/>
      <c r="AP82" s="19"/>
      <c r="AQ82" s="19"/>
    </row>
    <row r="83" spans="1:54">
      <c r="A83" s="19"/>
      <c r="B83" s="619" t="s">
        <v>1134</v>
      </c>
      <c r="C83" s="190">
        <f>-C82/Cashflow!$V$21</f>
        <v>0</v>
      </c>
      <c r="D83" s="190">
        <f>-D82/Cashflow!$V$21</f>
        <v>0</v>
      </c>
      <c r="E83" s="190">
        <f>-E82/Cashflow!$V$21</f>
        <v>0</v>
      </c>
      <c r="F83" s="190">
        <f>-F82/Cashflow!$V$21</f>
        <v>0</v>
      </c>
      <c r="G83" s="190">
        <f>-G82/Cashflow!$V$21</f>
        <v>0</v>
      </c>
      <c r="H83" s="190">
        <f>-H82/Cashflow!$V$21</f>
        <v>0</v>
      </c>
      <c r="I83" s="190">
        <f>-I82/Cashflow!$V$21</f>
        <v>0</v>
      </c>
      <c r="J83" s="190">
        <f>-J82/Cashflow!$V$21</f>
        <v>0</v>
      </c>
      <c r="K83" s="190">
        <f>-K82/Cashflow!$V$21</f>
        <v>0</v>
      </c>
      <c r="L83" s="190">
        <f ca="1">-L82/Cashflow!$V$21</f>
        <v>0</v>
      </c>
      <c r="M83" s="190">
        <f ca="1">-M82/Cashflow!$V$21</f>
        <v>0</v>
      </c>
      <c r="N83" s="190">
        <f ca="1">-N82/Cashflow!$V$21</f>
        <v>0</v>
      </c>
      <c r="O83" s="190">
        <f ca="1">-O82/Cashflow!$V$21</f>
        <v>1</v>
      </c>
      <c r="P83" s="190">
        <f ca="1">-P82/Cashflow!$V$21</f>
        <v>2</v>
      </c>
      <c r="Q83" s="190">
        <f ca="1">-Q82/Cashflow!$V$21</f>
        <v>1</v>
      </c>
      <c r="R83" s="190">
        <f ca="1">-R82/Cashflow!$V$21</f>
        <v>2</v>
      </c>
      <c r="S83" s="190">
        <f ca="1">-S82/Cashflow!$V$21</f>
        <v>1</v>
      </c>
      <c r="T83" s="190">
        <f ca="1">-T82/Cashflow!$V$21</f>
        <v>2</v>
      </c>
      <c r="U83" s="190">
        <f ca="1">-U82/Cashflow!$V$21</f>
        <v>1</v>
      </c>
      <c r="V83" s="190">
        <f ca="1">-V82/Cashflow!$V$21</f>
        <v>2</v>
      </c>
      <c r="W83" s="190">
        <f ca="1">-W82/Cashflow!$V$21</f>
        <v>1</v>
      </c>
      <c r="X83" s="190">
        <f ca="1">-X82/Cashflow!$V$21</f>
        <v>2</v>
      </c>
      <c r="Y83" s="190">
        <f ca="1">-Y82/Cashflow!$V$21</f>
        <v>1</v>
      </c>
      <c r="Z83" s="190">
        <f ca="1">-Z82/Cashflow!$V$21</f>
        <v>2</v>
      </c>
      <c r="AA83" s="190">
        <f ca="1">-AA82/Cashflow!$V$21</f>
        <v>1</v>
      </c>
      <c r="AB83" s="190">
        <f ca="1">-AB82/Cashflow!$V$21</f>
        <v>2</v>
      </c>
      <c r="AC83" s="190">
        <f ca="1">-AC82/Cashflow!$V$21</f>
        <v>1</v>
      </c>
      <c r="AD83" s="190">
        <f ca="1">-AD82/Cashflow!$V$21</f>
        <v>2</v>
      </c>
      <c r="AE83" s="190">
        <f ca="1">-AE82/Cashflow!$V$21</f>
        <v>1</v>
      </c>
      <c r="AF83" s="190">
        <f ca="1">-AF82/Cashflow!$V$21</f>
        <v>2</v>
      </c>
      <c r="AG83" s="190">
        <f ca="1">-AG82/Cashflow!$V$21</f>
        <v>1</v>
      </c>
      <c r="AH83" s="19"/>
      <c r="AI83" s="19"/>
      <c r="AJ83" s="19"/>
      <c r="AK83" s="19"/>
      <c r="AL83" s="21"/>
      <c r="AM83" s="21"/>
      <c r="AN83" s="19"/>
      <c r="AO83" s="19"/>
      <c r="AP83" s="19"/>
      <c r="AQ83" s="19"/>
    </row>
    <row r="84" spans="1:54" ht="15" thickBot="1">
      <c r="A84" s="19"/>
      <c r="B84" s="558"/>
      <c r="C84" s="558"/>
      <c r="D84" s="558"/>
      <c r="E84" s="558"/>
      <c r="F84" s="558"/>
      <c r="G84" s="558"/>
      <c r="H84" s="558"/>
      <c r="I84" s="558"/>
      <c r="J84" s="559"/>
      <c r="K84" s="560"/>
      <c r="L84" s="559"/>
      <c r="M84" s="560"/>
      <c r="N84" s="560"/>
      <c r="O84" s="560"/>
      <c r="P84" s="558"/>
      <c r="Q84" s="558"/>
      <c r="R84" s="558"/>
      <c r="S84" s="558"/>
      <c r="T84" s="558"/>
      <c r="U84" s="558"/>
      <c r="V84" s="558"/>
      <c r="W84" s="558"/>
      <c r="X84" s="558"/>
      <c r="Y84" s="558"/>
      <c r="Z84" s="558"/>
      <c r="AA84" s="558"/>
      <c r="AB84" s="558"/>
      <c r="AC84" s="558"/>
      <c r="AD84" s="558"/>
      <c r="AE84" s="558"/>
      <c r="AF84" s="558"/>
      <c r="AG84" s="558"/>
      <c r="AH84" s="19"/>
      <c r="AI84" s="19"/>
      <c r="AJ84" s="19"/>
      <c r="AK84" s="19"/>
      <c r="AL84" s="21"/>
      <c r="AM84" s="21"/>
      <c r="AN84" s="19"/>
      <c r="AO84" s="19"/>
      <c r="AP84" s="19"/>
      <c r="AQ84" s="19"/>
    </row>
    <row r="85" spans="1:54" ht="15.6" thickTop="1" thickBot="1">
      <c r="A85" s="19"/>
      <c r="B85" s="556" t="s">
        <v>655</v>
      </c>
      <c r="C85" s="557">
        <f t="shared" ref="C85:AG85" si="4">C45+C83</f>
        <v>0</v>
      </c>
      <c r="D85" s="557">
        <f t="shared" si="4"/>
        <v>0</v>
      </c>
      <c r="E85" s="557">
        <f t="shared" si="4"/>
        <v>0</v>
      </c>
      <c r="F85" s="557">
        <f t="shared" si="4"/>
        <v>0</v>
      </c>
      <c r="G85" s="557">
        <f t="shared" si="4"/>
        <v>0</v>
      </c>
      <c r="H85" s="557">
        <f t="shared" si="4"/>
        <v>0</v>
      </c>
      <c r="I85" s="557">
        <f t="shared" si="4"/>
        <v>0</v>
      </c>
      <c r="J85" s="557">
        <f t="shared" si="4"/>
        <v>0</v>
      </c>
      <c r="K85" s="557">
        <f t="shared" si="4"/>
        <v>0</v>
      </c>
      <c r="L85" s="557">
        <f t="shared" ca="1" si="4"/>
        <v>0</v>
      </c>
      <c r="M85" s="557">
        <f t="shared" ca="1" si="4"/>
        <v>0</v>
      </c>
      <c r="N85" s="557">
        <f t="shared" ca="1" si="4"/>
        <v>0</v>
      </c>
      <c r="O85" s="557">
        <f t="shared" ca="1" si="4"/>
        <v>1</v>
      </c>
      <c r="P85" s="557">
        <f t="shared" ca="1" si="4"/>
        <v>2</v>
      </c>
      <c r="Q85" s="557">
        <f t="shared" ca="1" si="4"/>
        <v>2</v>
      </c>
      <c r="R85" s="557">
        <f t="shared" ca="1" si="4"/>
        <v>4</v>
      </c>
      <c r="S85" s="557">
        <f t="shared" ca="1" si="4"/>
        <v>2</v>
      </c>
      <c r="T85" s="557">
        <f t="shared" ca="1" si="4"/>
        <v>4</v>
      </c>
      <c r="U85" s="557">
        <f t="shared" ca="1" si="4"/>
        <v>2</v>
      </c>
      <c r="V85" s="557">
        <f t="shared" ca="1" si="4"/>
        <v>4</v>
      </c>
      <c r="W85" s="557">
        <f t="shared" ca="1" si="4"/>
        <v>1</v>
      </c>
      <c r="X85" s="557">
        <f t="shared" ca="1" si="4"/>
        <v>2</v>
      </c>
      <c r="Y85" s="557">
        <f t="shared" ca="1" si="4"/>
        <v>2</v>
      </c>
      <c r="Z85" s="557">
        <f t="shared" ca="1" si="4"/>
        <v>4</v>
      </c>
      <c r="AA85" s="557">
        <f t="shared" ca="1" si="4"/>
        <v>2</v>
      </c>
      <c r="AB85" s="557">
        <f t="shared" ca="1" si="4"/>
        <v>4</v>
      </c>
      <c r="AC85" s="557">
        <f t="shared" ca="1" si="4"/>
        <v>2</v>
      </c>
      <c r="AD85" s="557">
        <f t="shared" ca="1" si="4"/>
        <v>4</v>
      </c>
      <c r="AE85" s="557">
        <f t="shared" ca="1" si="4"/>
        <v>1</v>
      </c>
      <c r="AF85" s="557">
        <f t="shared" ca="1" si="4"/>
        <v>2</v>
      </c>
      <c r="AG85" s="557">
        <f t="shared" ca="1" si="4"/>
        <v>2</v>
      </c>
      <c r="AH85" s="19"/>
      <c r="AI85" s="19"/>
      <c r="AJ85" s="19"/>
      <c r="AK85" s="19"/>
      <c r="AL85" s="21"/>
      <c r="AM85" s="21"/>
      <c r="AN85" s="19"/>
      <c r="AO85" s="19"/>
      <c r="AP85" s="19"/>
      <c r="AQ85" s="19"/>
    </row>
    <row r="86" spans="1:54" ht="15" thickTop="1">
      <c r="A86" s="19"/>
      <c r="B86" s="28"/>
      <c r="C86" s="19"/>
      <c r="D86" s="19"/>
      <c r="E86" s="19"/>
      <c r="F86" s="19"/>
      <c r="G86" s="19"/>
      <c r="H86" s="19"/>
      <c r="I86" s="19"/>
      <c r="J86" s="132"/>
      <c r="K86" s="137"/>
      <c r="L86" s="132"/>
      <c r="M86" s="137"/>
      <c r="N86" s="137"/>
      <c r="O86" s="137"/>
      <c r="P86" s="19"/>
      <c r="Q86" s="19"/>
      <c r="R86" s="19"/>
      <c r="S86" s="19"/>
      <c r="T86" s="19"/>
      <c r="U86" s="19"/>
      <c r="V86" s="19"/>
      <c r="W86" s="19"/>
      <c r="X86" s="19"/>
      <c r="Y86" s="19"/>
      <c r="Z86" s="19"/>
      <c r="AA86" s="19"/>
      <c r="AB86" s="19"/>
      <c r="AC86" s="19"/>
      <c r="AD86" s="19"/>
      <c r="AE86" s="19"/>
      <c r="AF86" s="19"/>
      <c r="AG86" s="19"/>
      <c r="AH86" s="19"/>
      <c r="AI86" s="19"/>
      <c r="AJ86" s="19"/>
      <c r="AK86" s="19"/>
      <c r="AL86" s="21"/>
      <c r="AM86" s="21"/>
      <c r="AN86" s="19"/>
      <c r="AO86" s="19"/>
      <c r="AP86" s="19"/>
      <c r="AQ86" s="19"/>
    </row>
    <row r="87" spans="1:54" ht="15" thickBot="1">
      <c r="A87" s="19"/>
      <c r="B87" s="178"/>
      <c r="C87" s="32">
        <f>C9</f>
        <v>2017</v>
      </c>
      <c r="D87" s="32">
        <f>AG9</f>
        <v>2047</v>
      </c>
      <c r="E87" s="172"/>
      <c r="F87" s="133"/>
      <c r="G87" s="133"/>
      <c r="H87" s="133"/>
      <c r="I87" s="133"/>
      <c r="J87" s="133"/>
      <c r="K87" s="173"/>
      <c r="L87" s="142"/>
      <c r="M87" s="133"/>
      <c r="N87" s="133"/>
      <c r="O87" s="133"/>
      <c r="P87" s="173"/>
      <c r="Q87" s="133"/>
      <c r="R87" s="142"/>
      <c r="S87" s="142"/>
      <c r="T87" s="142"/>
      <c r="U87" s="142"/>
      <c r="V87" s="142"/>
      <c r="W87" s="142"/>
      <c r="X87" s="142"/>
      <c r="Y87" s="142"/>
      <c r="Z87" s="142"/>
      <c r="AA87" s="134"/>
      <c r="AB87" s="133"/>
      <c r="AC87" s="133"/>
      <c r="AD87" s="171"/>
      <c r="AE87" s="146"/>
      <c r="AF87" s="142"/>
      <c r="AG87" s="142"/>
      <c r="AH87" s="19"/>
      <c r="AI87" s="19"/>
      <c r="AJ87" s="19"/>
      <c r="AK87" s="19"/>
      <c r="AL87" s="21"/>
      <c r="AM87" s="21"/>
      <c r="AN87" s="19"/>
      <c r="AO87" s="19"/>
      <c r="AP87" s="19"/>
      <c r="AQ87" s="19"/>
    </row>
    <row r="88" spans="1:54" ht="15" thickTop="1">
      <c r="A88" s="19"/>
      <c r="B88" s="55" t="s">
        <v>146</v>
      </c>
      <c r="C88" s="176">
        <f>$I$5</f>
        <v>6</v>
      </c>
      <c r="D88" s="176">
        <f>$I$5</f>
        <v>6</v>
      </c>
      <c r="E88" s="177"/>
      <c r="F88" s="138"/>
      <c r="G88" s="138"/>
      <c r="H88" s="138"/>
      <c r="I88" s="138"/>
      <c r="J88" s="138"/>
      <c r="K88" s="26"/>
      <c r="L88" s="138"/>
      <c r="M88" s="138"/>
      <c r="N88" s="138"/>
      <c r="O88" s="138"/>
      <c r="P88" s="26"/>
      <c r="Q88" s="142"/>
      <c r="R88" s="138"/>
      <c r="S88" s="138"/>
      <c r="T88" s="138"/>
      <c r="U88" s="138"/>
      <c r="V88" s="138"/>
      <c r="W88" s="138"/>
      <c r="X88" s="138"/>
      <c r="Y88" s="138"/>
      <c r="Z88" s="138"/>
      <c r="AA88" s="26"/>
      <c r="AB88" s="142"/>
      <c r="AC88" s="26"/>
      <c r="AD88" s="133"/>
      <c r="AE88" s="171"/>
      <c r="AF88" s="174"/>
      <c r="AG88" s="174"/>
      <c r="AH88" s="19"/>
      <c r="AI88" s="19"/>
      <c r="AJ88" s="19"/>
      <c r="AK88" s="19"/>
      <c r="AL88" s="21"/>
      <c r="AM88" s="21"/>
      <c r="AN88" s="19"/>
      <c r="AO88" s="19"/>
      <c r="AP88" s="19"/>
      <c r="AQ88" s="19"/>
    </row>
    <row r="89" spans="1:54">
      <c r="A89" s="19"/>
      <c r="B89" s="169"/>
      <c r="C89" s="555"/>
      <c r="D89" s="19"/>
      <c r="E89" s="19"/>
      <c r="F89" s="19"/>
      <c r="G89" s="19"/>
      <c r="H89" s="19"/>
      <c r="I89" s="19"/>
      <c r="J89" s="19"/>
      <c r="K89" s="137"/>
      <c r="L89" s="132"/>
      <c r="M89" s="137"/>
      <c r="N89" s="28"/>
      <c r="O89" s="28"/>
      <c r="P89" s="19"/>
      <c r="Q89" s="19"/>
      <c r="R89" s="19"/>
      <c r="S89" s="19"/>
      <c r="T89" s="19"/>
      <c r="U89" s="19"/>
      <c r="V89" s="19"/>
      <c r="W89" s="19"/>
      <c r="X89" s="19"/>
      <c r="Y89" s="19"/>
      <c r="Z89" s="19"/>
      <c r="AA89" s="19"/>
      <c r="AB89" s="19"/>
      <c r="AC89" s="19"/>
      <c r="AD89" s="19"/>
      <c r="AE89" s="19"/>
      <c r="AF89" s="19"/>
      <c r="AG89" s="19"/>
      <c r="AH89" s="19"/>
      <c r="AI89" s="19"/>
      <c r="AJ89" s="19"/>
      <c r="AK89" s="19"/>
      <c r="AL89" s="21"/>
      <c r="AM89" s="21"/>
      <c r="AN89" s="19"/>
      <c r="AO89" s="19"/>
      <c r="AP89" s="19"/>
      <c r="AQ89" s="19"/>
    </row>
    <row r="90" spans="1:54" ht="15" thickBot="1">
      <c r="A90" s="19"/>
      <c r="B90" s="169"/>
      <c r="C90" s="32">
        <f>Cashflow!C$30</f>
        <v>2017</v>
      </c>
      <c r="D90" s="32">
        <f>Cashflow!D$30</f>
        <v>2018</v>
      </c>
      <c r="E90" s="32">
        <f>Cashflow!E$30</f>
        <v>2019</v>
      </c>
      <c r="F90" s="32">
        <f>Cashflow!F$30</f>
        <v>2020</v>
      </c>
      <c r="G90" s="32">
        <f>Cashflow!G$30</f>
        <v>2021</v>
      </c>
      <c r="H90" s="32">
        <f>Cashflow!H$30</f>
        <v>2022</v>
      </c>
      <c r="I90" s="32">
        <f>Cashflow!I$30</f>
        <v>2023</v>
      </c>
      <c r="J90" s="32">
        <f>Cashflow!J$30</f>
        <v>2024</v>
      </c>
      <c r="K90" s="32">
        <f>Cashflow!K$30</f>
        <v>2025</v>
      </c>
      <c r="L90" s="32">
        <f>Cashflow!L$30</f>
        <v>2026</v>
      </c>
      <c r="M90" s="32">
        <f>Cashflow!M$30</f>
        <v>2027</v>
      </c>
      <c r="N90" s="32">
        <f>Cashflow!N$30</f>
        <v>2028</v>
      </c>
      <c r="O90" s="32">
        <f>Cashflow!O$30</f>
        <v>2029</v>
      </c>
      <c r="P90" s="32">
        <f>Cashflow!P$30</f>
        <v>2030</v>
      </c>
      <c r="Q90" s="32">
        <f>Cashflow!Q$30</f>
        <v>2031</v>
      </c>
      <c r="R90" s="32">
        <f>Cashflow!R$30</f>
        <v>2032</v>
      </c>
      <c r="S90" s="32">
        <f>Cashflow!S$30</f>
        <v>2033</v>
      </c>
      <c r="T90" s="32">
        <f>Cashflow!T$30</f>
        <v>2034</v>
      </c>
      <c r="U90" s="32">
        <f>Cashflow!U$30</f>
        <v>2035</v>
      </c>
      <c r="V90" s="32">
        <f>Cashflow!V$30</f>
        <v>2036</v>
      </c>
      <c r="W90" s="32">
        <f>Cashflow!W$30</f>
        <v>2037</v>
      </c>
      <c r="X90" s="32">
        <f>Cashflow!X$30</f>
        <v>2038</v>
      </c>
      <c r="Y90" s="32">
        <f>Cashflow!Y$30</f>
        <v>2039</v>
      </c>
      <c r="Z90" s="32">
        <f>Cashflow!Z$30</f>
        <v>2040</v>
      </c>
      <c r="AA90" s="32">
        <f>Cashflow!AA$30</f>
        <v>2041</v>
      </c>
      <c r="AB90" s="32">
        <f>Cashflow!AB$30</f>
        <v>2042</v>
      </c>
      <c r="AC90" s="32">
        <f>Cashflow!AC$30</f>
        <v>2043</v>
      </c>
      <c r="AD90" s="32">
        <f>Cashflow!AD$30</f>
        <v>2044</v>
      </c>
      <c r="AE90" s="32">
        <f>Cashflow!AE$30</f>
        <v>2045</v>
      </c>
      <c r="AF90" s="32">
        <f>Cashflow!AF$30</f>
        <v>2046</v>
      </c>
      <c r="AG90" s="32">
        <f>Cashflow!AG$30</f>
        <v>2047</v>
      </c>
      <c r="AH90" s="19"/>
      <c r="AI90" s="19"/>
      <c r="AJ90" s="19"/>
      <c r="AK90" s="19"/>
      <c r="AL90" s="21"/>
      <c r="AM90" s="21"/>
      <c r="AN90" s="19"/>
      <c r="AO90" s="19"/>
      <c r="AP90" s="19"/>
      <c r="AQ90" s="19"/>
    </row>
    <row r="91" spans="1:54" ht="15" thickTop="1">
      <c r="A91" s="19"/>
      <c r="B91" s="169"/>
      <c r="C91" s="555"/>
      <c r="D91" s="19"/>
      <c r="E91" s="19"/>
      <c r="F91" s="19"/>
      <c r="G91" s="19"/>
      <c r="H91" s="19"/>
      <c r="I91" s="19"/>
      <c r="J91" s="19"/>
      <c r="K91" s="137"/>
      <c r="L91" s="132"/>
      <c r="M91" s="137"/>
      <c r="N91" s="28"/>
      <c r="O91" s="28"/>
      <c r="P91" s="19"/>
      <c r="Q91" s="19"/>
      <c r="R91" s="19"/>
      <c r="S91" s="19"/>
      <c r="T91" s="19"/>
      <c r="U91" s="19"/>
      <c r="V91" s="19"/>
      <c r="W91" s="19"/>
      <c r="X91" s="19"/>
      <c r="Y91" s="19"/>
      <c r="Z91" s="19"/>
      <c r="AA91" s="19"/>
      <c r="AB91" s="19"/>
      <c r="AC91" s="19"/>
      <c r="AD91" s="19"/>
      <c r="AE91" s="19"/>
      <c r="AF91" s="19"/>
      <c r="AG91" s="19"/>
      <c r="AH91" s="19"/>
      <c r="AI91" s="19"/>
      <c r="AJ91" s="19"/>
      <c r="AK91" s="19"/>
      <c r="AL91" s="21"/>
      <c r="AM91" s="21"/>
      <c r="AN91" s="19"/>
      <c r="AO91" s="19"/>
      <c r="AP91" s="19"/>
      <c r="AQ91" s="19"/>
    </row>
    <row r="92" spans="1:54">
      <c r="A92" s="19"/>
      <c r="B92" s="169"/>
      <c r="C92" s="555"/>
      <c r="D92" s="19"/>
      <c r="E92" s="19"/>
      <c r="F92" s="19"/>
      <c r="G92" s="19"/>
      <c r="H92" s="19"/>
      <c r="I92" s="19"/>
      <c r="J92" s="19"/>
      <c r="K92" s="137"/>
      <c r="L92" s="132"/>
      <c r="M92" s="137"/>
      <c r="N92" s="28"/>
      <c r="O92" s="28"/>
      <c r="P92" s="19"/>
      <c r="Q92" s="19"/>
      <c r="R92" s="19"/>
      <c r="S92" s="19"/>
      <c r="T92" s="19"/>
      <c r="U92" s="19"/>
      <c r="V92" s="19"/>
      <c r="W92" s="19"/>
      <c r="X92" s="19"/>
      <c r="Y92" s="19"/>
      <c r="Z92" s="19"/>
      <c r="AA92" s="19"/>
      <c r="AB92" s="19"/>
      <c r="AC92" s="19"/>
      <c r="AD92" s="19"/>
      <c r="AE92" s="19"/>
      <c r="AF92" s="19"/>
      <c r="AG92" s="19"/>
      <c r="AH92" s="19"/>
      <c r="AI92" s="19"/>
      <c r="AJ92" s="19"/>
      <c r="AK92" s="19"/>
      <c r="AL92" s="21"/>
      <c r="AM92" s="21"/>
      <c r="AN92" s="19"/>
      <c r="AO92" s="19"/>
      <c r="AP92" s="19"/>
      <c r="AQ92" s="19"/>
    </row>
    <row r="93" spans="1:54">
      <c r="A93" s="19"/>
      <c r="B93" s="169"/>
      <c r="C93" s="555"/>
      <c r="D93" s="19"/>
      <c r="E93" s="19"/>
      <c r="F93" s="19"/>
      <c r="G93" s="19"/>
      <c r="H93" s="19"/>
      <c r="I93" s="19"/>
      <c r="J93" s="19"/>
      <c r="K93" s="137"/>
      <c r="L93" s="132"/>
      <c r="M93" s="137"/>
      <c r="N93" s="28"/>
      <c r="O93" s="28"/>
      <c r="P93" s="19"/>
      <c r="Q93" s="19"/>
      <c r="R93" s="19"/>
      <c r="S93" s="19"/>
      <c r="T93" s="19"/>
      <c r="U93" s="19"/>
      <c r="V93" s="19"/>
      <c r="W93" s="19"/>
      <c r="X93" s="19"/>
      <c r="Y93" s="19"/>
      <c r="Z93" s="19"/>
      <c r="AA93" s="19"/>
      <c r="AB93" s="19"/>
      <c r="AC93" s="19"/>
      <c r="AD93" s="19"/>
      <c r="AE93" s="19"/>
      <c r="AF93" s="19"/>
      <c r="AG93" s="19"/>
      <c r="AH93" s="19"/>
      <c r="AI93" s="19"/>
      <c r="AJ93" s="19"/>
      <c r="AK93" s="19"/>
      <c r="AL93" s="21"/>
      <c r="AM93" s="21"/>
      <c r="AN93" s="19"/>
      <c r="AO93" s="19"/>
      <c r="AP93" s="19"/>
      <c r="AQ93" s="19"/>
    </row>
    <row r="94" spans="1:54">
      <c r="A94" s="19"/>
      <c r="B94" s="169"/>
      <c r="C94" s="555"/>
      <c r="D94" s="19"/>
      <c r="E94" s="19"/>
      <c r="F94" s="19"/>
      <c r="G94" s="19"/>
      <c r="H94" s="19"/>
      <c r="I94" s="19"/>
      <c r="J94" s="19"/>
      <c r="K94" s="137"/>
      <c r="L94" s="132"/>
      <c r="M94" s="137"/>
      <c r="N94" s="28"/>
      <c r="O94" s="28"/>
      <c r="P94" s="19"/>
      <c r="Q94" s="19"/>
      <c r="R94" s="19"/>
      <c r="S94" s="19"/>
      <c r="T94" s="19"/>
      <c r="U94" s="19"/>
      <c r="V94" s="19"/>
      <c r="W94" s="19"/>
      <c r="X94" s="19"/>
      <c r="Y94" s="19"/>
      <c r="Z94" s="19"/>
      <c r="AA94" s="19"/>
      <c r="AB94" s="19"/>
      <c r="AC94" s="19"/>
      <c r="AD94" s="19"/>
      <c r="AE94" s="19"/>
      <c r="AF94" s="19"/>
      <c r="AG94" s="19"/>
      <c r="AH94" s="19"/>
      <c r="AI94" s="19"/>
      <c r="AJ94" s="19"/>
      <c r="AK94" s="19"/>
      <c r="AL94" s="21"/>
      <c r="AM94" s="21"/>
      <c r="AN94" s="19"/>
      <c r="AO94" s="19"/>
      <c r="AP94" s="19"/>
      <c r="AQ94" s="19"/>
    </row>
    <row r="95" spans="1:54">
      <c r="A95" s="19"/>
      <c r="B95" s="169"/>
      <c r="C95" s="555"/>
      <c r="D95" s="19"/>
      <c r="E95" s="19"/>
      <c r="F95" s="19"/>
      <c r="G95" s="19"/>
      <c r="H95" s="19"/>
      <c r="I95" s="19"/>
      <c r="J95" s="19"/>
      <c r="K95" s="137"/>
      <c r="L95" s="132"/>
      <c r="M95" s="137"/>
      <c r="N95" s="28"/>
      <c r="O95" s="28"/>
      <c r="P95" s="19"/>
      <c r="Q95" s="19"/>
      <c r="R95" s="19"/>
      <c r="S95" s="19"/>
      <c r="T95" s="19"/>
      <c r="U95" s="19"/>
      <c r="V95" s="19"/>
      <c r="W95" s="19"/>
      <c r="X95" s="19"/>
      <c r="Y95" s="19"/>
      <c r="Z95" s="19"/>
      <c r="AA95" s="19"/>
      <c r="AB95" s="19"/>
      <c r="AC95" s="19"/>
      <c r="AD95" s="19"/>
      <c r="AE95" s="19"/>
      <c r="AF95" s="19"/>
      <c r="AG95" s="19"/>
      <c r="AH95" s="19"/>
      <c r="AI95" s="19"/>
      <c r="AJ95" s="19"/>
      <c r="AK95" s="19"/>
      <c r="AL95" s="21"/>
      <c r="AM95" s="21"/>
      <c r="AN95" s="19"/>
      <c r="AO95" s="19"/>
      <c r="AP95" s="19"/>
      <c r="AQ95" s="19"/>
    </row>
    <row r="96" spans="1:54">
      <c r="A96" s="19"/>
      <c r="B96" s="169"/>
      <c r="C96" s="555"/>
      <c r="D96" s="19"/>
      <c r="E96" s="19"/>
      <c r="F96" s="19"/>
      <c r="G96" s="19"/>
      <c r="H96" s="19"/>
      <c r="I96" s="19"/>
      <c r="J96" s="19"/>
      <c r="K96" s="137"/>
      <c r="L96" s="132"/>
      <c r="M96" s="137"/>
      <c r="N96" s="28"/>
      <c r="O96" s="28"/>
      <c r="P96" s="19"/>
      <c r="Q96" s="19"/>
      <c r="R96" s="19"/>
      <c r="S96" s="19"/>
      <c r="T96" s="19"/>
      <c r="U96" s="19"/>
      <c r="V96" s="19"/>
      <c r="W96" s="19"/>
      <c r="X96" s="19"/>
      <c r="Y96" s="19"/>
      <c r="Z96" s="19"/>
      <c r="AA96" s="19"/>
      <c r="AB96" s="19"/>
      <c r="AC96" s="19"/>
      <c r="AD96" s="19"/>
      <c r="AE96" s="19"/>
      <c r="AF96" s="19"/>
      <c r="AG96" s="19"/>
      <c r="AH96" s="19"/>
      <c r="AI96" s="19"/>
      <c r="AJ96" s="19"/>
      <c r="AK96" s="19"/>
      <c r="AL96" s="21"/>
      <c r="AM96" s="21"/>
      <c r="AN96" s="19"/>
      <c r="AO96" s="19"/>
      <c r="AP96" s="19"/>
      <c r="AQ96" s="19"/>
    </row>
    <row r="97" spans="1:43">
      <c r="A97" s="19"/>
      <c r="B97" s="169"/>
      <c r="C97" s="555"/>
      <c r="D97" s="19"/>
      <c r="E97" s="19"/>
      <c r="F97" s="19"/>
      <c r="G97" s="19"/>
      <c r="H97" s="19"/>
      <c r="I97" s="19"/>
      <c r="J97" s="19"/>
      <c r="K97" s="137"/>
      <c r="L97" s="132"/>
      <c r="M97" s="137"/>
      <c r="N97" s="28"/>
      <c r="O97" s="28"/>
      <c r="P97" s="19"/>
      <c r="Q97" s="19"/>
      <c r="R97" s="19"/>
      <c r="S97" s="19"/>
      <c r="T97" s="19"/>
      <c r="U97" s="19"/>
      <c r="V97" s="19"/>
      <c r="W97" s="19"/>
      <c r="X97" s="19"/>
      <c r="Y97" s="19"/>
      <c r="Z97" s="19"/>
      <c r="AA97" s="19"/>
      <c r="AB97" s="19"/>
      <c r="AC97" s="19"/>
      <c r="AD97" s="19"/>
      <c r="AE97" s="19"/>
      <c r="AF97" s="19"/>
      <c r="AG97" s="19"/>
      <c r="AH97" s="19"/>
      <c r="AI97" s="19"/>
      <c r="AJ97" s="19"/>
      <c r="AK97" s="19"/>
      <c r="AL97" s="21"/>
      <c r="AM97" s="21"/>
      <c r="AN97" s="19"/>
      <c r="AO97" s="19"/>
      <c r="AP97" s="19"/>
      <c r="AQ97" s="19"/>
    </row>
    <row r="98" spans="1:43">
      <c r="A98" s="19"/>
      <c r="B98" s="169"/>
      <c r="C98" s="555"/>
      <c r="D98" s="19"/>
      <c r="E98" s="19"/>
      <c r="F98" s="19"/>
      <c r="G98" s="19"/>
      <c r="H98" s="19"/>
      <c r="I98" s="19"/>
      <c r="J98" s="19"/>
      <c r="K98" s="137"/>
      <c r="L98" s="132"/>
      <c r="M98" s="137"/>
      <c r="N98" s="28"/>
      <c r="O98" s="28"/>
      <c r="P98" s="19"/>
      <c r="Q98" s="19"/>
      <c r="R98" s="19"/>
      <c r="S98" s="19"/>
      <c r="T98" s="19"/>
      <c r="U98" s="19"/>
      <c r="V98" s="19"/>
      <c r="W98" s="19"/>
      <c r="X98" s="19"/>
      <c r="Y98" s="19"/>
      <c r="Z98" s="19"/>
      <c r="AA98" s="19"/>
      <c r="AB98" s="19"/>
      <c r="AC98" s="19"/>
      <c r="AD98" s="19"/>
      <c r="AE98" s="19"/>
      <c r="AF98" s="19"/>
      <c r="AG98" s="19"/>
      <c r="AH98" s="19"/>
      <c r="AI98" s="19"/>
      <c r="AJ98" s="19"/>
      <c r="AK98" s="19"/>
      <c r="AL98" s="21"/>
      <c r="AM98" s="21"/>
      <c r="AN98" s="19"/>
      <c r="AO98" s="19"/>
      <c r="AP98" s="19"/>
      <c r="AQ98" s="19"/>
    </row>
    <row r="99" spans="1:43">
      <c r="A99" s="19"/>
      <c r="B99" s="169"/>
      <c r="C99" s="555"/>
      <c r="D99" s="19"/>
      <c r="E99" s="19"/>
      <c r="F99" s="19"/>
      <c r="G99" s="19"/>
      <c r="H99" s="19"/>
      <c r="I99" s="19"/>
      <c r="J99" s="19"/>
      <c r="K99" s="137"/>
      <c r="L99" s="132"/>
      <c r="M99" s="137"/>
      <c r="N99" s="28"/>
      <c r="O99" s="28"/>
      <c r="P99" s="19"/>
      <c r="Q99" s="19"/>
      <c r="R99" s="19"/>
      <c r="S99" s="19"/>
      <c r="T99" s="19"/>
      <c r="U99" s="19"/>
      <c r="V99" s="19"/>
      <c r="W99" s="19"/>
      <c r="X99" s="19"/>
      <c r="Y99" s="19"/>
      <c r="Z99" s="19"/>
      <c r="AA99" s="19"/>
      <c r="AB99" s="19"/>
      <c r="AC99" s="19"/>
      <c r="AD99" s="19"/>
      <c r="AE99" s="19"/>
      <c r="AF99" s="19"/>
      <c r="AG99" s="19"/>
      <c r="AH99" s="19"/>
      <c r="AI99" s="19"/>
      <c r="AJ99" s="19"/>
      <c r="AK99" s="19"/>
      <c r="AL99" s="21"/>
      <c r="AM99" s="21"/>
      <c r="AN99" s="19"/>
      <c r="AO99" s="19"/>
      <c r="AP99" s="19"/>
      <c r="AQ99" s="19"/>
    </row>
    <row r="100" spans="1:43">
      <c r="A100" s="19"/>
      <c r="B100" s="169"/>
      <c r="C100" s="555"/>
      <c r="D100" s="19"/>
      <c r="E100" s="19"/>
      <c r="F100" s="19"/>
      <c r="G100" s="19"/>
      <c r="H100" s="19"/>
      <c r="I100" s="19"/>
      <c r="J100" s="19"/>
      <c r="K100" s="137"/>
      <c r="L100" s="132"/>
      <c r="M100" s="137"/>
      <c r="N100" s="28"/>
      <c r="O100" s="28"/>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21"/>
      <c r="AM100" s="21"/>
      <c r="AN100" s="19"/>
      <c r="AO100" s="19"/>
      <c r="AP100" s="19"/>
      <c r="AQ100" s="19"/>
    </row>
    <row r="101" spans="1:43">
      <c r="A101" s="19"/>
      <c r="B101" s="169"/>
      <c r="C101" s="555"/>
      <c r="D101" s="19"/>
      <c r="E101" s="19"/>
      <c r="F101" s="19"/>
      <c r="G101" s="19"/>
      <c r="H101" s="19"/>
      <c r="I101" s="19"/>
      <c r="J101" s="19"/>
      <c r="K101" s="137"/>
      <c r="L101" s="132"/>
      <c r="M101" s="137"/>
      <c r="N101" s="28"/>
      <c r="O101" s="28"/>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21"/>
      <c r="AM101" s="21"/>
      <c r="AN101" s="19"/>
      <c r="AO101" s="19"/>
      <c r="AP101" s="19"/>
      <c r="AQ101" s="19"/>
    </row>
    <row r="102" spans="1:43">
      <c r="A102" s="19"/>
      <c r="B102" s="169"/>
      <c r="C102" s="555"/>
      <c r="D102" s="19"/>
      <c r="E102" s="19"/>
      <c r="F102" s="19"/>
      <c r="G102" s="19"/>
      <c r="H102" s="19"/>
      <c r="I102" s="19"/>
      <c r="J102" s="19"/>
      <c r="K102" s="137"/>
      <c r="L102" s="132"/>
      <c r="M102" s="137"/>
      <c r="N102" s="28"/>
      <c r="O102" s="28"/>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21"/>
      <c r="AM102" s="21"/>
      <c r="AN102" s="19"/>
      <c r="AO102" s="19"/>
      <c r="AP102" s="19"/>
      <c r="AQ102" s="19"/>
    </row>
    <row r="103" spans="1:43">
      <c r="A103" s="19"/>
      <c r="B103" s="169"/>
      <c r="C103" s="555"/>
      <c r="D103" s="19"/>
      <c r="E103" s="19"/>
      <c r="F103" s="19"/>
      <c r="G103" s="19"/>
      <c r="H103" s="19"/>
      <c r="I103" s="19"/>
      <c r="J103" s="19"/>
      <c r="K103" s="137"/>
      <c r="L103" s="132"/>
      <c r="M103" s="137"/>
      <c r="N103" s="28"/>
      <c r="O103" s="28"/>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21"/>
      <c r="AM103" s="21"/>
      <c r="AN103" s="19"/>
      <c r="AO103" s="19"/>
      <c r="AP103" s="19"/>
      <c r="AQ103" s="19"/>
    </row>
    <row r="104" spans="1:43">
      <c r="A104" s="19"/>
      <c r="B104" s="169"/>
      <c r="C104" s="555"/>
      <c r="D104" s="19"/>
      <c r="E104" s="19"/>
      <c r="F104" s="19"/>
      <c r="G104" s="19"/>
      <c r="H104" s="19"/>
      <c r="I104" s="19"/>
      <c r="J104" s="19"/>
      <c r="K104" s="137"/>
      <c r="L104" s="132"/>
      <c r="M104" s="137"/>
      <c r="N104" s="28"/>
      <c r="O104" s="28"/>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21"/>
      <c r="AM104" s="21"/>
      <c r="AN104" s="19"/>
      <c r="AO104" s="19"/>
      <c r="AP104" s="19"/>
      <c r="AQ104" s="19"/>
    </row>
    <row r="105" spans="1:43">
      <c r="A105" s="19"/>
      <c r="B105" s="169"/>
      <c r="C105" s="555"/>
      <c r="D105" s="19"/>
      <c r="E105" s="19"/>
      <c r="F105" s="19"/>
      <c r="G105" s="19"/>
      <c r="H105" s="19"/>
      <c r="I105" s="19"/>
      <c r="J105" s="19"/>
      <c r="K105" s="137"/>
      <c r="L105" s="132"/>
      <c r="M105" s="137"/>
      <c r="N105" s="28"/>
      <c r="O105" s="28"/>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21"/>
      <c r="AM105" s="21"/>
      <c r="AN105" s="19"/>
      <c r="AO105" s="19"/>
      <c r="AP105" s="19"/>
      <c r="AQ105" s="19"/>
    </row>
    <row r="106" spans="1:43">
      <c r="A106" s="19"/>
      <c r="B106" s="169"/>
      <c r="C106" s="555"/>
      <c r="D106" s="19"/>
      <c r="E106" s="19"/>
      <c r="F106" s="19"/>
      <c r="G106" s="19"/>
      <c r="H106" s="19"/>
      <c r="I106" s="19"/>
      <c r="J106" s="19"/>
      <c r="K106" s="137"/>
      <c r="L106" s="132"/>
      <c r="M106" s="137"/>
      <c r="N106" s="28"/>
      <c r="O106" s="28"/>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21"/>
      <c r="AM106" s="21"/>
      <c r="AN106" s="19"/>
      <c r="AO106" s="19"/>
      <c r="AP106" s="19"/>
      <c r="AQ106" s="19"/>
    </row>
    <row r="107" spans="1:43">
      <c r="A107" s="19"/>
      <c r="B107" s="169"/>
      <c r="C107" s="555"/>
      <c r="D107" s="19"/>
      <c r="E107" s="19"/>
      <c r="F107" s="19"/>
      <c r="G107" s="19"/>
      <c r="H107" s="19"/>
      <c r="I107" s="19"/>
      <c r="J107" s="19"/>
      <c r="K107" s="137"/>
      <c r="L107" s="132"/>
      <c r="M107" s="137"/>
      <c r="N107" s="28"/>
      <c r="O107" s="28"/>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21"/>
      <c r="AM107" s="21"/>
      <c r="AN107" s="19"/>
      <c r="AO107" s="19"/>
      <c r="AP107" s="19"/>
      <c r="AQ107" s="19"/>
    </row>
    <row r="108" spans="1:43">
      <c r="A108" s="19"/>
      <c r="B108" s="169"/>
      <c r="C108" s="555"/>
      <c r="D108" s="19"/>
      <c r="E108" s="19"/>
      <c r="F108" s="19"/>
      <c r="G108" s="19"/>
      <c r="H108" s="19"/>
      <c r="I108" s="19"/>
      <c r="J108" s="19"/>
      <c r="K108" s="137"/>
      <c r="L108" s="132"/>
      <c r="M108" s="137"/>
      <c r="N108" s="28"/>
      <c r="O108" s="28"/>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21"/>
      <c r="AM108" s="21"/>
      <c r="AN108" s="19"/>
      <c r="AO108" s="19"/>
      <c r="AP108" s="19"/>
      <c r="AQ108" s="19"/>
    </row>
    <row r="109" spans="1:43">
      <c r="A109" s="19"/>
      <c r="B109" s="169"/>
      <c r="C109" s="555"/>
      <c r="D109" s="19"/>
      <c r="E109" s="19"/>
      <c r="F109" s="19"/>
      <c r="G109" s="19"/>
      <c r="H109" s="19"/>
      <c r="I109" s="19"/>
      <c r="J109" s="19"/>
      <c r="K109" s="137"/>
      <c r="L109" s="132"/>
      <c r="M109" s="137"/>
      <c r="N109" s="28"/>
      <c r="O109" s="28"/>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21"/>
      <c r="AM109" s="21"/>
      <c r="AN109" s="19"/>
      <c r="AO109" s="19"/>
      <c r="AP109" s="19"/>
      <c r="AQ109" s="19"/>
    </row>
    <row r="110" spans="1:43">
      <c r="A110" s="19"/>
      <c r="B110" s="169"/>
      <c r="C110" s="555"/>
      <c r="D110" s="19"/>
      <c r="E110" s="19"/>
      <c r="F110" s="19"/>
      <c r="G110" s="19"/>
      <c r="H110" s="19"/>
      <c r="I110" s="19"/>
      <c r="J110" s="19"/>
      <c r="K110" s="137"/>
      <c r="L110" s="132"/>
      <c r="M110" s="137"/>
      <c r="N110" s="28"/>
      <c r="O110" s="28"/>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21"/>
      <c r="AM110" s="21"/>
      <c r="AN110" s="19"/>
      <c r="AO110" s="19"/>
      <c r="AP110" s="19"/>
      <c r="AQ110" s="19"/>
    </row>
    <row r="111" spans="1:43">
      <c r="A111" s="19"/>
      <c r="B111" s="169"/>
      <c r="C111" s="555"/>
      <c r="D111" s="19"/>
      <c r="E111" s="19"/>
      <c r="F111" s="19"/>
      <c r="G111" s="19"/>
      <c r="H111" s="19"/>
      <c r="I111" s="19"/>
      <c r="J111" s="19"/>
      <c r="K111" s="137"/>
      <c r="L111" s="132"/>
      <c r="M111" s="137"/>
      <c r="N111" s="28"/>
      <c r="O111" s="28"/>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21"/>
      <c r="AM111" s="21"/>
      <c r="AN111" s="19"/>
      <c r="AO111" s="19"/>
      <c r="AP111" s="19"/>
      <c r="AQ111" s="19"/>
    </row>
    <row r="112" spans="1:43">
      <c r="A112" s="326"/>
      <c r="B112" s="169"/>
      <c r="C112" s="555"/>
      <c r="D112" s="19"/>
      <c r="E112" s="19"/>
      <c r="F112" s="19"/>
      <c r="G112" s="19"/>
      <c r="H112" s="19"/>
      <c r="I112" s="19"/>
      <c r="J112" s="19"/>
      <c r="K112" s="137"/>
      <c r="L112" s="132"/>
      <c r="M112" s="137"/>
      <c r="N112" s="28"/>
      <c r="O112" s="28"/>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21"/>
      <c r="AM112" s="21"/>
      <c r="AN112" s="19"/>
      <c r="AO112" s="19"/>
      <c r="AP112" s="19"/>
      <c r="AQ112" s="19"/>
    </row>
    <row r="113" spans="1:43">
      <c r="A113" s="19"/>
      <c r="B113" s="169"/>
      <c r="C113" s="555"/>
      <c r="D113" s="19"/>
      <c r="E113" s="19"/>
      <c r="F113" s="19"/>
      <c r="G113" s="19"/>
      <c r="H113" s="19"/>
      <c r="I113" s="19"/>
      <c r="J113" s="19"/>
      <c r="K113" s="137"/>
      <c r="L113" s="132"/>
      <c r="M113" s="137"/>
      <c r="N113" s="28"/>
      <c r="O113" s="28"/>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21"/>
      <c r="AM113" s="21"/>
      <c r="AN113" s="19"/>
      <c r="AO113" s="19"/>
      <c r="AP113" s="19"/>
      <c r="AQ113" s="19"/>
    </row>
    <row r="114" spans="1:43">
      <c r="A114" s="19"/>
      <c r="B114" s="169"/>
      <c r="C114" s="555"/>
      <c r="D114" s="19"/>
      <c r="E114" s="19"/>
      <c r="F114" s="19"/>
      <c r="G114" s="19"/>
      <c r="H114" s="19"/>
      <c r="I114" s="19"/>
      <c r="J114" s="19"/>
      <c r="K114" s="137"/>
      <c r="L114" s="132"/>
      <c r="M114" s="137"/>
      <c r="N114" s="28"/>
      <c r="O114" s="28"/>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21"/>
      <c r="AM114" s="21"/>
      <c r="AN114" s="19"/>
      <c r="AO114" s="19"/>
      <c r="AP114" s="19"/>
      <c r="AQ114" s="19"/>
    </row>
    <row r="115" spans="1:43">
      <c r="A115" s="19"/>
      <c r="B115" s="169"/>
      <c r="C115" s="555"/>
      <c r="D115" s="19"/>
      <c r="E115" s="19"/>
      <c r="F115" s="19"/>
      <c r="G115" s="19"/>
      <c r="H115" s="19"/>
      <c r="I115" s="19"/>
      <c r="J115" s="19"/>
      <c r="K115" s="137"/>
      <c r="L115" s="132"/>
      <c r="M115" s="137"/>
      <c r="N115" s="28"/>
      <c r="O115" s="28"/>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21"/>
      <c r="AM115" s="21"/>
      <c r="AN115" s="19"/>
      <c r="AO115" s="19"/>
      <c r="AP115" s="19"/>
      <c r="AQ115" s="19"/>
    </row>
    <row r="116" spans="1:43">
      <c r="A116" s="19"/>
      <c r="B116" s="169"/>
      <c r="C116" s="555"/>
      <c r="D116" s="19"/>
      <c r="E116" s="19"/>
      <c r="F116" s="19"/>
      <c r="G116" s="19"/>
      <c r="H116" s="19"/>
      <c r="I116" s="19"/>
      <c r="J116" s="19"/>
      <c r="K116" s="137"/>
      <c r="L116" s="132"/>
      <c r="M116" s="137"/>
      <c r="N116" s="28"/>
      <c r="O116" s="28"/>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21"/>
      <c r="AM116" s="21"/>
      <c r="AN116" s="19"/>
      <c r="AO116" s="19"/>
      <c r="AP116" s="19"/>
      <c r="AQ116" s="19"/>
    </row>
    <row r="117" spans="1:43">
      <c r="A117" s="19"/>
      <c r="B117" s="169"/>
      <c r="C117" s="555"/>
      <c r="D117" s="19"/>
      <c r="E117" s="19"/>
      <c r="F117" s="19"/>
      <c r="G117" s="19"/>
      <c r="H117" s="19"/>
      <c r="I117" s="19"/>
      <c r="J117" s="19"/>
      <c r="K117" s="137"/>
      <c r="L117" s="132"/>
      <c r="M117" s="137"/>
      <c r="N117" s="28"/>
      <c r="O117" s="28"/>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21"/>
      <c r="AM117" s="21"/>
      <c r="AN117" s="19"/>
      <c r="AO117" s="19"/>
      <c r="AP117" s="19"/>
      <c r="AQ117" s="19"/>
    </row>
    <row r="118" spans="1:43">
      <c r="A118" s="19"/>
      <c r="B118" s="169"/>
      <c r="C118" s="555"/>
      <c r="D118" s="19"/>
      <c r="E118" s="19"/>
      <c r="F118" s="19"/>
      <c r="G118" s="19"/>
      <c r="H118" s="19"/>
      <c r="I118" s="19"/>
      <c r="J118" s="19"/>
      <c r="K118" s="137"/>
      <c r="L118" s="132"/>
      <c r="M118" s="137"/>
      <c r="N118" s="28"/>
      <c r="O118" s="28"/>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21"/>
      <c r="AM118" s="21"/>
      <c r="AN118" s="19"/>
      <c r="AO118" s="19"/>
      <c r="AP118" s="19"/>
      <c r="AQ118" s="19"/>
    </row>
    <row r="119" spans="1:43">
      <c r="A119" s="19"/>
      <c r="B119" s="169"/>
      <c r="C119" s="555"/>
      <c r="D119" s="19"/>
      <c r="E119" s="19"/>
      <c r="F119" s="19"/>
      <c r="G119" s="19"/>
      <c r="H119" s="19"/>
      <c r="I119" s="19"/>
      <c r="J119" s="19"/>
      <c r="K119" s="137"/>
      <c r="L119" s="132"/>
      <c r="M119" s="137"/>
      <c r="N119" s="28"/>
      <c r="O119" s="28"/>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21"/>
      <c r="AM119" s="21"/>
      <c r="AN119" s="19"/>
      <c r="AO119" s="19"/>
      <c r="AP119" s="19"/>
      <c r="AQ119" s="19"/>
    </row>
    <row r="120" spans="1:43">
      <c r="A120" s="19"/>
      <c r="B120" s="169"/>
      <c r="C120" s="555"/>
      <c r="D120" s="19"/>
      <c r="E120" s="19"/>
      <c r="F120" s="19"/>
      <c r="G120" s="19"/>
      <c r="H120" s="19"/>
      <c r="I120" s="19"/>
      <c r="J120" s="19"/>
      <c r="K120" s="137"/>
      <c r="L120" s="132"/>
      <c r="M120" s="137"/>
      <c r="N120" s="28"/>
      <c r="O120" s="28"/>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21"/>
      <c r="AM120" s="21"/>
      <c r="AN120" s="19"/>
      <c r="AO120" s="19"/>
      <c r="AP120" s="19"/>
      <c r="AQ120" s="19"/>
    </row>
    <row r="121" spans="1:43">
      <c r="A121" s="19"/>
      <c r="B121" s="169"/>
      <c r="C121" s="555"/>
      <c r="D121" s="19"/>
      <c r="E121" s="19"/>
      <c r="F121" s="19"/>
      <c r="G121" s="19"/>
      <c r="H121" s="19"/>
      <c r="I121" s="19"/>
      <c r="J121" s="19"/>
      <c r="K121" s="137"/>
      <c r="L121" s="132"/>
      <c r="M121" s="137"/>
      <c r="N121" s="28"/>
      <c r="O121" s="28"/>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21"/>
      <c r="AM121" s="21"/>
      <c r="AN121" s="19"/>
      <c r="AO121" s="19"/>
      <c r="AP121" s="19"/>
      <c r="AQ121" s="19"/>
    </row>
    <row r="122" spans="1:43">
      <c r="A122" s="19"/>
      <c r="B122" s="169"/>
      <c r="C122" s="555"/>
      <c r="D122" s="19"/>
      <c r="E122" s="19"/>
      <c r="F122" s="19"/>
      <c r="G122" s="19"/>
      <c r="H122" s="19"/>
      <c r="I122" s="19"/>
      <c r="J122" s="19"/>
      <c r="K122" s="137"/>
      <c r="L122" s="132"/>
      <c r="M122" s="137"/>
      <c r="N122" s="28"/>
      <c r="O122" s="28"/>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21"/>
      <c r="AM122" s="21"/>
      <c r="AN122" s="19"/>
      <c r="AO122" s="19"/>
      <c r="AP122" s="19"/>
      <c r="AQ122" s="19"/>
    </row>
    <row r="123" spans="1:43">
      <c r="A123" s="19"/>
      <c r="B123" s="169"/>
      <c r="C123" s="555"/>
      <c r="D123" s="19"/>
      <c r="E123" s="19"/>
      <c r="F123" s="19"/>
      <c r="G123" s="19"/>
      <c r="H123" s="19"/>
      <c r="I123" s="19"/>
      <c r="J123" s="19"/>
      <c r="K123" s="137"/>
      <c r="L123" s="132"/>
      <c r="M123" s="137"/>
      <c r="N123" s="28"/>
      <c r="O123" s="28"/>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21"/>
      <c r="AM123" s="21"/>
      <c r="AN123" s="19"/>
      <c r="AO123" s="19"/>
      <c r="AP123" s="19"/>
      <c r="AQ123" s="19"/>
    </row>
    <row r="124" spans="1:43">
      <c r="A124" s="19"/>
      <c r="B124" s="169"/>
      <c r="C124" s="555"/>
      <c r="D124" s="19"/>
      <c r="E124" s="19"/>
      <c r="F124" s="19"/>
      <c r="G124" s="19"/>
      <c r="H124" s="19"/>
      <c r="I124" s="19"/>
      <c r="J124" s="19"/>
      <c r="K124" s="137"/>
      <c r="L124" s="132"/>
      <c r="M124" s="137"/>
      <c r="N124" s="28"/>
      <c r="O124" s="28"/>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21"/>
      <c r="AM124" s="21"/>
      <c r="AN124" s="19"/>
      <c r="AO124" s="19"/>
      <c r="AP124" s="19"/>
      <c r="AQ124" s="19"/>
    </row>
    <row r="125" spans="1:43">
      <c r="A125" s="19"/>
      <c r="B125" s="169"/>
      <c r="C125" s="555"/>
      <c r="D125" s="19"/>
      <c r="E125" s="19"/>
      <c r="F125" s="19"/>
      <c r="G125" s="19"/>
      <c r="H125" s="19"/>
      <c r="I125" s="19"/>
      <c r="J125" s="19"/>
      <c r="K125" s="137"/>
      <c r="L125" s="132"/>
      <c r="M125" s="137"/>
      <c r="N125" s="28"/>
      <c r="O125" s="28"/>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21"/>
      <c r="AM125" s="21"/>
      <c r="AN125" s="19"/>
      <c r="AO125" s="19"/>
      <c r="AP125" s="19"/>
      <c r="AQ125" s="19"/>
    </row>
    <row r="126" spans="1:43">
      <c r="A126" s="19"/>
      <c r="B126" s="169"/>
      <c r="C126" s="555"/>
      <c r="D126" s="19"/>
      <c r="E126" s="19"/>
      <c r="F126" s="19"/>
      <c r="G126" s="19"/>
      <c r="H126" s="19"/>
      <c r="I126" s="19"/>
      <c r="J126" s="19"/>
      <c r="K126" s="137"/>
      <c r="L126" s="132"/>
      <c r="M126" s="137"/>
      <c r="N126" s="28"/>
      <c r="O126" s="28"/>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21"/>
      <c r="AM126" s="21"/>
      <c r="AN126" s="19"/>
      <c r="AO126" s="19"/>
      <c r="AP126" s="19"/>
      <c r="AQ126" s="19"/>
    </row>
    <row r="127" spans="1:43">
      <c r="A127" s="19"/>
      <c r="B127" s="169"/>
      <c r="C127" s="555"/>
      <c r="D127" s="19"/>
      <c r="E127" s="19"/>
      <c r="F127" s="19"/>
      <c r="G127" s="19"/>
      <c r="H127" s="19"/>
      <c r="I127" s="19"/>
      <c r="J127" s="19"/>
      <c r="K127" s="137"/>
      <c r="L127" s="132"/>
      <c r="M127" s="137"/>
      <c r="N127" s="28"/>
      <c r="O127" s="28"/>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21"/>
      <c r="AM127" s="21"/>
      <c r="AN127" s="19"/>
      <c r="AO127" s="19"/>
      <c r="AP127" s="19"/>
      <c r="AQ127" s="19"/>
    </row>
    <row r="128" spans="1:43">
      <c r="A128" s="19"/>
      <c r="B128" s="169"/>
      <c r="C128" s="555"/>
      <c r="D128" s="19"/>
      <c r="E128" s="19"/>
      <c r="F128" s="19"/>
      <c r="G128" s="19"/>
      <c r="H128" s="19"/>
      <c r="I128" s="19"/>
      <c r="J128" s="19"/>
      <c r="K128" s="137"/>
      <c r="L128" s="132"/>
      <c r="M128" s="137"/>
      <c r="N128" s="28"/>
      <c r="O128" s="28"/>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21"/>
      <c r="AM128" s="21"/>
      <c r="AN128" s="19"/>
      <c r="AO128" s="19"/>
      <c r="AP128" s="19"/>
      <c r="AQ128" s="19"/>
    </row>
    <row r="129" spans="1:43">
      <c r="A129" s="19"/>
      <c r="B129" s="169"/>
      <c r="C129" s="555"/>
      <c r="D129" s="19"/>
      <c r="E129" s="19"/>
      <c r="F129" s="19"/>
      <c r="G129" s="19"/>
      <c r="H129" s="19"/>
      <c r="I129" s="19"/>
      <c r="J129" s="19"/>
      <c r="K129" s="137"/>
      <c r="L129" s="132"/>
      <c r="M129" s="137"/>
      <c r="N129" s="28"/>
      <c r="O129" s="28"/>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21"/>
      <c r="AM129" s="21"/>
      <c r="AN129" s="19"/>
      <c r="AO129" s="19"/>
      <c r="AP129" s="19"/>
      <c r="AQ129" s="19"/>
    </row>
    <row r="130" spans="1:43">
      <c r="A130" s="19"/>
      <c r="B130" s="169"/>
      <c r="C130" s="555"/>
      <c r="D130" s="19"/>
      <c r="E130" s="19"/>
      <c r="F130" s="19"/>
      <c r="G130" s="19"/>
      <c r="H130" s="19"/>
      <c r="I130" s="19"/>
      <c r="J130" s="19"/>
      <c r="K130" s="137"/>
      <c r="L130" s="132"/>
      <c r="M130" s="137"/>
      <c r="N130" s="28"/>
      <c r="O130" s="28"/>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21"/>
      <c r="AM130" s="21"/>
      <c r="AN130" s="19"/>
      <c r="AO130" s="19"/>
      <c r="AP130" s="19"/>
      <c r="AQ130" s="19"/>
    </row>
    <row r="131" spans="1:43">
      <c r="A131" s="19"/>
      <c r="B131" s="169"/>
      <c r="C131" s="555"/>
      <c r="D131" s="19"/>
      <c r="E131" s="19"/>
      <c r="F131" s="19"/>
      <c r="G131" s="19"/>
      <c r="H131" s="19"/>
      <c r="I131" s="19"/>
      <c r="J131" s="19"/>
      <c r="K131" s="137"/>
      <c r="L131" s="132"/>
      <c r="M131" s="137"/>
      <c r="N131" s="28"/>
      <c r="O131" s="28"/>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21"/>
      <c r="AM131" s="21"/>
      <c r="AN131" s="19"/>
      <c r="AO131" s="19"/>
      <c r="AP131" s="19"/>
      <c r="AQ131" s="19"/>
    </row>
    <row r="132" spans="1:43">
      <c r="A132" s="19"/>
      <c r="B132" s="169"/>
      <c r="C132" s="555"/>
      <c r="D132" s="19"/>
      <c r="E132" s="19"/>
      <c r="F132" s="19"/>
      <c r="G132" s="19"/>
      <c r="H132" s="19"/>
      <c r="I132" s="19"/>
      <c r="J132" s="19"/>
      <c r="K132" s="137"/>
      <c r="L132" s="132"/>
      <c r="M132" s="137"/>
      <c r="N132" s="28"/>
      <c r="O132" s="28"/>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21"/>
      <c r="AM132" s="21"/>
      <c r="AN132" s="19"/>
      <c r="AO132" s="19"/>
      <c r="AP132" s="19"/>
      <c r="AQ132" s="19"/>
    </row>
    <row r="133" spans="1:43">
      <c r="A133" s="19"/>
      <c r="B133" s="169"/>
      <c r="C133" s="555"/>
      <c r="D133" s="19"/>
      <c r="E133" s="19"/>
      <c r="F133" s="19"/>
      <c r="G133" s="19"/>
      <c r="H133" s="19"/>
      <c r="I133" s="19"/>
      <c r="J133" s="19"/>
      <c r="K133" s="137"/>
      <c r="L133" s="132"/>
      <c r="M133" s="137"/>
      <c r="N133" s="28"/>
      <c r="O133" s="28"/>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21"/>
      <c r="AM133" s="21"/>
      <c r="AN133" s="19"/>
      <c r="AO133" s="19"/>
      <c r="AP133" s="19"/>
      <c r="AQ133" s="19"/>
    </row>
    <row r="134" spans="1:43">
      <c r="A134" s="19"/>
      <c r="B134" s="169"/>
      <c r="C134" s="555"/>
      <c r="D134" s="19"/>
      <c r="E134" s="19"/>
      <c r="F134" s="19"/>
      <c r="G134" s="19"/>
      <c r="H134" s="19"/>
      <c r="I134" s="19"/>
      <c r="J134" s="19"/>
      <c r="K134" s="137"/>
      <c r="L134" s="132"/>
      <c r="M134" s="137"/>
      <c r="N134" s="28"/>
      <c r="O134" s="28"/>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21"/>
      <c r="AM134" s="21"/>
      <c r="AN134" s="19"/>
      <c r="AO134" s="19"/>
      <c r="AP134" s="19"/>
      <c r="AQ134" s="19"/>
    </row>
    <row r="135" spans="1:43">
      <c r="A135" s="19"/>
      <c r="B135" s="169"/>
      <c r="C135" s="555"/>
      <c r="D135" s="19"/>
      <c r="E135" s="19"/>
      <c r="F135" s="19"/>
      <c r="G135" s="19"/>
      <c r="H135" s="19"/>
      <c r="I135" s="19"/>
      <c r="J135" s="19"/>
      <c r="K135" s="137"/>
      <c r="L135" s="132"/>
      <c r="M135" s="137"/>
      <c r="N135" s="28"/>
      <c r="O135" s="28"/>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21"/>
      <c r="AM135" s="21"/>
      <c r="AN135" s="19"/>
      <c r="AO135" s="19"/>
      <c r="AP135" s="19"/>
      <c r="AQ135" s="19"/>
    </row>
    <row r="136" spans="1:43">
      <c r="A136" s="19"/>
      <c r="B136" s="169"/>
      <c r="C136" s="555"/>
      <c r="D136" s="19"/>
      <c r="E136" s="19"/>
      <c r="F136" s="19"/>
      <c r="G136" s="19"/>
      <c r="H136" s="19"/>
      <c r="I136" s="19"/>
      <c r="J136" s="19"/>
      <c r="K136" s="137"/>
      <c r="L136" s="132"/>
      <c r="M136" s="137"/>
      <c r="N136" s="28"/>
      <c r="O136" s="28"/>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21"/>
      <c r="AM136" s="21"/>
      <c r="AN136" s="19"/>
      <c r="AO136" s="19"/>
      <c r="AP136" s="19"/>
      <c r="AQ136" s="19"/>
    </row>
    <row r="137" spans="1:43">
      <c r="A137" s="19"/>
      <c r="B137" s="169"/>
      <c r="C137" s="555"/>
      <c r="D137" s="19"/>
      <c r="E137" s="19"/>
      <c r="F137" s="19"/>
      <c r="G137" s="19"/>
      <c r="H137" s="19"/>
      <c r="I137" s="19"/>
      <c r="J137" s="19"/>
      <c r="K137" s="137"/>
      <c r="L137" s="132"/>
      <c r="M137" s="137"/>
      <c r="N137" s="28"/>
      <c r="O137" s="28"/>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21"/>
      <c r="AM137" s="21"/>
      <c r="AN137" s="19"/>
      <c r="AO137" s="19"/>
      <c r="AP137" s="19"/>
      <c r="AQ137" s="19"/>
    </row>
    <row r="138" spans="1:43">
      <c r="A138" s="19"/>
      <c r="B138" s="169"/>
      <c r="C138" s="555"/>
      <c r="D138" s="19"/>
      <c r="E138" s="19"/>
      <c r="F138" s="19"/>
      <c r="G138" s="19"/>
      <c r="H138" s="19"/>
      <c r="I138" s="19"/>
      <c r="J138" s="19"/>
      <c r="K138" s="137"/>
      <c r="L138" s="132"/>
      <c r="M138" s="137"/>
      <c r="N138" s="28"/>
      <c r="O138" s="28"/>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21"/>
      <c r="AM138" s="21"/>
      <c r="AN138" s="19"/>
      <c r="AO138" s="19"/>
      <c r="AP138" s="19"/>
      <c r="AQ138" s="19"/>
    </row>
    <row r="139" spans="1:43">
      <c r="A139" s="19"/>
      <c r="B139" s="169"/>
      <c r="C139" s="555"/>
      <c r="D139" s="19"/>
      <c r="E139" s="19"/>
      <c r="F139" s="19"/>
      <c r="G139" s="19"/>
      <c r="H139" s="19"/>
      <c r="I139" s="19"/>
      <c r="J139" s="19"/>
      <c r="K139" s="137"/>
      <c r="L139" s="132"/>
      <c r="M139" s="137"/>
      <c r="N139" s="28"/>
      <c r="O139" s="28"/>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21"/>
      <c r="AM139" s="21"/>
      <c r="AN139" s="19"/>
      <c r="AO139" s="19"/>
      <c r="AP139" s="19"/>
      <c r="AQ139" s="19"/>
    </row>
    <row r="140" spans="1:43">
      <c r="A140" s="19"/>
      <c r="B140" s="169"/>
      <c r="C140" s="555"/>
      <c r="D140" s="19"/>
      <c r="E140" s="19"/>
      <c r="F140" s="19"/>
      <c r="G140" s="19"/>
      <c r="H140" s="19"/>
      <c r="I140" s="19"/>
      <c r="J140" s="19"/>
      <c r="K140" s="137"/>
      <c r="L140" s="132"/>
      <c r="M140" s="137"/>
      <c r="N140" s="28"/>
      <c r="O140" s="28"/>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21"/>
      <c r="AM140" s="21"/>
      <c r="AN140" s="19"/>
      <c r="AO140" s="19"/>
      <c r="AP140" s="19"/>
      <c r="AQ140" s="19"/>
    </row>
    <row r="141" spans="1:43">
      <c r="A141" s="19"/>
      <c r="B141" s="169"/>
      <c r="C141" s="555"/>
      <c r="D141" s="19"/>
      <c r="E141" s="19"/>
      <c r="F141" s="19"/>
      <c r="G141" s="19"/>
      <c r="H141" s="19"/>
      <c r="I141" s="19"/>
      <c r="J141" s="19"/>
      <c r="K141" s="137"/>
      <c r="L141" s="132"/>
      <c r="M141" s="137"/>
      <c r="N141" s="28"/>
      <c r="O141" s="28"/>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21"/>
      <c r="AM141" s="21"/>
      <c r="AN141" s="19"/>
      <c r="AO141" s="19"/>
      <c r="AP141" s="19"/>
      <c r="AQ141" s="19"/>
    </row>
    <row r="142" spans="1:43">
      <c r="A142" s="19"/>
      <c r="B142" s="169"/>
      <c r="C142" s="555"/>
      <c r="D142" s="19"/>
      <c r="E142" s="19"/>
      <c r="F142" s="19"/>
      <c r="G142" s="19"/>
      <c r="H142" s="19"/>
      <c r="I142" s="19"/>
      <c r="J142" s="19"/>
      <c r="K142" s="137"/>
      <c r="L142" s="132"/>
      <c r="M142" s="137"/>
      <c r="N142" s="28"/>
      <c r="O142" s="28"/>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21"/>
      <c r="AM142" s="21"/>
      <c r="AN142" s="19"/>
      <c r="AO142" s="19"/>
      <c r="AP142" s="19"/>
      <c r="AQ142" s="19"/>
    </row>
    <row r="143" spans="1:43">
      <c r="A143" s="19"/>
      <c r="B143" s="169"/>
      <c r="C143" s="555"/>
      <c r="D143" s="19"/>
      <c r="E143" s="19"/>
      <c r="F143" s="19"/>
      <c r="G143" s="19"/>
      <c r="H143" s="19"/>
      <c r="I143" s="19"/>
      <c r="J143" s="19"/>
      <c r="K143" s="137"/>
      <c r="L143" s="132"/>
      <c r="M143" s="137"/>
      <c r="N143" s="28"/>
      <c r="O143" s="28"/>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21"/>
      <c r="AM143" s="21"/>
      <c r="AN143" s="19"/>
      <c r="AO143" s="19"/>
      <c r="AP143" s="19"/>
      <c r="AQ143" s="19"/>
    </row>
    <row r="144" spans="1:43">
      <c r="A144" s="19"/>
      <c r="B144" s="169"/>
      <c r="C144" s="555"/>
      <c r="D144" s="19"/>
      <c r="E144" s="19"/>
      <c r="F144" s="19"/>
      <c r="G144" s="19"/>
      <c r="H144" s="19"/>
      <c r="I144" s="19"/>
      <c r="J144" s="19"/>
      <c r="K144" s="137"/>
      <c r="L144" s="132"/>
      <c r="M144" s="137"/>
      <c r="N144" s="28"/>
      <c r="O144" s="28"/>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21"/>
      <c r="AM144" s="21"/>
      <c r="AN144" s="19"/>
      <c r="AO144" s="19"/>
      <c r="AP144" s="19"/>
      <c r="AQ144" s="19"/>
    </row>
    <row r="145" spans="1:43">
      <c r="A145" s="19"/>
      <c r="B145" s="169"/>
      <c r="C145" s="555"/>
      <c r="D145" s="19"/>
      <c r="E145" s="19"/>
      <c r="F145" s="19"/>
      <c r="G145" s="19"/>
      <c r="H145" s="19"/>
      <c r="I145" s="19"/>
      <c r="J145" s="19"/>
      <c r="K145" s="137"/>
      <c r="L145" s="132"/>
      <c r="M145" s="137"/>
      <c r="N145" s="28"/>
      <c r="O145" s="28"/>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21"/>
      <c r="AM145" s="21"/>
      <c r="AN145" s="19"/>
      <c r="AO145" s="19"/>
      <c r="AP145" s="19"/>
      <c r="AQ145" s="19"/>
    </row>
    <row r="146" spans="1:43">
      <c r="A146" s="19"/>
      <c r="B146" s="169"/>
      <c r="C146" s="555"/>
      <c r="D146" s="19"/>
      <c r="E146" s="19"/>
      <c r="F146" s="19"/>
      <c r="G146" s="19"/>
      <c r="H146" s="19"/>
      <c r="I146" s="19"/>
      <c r="J146" s="19"/>
      <c r="K146" s="137"/>
      <c r="L146" s="132"/>
      <c r="M146" s="137"/>
      <c r="N146" s="28"/>
      <c r="O146" s="28"/>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21"/>
      <c r="AM146" s="21"/>
      <c r="AN146" s="19"/>
      <c r="AO146" s="19"/>
      <c r="AP146" s="19"/>
      <c r="AQ146" s="19"/>
    </row>
    <row r="147" spans="1:43">
      <c r="A147" s="19"/>
      <c r="B147" s="169"/>
      <c r="C147" s="555"/>
      <c r="D147" s="19"/>
      <c r="E147" s="19"/>
      <c r="F147" s="19"/>
      <c r="G147" s="19"/>
      <c r="H147" s="19"/>
      <c r="I147" s="19"/>
      <c r="J147" s="19"/>
      <c r="K147" s="137"/>
      <c r="L147" s="132"/>
      <c r="M147" s="137"/>
      <c r="N147" s="28"/>
      <c r="O147" s="28"/>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21"/>
      <c r="AM147" s="21"/>
      <c r="AN147" s="19"/>
      <c r="AO147" s="19"/>
      <c r="AP147" s="19"/>
      <c r="AQ147" s="19"/>
    </row>
    <row r="148" spans="1:43">
      <c r="A148" s="19"/>
      <c r="B148" s="169"/>
      <c r="C148" s="555"/>
      <c r="D148" s="19"/>
      <c r="E148" s="19"/>
      <c r="F148" s="19"/>
      <c r="G148" s="19"/>
      <c r="H148" s="19"/>
      <c r="I148" s="19"/>
      <c r="J148" s="19"/>
      <c r="K148" s="137"/>
      <c r="L148" s="132"/>
      <c r="M148" s="137"/>
      <c r="N148" s="28"/>
      <c r="O148" s="28"/>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21"/>
      <c r="AM148" s="21"/>
      <c r="AN148" s="19"/>
      <c r="AO148" s="19"/>
      <c r="AP148" s="19"/>
      <c r="AQ148" s="19"/>
    </row>
    <row r="149" spans="1:43">
      <c r="A149" s="19"/>
      <c r="B149" s="169"/>
      <c r="C149" s="555"/>
      <c r="D149" s="19"/>
      <c r="E149" s="19"/>
      <c r="F149" s="19"/>
      <c r="G149" s="19"/>
      <c r="H149" s="19"/>
      <c r="I149" s="19"/>
      <c r="J149" s="19"/>
      <c r="K149" s="137"/>
      <c r="L149" s="132"/>
      <c r="M149" s="137"/>
      <c r="N149" s="28"/>
      <c r="O149" s="28"/>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21"/>
      <c r="AM149" s="21"/>
      <c r="AN149" s="19"/>
      <c r="AO149" s="19"/>
      <c r="AP149" s="19"/>
      <c r="AQ149" s="19"/>
    </row>
    <row r="150" spans="1:43">
      <c r="A150" s="19"/>
      <c r="B150" s="169"/>
      <c r="C150" s="555"/>
      <c r="D150" s="19"/>
      <c r="E150" s="19"/>
      <c r="F150" s="19"/>
      <c r="G150" s="19"/>
      <c r="H150" s="19"/>
      <c r="I150" s="19"/>
      <c r="J150" s="19"/>
      <c r="K150" s="137"/>
      <c r="L150" s="132"/>
      <c r="M150" s="137"/>
      <c r="N150" s="28"/>
      <c r="O150" s="28"/>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21"/>
      <c r="AM150" s="21"/>
      <c r="AN150" s="19"/>
      <c r="AO150" s="19"/>
      <c r="AP150" s="19"/>
      <c r="AQ150" s="19"/>
    </row>
    <row r="151" spans="1:43">
      <c r="A151" s="19"/>
      <c r="B151" s="169"/>
      <c r="C151" s="555"/>
      <c r="D151" s="19"/>
      <c r="E151" s="19"/>
      <c r="F151" s="19"/>
      <c r="G151" s="19"/>
      <c r="H151" s="19"/>
      <c r="I151" s="19"/>
      <c r="J151" s="19"/>
      <c r="K151" s="137"/>
      <c r="L151" s="132"/>
      <c r="M151" s="137"/>
      <c r="N151" s="28"/>
      <c r="O151" s="28"/>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21"/>
      <c r="AM151" s="21"/>
      <c r="AN151" s="19"/>
      <c r="AO151" s="19"/>
      <c r="AP151" s="19"/>
      <c r="AQ151" s="19"/>
    </row>
    <row r="152" spans="1:43">
      <c r="A152" s="19"/>
      <c r="B152" s="169"/>
      <c r="C152" s="555"/>
      <c r="D152" s="19"/>
      <c r="E152" s="19"/>
      <c r="F152" s="19"/>
      <c r="G152" s="19"/>
      <c r="H152" s="19"/>
      <c r="I152" s="19"/>
      <c r="J152" s="19"/>
      <c r="K152" s="137"/>
      <c r="L152" s="132"/>
      <c r="M152" s="137"/>
      <c r="N152" s="28"/>
      <c r="O152" s="28"/>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21"/>
      <c r="AM152" s="21"/>
      <c r="AN152" s="19"/>
      <c r="AO152" s="19"/>
      <c r="AP152" s="19"/>
      <c r="AQ152" s="19"/>
    </row>
    <row r="153" spans="1:43">
      <c r="A153" s="19"/>
      <c r="B153" s="169"/>
      <c r="C153" s="555"/>
      <c r="D153" s="19"/>
      <c r="E153" s="19"/>
      <c r="F153" s="19"/>
      <c r="G153" s="19"/>
      <c r="H153" s="19"/>
      <c r="I153" s="19"/>
      <c r="J153" s="19"/>
      <c r="K153" s="137"/>
      <c r="L153" s="132"/>
      <c r="M153" s="137"/>
      <c r="N153" s="28"/>
      <c r="O153" s="28"/>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21"/>
      <c r="AM153" s="21"/>
      <c r="AN153" s="19"/>
      <c r="AO153" s="19"/>
      <c r="AP153" s="19"/>
      <c r="AQ153" s="19"/>
    </row>
    <row r="154" spans="1:43">
      <c r="A154" s="19"/>
      <c r="B154" s="169"/>
      <c r="C154" s="555"/>
      <c r="D154" s="19"/>
      <c r="E154" s="19"/>
      <c r="F154" s="19"/>
      <c r="G154" s="19"/>
      <c r="H154" s="19"/>
      <c r="I154" s="19"/>
      <c r="J154" s="19"/>
      <c r="K154" s="137"/>
      <c r="L154" s="132"/>
      <c r="M154" s="137"/>
      <c r="N154" s="28"/>
      <c r="O154" s="28"/>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21"/>
      <c r="AM154" s="21"/>
      <c r="AN154" s="19"/>
      <c r="AO154" s="19"/>
      <c r="AP154" s="19"/>
      <c r="AQ154" s="19"/>
    </row>
    <row r="155" spans="1:43">
      <c r="A155" s="19"/>
      <c r="B155" s="169"/>
      <c r="C155" s="555"/>
      <c r="D155" s="19"/>
      <c r="E155" s="19"/>
      <c r="F155" s="19"/>
      <c r="G155" s="19"/>
      <c r="H155" s="19"/>
      <c r="I155" s="19"/>
      <c r="J155" s="19"/>
      <c r="K155" s="137"/>
      <c r="L155" s="132"/>
      <c r="M155" s="137"/>
      <c r="N155" s="28"/>
      <c r="O155" s="28"/>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21"/>
      <c r="AM155" s="21"/>
      <c r="AN155" s="19"/>
      <c r="AO155" s="19"/>
      <c r="AP155" s="19"/>
      <c r="AQ155" s="19"/>
    </row>
    <row r="156" spans="1:43">
      <c r="A156" s="19"/>
      <c r="B156" s="169"/>
      <c r="C156" s="555"/>
      <c r="D156" s="19"/>
      <c r="E156" s="19"/>
      <c r="F156" s="19"/>
      <c r="G156" s="19"/>
      <c r="H156" s="19"/>
      <c r="I156" s="19"/>
      <c r="J156" s="19"/>
      <c r="K156" s="137"/>
      <c r="L156" s="132"/>
      <c r="M156" s="137"/>
      <c r="N156" s="28"/>
      <c r="O156" s="28"/>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21"/>
      <c r="AM156" s="21"/>
      <c r="AN156" s="19"/>
      <c r="AO156" s="19"/>
      <c r="AP156" s="19"/>
      <c r="AQ156" s="19"/>
    </row>
    <row r="157" spans="1:43">
      <c r="A157" s="19"/>
      <c r="B157" s="326"/>
      <c r="C157" s="326"/>
      <c r="D157" s="326"/>
      <c r="E157" s="579"/>
      <c r="F157" s="328"/>
      <c r="G157" s="328"/>
      <c r="H157" s="328"/>
      <c r="I157" s="580"/>
      <c r="J157" s="326"/>
      <c r="K157" s="342"/>
      <c r="L157" s="326"/>
      <c r="M157" s="338"/>
      <c r="N157" s="338"/>
      <c r="O157" s="338"/>
      <c r="P157" s="338"/>
      <c r="Q157" s="338"/>
      <c r="R157" s="338"/>
      <c r="S157" s="326"/>
      <c r="T157" s="326"/>
      <c r="U157" s="326"/>
      <c r="V157" s="326"/>
      <c r="W157" s="326"/>
      <c r="X157" s="326"/>
      <c r="Y157" s="326"/>
      <c r="Z157" s="326"/>
      <c r="AA157" s="326"/>
      <c r="AB157" s="326"/>
      <c r="AC157" s="326"/>
      <c r="AD157" s="326"/>
      <c r="AE157" s="326"/>
      <c r="AF157" s="326"/>
      <c r="AG157" s="326"/>
      <c r="AH157" s="648"/>
      <c r="AI157" s="19"/>
      <c r="AJ157" s="19"/>
      <c r="AK157" s="19"/>
      <c r="AL157" s="21"/>
      <c r="AM157" s="21"/>
      <c r="AN157" s="19"/>
      <c r="AO157" s="19"/>
      <c r="AP157" s="19"/>
      <c r="AQ157" s="19"/>
    </row>
    <row r="158" spans="1:43">
      <c r="A158" s="19"/>
      <c r="B158" s="28"/>
      <c r="C158" s="164"/>
      <c r="D158" s="19"/>
      <c r="E158" s="19"/>
      <c r="F158" s="19"/>
      <c r="G158" s="19"/>
      <c r="H158" s="19"/>
      <c r="I158" s="19"/>
      <c r="J158" s="132"/>
      <c r="K158" s="137"/>
      <c r="L158" s="132"/>
      <c r="M158" s="137"/>
      <c r="N158" s="28"/>
      <c r="O158" s="28"/>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21"/>
      <c r="AM158" s="21"/>
      <c r="AN158" s="19"/>
      <c r="AO158" s="19"/>
      <c r="AP158" s="19"/>
      <c r="AQ158" s="19"/>
    </row>
    <row r="159" spans="1:43">
      <c r="A159" s="19"/>
      <c r="B159" s="591"/>
      <c r="C159" s="594"/>
      <c r="D159" s="19"/>
      <c r="E159" s="19"/>
      <c r="F159" s="19"/>
      <c r="G159" s="19"/>
      <c r="H159" s="19"/>
      <c r="I159" s="19"/>
      <c r="J159" s="28"/>
      <c r="K159" s="28"/>
      <c r="L159" s="28"/>
      <c r="M159" s="28"/>
      <c r="N159" s="28"/>
      <c r="O159" s="28"/>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21"/>
      <c r="AM159" s="21"/>
      <c r="AN159" s="19"/>
      <c r="AO159" s="19"/>
      <c r="AP159" s="19"/>
      <c r="AQ159" s="19"/>
    </row>
    <row r="160" spans="1:43">
      <c r="A160" s="19"/>
      <c r="B160" s="169"/>
      <c r="C160" s="555"/>
      <c r="D160" s="19"/>
      <c r="E160" s="19"/>
      <c r="F160" s="19"/>
      <c r="G160" s="19"/>
      <c r="H160" s="19"/>
      <c r="I160" s="19"/>
      <c r="J160" s="19"/>
      <c r="K160" s="137"/>
      <c r="L160" s="132"/>
      <c r="M160" s="137"/>
      <c r="N160" s="28"/>
      <c r="O160" s="28"/>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21"/>
      <c r="AM160" s="21"/>
      <c r="AN160" s="19"/>
      <c r="AO160" s="19"/>
      <c r="AP160" s="19"/>
      <c r="AQ160" s="19"/>
    </row>
    <row r="161" spans="1:43">
      <c r="A161" s="19"/>
      <c r="B161" s="169"/>
      <c r="C161" s="555"/>
      <c r="D161" s="19"/>
      <c r="E161" s="19"/>
      <c r="F161" s="19"/>
      <c r="G161" s="19"/>
      <c r="H161" s="19"/>
      <c r="I161" s="19"/>
      <c r="J161" s="19"/>
      <c r="K161" s="137"/>
      <c r="L161" s="132"/>
      <c r="M161" s="137"/>
      <c r="N161" s="28"/>
      <c r="O161" s="28"/>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21"/>
      <c r="AM161" s="21"/>
      <c r="AN161" s="19"/>
      <c r="AO161" s="19"/>
      <c r="AP161" s="19"/>
      <c r="AQ161" s="19"/>
    </row>
    <row r="162" spans="1:43">
      <c r="A162" s="19"/>
      <c r="B162" s="169"/>
      <c r="C162" s="555"/>
      <c r="D162" s="19"/>
      <c r="E162" s="19"/>
      <c r="F162" s="19"/>
      <c r="G162" s="19"/>
      <c r="H162" s="19"/>
      <c r="I162" s="19"/>
      <c r="J162" s="19"/>
      <c r="K162" s="137"/>
      <c r="L162" s="132"/>
      <c r="M162" s="137"/>
      <c r="N162" s="28"/>
      <c r="O162" s="28"/>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21"/>
      <c r="AM162" s="21"/>
      <c r="AN162" s="19"/>
      <c r="AO162" s="19"/>
      <c r="AP162" s="19"/>
      <c r="AQ162" s="19"/>
    </row>
    <row r="163" spans="1:43">
      <c r="A163" s="19"/>
      <c r="B163" s="169"/>
      <c r="C163" s="555"/>
      <c r="D163" s="19"/>
      <c r="E163" s="19"/>
      <c r="F163" s="19"/>
      <c r="G163" s="19"/>
      <c r="H163" s="19"/>
      <c r="I163" s="19"/>
      <c r="J163" s="19"/>
      <c r="K163" s="137"/>
      <c r="L163" s="132"/>
      <c r="M163" s="137"/>
      <c r="N163" s="28"/>
      <c r="O163" s="28"/>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21"/>
      <c r="AM163" s="21"/>
      <c r="AN163" s="19"/>
      <c r="AO163" s="19"/>
      <c r="AP163" s="19"/>
      <c r="AQ163" s="19"/>
    </row>
    <row r="164" spans="1:43">
      <c r="A164" s="19"/>
      <c r="B164" s="169"/>
      <c r="C164" s="555"/>
      <c r="D164" s="19"/>
      <c r="E164" s="19"/>
      <c r="F164" s="19"/>
      <c r="G164" s="19"/>
      <c r="H164" s="19"/>
      <c r="I164" s="19"/>
      <c r="J164" s="19"/>
      <c r="K164" s="137"/>
      <c r="L164" s="132"/>
      <c r="M164" s="137"/>
      <c r="N164" s="28"/>
      <c r="O164" s="28"/>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21"/>
      <c r="AM164" s="21"/>
      <c r="AN164" s="19"/>
      <c r="AO164" s="19"/>
      <c r="AP164" s="19"/>
      <c r="AQ164" s="19"/>
    </row>
    <row r="165" spans="1:43">
      <c r="A165" s="19"/>
      <c r="B165" s="169"/>
      <c r="C165" s="555"/>
      <c r="D165" s="19"/>
      <c r="E165" s="19"/>
      <c r="F165" s="19"/>
      <c r="G165" s="19"/>
      <c r="H165" s="19"/>
      <c r="I165" s="19"/>
      <c r="J165" s="19"/>
      <c r="K165" s="137"/>
      <c r="L165" s="132"/>
      <c r="M165" s="137"/>
      <c r="N165" s="28"/>
      <c r="O165" s="28"/>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21"/>
      <c r="AM165" s="21"/>
      <c r="AN165" s="19"/>
      <c r="AO165" s="19"/>
      <c r="AP165" s="19"/>
      <c r="AQ165" s="19"/>
    </row>
    <row r="166" spans="1:43">
      <c r="A166" s="19"/>
      <c r="B166" s="169"/>
      <c r="C166" s="555"/>
      <c r="D166" s="19"/>
      <c r="E166" s="19"/>
      <c r="F166" s="19"/>
      <c r="G166" s="19"/>
      <c r="H166" s="19"/>
      <c r="I166" s="19"/>
      <c r="J166" s="19"/>
      <c r="K166" s="137"/>
      <c r="L166" s="132"/>
      <c r="M166" s="137"/>
      <c r="N166" s="28"/>
      <c r="O166" s="28"/>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21"/>
      <c r="AM166" s="21"/>
      <c r="AN166" s="19"/>
      <c r="AO166" s="19"/>
      <c r="AP166" s="19"/>
      <c r="AQ166" s="19"/>
    </row>
    <row r="167" spans="1:43">
      <c r="A167" s="19"/>
      <c r="B167" s="169"/>
      <c r="C167" s="555"/>
      <c r="D167" s="19"/>
      <c r="E167" s="19"/>
      <c r="F167" s="19"/>
      <c r="G167" s="19"/>
      <c r="H167" s="19"/>
      <c r="I167" s="19"/>
      <c r="J167" s="19"/>
      <c r="K167" s="137"/>
      <c r="L167" s="132"/>
      <c r="M167" s="137"/>
      <c r="N167" s="28"/>
      <c r="O167" s="28"/>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21"/>
      <c r="AM167" s="21"/>
      <c r="AN167" s="19"/>
      <c r="AO167" s="19"/>
      <c r="AP167" s="19"/>
      <c r="AQ167" s="19"/>
    </row>
    <row r="168" spans="1:43">
      <c r="A168" s="19"/>
      <c r="B168" s="169"/>
      <c r="C168" s="555"/>
      <c r="D168" s="19"/>
      <c r="E168" s="19"/>
      <c r="F168" s="19"/>
      <c r="G168" s="19"/>
      <c r="H168" s="19"/>
      <c r="I168" s="19"/>
      <c r="J168" s="19"/>
      <c r="K168" s="137"/>
      <c r="L168" s="132"/>
      <c r="M168" s="137"/>
      <c r="N168" s="28"/>
      <c r="O168" s="28"/>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21"/>
      <c r="AM168" s="21"/>
      <c r="AN168" s="19"/>
      <c r="AO168" s="19"/>
      <c r="AP168" s="19"/>
      <c r="AQ168" s="19"/>
    </row>
    <row r="169" spans="1:43">
      <c r="A169" s="19"/>
      <c r="B169" s="169"/>
      <c r="C169" s="555"/>
      <c r="D169" s="19"/>
      <c r="E169" s="19"/>
      <c r="F169" s="19"/>
      <c r="G169" s="19"/>
      <c r="H169" s="19"/>
      <c r="I169" s="19"/>
      <c r="J169" s="19"/>
      <c r="K169" s="137"/>
      <c r="L169" s="132"/>
      <c r="M169" s="137"/>
      <c r="N169" s="28"/>
      <c r="O169" s="28"/>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21"/>
      <c r="AM169" s="21"/>
      <c r="AN169" s="19"/>
      <c r="AO169" s="19"/>
      <c r="AP169" s="19"/>
      <c r="AQ169" s="19"/>
    </row>
    <row r="170" spans="1:43">
      <c r="A170" s="19"/>
      <c r="B170" s="169"/>
      <c r="C170" s="555"/>
      <c r="D170" s="19"/>
      <c r="E170" s="19"/>
      <c r="F170" s="19"/>
      <c r="G170" s="19"/>
      <c r="H170" s="19"/>
      <c r="I170" s="19"/>
      <c r="J170" s="19"/>
      <c r="K170" s="137"/>
      <c r="L170" s="132"/>
      <c r="M170" s="137"/>
      <c r="N170" s="28"/>
      <c r="O170" s="28"/>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21"/>
      <c r="AM170" s="21"/>
      <c r="AN170" s="19"/>
      <c r="AO170" s="19"/>
      <c r="AP170" s="19"/>
      <c r="AQ170" s="19"/>
    </row>
    <row r="171" spans="1:43">
      <c r="A171" s="19"/>
      <c r="B171" s="169"/>
      <c r="C171" s="555"/>
      <c r="D171" s="19"/>
      <c r="E171" s="19"/>
      <c r="F171" s="19"/>
      <c r="G171" s="19"/>
      <c r="H171" s="19"/>
      <c r="I171" s="19"/>
      <c r="J171" s="19"/>
      <c r="K171" s="137"/>
      <c r="L171" s="132"/>
      <c r="M171" s="137"/>
      <c r="N171" s="28"/>
      <c r="O171" s="28"/>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21"/>
      <c r="AM171" s="21"/>
      <c r="AN171" s="19"/>
      <c r="AO171" s="19"/>
      <c r="AP171" s="19"/>
      <c r="AQ171" s="19"/>
    </row>
    <row r="172" spans="1:43">
      <c r="A172" s="19"/>
      <c r="B172" s="169"/>
      <c r="C172" s="555"/>
      <c r="D172" s="19"/>
      <c r="E172" s="19"/>
      <c r="F172" s="19"/>
      <c r="G172" s="19"/>
      <c r="H172" s="19"/>
      <c r="I172" s="19"/>
      <c r="J172" s="19"/>
      <c r="K172" s="137"/>
      <c r="L172" s="132"/>
      <c r="M172" s="137"/>
      <c r="N172" s="28"/>
      <c r="O172" s="28"/>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21"/>
      <c r="AM172" s="21"/>
      <c r="AN172" s="19"/>
      <c r="AO172" s="19"/>
      <c r="AP172" s="19"/>
      <c r="AQ172" s="19"/>
    </row>
    <row r="173" spans="1:43">
      <c r="A173" s="19"/>
      <c r="B173" s="169"/>
      <c r="C173" s="555"/>
      <c r="D173" s="19"/>
      <c r="E173" s="19"/>
      <c r="F173" s="19"/>
      <c r="G173" s="19"/>
      <c r="H173" s="19"/>
      <c r="I173" s="19"/>
      <c r="J173" s="19"/>
      <c r="K173" s="137"/>
      <c r="L173" s="132"/>
      <c r="M173" s="137"/>
      <c r="N173" s="28"/>
      <c r="O173" s="28"/>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21"/>
      <c r="AM173" s="21"/>
      <c r="AN173" s="19"/>
      <c r="AO173" s="19"/>
      <c r="AP173" s="19"/>
      <c r="AQ173" s="19"/>
    </row>
    <row r="174" spans="1:43">
      <c r="A174" s="19"/>
      <c r="B174" s="169"/>
      <c r="C174" s="555"/>
      <c r="D174" s="19"/>
      <c r="E174" s="19"/>
      <c r="F174" s="19"/>
      <c r="G174" s="19"/>
      <c r="H174" s="19"/>
      <c r="I174" s="19"/>
      <c r="J174" s="19"/>
      <c r="K174" s="137"/>
      <c r="L174" s="132"/>
      <c r="M174" s="137"/>
      <c r="N174" s="28"/>
      <c r="O174" s="28"/>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21"/>
      <c r="AM174" s="21"/>
      <c r="AN174" s="19"/>
      <c r="AO174" s="19"/>
      <c r="AP174" s="19"/>
      <c r="AQ174" s="19"/>
    </row>
    <row r="175" spans="1:43">
      <c r="A175" s="326"/>
      <c r="B175" s="326"/>
      <c r="C175" s="326"/>
      <c r="D175" s="326"/>
      <c r="E175" s="579"/>
      <c r="F175" s="328"/>
      <c r="G175" s="328"/>
      <c r="H175" s="328"/>
      <c r="I175" s="580"/>
      <c r="J175" s="326"/>
      <c r="K175" s="342"/>
      <c r="L175" s="326"/>
      <c r="M175" s="338"/>
      <c r="N175" s="338"/>
      <c r="O175" s="338"/>
      <c r="P175" s="338"/>
      <c r="Q175" s="338"/>
      <c r="R175" s="338"/>
      <c r="S175" s="326"/>
      <c r="T175" s="326"/>
      <c r="U175" s="326"/>
      <c r="V175" s="326"/>
      <c r="W175" s="326"/>
      <c r="X175" s="326"/>
      <c r="Y175" s="326"/>
      <c r="Z175" s="326"/>
      <c r="AA175" s="326"/>
      <c r="AB175" s="326"/>
      <c r="AC175" s="326"/>
      <c r="AD175" s="326"/>
      <c r="AE175" s="326"/>
      <c r="AF175" s="326"/>
      <c r="AG175" s="326"/>
      <c r="AH175" s="326"/>
      <c r="AI175" s="326"/>
      <c r="AJ175" s="326"/>
      <c r="AK175" s="326"/>
      <c r="AL175" s="326"/>
      <c r="AM175" s="326"/>
      <c r="AN175" s="326"/>
      <c r="AO175" s="326"/>
      <c r="AP175" s="326"/>
      <c r="AQ175" s="326"/>
    </row>
    <row r="176" spans="1:43">
      <c r="A176" s="19"/>
      <c r="B176" s="28"/>
      <c r="C176" s="164"/>
      <c r="D176" s="19"/>
      <c r="E176" s="19"/>
      <c r="F176" s="19"/>
      <c r="G176" s="19"/>
      <c r="H176" s="19"/>
      <c r="I176" s="19"/>
      <c r="J176" s="132"/>
      <c r="K176" s="137"/>
      <c r="L176" s="132"/>
      <c r="M176" s="137"/>
      <c r="N176" s="28"/>
      <c r="O176" s="28"/>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21"/>
      <c r="AM176" s="21"/>
      <c r="AN176" s="19"/>
      <c r="AO176" s="19"/>
      <c r="AP176" s="19"/>
      <c r="AQ176" s="19"/>
    </row>
    <row r="177" spans="1:43">
      <c r="A177" s="19"/>
      <c r="B177" s="591"/>
      <c r="C177" s="594"/>
      <c r="D177" s="19"/>
      <c r="E177" s="19"/>
      <c r="F177" s="19"/>
      <c r="G177" s="19"/>
      <c r="H177" s="19"/>
      <c r="I177" s="19"/>
      <c r="J177" s="28"/>
      <c r="K177" s="28"/>
      <c r="L177" s="28"/>
      <c r="M177" s="28"/>
      <c r="N177" s="28"/>
      <c r="O177" s="28"/>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21"/>
      <c r="AM177" s="21"/>
      <c r="AN177" s="19"/>
      <c r="AO177" s="19"/>
      <c r="AP177" s="19"/>
      <c r="AQ177" s="19"/>
    </row>
    <row r="178" spans="1:43">
      <c r="A178" s="19"/>
      <c r="B178" s="169"/>
      <c r="C178" s="555"/>
      <c r="D178" s="19"/>
      <c r="E178" s="19"/>
      <c r="F178" s="19"/>
      <c r="G178" s="19"/>
      <c r="H178" s="19"/>
      <c r="I178" s="19"/>
      <c r="J178" s="19"/>
      <c r="K178" s="137"/>
      <c r="L178" s="132"/>
      <c r="M178" s="137"/>
      <c r="N178" s="28"/>
      <c r="O178" s="28"/>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21"/>
      <c r="AM178" s="21"/>
      <c r="AN178" s="19"/>
      <c r="AO178" s="19"/>
      <c r="AP178" s="19"/>
      <c r="AQ178" s="19"/>
    </row>
    <row r="179" spans="1:43">
      <c r="A179" s="19"/>
      <c r="B179" s="169"/>
      <c r="C179" s="555"/>
      <c r="D179" s="19"/>
      <c r="E179" s="19"/>
      <c r="F179" s="19"/>
      <c r="G179" s="19"/>
      <c r="H179" s="19"/>
      <c r="I179" s="19"/>
      <c r="J179" s="19"/>
      <c r="K179" s="137"/>
      <c r="L179" s="132"/>
      <c r="M179" s="137"/>
      <c r="N179" s="28"/>
      <c r="O179" s="28"/>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21"/>
      <c r="AM179" s="21"/>
      <c r="AN179" s="19"/>
      <c r="AO179" s="19"/>
      <c r="AP179" s="19"/>
      <c r="AQ179" s="19"/>
    </row>
    <row r="180" spans="1:43">
      <c r="A180" s="19"/>
      <c r="B180" s="169"/>
      <c r="C180" s="555"/>
      <c r="D180" s="19"/>
      <c r="E180" s="19"/>
      <c r="F180" s="19"/>
      <c r="G180" s="19"/>
      <c r="H180" s="19"/>
      <c r="I180" s="19"/>
      <c r="J180" s="19"/>
      <c r="K180" s="137"/>
      <c r="L180" s="132"/>
      <c r="M180" s="137"/>
      <c r="N180" s="28"/>
      <c r="O180" s="28"/>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21"/>
      <c r="AM180" s="21"/>
      <c r="AN180" s="19"/>
      <c r="AO180" s="19"/>
      <c r="AP180" s="19"/>
      <c r="AQ180" s="19"/>
    </row>
    <row r="181" spans="1:43">
      <c r="A181" s="19"/>
      <c r="B181" s="169"/>
      <c r="C181" s="555"/>
      <c r="D181" s="19"/>
      <c r="E181" s="19"/>
      <c r="F181" s="19"/>
      <c r="G181" s="19"/>
      <c r="H181" s="19"/>
      <c r="I181" s="19"/>
      <c r="J181" s="19"/>
      <c r="K181" s="137"/>
      <c r="L181" s="132"/>
      <c r="M181" s="137"/>
      <c r="N181" s="28"/>
      <c r="O181" s="28"/>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21"/>
      <c r="AM181" s="21"/>
      <c r="AN181" s="19"/>
      <c r="AO181" s="19"/>
      <c r="AP181" s="19"/>
      <c r="AQ181" s="19"/>
    </row>
    <row r="182" spans="1:43">
      <c r="A182" s="19"/>
      <c r="B182" s="169"/>
      <c r="C182" s="555"/>
      <c r="D182" s="19"/>
      <c r="E182" s="19"/>
      <c r="F182" s="19"/>
      <c r="G182" s="19"/>
      <c r="H182" s="19"/>
      <c r="I182" s="19"/>
      <c r="J182" s="19"/>
      <c r="K182" s="137"/>
      <c r="L182" s="132"/>
      <c r="M182" s="137"/>
      <c r="N182" s="28"/>
      <c r="O182" s="28"/>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21"/>
      <c r="AM182" s="21"/>
      <c r="AN182" s="19"/>
      <c r="AO182" s="19"/>
      <c r="AP182" s="19"/>
      <c r="AQ182" s="19"/>
    </row>
    <row r="183" spans="1:43">
      <c r="A183" s="19"/>
      <c r="B183" s="169"/>
      <c r="C183" s="555"/>
      <c r="D183" s="19"/>
      <c r="E183" s="19"/>
      <c r="F183" s="19"/>
      <c r="G183" s="19"/>
      <c r="H183" s="19"/>
      <c r="I183" s="19"/>
      <c r="J183" s="19"/>
      <c r="K183" s="137"/>
      <c r="L183" s="132"/>
      <c r="M183" s="137"/>
      <c r="N183" s="28"/>
      <c r="O183" s="28"/>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21"/>
      <c r="AM183" s="21"/>
      <c r="AN183" s="19"/>
      <c r="AO183" s="19"/>
      <c r="AP183" s="19"/>
      <c r="AQ183" s="19"/>
    </row>
    <row r="184" spans="1:43">
      <c r="A184" s="19"/>
      <c r="B184" s="169"/>
      <c r="C184" s="555"/>
      <c r="D184" s="19"/>
      <c r="E184" s="19"/>
      <c r="F184" s="19"/>
      <c r="G184" s="19"/>
      <c r="H184" s="19"/>
      <c r="I184" s="19"/>
      <c r="J184" s="19"/>
      <c r="K184" s="137"/>
      <c r="L184" s="132"/>
      <c r="M184" s="137"/>
      <c r="N184" s="28"/>
      <c r="O184" s="28"/>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21"/>
      <c r="AM184" s="21"/>
      <c r="AN184" s="19"/>
      <c r="AO184" s="19"/>
      <c r="AP184" s="19"/>
      <c r="AQ184" s="19"/>
    </row>
    <row r="185" spans="1:43">
      <c r="A185" s="19"/>
      <c r="B185" s="169"/>
      <c r="C185" s="555"/>
      <c r="D185" s="19"/>
      <c r="E185" s="19"/>
      <c r="F185" s="19"/>
      <c r="G185" s="19"/>
      <c r="H185" s="19"/>
      <c r="I185" s="19"/>
      <c r="J185" s="19"/>
      <c r="K185" s="137"/>
      <c r="L185" s="132"/>
      <c r="M185" s="137"/>
      <c r="N185" s="28"/>
      <c r="O185" s="28"/>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21"/>
      <c r="AM185" s="21"/>
      <c r="AN185" s="19"/>
      <c r="AO185" s="19"/>
      <c r="AP185" s="19"/>
      <c r="AQ185" s="19"/>
    </row>
    <row r="186" spans="1:43">
      <c r="A186" s="19"/>
      <c r="B186" s="169"/>
      <c r="C186" s="555"/>
      <c r="D186" s="19"/>
      <c r="E186" s="19"/>
      <c r="F186" s="19"/>
      <c r="G186" s="19"/>
      <c r="H186" s="19"/>
      <c r="I186" s="19"/>
      <c r="J186" s="19"/>
      <c r="K186" s="137"/>
      <c r="L186" s="132"/>
      <c r="M186" s="137"/>
      <c r="N186" s="28"/>
      <c r="O186" s="28"/>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21"/>
      <c r="AM186" s="21"/>
      <c r="AN186" s="19"/>
      <c r="AO186" s="19"/>
      <c r="AP186" s="19"/>
      <c r="AQ186" s="19"/>
    </row>
    <row r="187" spans="1:43">
      <c r="A187" s="19"/>
      <c r="B187" s="169"/>
      <c r="C187" s="555"/>
      <c r="D187" s="19"/>
      <c r="E187" s="19"/>
      <c r="F187" s="19"/>
      <c r="G187" s="19"/>
      <c r="H187" s="19"/>
      <c r="I187" s="19"/>
      <c r="J187" s="19"/>
      <c r="K187" s="137"/>
      <c r="L187" s="132"/>
      <c r="M187" s="137"/>
      <c r="N187" s="28"/>
      <c r="O187" s="28"/>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21"/>
      <c r="AM187" s="21"/>
      <c r="AN187" s="19"/>
      <c r="AO187" s="19"/>
      <c r="AP187" s="19"/>
      <c r="AQ187" s="19"/>
    </row>
    <row r="188" spans="1:43">
      <c r="A188" s="19"/>
      <c r="B188" s="169"/>
      <c r="C188" s="555"/>
      <c r="D188" s="19"/>
      <c r="E188" s="19"/>
      <c r="F188" s="19"/>
      <c r="G188" s="19"/>
      <c r="H188" s="19"/>
      <c r="I188" s="19"/>
      <c r="J188" s="19"/>
      <c r="K188" s="137"/>
      <c r="L188" s="132"/>
      <c r="M188" s="137"/>
      <c r="N188" s="28"/>
      <c r="O188" s="28"/>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21"/>
      <c r="AM188" s="21"/>
      <c r="AN188" s="19"/>
      <c r="AO188" s="19"/>
      <c r="AP188" s="19"/>
      <c r="AQ188" s="19"/>
    </row>
    <row r="189" spans="1:43">
      <c r="A189" s="19"/>
      <c r="B189" s="169"/>
      <c r="C189" s="555"/>
      <c r="D189" s="19"/>
      <c r="E189" s="19"/>
      <c r="F189" s="19"/>
      <c r="G189" s="19"/>
      <c r="H189" s="19"/>
      <c r="I189" s="19"/>
      <c r="J189" s="19"/>
      <c r="K189" s="137"/>
      <c r="L189" s="132"/>
      <c r="M189" s="137"/>
      <c r="N189" s="28"/>
      <c r="O189" s="28"/>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21"/>
      <c r="AM189" s="21"/>
      <c r="AN189" s="19"/>
      <c r="AO189" s="19"/>
      <c r="AP189" s="19"/>
      <c r="AQ189" s="19"/>
    </row>
    <row r="190" spans="1:43">
      <c r="A190" s="19"/>
      <c r="B190" s="169"/>
      <c r="C190" s="555"/>
      <c r="D190" s="19"/>
      <c r="E190" s="19"/>
      <c r="F190" s="19"/>
      <c r="G190" s="19"/>
      <c r="H190" s="19"/>
      <c r="I190" s="19"/>
      <c r="J190" s="19"/>
      <c r="K190" s="137"/>
      <c r="L190" s="132"/>
      <c r="M190" s="137"/>
      <c r="N190" s="28"/>
      <c r="O190" s="28"/>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21"/>
      <c r="AM190" s="21"/>
      <c r="AN190" s="19"/>
      <c r="AO190" s="19"/>
      <c r="AP190" s="19"/>
      <c r="AQ190" s="19"/>
    </row>
    <row r="191" spans="1:43">
      <c r="A191" s="19"/>
      <c r="B191" s="169"/>
      <c r="C191" s="555"/>
      <c r="D191" s="19"/>
      <c r="E191" s="19"/>
      <c r="F191" s="19"/>
      <c r="G191" s="19"/>
      <c r="H191" s="19"/>
      <c r="I191" s="19"/>
      <c r="J191" s="19"/>
      <c r="K191" s="137"/>
      <c r="L191" s="132"/>
      <c r="M191" s="137"/>
      <c r="N191" s="28"/>
      <c r="O191" s="28"/>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21"/>
      <c r="AM191" s="21"/>
      <c r="AN191" s="19"/>
      <c r="AO191" s="19"/>
      <c r="AP191" s="19"/>
      <c r="AQ191" s="19"/>
    </row>
    <row r="192" spans="1:43">
      <c r="A192" s="19"/>
      <c r="B192" s="169"/>
      <c r="C192" s="555"/>
      <c r="D192" s="19"/>
      <c r="E192" s="19"/>
      <c r="F192" s="19"/>
      <c r="G192" s="19"/>
      <c r="H192" s="19"/>
      <c r="I192" s="19"/>
      <c r="J192" s="19"/>
      <c r="K192" s="137"/>
      <c r="L192" s="132"/>
      <c r="M192" s="137"/>
      <c r="N192" s="28"/>
      <c r="O192" s="28"/>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21"/>
      <c r="AM192" s="21"/>
      <c r="AN192" s="19"/>
      <c r="AO192" s="19"/>
      <c r="AP192" s="19"/>
      <c r="AQ192" s="19"/>
    </row>
    <row r="193" spans="1:43">
      <c r="A193" s="19"/>
      <c r="B193" s="169"/>
      <c r="C193" s="555"/>
      <c r="D193" s="19"/>
      <c r="E193" s="19"/>
      <c r="F193" s="19"/>
      <c r="G193" s="19"/>
      <c r="H193" s="19"/>
      <c r="I193" s="19"/>
      <c r="J193" s="19"/>
      <c r="K193" s="137"/>
      <c r="L193" s="132"/>
      <c r="M193" s="137"/>
      <c r="N193" s="28"/>
      <c r="O193" s="28"/>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21"/>
      <c r="AM193" s="21"/>
      <c r="AN193" s="19"/>
      <c r="AO193" s="19"/>
      <c r="AP193" s="19"/>
      <c r="AQ193" s="19"/>
    </row>
    <row r="194" spans="1:43">
      <c r="A194" s="19"/>
      <c r="B194" s="169"/>
      <c r="C194" s="555"/>
      <c r="D194" s="19"/>
      <c r="E194" s="19"/>
      <c r="F194" s="19"/>
      <c r="G194" s="19"/>
      <c r="H194" s="19"/>
      <c r="I194" s="19"/>
      <c r="J194" s="19"/>
      <c r="K194" s="137"/>
      <c r="L194" s="132"/>
      <c r="M194" s="137"/>
      <c r="N194" s="28"/>
      <c r="O194" s="28"/>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21"/>
      <c r="AM194" s="21"/>
      <c r="AN194" s="19"/>
      <c r="AO194" s="19"/>
      <c r="AP194" s="19"/>
      <c r="AQ194" s="19"/>
    </row>
    <row r="195" spans="1:43">
      <c r="A195" s="19"/>
      <c r="B195" s="169"/>
      <c r="C195" s="555"/>
      <c r="D195" s="19"/>
      <c r="E195" s="19"/>
      <c r="F195" s="19"/>
      <c r="G195" s="19"/>
      <c r="H195" s="19"/>
      <c r="I195" s="19"/>
      <c r="J195" s="19"/>
      <c r="K195" s="137"/>
      <c r="L195" s="132"/>
      <c r="M195" s="137"/>
      <c r="N195" s="28"/>
      <c r="O195" s="28"/>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21"/>
      <c r="AM195" s="21"/>
      <c r="AN195" s="19"/>
      <c r="AO195" s="19"/>
      <c r="AP195" s="19"/>
      <c r="AQ195" s="19"/>
    </row>
    <row r="196" spans="1:43">
      <c r="A196" s="19"/>
      <c r="B196" s="169"/>
      <c r="C196" s="555"/>
      <c r="D196" s="19"/>
      <c r="E196" s="19"/>
      <c r="F196" s="19"/>
      <c r="G196" s="19"/>
      <c r="H196" s="19"/>
      <c r="I196" s="19"/>
      <c r="J196" s="19"/>
      <c r="K196" s="137"/>
      <c r="L196" s="132"/>
      <c r="M196" s="137"/>
      <c r="N196" s="28"/>
      <c r="O196" s="28"/>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21"/>
      <c r="AM196" s="21"/>
      <c r="AN196" s="19"/>
      <c r="AO196" s="19"/>
      <c r="AP196" s="19"/>
      <c r="AQ196" s="19"/>
    </row>
  </sheetData>
  <conditionalFormatting sqref="I6">
    <cfRule type="cellIs" dxfId="246" priority="86" operator="equal">
      <formula>0</formula>
    </cfRule>
  </conditionalFormatting>
  <conditionalFormatting sqref="C4">
    <cfRule type="cellIs" dxfId="245" priority="87" stopIfTrue="1" operator="equal">
      <formula>0</formula>
    </cfRule>
  </conditionalFormatting>
  <conditionalFormatting sqref="R4">
    <cfRule type="cellIs" dxfId="244" priority="84" operator="equal">
      <formula>0</formula>
    </cfRule>
  </conditionalFormatting>
  <conditionalFormatting sqref="C37:AG37">
    <cfRule type="cellIs" dxfId="243" priority="31" operator="equal">
      <formula>0</formula>
    </cfRule>
  </conditionalFormatting>
  <conditionalFormatting sqref="C88:D88 C10:AG19 C44:AG45">
    <cfRule type="cellIs" dxfId="242" priority="58" operator="equal">
      <formula>0</formula>
    </cfRule>
  </conditionalFormatting>
  <conditionalFormatting sqref="Y3">
    <cfRule type="cellIs" dxfId="241" priority="75" operator="equal">
      <formula>0</formula>
    </cfRule>
  </conditionalFormatting>
  <conditionalFormatting sqref="Y5">
    <cfRule type="cellIs" dxfId="240" priority="74" operator="equal">
      <formula>0</formula>
    </cfRule>
  </conditionalFormatting>
  <conditionalFormatting sqref="I7">
    <cfRule type="cellIs" dxfId="239" priority="63" operator="equal">
      <formula>0</formula>
    </cfRule>
  </conditionalFormatting>
  <conditionalFormatting sqref="C38:AG38">
    <cfRule type="cellIs" dxfId="238" priority="30" operator="equal">
      <formula>0</formula>
    </cfRule>
  </conditionalFormatting>
  <conditionalFormatting sqref="C34:AG34">
    <cfRule type="cellIs" dxfId="237" priority="34" operator="equal">
      <formula>0</formula>
    </cfRule>
  </conditionalFormatting>
  <conditionalFormatting sqref="C82:AG83 C48:AG57">
    <cfRule type="cellIs" dxfId="236" priority="57" operator="equal">
      <formula>0</formula>
    </cfRule>
  </conditionalFormatting>
  <conditionalFormatting sqref="C85:AG85">
    <cfRule type="cellIs" dxfId="235" priority="56" operator="equal">
      <formula>0</formula>
    </cfRule>
  </conditionalFormatting>
  <conditionalFormatting sqref="O5">
    <cfRule type="cellIs" dxfId="234" priority="51" operator="equal">
      <formula>0</formula>
    </cfRule>
  </conditionalFormatting>
  <conditionalFormatting sqref="C41:AG41">
    <cfRule type="cellIs" dxfId="233" priority="27" operator="equal">
      <formula>0</formula>
    </cfRule>
  </conditionalFormatting>
  <conditionalFormatting sqref="O4">
    <cfRule type="cellIs" dxfId="232" priority="52" operator="equal">
      <formula>0</formula>
    </cfRule>
  </conditionalFormatting>
  <conditionalFormatting sqref="C43:AG43">
    <cfRule type="cellIs" dxfId="231" priority="25" operator="equal">
      <formula>0</formula>
    </cfRule>
  </conditionalFormatting>
  <conditionalFormatting sqref="I4">
    <cfRule type="cellIs" dxfId="230" priority="50" operator="equal">
      <formula>0</formula>
    </cfRule>
  </conditionalFormatting>
  <conditionalFormatting sqref="I5">
    <cfRule type="cellIs" dxfId="229" priority="49" operator="equal">
      <formula>0</formula>
    </cfRule>
  </conditionalFormatting>
  <conditionalFormatting sqref="C20:AG20">
    <cfRule type="cellIs" dxfId="228" priority="48" operator="equal">
      <formula>0</formula>
    </cfRule>
  </conditionalFormatting>
  <conditionalFormatting sqref="C21:AG21">
    <cfRule type="cellIs" dxfId="227" priority="47" operator="equal">
      <formula>0</formula>
    </cfRule>
  </conditionalFormatting>
  <conditionalFormatting sqref="C22:AG22">
    <cfRule type="cellIs" dxfId="226" priority="46" operator="equal">
      <formula>0</formula>
    </cfRule>
  </conditionalFormatting>
  <conditionalFormatting sqref="C23:AG23">
    <cfRule type="cellIs" dxfId="225" priority="45" operator="equal">
      <formula>0</formula>
    </cfRule>
  </conditionalFormatting>
  <conditionalFormatting sqref="C24:AG24">
    <cfRule type="cellIs" dxfId="224" priority="44" operator="equal">
      <formula>0</formula>
    </cfRule>
  </conditionalFormatting>
  <conditionalFormatting sqref="C25:AG25">
    <cfRule type="cellIs" dxfId="223" priority="43" operator="equal">
      <formula>0</formula>
    </cfRule>
  </conditionalFormatting>
  <conditionalFormatting sqref="C26:AG26">
    <cfRule type="cellIs" dxfId="222" priority="42" operator="equal">
      <formula>0</formula>
    </cfRule>
  </conditionalFormatting>
  <conditionalFormatting sqref="C27:AG27">
    <cfRule type="cellIs" dxfId="221" priority="41" operator="equal">
      <formula>0</formula>
    </cfRule>
  </conditionalFormatting>
  <conditionalFormatting sqref="C28:AG28">
    <cfRule type="cellIs" dxfId="220" priority="40" operator="equal">
      <formula>0</formula>
    </cfRule>
  </conditionalFormatting>
  <conditionalFormatting sqref="C29:AG29">
    <cfRule type="cellIs" dxfId="219" priority="39" operator="equal">
      <formula>0</formula>
    </cfRule>
  </conditionalFormatting>
  <conditionalFormatting sqref="C30:AG30">
    <cfRule type="cellIs" dxfId="218" priority="38" operator="equal">
      <formula>0</formula>
    </cfRule>
  </conditionalFormatting>
  <conditionalFormatting sqref="C31:AG31">
    <cfRule type="cellIs" dxfId="217" priority="37" operator="equal">
      <formula>0</formula>
    </cfRule>
  </conditionalFormatting>
  <conditionalFormatting sqref="C32:AG32">
    <cfRule type="cellIs" dxfId="216" priority="36" operator="equal">
      <formula>0</formula>
    </cfRule>
  </conditionalFormatting>
  <conditionalFormatting sqref="C33:AG33">
    <cfRule type="cellIs" dxfId="215" priority="35" operator="equal">
      <formula>0</formula>
    </cfRule>
  </conditionalFormatting>
  <conditionalFormatting sqref="C35:AG35">
    <cfRule type="cellIs" dxfId="214" priority="33" operator="equal">
      <formula>0</formula>
    </cfRule>
  </conditionalFormatting>
  <conditionalFormatting sqref="C36:AG36">
    <cfRule type="cellIs" dxfId="213" priority="32" operator="equal">
      <formula>0</formula>
    </cfRule>
  </conditionalFormatting>
  <conditionalFormatting sqref="C39:AG39">
    <cfRule type="cellIs" dxfId="212" priority="29" operator="equal">
      <formula>0</formula>
    </cfRule>
  </conditionalFormatting>
  <conditionalFormatting sqref="C40:AG40">
    <cfRule type="cellIs" dxfId="211" priority="28" operator="equal">
      <formula>0</formula>
    </cfRule>
  </conditionalFormatting>
  <conditionalFormatting sqref="C79:AG79">
    <cfRule type="cellIs" dxfId="210" priority="3" operator="equal">
      <formula>0</formula>
    </cfRule>
  </conditionalFormatting>
  <conditionalFormatting sqref="C42:AG42">
    <cfRule type="cellIs" dxfId="209" priority="26" operator="equal">
      <formula>0</formula>
    </cfRule>
  </conditionalFormatting>
  <conditionalFormatting sqref="C81:AG81">
    <cfRule type="cellIs" dxfId="208" priority="1" operator="equal">
      <formula>0</formula>
    </cfRule>
  </conditionalFormatting>
  <conditionalFormatting sqref="C58:AG58">
    <cfRule type="cellIs" dxfId="207" priority="24" operator="equal">
      <formula>0</formula>
    </cfRule>
  </conditionalFormatting>
  <conditionalFormatting sqref="C59:AG59">
    <cfRule type="cellIs" dxfId="206" priority="23" operator="equal">
      <formula>0</formula>
    </cfRule>
  </conditionalFormatting>
  <conditionalFormatting sqref="C60:AG60">
    <cfRule type="cellIs" dxfId="205" priority="22" operator="equal">
      <formula>0</formula>
    </cfRule>
  </conditionalFormatting>
  <conditionalFormatting sqref="C61:AG61">
    <cfRule type="cellIs" dxfId="204" priority="21" operator="equal">
      <formula>0</formula>
    </cfRule>
  </conditionalFormatting>
  <conditionalFormatting sqref="C62:AG62">
    <cfRule type="cellIs" dxfId="203" priority="20" operator="equal">
      <formula>0</formula>
    </cfRule>
  </conditionalFormatting>
  <conditionalFormatting sqref="C63:AG63">
    <cfRule type="cellIs" dxfId="202" priority="19" operator="equal">
      <formula>0</formula>
    </cfRule>
  </conditionalFormatting>
  <conditionalFormatting sqref="C64:AG64">
    <cfRule type="cellIs" dxfId="201" priority="18" operator="equal">
      <formula>0</formula>
    </cfRule>
  </conditionalFormatting>
  <conditionalFormatting sqref="C65:AG65">
    <cfRule type="cellIs" dxfId="200" priority="17" operator="equal">
      <formula>0</formula>
    </cfRule>
  </conditionalFormatting>
  <conditionalFormatting sqref="C66:AG66">
    <cfRule type="cellIs" dxfId="199" priority="16" operator="equal">
      <formula>0</formula>
    </cfRule>
  </conditionalFormatting>
  <conditionalFormatting sqref="C67:AG67">
    <cfRule type="cellIs" dxfId="198" priority="15" operator="equal">
      <formula>0</formula>
    </cfRule>
  </conditionalFormatting>
  <conditionalFormatting sqref="C68:AG68">
    <cfRule type="cellIs" dxfId="197" priority="14" operator="equal">
      <formula>0</formula>
    </cfRule>
  </conditionalFormatting>
  <conditionalFormatting sqref="C69:AG69">
    <cfRule type="cellIs" dxfId="196" priority="13" operator="equal">
      <formula>0</formula>
    </cfRule>
  </conditionalFormatting>
  <conditionalFormatting sqref="C70:AG70">
    <cfRule type="cellIs" dxfId="195" priority="12" operator="equal">
      <formula>0</formula>
    </cfRule>
  </conditionalFormatting>
  <conditionalFormatting sqref="C71:AG71">
    <cfRule type="cellIs" dxfId="194" priority="11" operator="equal">
      <formula>0</formula>
    </cfRule>
  </conditionalFormatting>
  <conditionalFormatting sqref="C72:AG72">
    <cfRule type="cellIs" dxfId="193" priority="10" operator="equal">
      <formula>0</formula>
    </cfRule>
  </conditionalFormatting>
  <conditionalFormatting sqref="C73:AG73">
    <cfRule type="cellIs" dxfId="192" priority="9" operator="equal">
      <formula>0</formula>
    </cfRule>
  </conditionalFormatting>
  <conditionalFormatting sqref="C74:AG74">
    <cfRule type="cellIs" dxfId="191" priority="8" operator="equal">
      <formula>0</formula>
    </cfRule>
  </conditionalFormatting>
  <conditionalFormatting sqref="C75:AG75">
    <cfRule type="cellIs" dxfId="190" priority="7" operator="equal">
      <formula>0</formula>
    </cfRule>
  </conditionalFormatting>
  <conditionalFormatting sqref="C76:AG76">
    <cfRule type="cellIs" dxfId="189" priority="6" operator="equal">
      <formula>0</formula>
    </cfRule>
  </conditionalFormatting>
  <conditionalFormatting sqref="C77:AG77">
    <cfRule type="cellIs" dxfId="188" priority="5" operator="equal">
      <formula>0</formula>
    </cfRule>
  </conditionalFormatting>
  <conditionalFormatting sqref="C78:AG78">
    <cfRule type="cellIs" dxfId="187" priority="4" operator="equal">
      <formula>0</formula>
    </cfRule>
  </conditionalFormatting>
  <conditionalFormatting sqref="C80:AG80">
    <cfRule type="cellIs" dxfId="186" priority="2" operator="equal">
      <formula>0</formula>
    </cfRule>
  </conditionalFormatting>
  <pageMargins left="0.7" right="0.7" top="0.75" bottom="0.75" header="0.3" footer="0.3"/>
  <pageSetup paperSize="9" orientation="portrait" verticalDpi="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CCFFCC"/>
  </sheetPr>
  <dimension ref="A1:AN219"/>
  <sheetViews>
    <sheetView topLeftCell="A7" workbookViewId="0"/>
  </sheetViews>
  <sheetFormatPr defaultColWidth="9.33203125" defaultRowHeight="13.2"/>
  <cols>
    <col min="1" max="1" width="3.44140625" style="19" customWidth="1"/>
    <col min="2" max="2" width="37.6640625" style="26" customWidth="1"/>
    <col min="3" max="4" width="11.5546875" style="26" customWidth="1"/>
    <col min="5" max="11" width="12.5546875" style="26" customWidth="1"/>
    <col min="12" max="12" width="11.5546875" style="26" customWidth="1"/>
    <col min="13" max="16" width="13" style="26" customWidth="1"/>
    <col min="17" max="18" width="11.5546875" style="26" customWidth="1"/>
    <col min="19" max="19" width="16.33203125" style="26" customWidth="1"/>
    <col min="20" max="20" width="12.33203125" style="26" customWidth="1"/>
    <col min="21" max="21" width="12" style="26" customWidth="1"/>
    <col min="22" max="30" width="11.5546875" style="26" customWidth="1"/>
    <col min="31" max="32" width="12.6640625" style="26" customWidth="1"/>
    <col min="33" max="33" width="15.5546875" style="26" customWidth="1"/>
    <col min="34" max="34" width="13.33203125" style="26" customWidth="1"/>
    <col min="35" max="35" width="12" style="33" customWidth="1"/>
    <col min="36" max="36" width="9.33203125" style="26"/>
    <col min="37" max="37" width="13.5546875" style="26" customWidth="1"/>
    <col min="38" max="16384" width="9.33203125" style="26"/>
  </cols>
  <sheetData>
    <row r="1" spans="1:40" s="19" customFormat="1" ht="22.8">
      <c r="B1" s="20" t="s">
        <v>1801</v>
      </c>
      <c r="N1" s="94"/>
      <c r="AI1" s="21"/>
    </row>
    <row r="2" spans="1:40" s="23" customFormat="1">
      <c r="A2" s="19"/>
      <c r="B2" s="24"/>
      <c r="C2" s="19"/>
      <c r="D2" s="19"/>
      <c r="E2" s="19"/>
      <c r="F2" s="19"/>
      <c r="G2" s="19"/>
      <c r="H2" s="19"/>
      <c r="I2" s="19"/>
      <c r="J2" s="220" t="s">
        <v>319</v>
      </c>
      <c r="K2" s="220" t="s">
        <v>614</v>
      </c>
      <c r="L2" s="19"/>
      <c r="M2" s="19"/>
      <c r="N2" s="19"/>
      <c r="O2" s="19"/>
      <c r="P2" s="19"/>
      <c r="Q2" s="19"/>
      <c r="R2" s="19"/>
      <c r="S2" s="19"/>
      <c r="T2" s="19"/>
      <c r="U2" s="19"/>
      <c r="V2" s="19"/>
      <c r="W2" s="19"/>
      <c r="X2" s="19"/>
      <c r="Y2" s="19"/>
      <c r="Z2" s="21"/>
      <c r="AA2" s="21"/>
      <c r="AB2" s="21"/>
      <c r="AC2" s="19"/>
      <c r="AD2" s="19"/>
      <c r="AE2" s="19"/>
      <c r="AF2" s="19"/>
      <c r="AG2" s="19"/>
      <c r="AH2" s="19"/>
      <c r="AI2" s="21"/>
      <c r="AJ2" s="21"/>
      <c r="AK2" s="21"/>
      <c r="AL2" s="21"/>
      <c r="AM2" s="19"/>
      <c r="AN2" s="19"/>
    </row>
    <row r="3" spans="1:40" s="23" customFormat="1">
      <c r="A3" s="19"/>
      <c r="B3" s="68"/>
      <c r="D3" s="68"/>
      <c r="E3" s="19"/>
      <c r="F3" s="19"/>
      <c r="G3" s="19"/>
      <c r="H3" s="19"/>
      <c r="I3" s="220" t="s">
        <v>319</v>
      </c>
      <c r="J3" s="220" t="s">
        <v>323</v>
      </c>
      <c r="K3" s="220" t="s">
        <v>321</v>
      </c>
      <c r="L3" s="68"/>
      <c r="M3" s="68"/>
      <c r="N3" s="19"/>
      <c r="O3" s="19"/>
      <c r="P3" s="19"/>
      <c r="Q3" s="68"/>
      <c r="R3" s="68"/>
      <c r="S3" s="19"/>
      <c r="T3" s="68"/>
      <c r="U3" s="68"/>
      <c r="V3" s="68"/>
      <c r="W3" s="69"/>
      <c r="X3" s="68"/>
      <c r="Y3" s="68"/>
      <c r="Z3" s="19"/>
      <c r="AA3" s="19"/>
      <c r="AB3" s="19"/>
      <c r="AC3" s="19"/>
      <c r="AD3" s="19"/>
      <c r="AE3" s="19"/>
      <c r="AF3" s="19"/>
      <c r="AG3" s="19"/>
      <c r="AH3" s="21"/>
      <c r="AI3" s="21"/>
      <c r="AJ3" s="21"/>
      <c r="AK3" s="21"/>
      <c r="AL3" s="21"/>
      <c r="AM3" s="21"/>
      <c r="AN3" s="19"/>
    </row>
    <row r="4" spans="1:40" ht="13.8" thickBot="1">
      <c r="B4" s="25" t="s">
        <v>84</v>
      </c>
      <c r="C4" s="19"/>
      <c r="D4" s="19"/>
      <c r="E4" s="25" t="str">
        <f>'Project-definition'!E4</f>
        <v>Geological and flow variables</v>
      </c>
      <c r="F4" s="19"/>
      <c r="G4" s="19"/>
      <c r="H4" s="19"/>
      <c r="I4" s="220" t="s">
        <v>318</v>
      </c>
      <c r="J4" s="220" t="s">
        <v>320</v>
      </c>
      <c r="K4" s="220" t="s">
        <v>315</v>
      </c>
      <c r="L4" s="19"/>
      <c r="M4" s="25" t="str">
        <f>'Project-definition'!M4</f>
        <v>Production variables</v>
      </c>
      <c r="N4" s="19"/>
      <c r="O4" s="19"/>
      <c r="P4" s="19"/>
      <c r="Q4" s="19"/>
      <c r="R4" s="19"/>
      <c r="S4" s="25" t="str">
        <f>'Project-definition'!S4</f>
        <v>Phasing variables</v>
      </c>
      <c r="T4" s="19"/>
      <c r="U4" s="19"/>
      <c r="V4" s="19"/>
      <c r="W4" s="19"/>
      <c r="X4" s="68"/>
      <c r="Y4" s="68"/>
      <c r="Z4" s="19"/>
      <c r="AA4" s="19"/>
      <c r="AB4" s="19"/>
      <c r="AC4" s="19"/>
      <c r="AD4" s="19"/>
      <c r="AE4" s="19"/>
      <c r="AF4" s="19"/>
      <c r="AG4" s="19"/>
      <c r="AH4" s="21"/>
      <c r="AI4" s="19"/>
      <c r="AJ4" s="19"/>
      <c r="AK4" s="19"/>
      <c r="AL4" s="19"/>
      <c r="AM4" s="19"/>
      <c r="AN4" s="19"/>
    </row>
    <row r="5" spans="1:40" ht="13.8" thickBot="1">
      <c r="B5" s="98" t="s">
        <v>448</v>
      </c>
      <c r="C5" s="81"/>
      <c r="D5" s="19"/>
      <c r="E5" s="91" t="str">
        <f>Cashflow!E11</f>
        <v>Reservoir temperature (°C)</v>
      </c>
      <c r="F5" s="87"/>
      <c r="G5" s="87"/>
      <c r="H5" s="87"/>
      <c r="I5" s="1140">
        <f>Cashflow!I11</f>
        <v>295</v>
      </c>
      <c r="J5" s="87"/>
      <c r="K5" s="1141"/>
      <c r="L5" s="27"/>
      <c r="M5" s="91" t="str">
        <f>Cashflow!M5</f>
        <v>Select units for the loadtime per year:</v>
      </c>
      <c r="N5" s="87"/>
      <c r="O5" s="87"/>
      <c r="P5" s="87"/>
      <c r="Q5" s="292" t="str">
        <f>Cashflow!Q5</f>
        <v>Fraction</v>
      </c>
      <c r="R5" s="19"/>
      <c r="S5" s="838" t="str">
        <f>Cashflow!S9</f>
        <v>Workover duration (days)</v>
      </c>
      <c r="T5" s="836"/>
      <c r="U5" s="836"/>
      <c r="V5" s="581">
        <f>Cashflow!V9</f>
        <v>30</v>
      </c>
      <c r="W5" s="19"/>
      <c r="X5" s="68"/>
      <c r="Y5" s="68"/>
      <c r="Z5" s="19"/>
      <c r="AA5" s="19"/>
      <c r="AB5" s="19"/>
      <c r="AC5" s="19"/>
      <c r="AD5" s="19"/>
      <c r="AE5" s="19"/>
      <c r="AF5" s="19"/>
      <c r="AG5" s="19"/>
      <c r="AH5" s="21"/>
      <c r="AI5" s="19"/>
      <c r="AJ5" s="19"/>
      <c r="AK5" s="19"/>
      <c r="AL5" s="19"/>
      <c r="AM5" s="19"/>
      <c r="AN5" s="19"/>
    </row>
    <row r="6" spans="1:40">
      <c r="B6" s="98" t="s">
        <v>89</v>
      </c>
      <c r="C6" s="29"/>
      <c r="D6" s="27"/>
      <c r="E6" s="89" t="str">
        <f>Cashflow!E12</f>
        <v>Reservoir pressure (Pa)</v>
      </c>
      <c r="F6" s="28"/>
      <c r="G6" s="78"/>
      <c r="H6" s="28"/>
      <c r="I6" s="517">
        <f>Cashflow!I12</f>
        <v>25000000</v>
      </c>
      <c r="J6" s="232" t="s">
        <v>317</v>
      </c>
      <c r="K6" s="522" t="str">
        <f>Cashflow!K12</f>
        <v>Pa</v>
      </c>
      <c r="L6" s="27"/>
      <c r="M6" s="233"/>
      <c r="N6" s="28"/>
      <c r="O6" s="68"/>
      <c r="P6" s="827" t="str">
        <f>Cashflow!P6</f>
        <v>Loadtime per year, as a fraction</v>
      </c>
      <c r="Q6" s="305">
        <f>Cashflow!Q6</f>
        <v>0.95</v>
      </c>
      <c r="R6" s="19"/>
      <c r="S6" s="19"/>
      <c r="T6" s="19"/>
      <c r="U6" s="19"/>
      <c r="V6" s="19"/>
      <c r="W6" s="19"/>
      <c r="X6" s="68"/>
      <c r="Y6" s="68"/>
      <c r="Z6" s="19"/>
      <c r="AA6" s="19"/>
      <c r="AB6" s="19"/>
      <c r="AC6" s="19"/>
      <c r="AD6" s="19"/>
      <c r="AE6" s="19"/>
      <c r="AF6" s="19"/>
      <c r="AG6" s="19"/>
      <c r="AH6" s="21"/>
      <c r="AI6" s="19"/>
      <c r="AJ6" s="19"/>
      <c r="AK6" s="19"/>
      <c r="AL6" s="19"/>
      <c r="AM6" s="19"/>
      <c r="AN6" s="19"/>
    </row>
    <row r="7" spans="1:40" ht="13.8" thickBot="1">
      <c r="B7" s="221" t="s">
        <v>383</v>
      </c>
      <c r="C7" s="231"/>
      <c r="D7" s="27"/>
      <c r="E7" s="89" t="str">
        <f>Cashflow!E13</f>
        <v>Flowing bottomhole pressure, production well (Pa)</v>
      </c>
      <c r="F7" s="137"/>
      <c r="G7" s="28"/>
      <c r="H7" s="137"/>
      <c r="I7" s="517">
        <f>Cashflow!I13</f>
        <v>18000000</v>
      </c>
      <c r="J7" s="232" t="s">
        <v>317</v>
      </c>
      <c r="K7" s="522" t="str">
        <f>Cashflow!K13</f>
        <v>Pa</v>
      </c>
      <c r="L7" s="19"/>
      <c r="M7" s="89" t="str">
        <f>Cashflow!M11</f>
        <v>Select conversion efficiency (thermal to MWe) source:</v>
      </c>
      <c r="N7" s="28"/>
      <c r="O7" s="28"/>
      <c r="P7" s="28"/>
      <c r="Q7" s="222" t="str">
        <f>Cashflow!Q11</f>
        <v>Sarmiento</v>
      </c>
      <c r="R7" s="19"/>
      <c r="S7" s="25" t="str">
        <f>'Project-definition'!S13</f>
        <v>Well-related costs</v>
      </c>
      <c r="T7" s="19"/>
      <c r="U7" s="19"/>
      <c r="V7" s="19"/>
      <c r="W7" s="19"/>
      <c r="X7" s="68"/>
      <c r="Y7" s="68"/>
      <c r="Z7" s="19"/>
      <c r="AA7" s="19"/>
      <c r="AB7" s="19"/>
      <c r="AC7" s="19"/>
      <c r="AD7" s="19"/>
      <c r="AE7" s="19"/>
      <c r="AF7" s="19"/>
      <c r="AG7" s="19"/>
      <c r="AH7" s="21"/>
      <c r="AI7" s="19"/>
      <c r="AJ7" s="19"/>
      <c r="AK7" s="19"/>
      <c r="AL7" s="19"/>
      <c r="AM7" s="19"/>
      <c r="AN7" s="19"/>
    </row>
    <row r="8" spans="1:40">
      <c r="B8" s="132"/>
      <c r="C8" s="137"/>
      <c r="D8" s="19"/>
      <c r="E8" s="89" t="str">
        <f>Cashflow!E14</f>
        <v>ΔP from bottomhole to tubing head, prod. well (Pa)</v>
      </c>
      <c r="F8" s="137"/>
      <c r="G8" s="28"/>
      <c r="H8" s="137"/>
      <c r="I8" s="517">
        <f>Cashflow!I14</f>
        <v>14500000</v>
      </c>
      <c r="J8" s="232" t="s">
        <v>317</v>
      </c>
      <c r="K8" s="522" t="str">
        <f>Cashflow!K14</f>
        <v>Pa</v>
      </c>
      <c r="L8" s="19"/>
      <c r="M8" s="89"/>
      <c r="N8" s="28"/>
      <c r="O8" s="28"/>
      <c r="P8" s="828" t="str">
        <f>Cashflow!P12</f>
        <v>If van Wees, enter efficiency relative to Carnot --&gt;</v>
      </c>
      <c r="Q8" s="128">
        <f>Cashflow!Q12</f>
        <v>0.6</v>
      </c>
      <c r="R8" s="69"/>
      <c r="S8" s="527" t="str">
        <f>Cashflow!S14</f>
        <v>Along hole depth of single well (m)</v>
      </c>
      <c r="T8" s="87"/>
      <c r="U8" s="87"/>
      <c r="V8" s="235">
        <f>Cashflow!V14</f>
        <v>3000</v>
      </c>
      <c r="W8" s="19"/>
      <c r="X8" s="68"/>
      <c r="Y8" s="68"/>
      <c r="Z8" s="19"/>
      <c r="AA8" s="19"/>
      <c r="AB8" s="21"/>
      <c r="AC8" s="19"/>
      <c r="AD8" s="19"/>
      <c r="AE8" s="19"/>
      <c r="AF8" s="19"/>
      <c r="AG8" s="19"/>
      <c r="AH8" s="19"/>
      <c r="AI8" s="19"/>
      <c r="AJ8" s="19"/>
      <c r="AK8" s="19"/>
      <c r="AL8" s="19"/>
      <c r="AM8" s="19"/>
      <c r="AN8" s="19"/>
    </row>
    <row r="9" spans="1:40" ht="13.8" thickBot="1">
      <c r="B9" s="132"/>
      <c r="C9" s="137"/>
      <c r="D9" s="19"/>
      <c r="E9" s="89" t="str">
        <f>Cashflow!E17</f>
        <v>Reinjection pressure at injector wellhead (Pa)</v>
      </c>
      <c r="F9" s="137"/>
      <c r="G9" s="28"/>
      <c r="H9" s="137"/>
      <c r="I9" s="517">
        <f>Cashflow!I17</f>
        <v>13200000</v>
      </c>
      <c r="J9" s="232" t="s">
        <v>317</v>
      </c>
      <c r="K9" s="522" t="str">
        <f>Cashflow!K17</f>
        <v>Pa</v>
      </c>
      <c r="L9" s="19"/>
      <c r="M9" s="89"/>
      <c r="N9" s="28"/>
      <c r="O9" s="28"/>
      <c r="P9" s="828" t="str">
        <f>Cashflow!P13</f>
        <v>User-defined conversion efficiency --&gt;</v>
      </c>
      <c r="Q9" s="222">
        <f>Cashflow!Q13</f>
        <v>0.25</v>
      </c>
      <c r="R9" s="19"/>
      <c r="S9" s="1144" t="str">
        <f>Cashflow!S15</f>
        <v>True vertical depth of well (m)</v>
      </c>
      <c r="T9" s="86"/>
      <c r="U9" s="86"/>
      <c r="V9" s="127">
        <f>Cashflow!V15</f>
        <v>2000</v>
      </c>
      <c r="W9" s="19"/>
      <c r="X9" s="68"/>
      <c r="Y9" s="68"/>
      <c r="Z9" s="19"/>
      <c r="AA9" s="19"/>
      <c r="AB9" s="21"/>
      <c r="AC9" s="19"/>
      <c r="AD9" s="19"/>
      <c r="AE9" s="19"/>
      <c r="AF9" s="19"/>
      <c r="AG9" s="19"/>
      <c r="AH9" s="19"/>
      <c r="AI9" s="19"/>
      <c r="AJ9" s="19"/>
      <c r="AK9" s="19"/>
      <c r="AL9" s="19"/>
      <c r="AM9" s="19"/>
      <c r="AN9" s="19"/>
    </row>
    <row r="10" spans="1:40" ht="13.8" thickBot="1">
      <c r="B10" s="132"/>
      <c r="C10" s="137"/>
      <c r="D10" s="19"/>
      <c r="E10" s="89" t="str">
        <f>Cashflow!E25</f>
        <v>ΔT of produced fluids from reservoir to tubing head (°C)</v>
      </c>
      <c r="F10" s="28"/>
      <c r="G10" s="28"/>
      <c r="H10" s="28"/>
      <c r="I10" s="516">
        <f>Cashflow!I25</f>
        <v>15</v>
      </c>
      <c r="J10" s="296"/>
      <c r="K10" s="523"/>
      <c r="L10" s="19"/>
      <c r="M10" s="90"/>
      <c r="N10" s="86"/>
      <c r="O10" s="86"/>
      <c r="P10" s="1142" t="str">
        <f>Cashflow!P14</f>
        <v>Conversion efficiency value used --&gt;</v>
      </c>
      <c r="Q10" s="1143">
        <f>Cashflow!Q14</f>
        <v>0.13949999999999999</v>
      </c>
      <c r="R10" s="19"/>
      <c r="S10" s="19"/>
      <c r="T10" s="19"/>
      <c r="U10" s="19"/>
      <c r="V10" s="19"/>
      <c r="W10" s="19"/>
      <c r="X10" s="68"/>
      <c r="Y10" s="68"/>
      <c r="Z10" s="19"/>
      <c r="AA10" s="19"/>
      <c r="AB10" s="21"/>
      <c r="AC10" s="19"/>
      <c r="AD10" s="19"/>
      <c r="AE10" s="19"/>
      <c r="AF10" s="19"/>
      <c r="AG10" s="19"/>
      <c r="AI10" s="19"/>
      <c r="AJ10" s="19"/>
      <c r="AK10" s="19"/>
      <c r="AL10" s="19"/>
      <c r="AM10" s="19"/>
      <c r="AN10" s="19"/>
    </row>
    <row r="11" spans="1:40" ht="13.8" thickBot="1">
      <c r="B11" s="142"/>
      <c r="C11" s="146"/>
      <c r="D11" s="19"/>
      <c r="E11" s="90" t="str">
        <f>Cashflow!E27</f>
        <v>Average ambient temp (°C)</v>
      </c>
      <c r="F11" s="86"/>
      <c r="G11" s="86"/>
      <c r="H11" s="86"/>
      <c r="I11" s="524">
        <f>Cashflow!I27</f>
        <v>10</v>
      </c>
      <c r="J11" s="86"/>
      <c r="K11" s="525"/>
      <c r="L11" s="19"/>
      <c r="M11" s="234"/>
      <c r="N11" s="28"/>
      <c r="O11" s="28"/>
      <c r="P11" s="19"/>
      <c r="Q11" s="19"/>
      <c r="R11" s="19"/>
      <c r="S11" s="19"/>
      <c r="T11" s="19"/>
      <c r="U11" s="19"/>
      <c r="V11" s="19"/>
      <c r="X11" s="68"/>
      <c r="Y11" s="68"/>
      <c r="Z11" s="19"/>
      <c r="AA11" s="19"/>
      <c r="AB11" s="21"/>
      <c r="AC11" s="19"/>
      <c r="AD11" s="19"/>
      <c r="AE11" s="19"/>
      <c r="AF11" s="19"/>
      <c r="AG11" s="19"/>
      <c r="AH11" s="21"/>
      <c r="AI11" s="19"/>
      <c r="AJ11" s="19"/>
      <c r="AK11" s="19"/>
      <c r="AL11" s="19"/>
      <c r="AM11" s="19"/>
      <c r="AN11" s="19"/>
    </row>
    <row r="12" spans="1:40">
      <c r="B12" s="132"/>
      <c r="C12" s="137"/>
      <c r="D12" s="19"/>
      <c r="E12" s="19"/>
      <c r="F12" s="19"/>
      <c r="G12" s="19"/>
      <c r="H12" s="19"/>
      <c r="I12" s="19"/>
      <c r="J12" s="19"/>
      <c r="K12" s="19"/>
      <c r="L12" s="19"/>
      <c r="M12" s="234"/>
      <c r="N12" s="28"/>
      <c r="O12" s="28"/>
      <c r="P12" s="19"/>
      <c r="Q12" s="19"/>
      <c r="R12" s="19"/>
      <c r="S12" s="19"/>
      <c r="T12" s="19"/>
      <c r="U12" s="28"/>
      <c r="V12" s="28"/>
      <c r="W12" s="19"/>
      <c r="X12" s="68"/>
      <c r="Y12" s="68"/>
      <c r="Z12" s="19"/>
      <c r="AA12" s="19"/>
      <c r="AB12" s="19"/>
      <c r="AC12" s="19"/>
      <c r="AD12" s="19"/>
      <c r="AE12" s="19"/>
      <c r="AF12" s="19"/>
      <c r="AG12" s="19"/>
      <c r="AH12" s="19"/>
      <c r="AI12" s="19"/>
      <c r="AJ12" s="19"/>
      <c r="AK12" s="19"/>
      <c r="AL12" s="19"/>
      <c r="AM12" s="19"/>
      <c r="AN12" s="19"/>
    </row>
    <row r="13" spans="1:40" ht="13.8" thickBot="1">
      <c r="B13" s="25" t="s">
        <v>1513</v>
      </c>
      <c r="C13" s="19"/>
      <c r="D13" s="19"/>
      <c r="E13" s="19"/>
      <c r="F13" s="133"/>
      <c r="G13" s="173"/>
      <c r="H13" s="142"/>
      <c r="I13" s="133"/>
      <c r="J13" s="133"/>
      <c r="K13" s="133"/>
      <c r="L13" s="173"/>
      <c r="M13" s="133"/>
      <c r="N13" s="133"/>
      <c r="O13" s="133"/>
      <c r="P13" s="1146"/>
      <c r="Q13" s="133"/>
      <c r="R13" s="133"/>
      <c r="S13" s="173"/>
      <c r="T13" s="142"/>
      <c r="U13" s="133"/>
      <c r="V13" s="133"/>
      <c r="W13" s="133"/>
      <c r="X13" s="173"/>
      <c r="Y13" s="133"/>
      <c r="Z13" s="133"/>
      <c r="AA13" s="133"/>
      <c r="AB13" s="133"/>
      <c r="AC13" s="133"/>
      <c r="AD13" s="133"/>
      <c r="AE13" s="173"/>
      <c r="AF13" s="142"/>
      <c r="AG13" s="133"/>
      <c r="AH13" s="133"/>
      <c r="AI13" s="133"/>
      <c r="AJ13" s="173"/>
      <c r="AK13" s="133"/>
      <c r="AL13" s="142"/>
      <c r="AM13" s="21"/>
      <c r="AN13" s="19"/>
    </row>
    <row r="14" spans="1:40">
      <c r="B14" s="304" t="s">
        <v>1437</v>
      </c>
      <c r="C14" s="87"/>
      <c r="D14" s="87"/>
      <c r="E14" s="303">
        <f>'Steam Tables'!$AC$100</f>
        <v>5632.5</v>
      </c>
      <c r="F14" s="133"/>
      <c r="G14" s="173"/>
      <c r="H14" s="142"/>
      <c r="I14" s="133"/>
      <c r="J14" s="133"/>
      <c r="K14" s="133"/>
      <c r="L14" s="171"/>
      <c r="M14" s="133"/>
      <c r="N14" s="1159"/>
      <c r="O14" s="133"/>
      <c r="P14" s="133"/>
      <c r="Q14" s="133"/>
      <c r="R14" s="133"/>
      <c r="S14" s="173"/>
      <c r="T14" s="142"/>
      <c r="U14" s="133"/>
      <c r="V14" s="133"/>
      <c r="W14" s="133"/>
      <c r="X14" s="173"/>
      <c r="Y14" s="133"/>
      <c r="Z14" s="133"/>
      <c r="AA14" s="133"/>
      <c r="AB14" s="133"/>
      <c r="AC14" s="133"/>
      <c r="AD14" s="133"/>
      <c r="AE14" s="173"/>
      <c r="AF14" s="142"/>
      <c r="AG14" s="133"/>
      <c r="AH14" s="133"/>
      <c r="AI14" s="133"/>
      <c r="AJ14" s="173"/>
      <c r="AK14" s="133"/>
      <c r="AL14" s="142"/>
      <c r="AM14" s="21"/>
      <c r="AN14" s="19"/>
    </row>
    <row r="15" spans="1:40">
      <c r="B15" s="88" t="s">
        <v>1436</v>
      </c>
      <c r="C15" s="28"/>
      <c r="D15" s="28"/>
      <c r="E15" s="649">
        <f>'Steam Tables'!$U$73</f>
        <v>723.05</v>
      </c>
      <c r="F15" s="133"/>
      <c r="G15" s="173"/>
      <c r="H15" s="142"/>
      <c r="I15" s="133"/>
      <c r="J15" s="133"/>
      <c r="K15" s="133"/>
      <c r="L15" s="171"/>
      <c r="M15" s="133"/>
      <c r="N15" s="133"/>
      <c r="O15" s="133"/>
      <c r="P15" s="1145"/>
      <c r="R15" s="133"/>
      <c r="S15" s="173"/>
      <c r="T15" s="133"/>
      <c r="U15" s="133"/>
      <c r="V15" s="133"/>
      <c r="W15" s="133"/>
      <c r="X15" s="173"/>
      <c r="Y15" s="133"/>
      <c r="Z15" s="133"/>
      <c r="AA15" s="133"/>
      <c r="AB15" s="133"/>
      <c r="AC15" s="133"/>
      <c r="AD15" s="133"/>
      <c r="AE15" s="173"/>
      <c r="AF15" s="142"/>
      <c r="AG15" s="133"/>
      <c r="AH15" s="133"/>
      <c r="AI15" s="133"/>
      <c r="AJ15" s="173"/>
      <c r="AK15" s="133"/>
      <c r="AL15" s="142"/>
      <c r="AM15" s="21"/>
      <c r="AN15" s="19"/>
    </row>
    <row r="16" spans="1:40">
      <c r="B16" s="88" t="s">
        <v>1435</v>
      </c>
      <c r="C16" s="28"/>
      <c r="D16" s="28"/>
      <c r="E16" s="565">
        <f>'Steam Tables'!$AC$73</f>
        <v>8.7999999999999998E-5</v>
      </c>
      <c r="F16" s="133"/>
      <c r="G16" s="173"/>
      <c r="H16" s="142"/>
      <c r="I16" s="133"/>
      <c r="J16" s="133"/>
      <c r="K16" s="133"/>
      <c r="L16" s="173"/>
      <c r="M16" s="133"/>
      <c r="N16" s="133"/>
      <c r="O16" s="133"/>
      <c r="P16" s="133"/>
      <c r="Q16" s="133"/>
      <c r="R16" s="133"/>
      <c r="S16" s="173"/>
      <c r="T16" s="142"/>
      <c r="U16" s="133"/>
      <c r="V16" s="133"/>
      <c r="W16" s="133"/>
      <c r="X16" s="173"/>
      <c r="Y16" s="133"/>
      <c r="Z16" s="133"/>
      <c r="AA16" s="133"/>
      <c r="AB16" s="133"/>
      <c r="AC16" s="133"/>
      <c r="AD16" s="133"/>
      <c r="AE16" s="173"/>
      <c r="AF16" s="142"/>
      <c r="AG16" s="133"/>
      <c r="AH16" s="133"/>
      <c r="AI16" s="133"/>
      <c r="AJ16" s="173"/>
      <c r="AK16" s="133"/>
      <c r="AL16" s="142"/>
      <c r="AM16" s="21"/>
      <c r="AN16" s="19"/>
    </row>
    <row r="17" spans="2:40">
      <c r="B17" s="88" t="s">
        <v>1432</v>
      </c>
      <c r="C17" s="28"/>
      <c r="D17" s="28"/>
      <c r="E17" s="888">
        <f>'Steam Tables'!$AC$38</f>
        <v>151.67804603364539</v>
      </c>
      <c r="F17" s="133"/>
      <c r="G17" s="173"/>
      <c r="H17" s="142"/>
      <c r="I17" s="133"/>
      <c r="J17" s="133"/>
      <c r="K17" s="133"/>
      <c r="L17" s="171"/>
      <c r="M17" s="133"/>
      <c r="N17" s="133"/>
      <c r="O17" s="133"/>
      <c r="P17" s="133"/>
      <c r="Q17" s="133"/>
      <c r="R17" s="133"/>
      <c r="S17" s="1148"/>
      <c r="T17" s="142"/>
      <c r="U17" s="133"/>
      <c r="V17" s="133"/>
      <c r="W17" s="133"/>
      <c r="X17" s="173"/>
      <c r="Y17" s="133"/>
      <c r="Z17" s="133"/>
      <c r="AA17" s="133"/>
      <c r="AB17" s="133"/>
      <c r="AC17" s="133"/>
      <c r="AD17" s="133"/>
      <c r="AE17" s="173"/>
      <c r="AF17" s="142"/>
      <c r="AG17" s="133"/>
      <c r="AH17" s="133"/>
      <c r="AI17" s="133"/>
      <c r="AJ17" s="173"/>
      <c r="AK17" s="133"/>
      <c r="AL17" s="142"/>
      <c r="AM17" s="21"/>
      <c r="AN17" s="19"/>
    </row>
    <row r="18" spans="2:40">
      <c r="B18" s="88" t="s">
        <v>1431</v>
      </c>
      <c r="C18" s="28"/>
      <c r="D18" s="28"/>
      <c r="E18" s="888">
        <f>'Steam Tables'!$U$87</f>
        <v>915.05619764904623</v>
      </c>
      <c r="F18" s="133"/>
      <c r="G18" s="173"/>
      <c r="H18" s="142"/>
      <c r="I18" s="133"/>
      <c r="J18" s="133"/>
      <c r="K18" s="133"/>
      <c r="L18" s="173"/>
      <c r="M18" s="133"/>
      <c r="N18" s="1145"/>
      <c r="O18" s="133"/>
      <c r="P18" s="133"/>
      <c r="Q18" s="1145"/>
      <c r="R18" s="133"/>
      <c r="S18" s="133"/>
      <c r="T18" s="1145"/>
      <c r="U18" s="133"/>
      <c r="V18" s="133"/>
      <c r="W18" s="133"/>
      <c r="X18" s="173"/>
      <c r="Y18" s="133"/>
      <c r="Z18" s="133"/>
      <c r="AA18" s="133"/>
      <c r="AB18" s="133"/>
      <c r="AC18" s="133"/>
      <c r="AD18" s="133"/>
      <c r="AE18" s="173"/>
      <c r="AF18" s="142"/>
      <c r="AG18" s="133"/>
      <c r="AH18" s="133"/>
      <c r="AI18" s="133"/>
      <c r="AJ18" s="173"/>
      <c r="AK18" s="133"/>
      <c r="AL18" s="142"/>
      <c r="AM18" s="21"/>
      <c r="AN18" s="19"/>
    </row>
    <row r="19" spans="2:40" ht="13.8" thickBot="1">
      <c r="B19" s="909" t="s">
        <v>1438</v>
      </c>
      <c r="C19" s="86"/>
      <c r="D19" s="86"/>
      <c r="E19" s="721">
        <f>'Steam Tables'!$AC$80</f>
        <v>1.8081854015626099E-4</v>
      </c>
      <c r="F19" s="133"/>
      <c r="G19" s="173"/>
      <c r="H19" s="142"/>
      <c r="I19" s="133"/>
      <c r="J19" s="133"/>
      <c r="K19" s="133"/>
      <c r="L19" s="173"/>
      <c r="M19" s="133"/>
      <c r="N19" s="133"/>
      <c r="O19" s="133"/>
      <c r="P19" s="133"/>
      <c r="Q19" s="133"/>
      <c r="R19" s="133"/>
      <c r="S19" s="133"/>
      <c r="T19" s="133"/>
      <c r="U19" s="133"/>
      <c r="V19" s="133"/>
      <c r="W19" s="133"/>
      <c r="X19" s="173"/>
      <c r="Y19" s="133"/>
      <c r="Z19" s="133"/>
      <c r="AA19" s="133"/>
      <c r="AB19" s="133"/>
      <c r="AC19" s="133"/>
      <c r="AD19" s="133"/>
      <c r="AE19" s="173"/>
      <c r="AF19" s="142"/>
      <c r="AG19" s="133"/>
      <c r="AH19" s="133"/>
      <c r="AI19" s="133"/>
      <c r="AJ19" s="173"/>
      <c r="AK19" s="133"/>
      <c r="AL19" s="142"/>
      <c r="AM19" s="21"/>
      <c r="AN19" s="19"/>
    </row>
    <row r="20" spans="2:40">
      <c r="B20" s="133"/>
      <c r="C20" s="133"/>
      <c r="D20" s="133"/>
      <c r="E20" s="133"/>
      <c r="F20" s="133"/>
      <c r="G20" s="173"/>
      <c r="H20" s="142"/>
      <c r="I20" s="133"/>
      <c r="J20" s="133"/>
      <c r="K20" s="133"/>
      <c r="L20" s="173"/>
      <c r="M20" s="133"/>
      <c r="N20" s="133"/>
      <c r="O20" s="133"/>
      <c r="P20" s="133"/>
      <c r="Q20" s="133"/>
      <c r="R20" s="133"/>
      <c r="S20" s="173"/>
      <c r="T20" s="142"/>
      <c r="U20" s="133"/>
      <c r="V20" s="133"/>
      <c r="W20" s="133"/>
      <c r="X20" s="173"/>
      <c r="Y20" s="133"/>
      <c r="Z20" s="133"/>
      <c r="AA20" s="133"/>
      <c r="AB20" s="133"/>
      <c r="AC20" s="133"/>
      <c r="AD20" s="133"/>
      <c r="AE20" s="173"/>
      <c r="AF20" s="142"/>
      <c r="AG20" s="133"/>
      <c r="AH20" s="133"/>
      <c r="AI20" s="133"/>
      <c r="AJ20" s="173"/>
      <c r="AK20" s="133"/>
      <c r="AL20" s="142"/>
      <c r="AM20" s="21"/>
      <c r="AN20" s="19"/>
    </row>
    <row r="21" spans="2:40" ht="13.8" thickBot="1">
      <c r="B21" s="25" t="s">
        <v>1508</v>
      </c>
      <c r="C21" s="21"/>
      <c r="D21" s="19"/>
      <c r="E21" s="133"/>
      <c r="F21" s="21"/>
      <c r="G21" s="173"/>
      <c r="H21" s="142"/>
      <c r="I21" s="133"/>
      <c r="J21" s="133"/>
      <c r="K21" s="133"/>
      <c r="L21" s="173"/>
      <c r="M21" s="133"/>
      <c r="N21" s="133"/>
      <c r="O21" s="133"/>
      <c r="P21" s="133"/>
      <c r="Q21" s="133"/>
      <c r="R21" s="133"/>
      <c r="S21" s="173"/>
      <c r="T21" s="142"/>
      <c r="U21" s="133"/>
      <c r="V21" s="133"/>
      <c r="W21" s="133"/>
      <c r="X21" s="173"/>
      <c r="Y21" s="133"/>
      <c r="Z21" s="133"/>
      <c r="AA21" s="133"/>
      <c r="AB21" s="133"/>
      <c r="AC21" s="133"/>
      <c r="AD21" s="133"/>
      <c r="AE21" s="173"/>
      <c r="AF21" s="142"/>
      <c r="AG21" s="133"/>
      <c r="AH21" s="133"/>
      <c r="AI21" s="133"/>
      <c r="AJ21" s="173"/>
      <c r="AK21" s="133"/>
      <c r="AL21" s="142"/>
      <c r="AM21" s="21"/>
      <c r="AN21" s="19"/>
    </row>
    <row r="22" spans="2:40">
      <c r="B22" s="151" t="s">
        <v>1505</v>
      </c>
      <c r="C22" s="531"/>
      <c r="D22" s="532"/>
      <c r="E22" s="830">
        <f>I6</f>
        <v>25000000</v>
      </c>
      <c r="F22" s="21"/>
      <c r="G22" s="173"/>
      <c r="H22" s="142"/>
      <c r="I22" s="1146"/>
      <c r="J22" s="133"/>
      <c r="K22" s="1146"/>
      <c r="L22" s="173"/>
      <c r="M22" s="133"/>
      <c r="N22" s="133"/>
      <c r="O22" s="133"/>
      <c r="P22" s="133"/>
      <c r="Q22" s="133"/>
      <c r="R22" s="133"/>
      <c r="S22" s="173"/>
      <c r="T22" s="142"/>
      <c r="U22" s="133"/>
      <c r="V22" s="133"/>
      <c r="W22" s="133"/>
      <c r="X22" s="173"/>
      <c r="Y22" s="133"/>
      <c r="Z22" s="133"/>
      <c r="AA22" s="133"/>
      <c r="AB22" s="133"/>
      <c r="AC22" s="133"/>
      <c r="AD22" s="133"/>
      <c r="AE22" s="173"/>
      <c r="AF22" s="142"/>
      <c r="AG22" s="133"/>
      <c r="AH22" s="133"/>
      <c r="AI22" s="133"/>
      <c r="AJ22" s="173"/>
      <c r="AK22" s="133"/>
      <c r="AL22" s="142"/>
      <c r="AM22" s="21"/>
      <c r="AN22" s="19"/>
    </row>
    <row r="23" spans="2:40">
      <c r="B23" s="88" t="s">
        <v>1382</v>
      </c>
      <c r="C23" s="424"/>
      <c r="D23" s="28"/>
      <c r="E23" s="565">
        <f>$E$22-$E$24</f>
        <v>7000000</v>
      </c>
      <c r="F23" s="21"/>
      <c r="G23" s="173"/>
      <c r="H23" s="142"/>
      <c r="I23" s="133"/>
      <c r="J23" s="133"/>
      <c r="K23" s="133"/>
      <c r="L23" s="173"/>
      <c r="M23" s="133"/>
      <c r="N23" s="133"/>
      <c r="O23" s="133"/>
      <c r="P23" s="133"/>
      <c r="Q23" s="133"/>
      <c r="R23" s="133"/>
      <c r="S23" s="173"/>
      <c r="T23" s="142"/>
      <c r="U23" s="133"/>
      <c r="V23" s="133"/>
      <c r="W23" s="133"/>
      <c r="X23" s="173"/>
      <c r="Y23" s="133"/>
      <c r="Z23" s="133"/>
      <c r="AA23" s="133"/>
      <c r="AB23" s="133"/>
      <c r="AC23" s="133"/>
      <c r="AD23" s="133"/>
      <c r="AE23" s="173"/>
      <c r="AF23" s="142"/>
      <c r="AG23" s="133"/>
      <c r="AH23" s="133"/>
      <c r="AI23" s="133"/>
      <c r="AJ23" s="173"/>
      <c r="AK23" s="133"/>
      <c r="AL23" s="142"/>
      <c r="AM23" s="21"/>
      <c r="AN23" s="19"/>
    </row>
    <row r="24" spans="2:40">
      <c r="B24" s="89" t="s">
        <v>1506</v>
      </c>
      <c r="C24" s="424"/>
      <c r="D24" s="28"/>
      <c r="E24" s="585">
        <f>I7</f>
        <v>18000000</v>
      </c>
      <c r="F24" s="21"/>
      <c r="G24" s="173"/>
      <c r="H24" s="142"/>
      <c r="I24" s="133"/>
      <c r="J24" s="133"/>
      <c r="K24" s="133"/>
      <c r="L24" s="173"/>
      <c r="M24" s="133"/>
      <c r="N24" s="133"/>
      <c r="O24" s="133"/>
      <c r="P24" s="133"/>
      <c r="Q24" s="133"/>
      <c r="R24" s="133"/>
      <c r="S24" s="173"/>
      <c r="T24" s="142"/>
      <c r="U24" s="133"/>
      <c r="V24" s="133"/>
      <c r="W24" s="133"/>
      <c r="X24" s="173"/>
      <c r="Y24" s="133"/>
      <c r="Z24" s="133"/>
      <c r="AA24" s="133"/>
      <c r="AB24" s="133"/>
      <c r="AC24" s="133"/>
      <c r="AD24" s="133"/>
      <c r="AE24" s="173"/>
      <c r="AF24" s="142"/>
      <c r="AG24" s="133"/>
      <c r="AH24" s="133"/>
      <c r="AI24" s="133"/>
      <c r="AJ24" s="173"/>
      <c r="AK24" s="133"/>
      <c r="AL24" s="142"/>
      <c r="AM24" s="21"/>
      <c r="AN24" s="19"/>
    </row>
    <row r="25" spans="2:40">
      <c r="B25" s="89" t="s">
        <v>1507</v>
      </c>
      <c r="C25" s="424"/>
      <c r="D25" s="28"/>
      <c r="E25" s="585">
        <f>I8</f>
        <v>14500000</v>
      </c>
      <c r="F25" s="21"/>
      <c r="G25" s="173"/>
      <c r="H25" s="142"/>
      <c r="I25" s="133"/>
      <c r="J25" s="133"/>
      <c r="K25" s="1147"/>
      <c r="L25" s="173"/>
      <c r="M25" s="133"/>
      <c r="N25" s="133"/>
      <c r="O25" s="133"/>
      <c r="P25" s="133"/>
      <c r="Q25" s="133"/>
      <c r="R25" s="133"/>
      <c r="S25" s="173"/>
      <c r="T25" s="142"/>
      <c r="U25" s="133"/>
      <c r="V25" s="133"/>
      <c r="W25" s="133"/>
      <c r="X25" s="173"/>
      <c r="Y25" s="133"/>
      <c r="Z25" s="133"/>
      <c r="AA25" s="133"/>
      <c r="AB25" s="133"/>
      <c r="AC25" s="133"/>
      <c r="AD25" s="133"/>
      <c r="AE25" s="173"/>
      <c r="AF25" s="142"/>
      <c r="AG25" s="133"/>
      <c r="AH25" s="133"/>
      <c r="AI25" s="133"/>
      <c r="AJ25" s="173"/>
      <c r="AK25" s="133"/>
      <c r="AL25" s="142"/>
      <c r="AM25" s="21"/>
      <c r="AN25" s="19"/>
    </row>
    <row r="26" spans="2:40" ht="13.8" thickBot="1">
      <c r="B26" s="909" t="s">
        <v>1475</v>
      </c>
      <c r="C26" s="973"/>
      <c r="D26" s="86"/>
      <c r="E26" s="721">
        <f>$E$24-$E$25</f>
        <v>3500000</v>
      </c>
      <c r="F26" s="21"/>
      <c r="G26" s="173"/>
      <c r="H26" s="142"/>
      <c r="I26" s="133"/>
      <c r="J26" s="133"/>
      <c r="K26" s="133"/>
      <c r="L26" s="173"/>
      <c r="M26" s="133"/>
      <c r="N26" s="1145"/>
      <c r="O26" s="133"/>
      <c r="P26" s="133"/>
      <c r="Q26" s="133"/>
      <c r="R26" s="133"/>
      <c r="S26" s="173"/>
      <c r="T26" s="142"/>
      <c r="U26" s="133"/>
      <c r="V26" s="133"/>
      <c r="W26" s="133"/>
      <c r="X26" s="173"/>
      <c r="Y26" s="133"/>
      <c r="Z26" s="133"/>
      <c r="AA26" s="133"/>
      <c r="AB26" s="133"/>
      <c r="AC26" s="133"/>
      <c r="AD26" s="133"/>
      <c r="AE26" s="173"/>
      <c r="AF26" s="142"/>
      <c r="AG26" s="133"/>
      <c r="AH26" s="133"/>
      <c r="AI26" s="133"/>
      <c r="AJ26" s="173"/>
      <c r="AK26" s="133"/>
      <c r="AL26" s="142"/>
      <c r="AM26" s="21"/>
      <c r="AN26" s="19"/>
    </row>
    <row r="27" spans="2:40">
      <c r="B27" s="142"/>
      <c r="C27" s="142"/>
      <c r="D27" s="142"/>
      <c r="E27" s="142"/>
      <c r="F27" s="21"/>
      <c r="G27" s="173"/>
      <c r="H27" s="142"/>
      <c r="I27" s="1146"/>
      <c r="J27" s="133"/>
      <c r="K27" s="133"/>
      <c r="L27" s="173"/>
      <c r="M27" s="133"/>
      <c r="N27" s="1145"/>
      <c r="O27" s="133"/>
      <c r="P27" s="133"/>
      <c r="Q27" s="133"/>
      <c r="R27" s="133"/>
      <c r="S27" s="173"/>
      <c r="T27" s="142"/>
      <c r="U27" s="133"/>
      <c r="V27" s="133"/>
      <c r="W27" s="133"/>
      <c r="X27" s="173"/>
      <c r="Y27" s="133"/>
      <c r="Z27" s="133"/>
      <c r="AA27" s="133"/>
      <c r="AB27" s="133"/>
      <c r="AC27" s="133"/>
      <c r="AD27" s="133"/>
      <c r="AE27" s="173"/>
      <c r="AF27" s="142"/>
      <c r="AG27" s="133"/>
      <c r="AH27" s="133"/>
      <c r="AI27" s="133"/>
      <c r="AJ27" s="173"/>
      <c r="AK27" s="133"/>
      <c r="AL27" s="142"/>
      <c r="AM27" s="21"/>
      <c r="AN27" s="19"/>
    </row>
    <row r="28" spans="2:40" ht="13.8" thickBot="1">
      <c r="B28" s="25" t="s">
        <v>1509</v>
      </c>
      <c r="C28" s="138"/>
      <c r="D28" s="174"/>
      <c r="E28" s="174"/>
      <c r="F28" s="21"/>
      <c r="G28" s="134"/>
      <c r="H28" s="142"/>
      <c r="I28" s="142"/>
      <c r="J28" s="142"/>
      <c r="K28" s="142"/>
      <c r="L28" s="173"/>
      <c r="M28" s="133"/>
      <c r="N28" s="133"/>
      <c r="O28" s="133"/>
      <c r="P28" s="133"/>
      <c r="Q28" s="133"/>
      <c r="R28" s="133"/>
      <c r="S28" s="173"/>
      <c r="T28" s="142"/>
      <c r="U28" s="133"/>
      <c r="V28" s="133"/>
      <c r="W28" s="133"/>
      <c r="X28" s="173"/>
      <c r="Y28" s="133"/>
      <c r="Z28" s="133"/>
      <c r="AA28" s="133"/>
      <c r="AB28" s="133"/>
      <c r="AC28" s="133"/>
      <c r="AD28" s="133"/>
      <c r="AE28" s="173"/>
      <c r="AF28" s="142"/>
      <c r="AG28" s="133"/>
      <c r="AH28" s="133"/>
      <c r="AI28" s="133"/>
      <c r="AJ28" s="173"/>
      <c r="AK28" s="133"/>
      <c r="AL28" s="142"/>
      <c r="AM28" s="21"/>
      <c r="AN28" s="19"/>
    </row>
    <row r="29" spans="2:40">
      <c r="B29" s="976" t="s">
        <v>1434</v>
      </c>
      <c r="C29" s="977"/>
      <c r="D29" s="977"/>
      <c r="E29" s="598">
        <f>$E$18*9.80665*$V$9</f>
        <v>17947271.721350037</v>
      </c>
      <c r="F29" s="21"/>
      <c r="G29" s="173"/>
      <c r="H29" s="142"/>
      <c r="I29" s="133"/>
      <c r="J29" s="133"/>
      <c r="K29" s="133"/>
      <c r="L29" s="173"/>
      <c r="M29" s="133"/>
      <c r="N29" s="133"/>
      <c r="O29" s="133"/>
      <c r="P29" s="133"/>
      <c r="Q29" s="133"/>
      <c r="R29" s="133"/>
      <c r="S29" s="173"/>
      <c r="T29" s="142"/>
      <c r="U29" s="133"/>
      <c r="V29" s="133"/>
      <c r="W29" s="133"/>
      <c r="X29" s="173"/>
      <c r="Y29" s="133"/>
      <c r="Z29" s="133"/>
      <c r="AA29" s="133"/>
      <c r="AB29" s="133"/>
      <c r="AC29" s="133"/>
      <c r="AD29" s="133"/>
      <c r="AE29" s="173"/>
      <c r="AF29" s="142"/>
      <c r="AG29" s="133"/>
      <c r="AH29" s="133"/>
      <c r="AI29" s="133"/>
      <c r="AJ29" s="173"/>
      <c r="AK29" s="133"/>
      <c r="AL29" s="142"/>
      <c r="AM29" s="21"/>
      <c r="AN29" s="19"/>
    </row>
    <row r="30" spans="2:40">
      <c r="B30" s="978" t="s">
        <v>740</v>
      </c>
      <c r="C30" s="133"/>
      <c r="D30" s="133"/>
      <c r="E30" s="831">
        <v>500000</v>
      </c>
      <c r="F30" s="21"/>
      <c r="G30" s="173"/>
      <c r="H30" s="142"/>
      <c r="I30" s="133"/>
      <c r="J30" s="133"/>
      <c r="K30" s="133"/>
      <c r="L30" s="173"/>
      <c r="M30" s="133"/>
      <c r="N30" s="133"/>
      <c r="O30" s="133"/>
      <c r="P30" s="133"/>
      <c r="Q30" s="133"/>
      <c r="R30" s="133"/>
      <c r="S30" s="173"/>
      <c r="T30" s="142"/>
      <c r="U30" s="133"/>
      <c r="V30" s="133"/>
      <c r="W30" s="133"/>
      <c r="X30" s="173"/>
      <c r="Y30" s="133"/>
      <c r="Z30" s="133"/>
      <c r="AA30" s="133"/>
      <c r="AB30" s="133"/>
      <c r="AC30" s="133"/>
      <c r="AD30" s="133"/>
      <c r="AE30" s="173"/>
      <c r="AF30" s="142"/>
      <c r="AG30" s="133"/>
      <c r="AH30" s="133"/>
      <c r="AI30" s="133"/>
      <c r="AJ30" s="173"/>
      <c r="AK30" s="133"/>
      <c r="AL30" s="142"/>
      <c r="AM30" s="21"/>
      <c r="AN30" s="19"/>
    </row>
    <row r="31" spans="2:40">
      <c r="B31" s="979" t="s">
        <v>1510</v>
      </c>
      <c r="C31" s="142"/>
      <c r="D31" s="133"/>
      <c r="E31" s="831">
        <f>I9</f>
        <v>13200000</v>
      </c>
      <c r="F31" s="21"/>
      <c r="G31" s="173"/>
      <c r="H31" s="142"/>
      <c r="I31" s="133"/>
      <c r="J31" s="133"/>
      <c r="K31" s="133"/>
      <c r="L31" s="173"/>
      <c r="M31" s="133"/>
      <c r="N31" s="133"/>
      <c r="O31" s="133"/>
      <c r="P31" s="133"/>
      <c r="Q31" s="133"/>
      <c r="R31" s="133"/>
      <c r="S31" s="173"/>
      <c r="T31" s="142"/>
      <c r="U31" s="133"/>
      <c r="V31" s="133"/>
      <c r="W31" s="133"/>
      <c r="X31" s="173"/>
      <c r="Y31" s="133"/>
      <c r="Z31" s="133"/>
      <c r="AA31" s="133"/>
      <c r="AB31" s="133"/>
      <c r="AC31" s="133"/>
      <c r="AD31" s="133"/>
      <c r="AE31" s="173"/>
      <c r="AF31" s="142"/>
      <c r="AG31" s="133"/>
      <c r="AH31" s="133"/>
      <c r="AI31" s="133"/>
      <c r="AJ31" s="173"/>
      <c r="AK31" s="133"/>
      <c r="AL31" s="142"/>
      <c r="AM31" s="21"/>
      <c r="AN31" s="19"/>
    </row>
    <row r="32" spans="2:40">
      <c r="B32" s="89" t="s">
        <v>1481</v>
      </c>
      <c r="C32" s="424"/>
      <c r="D32" s="424"/>
      <c r="E32" s="565">
        <f>E29-E30</f>
        <v>17447271.721350037</v>
      </c>
      <c r="F32" s="21"/>
      <c r="G32" s="173"/>
      <c r="H32" s="142"/>
      <c r="I32" s="133"/>
      <c r="J32" s="133"/>
      <c r="K32" s="133"/>
      <c r="L32" s="173"/>
      <c r="M32" s="133"/>
      <c r="N32" s="133"/>
      <c r="O32" s="133"/>
      <c r="P32" s="133"/>
      <c r="Q32" s="133"/>
      <c r="R32" s="133"/>
      <c r="S32" s="173"/>
      <c r="T32" s="142"/>
      <c r="U32" s="133"/>
      <c r="V32" s="133"/>
      <c r="W32" s="133"/>
      <c r="X32" s="173"/>
      <c r="Y32" s="133"/>
      <c r="Z32" s="133"/>
      <c r="AA32" s="133"/>
      <c r="AB32" s="133"/>
      <c r="AC32" s="133"/>
      <c r="AD32" s="133"/>
      <c r="AE32" s="173"/>
      <c r="AF32" s="142"/>
      <c r="AG32" s="133"/>
      <c r="AH32" s="133"/>
      <c r="AI32" s="133"/>
      <c r="AJ32" s="173"/>
      <c r="AK32" s="133"/>
      <c r="AL32" s="142"/>
      <c r="AM32" s="21"/>
      <c r="AN32" s="19"/>
    </row>
    <row r="33" spans="1:40">
      <c r="B33" s="89" t="s">
        <v>1476</v>
      </c>
      <c r="C33" s="424"/>
      <c r="D33" s="424"/>
      <c r="E33" s="565">
        <f>$E$31+$E$32</f>
        <v>30647271.721350037</v>
      </c>
      <c r="F33" s="21"/>
      <c r="G33" s="173"/>
      <c r="H33" s="142"/>
      <c r="I33" s="133"/>
      <c r="J33" s="133"/>
      <c r="K33" s="133"/>
      <c r="L33" s="173"/>
      <c r="M33" s="133"/>
      <c r="N33" s="133"/>
      <c r="O33" s="133"/>
      <c r="P33" s="133"/>
      <c r="Q33" s="133"/>
      <c r="R33" s="133"/>
      <c r="S33" s="173"/>
      <c r="T33" s="142"/>
      <c r="U33" s="133"/>
      <c r="V33" s="133"/>
      <c r="W33" s="133"/>
      <c r="X33" s="173"/>
      <c r="Y33" s="133"/>
      <c r="Z33" s="133"/>
      <c r="AA33" s="133"/>
      <c r="AB33" s="133"/>
      <c r="AC33" s="133"/>
      <c r="AD33" s="133"/>
      <c r="AE33" s="173"/>
      <c r="AF33" s="142"/>
      <c r="AG33" s="133"/>
      <c r="AH33" s="133"/>
      <c r="AI33" s="133"/>
      <c r="AJ33" s="173"/>
      <c r="AK33" s="133"/>
      <c r="AL33" s="142"/>
      <c r="AM33" s="21"/>
      <c r="AN33" s="19"/>
    </row>
    <row r="34" spans="1:40" ht="13.8" thickBot="1">
      <c r="B34" s="90" t="s">
        <v>1477</v>
      </c>
      <c r="C34" s="973"/>
      <c r="D34" s="973"/>
      <c r="E34" s="721">
        <f>E33-E22</f>
        <v>5647271.7213500366</v>
      </c>
      <c r="F34" s="21"/>
      <c r="G34" s="173"/>
      <c r="H34" s="142"/>
      <c r="I34" s="133"/>
      <c r="J34" s="133"/>
      <c r="K34" s="133"/>
      <c r="L34" s="173"/>
      <c r="M34" s="133"/>
      <c r="N34" s="133"/>
      <c r="O34" s="133"/>
      <c r="P34" s="133"/>
      <c r="Q34" s="133"/>
      <c r="R34" s="133"/>
      <c r="S34" s="173"/>
      <c r="T34" s="142"/>
      <c r="U34" s="133"/>
      <c r="V34" s="133"/>
      <c r="W34" s="133"/>
      <c r="X34" s="173"/>
      <c r="Y34" s="133"/>
      <c r="Z34" s="133"/>
      <c r="AA34" s="133"/>
      <c r="AB34" s="133"/>
      <c r="AC34" s="133"/>
      <c r="AD34" s="133"/>
      <c r="AE34" s="173"/>
      <c r="AF34" s="142"/>
      <c r="AG34" s="133"/>
      <c r="AH34" s="133"/>
      <c r="AI34" s="133"/>
      <c r="AJ34" s="173"/>
      <c r="AK34" s="133"/>
      <c r="AL34" s="142"/>
      <c r="AM34" s="21"/>
      <c r="AN34" s="19"/>
    </row>
    <row r="35" spans="1:40">
      <c r="B35" s="133"/>
      <c r="C35" s="133"/>
      <c r="D35" s="133"/>
      <c r="E35" s="133"/>
      <c r="F35" s="133"/>
      <c r="G35" s="173"/>
      <c r="H35" s="142"/>
      <c r="I35" s="133"/>
      <c r="J35" s="133"/>
      <c r="K35" s="133"/>
      <c r="L35" s="173"/>
      <c r="M35" s="133"/>
      <c r="N35" s="133"/>
      <c r="O35" s="133"/>
      <c r="P35" s="133"/>
      <c r="Q35" s="133"/>
      <c r="R35" s="133"/>
      <c r="S35" s="173"/>
      <c r="T35" s="142"/>
      <c r="U35" s="133"/>
      <c r="V35" s="133"/>
      <c r="W35" s="133"/>
      <c r="X35" s="173"/>
      <c r="Y35" s="133"/>
      <c r="Z35" s="133"/>
      <c r="AA35" s="133"/>
      <c r="AB35" s="133"/>
      <c r="AC35" s="133"/>
      <c r="AD35" s="133"/>
      <c r="AE35" s="173"/>
      <c r="AF35" s="142"/>
      <c r="AG35" s="133"/>
      <c r="AH35" s="133"/>
      <c r="AI35" s="133"/>
      <c r="AJ35" s="173"/>
      <c r="AK35" s="133"/>
      <c r="AL35" s="142"/>
      <c r="AM35" s="21"/>
      <c r="AN35" s="19"/>
    </row>
    <row r="36" spans="1:40" ht="13.8" thickBot="1">
      <c r="B36" s="25" t="s">
        <v>325</v>
      </c>
      <c r="C36" s="19"/>
      <c r="D36" s="19"/>
      <c r="E36" s="19"/>
      <c r="F36" s="133"/>
      <c r="G36" s="173"/>
      <c r="H36" s="142"/>
      <c r="I36" s="133"/>
      <c r="J36" s="133"/>
      <c r="K36" s="133"/>
      <c r="L36" s="173"/>
      <c r="M36" s="133"/>
      <c r="N36" s="133"/>
      <c r="O36" s="133"/>
      <c r="P36" s="133"/>
      <c r="Q36" s="133"/>
      <c r="R36" s="133"/>
      <c r="S36" s="173"/>
      <c r="T36" s="142"/>
      <c r="U36" s="133"/>
      <c r="V36" s="133"/>
      <c r="W36" s="133"/>
      <c r="X36" s="173"/>
      <c r="Y36" s="133"/>
      <c r="Z36" s="133"/>
      <c r="AA36" s="133"/>
      <c r="AB36" s="133"/>
      <c r="AC36" s="133"/>
      <c r="AD36" s="133"/>
      <c r="AE36" s="173"/>
      <c r="AF36" s="142"/>
      <c r="AG36" s="133"/>
      <c r="AH36" s="133"/>
      <c r="AI36" s="133"/>
      <c r="AJ36" s="173"/>
      <c r="AK36" s="133"/>
      <c r="AL36" s="142"/>
      <c r="AM36" s="21"/>
      <c r="AN36" s="19"/>
    </row>
    <row r="37" spans="1:40">
      <c r="B37" s="304" t="s">
        <v>472</v>
      </c>
      <c r="C37" s="87"/>
      <c r="D37" s="87"/>
      <c r="E37" s="303">
        <f>IF(Q5="Fraction",$Q$6*8760,$Q$6)</f>
        <v>8322</v>
      </c>
      <c r="F37" s="133"/>
      <c r="G37" s="173"/>
      <c r="H37" s="142"/>
      <c r="I37" s="133"/>
      <c r="J37" s="133"/>
      <c r="K37" s="133"/>
      <c r="L37" s="173"/>
      <c r="M37" s="133"/>
      <c r="N37" s="133"/>
      <c r="O37" s="133"/>
      <c r="P37" s="133"/>
      <c r="Q37" s="133"/>
      <c r="R37" s="133"/>
      <c r="S37" s="173"/>
      <c r="T37" s="142"/>
      <c r="U37" s="133"/>
      <c r="V37" s="133"/>
      <c r="W37" s="133"/>
      <c r="X37" s="173"/>
      <c r="Y37" s="133"/>
      <c r="Z37" s="133"/>
      <c r="AA37" s="133"/>
      <c r="AB37" s="133"/>
      <c r="AC37" s="133"/>
      <c r="AD37" s="133"/>
      <c r="AE37" s="173"/>
      <c r="AF37" s="142"/>
      <c r="AG37" s="133"/>
      <c r="AH37" s="133"/>
      <c r="AI37" s="133"/>
      <c r="AJ37" s="173"/>
      <c r="AK37" s="133"/>
      <c r="AL37" s="142"/>
      <c r="AM37" s="21"/>
      <c r="AN37" s="19"/>
    </row>
    <row r="38" spans="1:40">
      <c r="B38" s="88" t="s">
        <v>618</v>
      </c>
      <c r="C38" s="28"/>
      <c r="D38" s="28"/>
      <c r="E38" s="540">
        <f>V5*24</f>
        <v>720</v>
      </c>
      <c r="F38" s="133"/>
      <c r="G38" s="173"/>
      <c r="H38" s="142"/>
      <c r="I38" s="133"/>
      <c r="J38" s="133"/>
      <c r="K38" s="133"/>
      <c r="L38" s="173"/>
      <c r="M38" s="133"/>
      <c r="N38" s="133"/>
      <c r="O38" s="133"/>
      <c r="P38" s="133"/>
      <c r="Q38" s="133"/>
      <c r="R38" s="133"/>
      <c r="S38" s="173"/>
      <c r="T38" s="142"/>
      <c r="U38" s="133"/>
      <c r="V38" s="133"/>
      <c r="W38" s="133"/>
      <c r="X38" s="173"/>
      <c r="Y38" s="133"/>
      <c r="Z38" s="133"/>
      <c r="AA38" s="133"/>
      <c r="AB38" s="133"/>
      <c r="AC38" s="133"/>
      <c r="AD38" s="133"/>
      <c r="AE38" s="173"/>
      <c r="AF38" s="142"/>
      <c r="AG38" s="133"/>
      <c r="AH38" s="133"/>
      <c r="AI38" s="133"/>
      <c r="AJ38" s="173"/>
      <c r="AK38" s="133"/>
      <c r="AL38" s="142"/>
      <c r="AM38" s="21"/>
      <c r="AN38" s="19"/>
    </row>
    <row r="39" spans="1:40">
      <c r="B39" s="89" t="s">
        <v>1490</v>
      </c>
      <c r="C39" s="28"/>
      <c r="D39" s="28"/>
      <c r="E39" s="299">
        <f>(0.0935*($I$5-$I$10)-2.3266)/100</f>
        <v>0.238534</v>
      </c>
      <c r="F39" s="133"/>
      <c r="G39" s="173"/>
      <c r="H39" s="142"/>
      <c r="I39" s="133"/>
      <c r="J39" s="133"/>
      <c r="K39" s="133"/>
      <c r="L39" s="173"/>
      <c r="M39" s="133"/>
      <c r="N39" s="133"/>
      <c r="O39" s="133"/>
      <c r="P39" s="133"/>
      <c r="Q39" s="133"/>
      <c r="R39" s="133"/>
      <c r="S39" s="173"/>
      <c r="T39" s="142"/>
      <c r="U39" s="133"/>
      <c r="V39" s="133"/>
      <c r="W39" s="133"/>
      <c r="X39" s="173"/>
      <c r="Y39" s="133"/>
      <c r="Z39" s="133"/>
      <c r="AA39" s="133"/>
      <c r="AB39" s="133"/>
      <c r="AC39" s="133"/>
      <c r="AD39" s="133"/>
      <c r="AE39" s="173"/>
      <c r="AF39" s="142"/>
      <c r="AG39" s="133"/>
      <c r="AH39" s="133"/>
      <c r="AI39" s="133"/>
      <c r="AJ39" s="173"/>
      <c r="AK39" s="133"/>
      <c r="AL39" s="142"/>
      <c r="AM39" s="21"/>
      <c r="AN39" s="19"/>
    </row>
    <row r="40" spans="1:40">
      <c r="B40" s="89" t="s">
        <v>471</v>
      </c>
      <c r="C40" s="28"/>
      <c r="D40" s="28"/>
      <c r="E40" s="301">
        <f>(($I$5-$I$10)-$I$11)/($I$10+$I$11+2*273.15)*$Q$8</f>
        <v>0.28356380185541746</v>
      </c>
      <c r="F40" s="133"/>
      <c r="G40" s="173"/>
      <c r="H40" s="142"/>
      <c r="I40" s="133"/>
      <c r="J40" s="133"/>
      <c r="K40" s="133"/>
      <c r="L40" s="173"/>
      <c r="M40" s="133"/>
      <c r="N40" s="133"/>
      <c r="O40" s="133"/>
      <c r="P40" s="133"/>
      <c r="Q40" s="133"/>
      <c r="R40" s="133"/>
      <c r="S40" s="173"/>
      <c r="T40" s="142"/>
      <c r="U40" s="133"/>
      <c r="V40" s="133"/>
      <c r="W40" s="133"/>
      <c r="X40" s="173"/>
      <c r="Y40" s="133"/>
      <c r="Z40" s="133"/>
      <c r="AA40" s="133"/>
      <c r="AB40" s="133"/>
      <c r="AC40" s="133"/>
      <c r="AD40" s="133"/>
      <c r="AE40" s="173"/>
      <c r="AF40" s="142"/>
      <c r="AG40" s="133"/>
      <c r="AH40" s="133"/>
      <c r="AI40" s="133"/>
      <c r="AJ40" s="173"/>
      <c r="AK40" s="133"/>
      <c r="AL40" s="142"/>
      <c r="AM40" s="21"/>
      <c r="AN40" s="19"/>
    </row>
    <row r="41" spans="1:40">
      <c r="B41" s="233" t="s">
        <v>391</v>
      </c>
      <c r="C41" s="28"/>
      <c r="D41" s="28"/>
      <c r="E41" s="300">
        <f>Volumetrics!E19</f>
        <v>0.13949999999999999</v>
      </c>
      <c r="F41" s="133"/>
      <c r="G41" s="173"/>
      <c r="H41" s="142"/>
      <c r="I41" s="133"/>
      <c r="J41" s="133"/>
      <c r="K41" s="133"/>
      <c r="L41" s="173"/>
      <c r="M41" s="133"/>
      <c r="N41" s="133"/>
      <c r="O41" s="133"/>
      <c r="P41" s="133"/>
      <c r="Q41" s="133"/>
      <c r="R41" s="133"/>
      <c r="S41" s="173"/>
      <c r="T41" s="142"/>
      <c r="U41" s="133"/>
      <c r="V41" s="133"/>
      <c r="W41" s="133"/>
      <c r="X41" s="173"/>
      <c r="Y41" s="133"/>
      <c r="Z41" s="133"/>
      <c r="AA41" s="133"/>
      <c r="AB41" s="133"/>
      <c r="AC41" s="133"/>
      <c r="AD41" s="133"/>
      <c r="AE41" s="173"/>
      <c r="AF41" s="142"/>
      <c r="AG41" s="133"/>
      <c r="AH41" s="133"/>
      <c r="AI41" s="133"/>
      <c r="AJ41" s="173"/>
      <c r="AK41" s="133"/>
      <c r="AL41" s="142"/>
      <c r="AM41" s="21"/>
      <c r="AN41" s="19"/>
    </row>
    <row r="42" spans="1:40" ht="13.8" thickBot="1">
      <c r="B42" s="90" t="s">
        <v>386</v>
      </c>
      <c r="C42" s="86"/>
      <c r="D42" s="86"/>
      <c r="E42" s="306">
        <f>Volumetrics!C25</f>
        <v>325.27397884144108</v>
      </c>
      <c r="F42" s="133"/>
      <c r="G42" s="173"/>
      <c r="H42" s="142"/>
      <c r="I42" s="133"/>
      <c r="J42" s="133"/>
      <c r="K42" s="133"/>
      <c r="L42" s="173"/>
      <c r="M42" s="133"/>
      <c r="N42" s="133"/>
      <c r="O42" s="133"/>
      <c r="P42" s="133"/>
      <c r="Q42" s="133"/>
      <c r="R42" s="133"/>
      <c r="S42" s="173"/>
      <c r="T42" s="142"/>
      <c r="U42" s="133"/>
      <c r="V42" s="133"/>
      <c r="W42" s="133"/>
      <c r="X42" s="173"/>
      <c r="Y42" s="133"/>
      <c r="Z42" s="133"/>
      <c r="AA42" s="133"/>
      <c r="AB42" s="133"/>
      <c r="AC42" s="133"/>
      <c r="AD42" s="133"/>
      <c r="AE42" s="173"/>
      <c r="AF42" s="142"/>
      <c r="AG42" s="133"/>
      <c r="AH42" s="133"/>
      <c r="AI42" s="133"/>
      <c r="AJ42" s="173"/>
      <c r="AK42" s="133"/>
      <c r="AL42" s="142"/>
      <c r="AM42" s="21"/>
      <c r="AN42" s="19"/>
    </row>
    <row r="43" spans="1:40" s="34" customFormat="1">
      <c r="A43" s="19"/>
      <c r="B43" s="133"/>
      <c r="C43" s="133"/>
      <c r="D43" s="133"/>
      <c r="E43" s="133"/>
      <c r="F43" s="133"/>
      <c r="G43" s="173"/>
      <c r="H43" s="142"/>
      <c r="I43" s="133"/>
      <c r="J43" s="133"/>
      <c r="K43" s="133"/>
      <c r="L43" s="173"/>
      <c r="M43" s="133"/>
      <c r="N43" s="133"/>
      <c r="O43" s="133"/>
      <c r="P43" s="133"/>
      <c r="Q43" s="133"/>
      <c r="R43" s="133"/>
      <c r="S43" s="173"/>
      <c r="T43" s="142"/>
      <c r="U43" s="133"/>
      <c r="V43" s="133"/>
      <c r="W43" s="133"/>
      <c r="X43" s="173"/>
      <c r="Y43" s="133"/>
      <c r="Z43" s="133"/>
      <c r="AA43" s="133"/>
      <c r="AB43" s="133"/>
      <c r="AC43" s="133"/>
      <c r="AD43" s="133"/>
      <c r="AE43" s="173"/>
      <c r="AF43" s="142"/>
      <c r="AG43" s="133"/>
      <c r="AH43" s="133"/>
      <c r="AI43" s="133"/>
      <c r="AJ43" s="173"/>
      <c r="AK43" s="133"/>
      <c r="AL43" s="142"/>
      <c r="AM43" s="21"/>
      <c r="AN43" s="19"/>
    </row>
    <row r="44" spans="1:40">
      <c r="B44" s="133"/>
      <c r="C44" s="133"/>
      <c r="D44" s="133"/>
      <c r="E44" s="133"/>
      <c r="F44" s="133"/>
      <c r="G44" s="173"/>
      <c r="H44" s="142"/>
      <c r="I44" s="133"/>
      <c r="J44" s="133"/>
      <c r="K44" s="133"/>
      <c r="L44" s="173"/>
      <c r="M44" s="133"/>
      <c r="N44" s="133"/>
      <c r="O44" s="133"/>
      <c r="P44" s="133"/>
      <c r="Q44" s="133"/>
      <c r="R44" s="133"/>
      <c r="S44" s="173"/>
      <c r="T44" s="142"/>
      <c r="U44" s="133"/>
      <c r="V44" s="133"/>
      <c r="W44" s="133"/>
      <c r="X44" s="173"/>
      <c r="Y44" s="133"/>
      <c r="Z44" s="133"/>
      <c r="AA44" s="133"/>
      <c r="AB44" s="133"/>
      <c r="AC44" s="133"/>
      <c r="AD44" s="133"/>
      <c r="AE44" s="173"/>
      <c r="AF44" s="142"/>
      <c r="AG44" s="133"/>
      <c r="AH44" s="133"/>
      <c r="AI44" s="133"/>
      <c r="AJ44" s="173"/>
      <c r="AK44" s="133"/>
      <c r="AL44" s="142"/>
      <c r="AM44" s="21"/>
      <c r="AN44" s="19"/>
    </row>
    <row r="45" spans="1:40">
      <c r="B45" s="133"/>
      <c r="C45" s="133"/>
      <c r="D45" s="133"/>
      <c r="E45" s="133"/>
      <c r="F45" s="133"/>
      <c r="G45" s="173"/>
      <c r="H45" s="142"/>
      <c r="I45" s="133"/>
      <c r="J45" s="133"/>
      <c r="K45" s="133"/>
      <c r="L45" s="173"/>
      <c r="M45" s="133"/>
      <c r="N45" s="133"/>
      <c r="O45" s="133"/>
      <c r="P45" s="133"/>
      <c r="Q45" s="133"/>
      <c r="R45" s="133"/>
      <c r="S45" s="173"/>
      <c r="T45" s="142"/>
      <c r="U45" s="133"/>
      <c r="V45" s="133"/>
      <c r="W45" s="133"/>
      <c r="X45" s="173"/>
      <c r="Y45" s="133"/>
      <c r="Z45" s="133"/>
      <c r="AA45" s="133"/>
      <c r="AB45" s="133"/>
      <c r="AC45" s="133"/>
      <c r="AD45" s="133"/>
      <c r="AE45" s="173"/>
      <c r="AF45" s="142"/>
      <c r="AG45" s="133"/>
      <c r="AH45" s="133"/>
      <c r="AI45" s="133"/>
      <c r="AJ45" s="173"/>
      <c r="AK45" s="133"/>
      <c r="AL45" s="142"/>
      <c r="AM45" s="21"/>
      <c r="AN45" s="19"/>
    </row>
    <row r="46" spans="1:40">
      <c r="B46" s="133"/>
      <c r="C46" s="133"/>
      <c r="D46" s="133"/>
      <c r="E46" s="133"/>
      <c r="F46" s="133"/>
      <c r="G46" s="173"/>
      <c r="H46" s="142"/>
      <c r="I46" s="133"/>
      <c r="J46" s="133"/>
      <c r="K46" s="133"/>
      <c r="L46" s="173"/>
      <c r="M46" s="133"/>
      <c r="N46" s="133"/>
      <c r="O46" s="133"/>
      <c r="P46" s="133"/>
      <c r="Q46" s="133"/>
      <c r="R46" s="133"/>
      <c r="S46" s="173"/>
      <c r="T46" s="142"/>
      <c r="U46" s="133"/>
      <c r="V46" s="133"/>
      <c r="W46" s="133"/>
      <c r="X46" s="173"/>
      <c r="Y46" s="133"/>
      <c r="Z46" s="133"/>
      <c r="AA46" s="133"/>
      <c r="AB46" s="133"/>
      <c r="AC46" s="133"/>
      <c r="AD46" s="133"/>
      <c r="AE46" s="173"/>
      <c r="AF46" s="142"/>
      <c r="AG46" s="133"/>
      <c r="AH46" s="133"/>
      <c r="AI46" s="133"/>
      <c r="AJ46" s="173"/>
      <c r="AK46" s="133"/>
      <c r="AL46" s="142"/>
      <c r="AM46" s="21"/>
      <c r="AN46" s="19"/>
    </row>
    <row r="47" spans="1:40">
      <c r="B47" s="133"/>
      <c r="C47" s="133"/>
      <c r="D47" s="133"/>
      <c r="E47" s="133"/>
      <c r="F47" s="133"/>
      <c r="G47" s="173"/>
      <c r="H47" s="142"/>
      <c r="I47" s="133"/>
      <c r="J47" s="133"/>
      <c r="K47" s="133"/>
      <c r="L47" s="173"/>
      <c r="M47" s="133"/>
      <c r="N47" s="133"/>
      <c r="O47" s="133"/>
      <c r="P47" s="133"/>
      <c r="Q47" s="133"/>
      <c r="R47" s="133"/>
      <c r="S47" s="173"/>
      <c r="T47" s="142"/>
      <c r="U47" s="133"/>
      <c r="V47" s="133"/>
      <c r="W47" s="133"/>
      <c r="X47" s="173"/>
      <c r="Y47" s="133"/>
      <c r="Z47" s="133"/>
      <c r="AA47" s="133"/>
      <c r="AB47" s="133"/>
      <c r="AC47" s="133"/>
      <c r="AD47" s="133"/>
      <c r="AE47" s="173"/>
      <c r="AF47" s="142"/>
      <c r="AG47" s="133"/>
      <c r="AH47" s="133"/>
      <c r="AI47" s="133"/>
      <c r="AJ47" s="173"/>
      <c r="AK47" s="133"/>
      <c r="AL47" s="142"/>
      <c r="AM47" s="21"/>
      <c r="AN47" s="19"/>
    </row>
    <row r="48" spans="1:40">
      <c r="B48" s="133"/>
      <c r="C48" s="133"/>
      <c r="D48" s="133"/>
      <c r="E48" s="133"/>
      <c r="F48" s="133"/>
      <c r="G48" s="173"/>
      <c r="H48" s="142"/>
      <c r="I48" s="133"/>
      <c r="J48" s="133"/>
      <c r="K48" s="133"/>
      <c r="L48" s="173"/>
      <c r="M48" s="133"/>
      <c r="N48" s="133"/>
      <c r="O48" s="133"/>
      <c r="P48" s="133"/>
      <c r="Q48" s="133"/>
      <c r="R48" s="133"/>
      <c r="S48" s="173"/>
      <c r="T48" s="142"/>
      <c r="U48" s="133"/>
      <c r="V48" s="133"/>
      <c r="W48" s="133"/>
      <c r="X48" s="173"/>
      <c r="Y48" s="133"/>
      <c r="Z48" s="133"/>
      <c r="AA48" s="133"/>
      <c r="AB48" s="133"/>
      <c r="AC48" s="133"/>
      <c r="AD48" s="133"/>
      <c r="AE48" s="173"/>
      <c r="AF48" s="142"/>
      <c r="AG48" s="133"/>
      <c r="AH48" s="133"/>
      <c r="AI48" s="133"/>
      <c r="AJ48" s="173"/>
      <c r="AK48" s="133"/>
      <c r="AL48" s="142"/>
      <c r="AM48" s="21"/>
      <c r="AN48" s="19"/>
    </row>
    <row r="49" spans="2:40">
      <c r="B49" s="133"/>
      <c r="C49" s="133"/>
      <c r="D49" s="133"/>
      <c r="E49" s="133"/>
      <c r="F49" s="133"/>
      <c r="G49" s="173"/>
      <c r="H49" s="142"/>
      <c r="I49" s="133"/>
      <c r="J49" s="133"/>
      <c r="K49" s="133"/>
      <c r="L49" s="173"/>
      <c r="M49" s="133"/>
      <c r="N49" s="133"/>
      <c r="O49" s="133"/>
      <c r="P49" s="133"/>
      <c r="Q49" s="133"/>
      <c r="R49" s="133"/>
      <c r="S49" s="173"/>
      <c r="T49" s="142"/>
      <c r="U49" s="133"/>
      <c r="V49" s="133"/>
      <c r="W49" s="133"/>
      <c r="X49" s="173"/>
      <c r="Y49" s="133"/>
      <c r="Z49" s="133"/>
      <c r="AA49" s="133"/>
      <c r="AB49" s="133"/>
      <c r="AC49" s="133"/>
      <c r="AD49" s="133"/>
      <c r="AE49" s="173"/>
      <c r="AF49" s="142"/>
      <c r="AG49" s="133"/>
      <c r="AH49" s="133"/>
      <c r="AI49" s="133"/>
      <c r="AJ49" s="173"/>
      <c r="AK49" s="133"/>
      <c r="AL49" s="142"/>
      <c r="AM49" s="21"/>
      <c r="AN49" s="19"/>
    </row>
    <row r="50" spans="2:40">
      <c r="B50" s="133"/>
      <c r="C50" s="133"/>
      <c r="D50" s="133"/>
      <c r="E50" s="133"/>
      <c r="F50" s="133"/>
      <c r="G50" s="173"/>
      <c r="H50" s="142"/>
      <c r="I50" s="133"/>
      <c r="J50" s="133"/>
      <c r="K50" s="133"/>
      <c r="L50" s="173"/>
      <c r="M50" s="133"/>
      <c r="N50" s="133"/>
      <c r="O50" s="133"/>
      <c r="P50" s="133"/>
      <c r="Q50" s="133"/>
      <c r="R50" s="133"/>
      <c r="S50" s="173"/>
      <c r="T50" s="142"/>
      <c r="U50" s="133"/>
      <c r="V50" s="133"/>
      <c r="W50" s="133"/>
      <c r="X50" s="173"/>
      <c r="Y50" s="133"/>
      <c r="Z50" s="133"/>
      <c r="AA50" s="133"/>
      <c r="AB50" s="133"/>
      <c r="AC50" s="133"/>
      <c r="AD50" s="133"/>
      <c r="AE50" s="173"/>
      <c r="AF50" s="142"/>
      <c r="AG50" s="133"/>
      <c r="AH50" s="133"/>
      <c r="AI50" s="133"/>
      <c r="AJ50" s="173"/>
      <c r="AK50" s="133"/>
      <c r="AL50" s="142"/>
      <c r="AM50" s="21"/>
      <c r="AN50" s="19"/>
    </row>
    <row r="51" spans="2:40">
      <c r="B51" s="133"/>
      <c r="C51" s="133"/>
      <c r="D51" s="133"/>
      <c r="E51" s="133"/>
      <c r="F51" s="133"/>
      <c r="G51" s="173"/>
      <c r="H51" s="142"/>
      <c r="I51" s="133"/>
      <c r="J51" s="133"/>
      <c r="K51" s="133"/>
      <c r="L51" s="173"/>
      <c r="M51" s="133"/>
      <c r="N51" s="133"/>
      <c r="O51" s="133"/>
      <c r="P51" s="133"/>
      <c r="Q51" s="133"/>
      <c r="R51" s="133"/>
      <c r="S51" s="173"/>
      <c r="T51" s="142"/>
      <c r="U51" s="133"/>
      <c r="V51" s="133"/>
      <c r="W51" s="133"/>
      <c r="X51" s="173"/>
      <c r="Y51" s="133"/>
      <c r="Z51" s="133"/>
      <c r="AA51" s="133"/>
      <c r="AB51" s="133"/>
      <c r="AC51" s="133"/>
      <c r="AD51" s="133"/>
      <c r="AE51" s="173"/>
      <c r="AF51" s="142"/>
      <c r="AG51" s="133"/>
      <c r="AH51" s="133"/>
      <c r="AI51" s="133"/>
      <c r="AJ51" s="173"/>
      <c r="AK51" s="133"/>
      <c r="AL51" s="142"/>
      <c r="AM51" s="21"/>
      <c r="AN51" s="19"/>
    </row>
    <row r="52" spans="2:40">
      <c r="B52" s="133"/>
      <c r="C52" s="133"/>
      <c r="D52" s="133"/>
      <c r="E52" s="133"/>
      <c r="F52" s="133"/>
      <c r="G52" s="173"/>
      <c r="H52" s="142"/>
      <c r="I52" s="133"/>
      <c r="J52" s="133"/>
      <c r="K52" s="133"/>
      <c r="L52" s="173"/>
      <c r="M52" s="133"/>
      <c r="N52" s="133"/>
      <c r="O52" s="133"/>
      <c r="P52" s="133"/>
      <c r="Q52" s="133"/>
      <c r="R52" s="133"/>
      <c r="S52" s="173"/>
      <c r="T52" s="142"/>
      <c r="U52" s="133"/>
      <c r="V52" s="133"/>
      <c r="W52" s="133"/>
      <c r="X52" s="173"/>
      <c r="Y52" s="133"/>
      <c r="Z52" s="133"/>
      <c r="AA52" s="133"/>
      <c r="AB52" s="133"/>
      <c r="AC52" s="133"/>
      <c r="AD52" s="133"/>
      <c r="AE52" s="173"/>
      <c r="AF52" s="142"/>
      <c r="AG52" s="133"/>
      <c r="AH52" s="133"/>
      <c r="AI52" s="133"/>
      <c r="AJ52" s="173"/>
      <c r="AK52" s="133"/>
      <c r="AL52" s="142"/>
      <c r="AM52" s="21"/>
      <c r="AN52" s="19"/>
    </row>
    <row r="53" spans="2:40">
      <c r="B53" s="133"/>
      <c r="C53" s="133"/>
      <c r="D53" s="133"/>
      <c r="E53" s="133"/>
      <c r="F53" s="133"/>
      <c r="G53" s="173"/>
      <c r="H53" s="142"/>
      <c r="I53" s="133"/>
      <c r="J53" s="133"/>
      <c r="K53" s="133"/>
      <c r="L53" s="173"/>
      <c r="M53" s="133"/>
      <c r="N53" s="133"/>
      <c r="O53" s="133"/>
      <c r="P53" s="133"/>
      <c r="Q53" s="133"/>
      <c r="R53" s="133"/>
      <c r="S53" s="173"/>
      <c r="T53" s="142"/>
      <c r="U53" s="133"/>
      <c r="V53" s="133"/>
      <c r="W53" s="133"/>
      <c r="X53" s="173"/>
      <c r="Y53" s="133"/>
      <c r="Z53" s="133"/>
      <c r="AA53" s="133"/>
      <c r="AB53" s="133"/>
      <c r="AC53" s="133"/>
      <c r="AD53" s="133"/>
      <c r="AE53" s="173"/>
      <c r="AF53" s="142"/>
      <c r="AG53" s="133"/>
      <c r="AH53" s="133"/>
      <c r="AI53" s="133"/>
      <c r="AJ53" s="173"/>
      <c r="AK53" s="133"/>
      <c r="AL53" s="142"/>
      <c r="AM53" s="21"/>
      <c r="AN53" s="19"/>
    </row>
    <row r="54" spans="2:40">
      <c r="B54" s="133"/>
      <c r="C54" s="133"/>
      <c r="D54" s="133"/>
      <c r="E54" s="133"/>
      <c r="F54" s="133"/>
      <c r="G54" s="173"/>
      <c r="H54" s="142"/>
      <c r="I54" s="133"/>
      <c r="J54" s="133"/>
      <c r="K54" s="133"/>
      <c r="L54" s="173"/>
      <c r="M54" s="133"/>
      <c r="N54" s="133"/>
      <c r="O54" s="133"/>
      <c r="P54" s="133"/>
      <c r="Q54" s="133"/>
      <c r="R54" s="133"/>
      <c r="S54" s="173"/>
      <c r="T54" s="142"/>
      <c r="U54" s="133"/>
      <c r="V54" s="133"/>
      <c r="W54" s="133"/>
      <c r="X54" s="173"/>
      <c r="Y54" s="133"/>
      <c r="Z54" s="133"/>
      <c r="AA54" s="133"/>
      <c r="AB54" s="133"/>
      <c r="AC54" s="133"/>
      <c r="AD54" s="133"/>
      <c r="AE54" s="173"/>
      <c r="AF54" s="142"/>
      <c r="AG54" s="133"/>
      <c r="AH54" s="133"/>
      <c r="AI54" s="133"/>
      <c r="AJ54" s="173"/>
      <c r="AK54" s="133"/>
      <c r="AL54" s="142"/>
      <c r="AM54" s="21"/>
      <c r="AN54" s="19"/>
    </row>
    <row r="55" spans="2:40">
      <c r="B55" s="133"/>
      <c r="C55" s="133"/>
      <c r="D55" s="133"/>
      <c r="E55" s="133"/>
      <c r="F55" s="133"/>
      <c r="G55" s="173"/>
      <c r="H55" s="142"/>
      <c r="I55" s="133"/>
      <c r="J55" s="133"/>
      <c r="K55" s="133"/>
      <c r="L55" s="173"/>
      <c r="M55" s="133"/>
      <c r="N55" s="133"/>
      <c r="O55" s="133"/>
      <c r="P55" s="133"/>
      <c r="Q55" s="133"/>
      <c r="R55" s="133"/>
      <c r="S55" s="173"/>
      <c r="T55" s="142"/>
      <c r="U55" s="133"/>
      <c r="V55" s="133"/>
      <c r="W55" s="133"/>
      <c r="X55" s="173"/>
      <c r="Y55" s="133"/>
      <c r="Z55" s="133"/>
      <c r="AA55" s="133"/>
      <c r="AB55" s="133"/>
      <c r="AC55" s="133"/>
      <c r="AD55" s="133"/>
      <c r="AE55" s="173"/>
      <c r="AF55" s="142"/>
      <c r="AG55" s="133"/>
      <c r="AH55" s="133"/>
      <c r="AI55" s="133"/>
      <c r="AJ55" s="173"/>
      <c r="AK55" s="133"/>
      <c r="AL55" s="142"/>
      <c r="AM55" s="21"/>
      <c r="AN55" s="19"/>
    </row>
    <row r="56" spans="2:40">
      <c r="B56" s="133"/>
      <c r="C56" s="133"/>
      <c r="D56" s="133"/>
      <c r="E56" s="133"/>
      <c r="F56" s="133"/>
      <c r="G56" s="173"/>
      <c r="H56" s="142"/>
      <c r="I56" s="133"/>
      <c r="J56" s="133"/>
      <c r="K56" s="133"/>
      <c r="L56" s="173"/>
      <c r="M56" s="133"/>
      <c r="N56" s="133"/>
      <c r="O56" s="133"/>
      <c r="P56" s="133"/>
      <c r="Q56" s="133"/>
      <c r="R56" s="133"/>
      <c r="S56" s="173"/>
      <c r="T56" s="142"/>
      <c r="U56" s="133"/>
      <c r="V56" s="133"/>
      <c r="W56" s="133"/>
      <c r="X56" s="173"/>
      <c r="Y56" s="133"/>
      <c r="Z56" s="133"/>
      <c r="AA56" s="133"/>
      <c r="AB56" s="133"/>
      <c r="AC56" s="133"/>
      <c r="AD56" s="133"/>
      <c r="AE56" s="173"/>
      <c r="AF56" s="142"/>
      <c r="AG56" s="133"/>
      <c r="AH56" s="133"/>
      <c r="AI56" s="133"/>
      <c r="AJ56" s="173"/>
      <c r="AK56" s="133"/>
      <c r="AL56" s="142"/>
      <c r="AM56" s="21"/>
      <c r="AN56" s="19"/>
    </row>
    <row r="57" spans="2:40">
      <c r="B57" s="133"/>
      <c r="C57" s="133"/>
      <c r="D57" s="133"/>
      <c r="E57" s="133"/>
      <c r="F57" s="133"/>
      <c r="G57" s="173"/>
      <c r="H57" s="142"/>
      <c r="I57" s="133"/>
      <c r="J57" s="133"/>
      <c r="K57" s="133"/>
      <c r="L57" s="173"/>
      <c r="M57" s="133"/>
      <c r="N57" s="133"/>
      <c r="O57" s="133"/>
      <c r="P57" s="133"/>
      <c r="Q57" s="133"/>
      <c r="R57" s="133"/>
      <c r="S57" s="173"/>
      <c r="T57" s="142"/>
      <c r="U57" s="133"/>
      <c r="V57" s="133"/>
      <c r="W57" s="133"/>
      <c r="X57" s="173"/>
      <c r="Y57" s="133"/>
      <c r="Z57" s="133"/>
      <c r="AA57" s="133"/>
      <c r="AB57" s="133"/>
      <c r="AC57" s="133"/>
      <c r="AD57" s="133"/>
      <c r="AE57" s="173"/>
      <c r="AF57" s="142"/>
      <c r="AG57" s="133"/>
      <c r="AH57" s="133"/>
      <c r="AI57" s="133"/>
      <c r="AJ57" s="173"/>
      <c r="AK57" s="133"/>
      <c r="AL57" s="142"/>
      <c r="AM57" s="21"/>
      <c r="AN57" s="19"/>
    </row>
    <row r="58" spans="2:40">
      <c r="B58" s="133"/>
      <c r="C58" s="133"/>
      <c r="D58" s="133"/>
      <c r="E58" s="133"/>
      <c r="F58" s="133"/>
      <c r="G58" s="173"/>
      <c r="H58" s="142"/>
      <c r="I58" s="133"/>
      <c r="J58" s="133"/>
      <c r="K58" s="133"/>
      <c r="L58" s="173"/>
      <c r="M58" s="133"/>
      <c r="N58" s="133"/>
      <c r="O58" s="133"/>
      <c r="P58" s="133"/>
      <c r="Q58" s="133"/>
      <c r="R58" s="133"/>
      <c r="S58" s="173"/>
      <c r="T58" s="142"/>
      <c r="U58" s="133"/>
      <c r="V58" s="133"/>
      <c r="W58" s="133"/>
      <c r="X58" s="173"/>
      <c r="Y58" s="133"/>
      <c r="Z58" s="133"/>
      <c r="AA58" s="133"/>
      <c r="AB58" s="133"/>
      <c r="AC58" s="133"/>
      <c r="AD58" s="133"/>
      <c r="AE58" s="173"/>
      <c r="AF58" s="142"/>
      <c r="AG58" s="133"/>
      <c r="AH58" s="133"/>
      <c r="AI58" s="133"/>
      <c r="AJ58" s="173"/>
      <c r="AK58" s="133"/>
      <c r="AL58" s="142"/>
      <c r="AM58" s="21"/>
      <c r="AN58" s="19"/>
    </row>
    <row r="59" spans="2:40">
      <c r="B59" s="133"/>
      <c r="C59" s="133"/>
      <c r="D59" s="133"/>
      <c r="E59" s="133"/>
      <c r="F59" s="133"/>
      <c r="G59" s="173"/>
      <c r="H59" s="142"/>
      <c r="I59" s="133"/>
      <c r="J59" s="133"/>
      <c r="K59" s="133"/>
      <c r="L59" s="173"/>
      <c r="M59" s="133"/>
      <c r="N59" s="133"/>
      <c r="O59" s="133"/>
      <c r="P59" s="133"/>
      <c r="Q59" s="133"/>
      <c r="R59" s="133"/>
      <c r="S59" s="173"/>
      <c r="T59" s="142"/>
      <c r="U59" s="133"/>
      <c r="V59" s="133"/>
      <c r="W59" s="133"/>
      <c r="X59" s="173"/>
      <c r="Y59" s="133"/>
      <c r="Z59" s="133"/>
      <c r="AA59" s="133"/>
      <c r="AB59" s="133"/>
      <c r="AC59" s="133"/>
      <c r="AD59" s="133"/>
      <c r="AE59" s="173"/>
      <c r="AF59" s="142"/>
      <c r="AG59" s="133"/>
      <c r="AH59" s="133"/>
      <c r="AI59" s="133"/>
      <c r="AJ59" s="173"/>
      <c r="AK59" s="133"/>
      <c r="AL59" s="142"/>
      <c r="AM59" s="21"/>
      <c r="AN59" s="19"/>
    </row>
    <row r="60" spans="2:40">
      <c r="B60" s="133"/>
      <c r="C60" s="133"/>
      <c r="D60" s="133"/>
      <c r="E60" s="133"/>
      <c r="F60" s="133"/>
      <c r="G60" s="173"/>
      <c r="H60" s="142"/>
      <c r="I60" s="133"/>
      <c r="J60" s="133"/>
      <c r="K60" s="133"/>
      <c r="L60" s="173"/>
      <c r="M60" s="133"/>
      <c r="N60" s="133"/>
      <c r="O60" s="133"/>
      <c r="P60" s="133"/>
      <c r="Q60" s="133"/>
      <c r="R60" s="133"/>
      <c r="S60" s="173"/>
      <c r="T60" s="142"/>
      <c r="U60" s="133"/>
      <c r="V60" s="133"/>
      <c r="W60" s="133"/>
      <c r="X60" s="173"/>
      <c r="Y60" s="133"/>
      <c r="Z60" s="133"/>
      <c r="AA60" s="133"/>
      <c r="AB60" s="133"/>
      <c r="AC60" s="133"/>
      <c r="AD60" s="133"/>
      <c r="AE60" s="173"/>
      <c r="AF60" s="142"/>
      <c r="AG60" s="133"/>
      <c r="AH60" s="133"/>
      <c r="AI60" s="133"/>
      <c r="AJ60" s="173"/>
      <c r="AK60" s="133"/>
      <c r="AL60" s="142"/>
      <c r="AM60" s="21"/>
      <c r="AN60" s="19"/>
    </row>
    <row r="61" spans="2:40">
      <c r="B61" s="133"/>
      <c r="C61" s="133"/>
      <c r="D61" s="133"/>
      <c r="E61" s="133"/>
      <c r="F61" s="133"/>
      <c r="G61" s="173"/>
      <c r="H61" s="142"/>
      <c r="I61" s="133"/>
      <c r="J61" s="133"/>
      <c r="K61" s="133"/>
      <c r="L61" s="173"/>
      <c r="M61" s="133"/>
      <c r="N61" s="133"/>
      <c r="O61" s="133"/>
      <c r="P61" s="133"/>
      <c r="Q61" s="133"/>
      <c r="R61" s="133"/>
      <c r="S61" s="173"/>
      <c r="T61" s="142"/>
      <c r="U61" s="133"/>
      <c r="V61" s="133"/>
      <c r="W61" s="133"/>
      <c r="X61" s="173"/>
      <c r="Y61" s="133"/>
      <c r="Z61" s="133"/>
      <c r="AA61" s="133"/>
      <c r="AB61" s="133"/>
      <c r="AC61" s="133"/>
      <c r="AD61" s="133"/>
      <c r="AE61" s="173"/>
      <c r="AF61" s="142"/>
      <c r="AG61" s="133"/>
      <c r="AH61" s="133"/>
      <c r="AI61" s="133"/>
      <c r="AJ61" s="173"/>
      <c r="AK61" s="133"/>
      <c r="AL61" s="142"/>
      <c r="AM61" s="21"/>
      <c r="AN61" s="19"/>
    </row>
    <row r="62" spans="2:40">
      <c r="B62" s="133"/>
      <c r="C62" s="133"/>
      <c r="D62" s="133"/>
      <c r="E62" s="133"/>
      <c r="F62" s="133"/>
      <c r="G62" s="173"/>
      <c r="H62" s="142"/>
      <c r="I62" s="133"/>
      <c r="J62" s="133"/>
      <c r="K62" s="133"/>
      <c r="L62" s="173"/>
      <c r="M62" s="133"/>
      <c r="N62" s="133"/>
      <c r="O62" s="133"/>
      <c r="P62" s="133"/>
      <c r="Q62" s="133"/>
      <c r="R62" s="133"/>
      <c r="S62" s="173"/>
      <c r="T62" s="142"/>
      <c r="U62" s="133"/>
      <c r="V62" s="133"/>
      <c r="W62" s="133"/>
      <c r="X62" s="173"/>
      <c r="Y62" s="133"/>
      <c r="Z62" s="133"/>
      <c r="AA62" s="133"/>
      <c r="AB62" s="133"/>
      <c r="AC62" s="133"/>
      <c r="AD62" s="133"/>
      <c r="AE62" s="173"/>
      <c r="AF62" s="142"/>
      <c r="AG62" s="133"/>
      <c r="AH62" s="133"/>
      <c r="AI62" s="133"/>
      <c r="AJ62" s="173"/>
      <c r="AK62" s="133"/>
      <c r="AL62" s="142"/>
      <c r="AM62" s="21"/>
      <c r="AN62" s="19"/>
    </row>
    <row r="63" spans="2:40">
      <c r="B63" s="133"/>
      <c r="C63" s="133"/>
      <c r="D63" s="133"/>
      <c r="E63" s="133"/>
      <c r="F63" s="133"/>
      <c r="G63" s="173"/>
      <c r="H63" s="142"/>
      <c r="I63" s="133"/>
      <c r="J63" s="133"/>
      <c r="K63" s="133"/>
      <c r="L63" s="173"/>
      <c r="M63" s="133"/>
      <c r="N63" s="133"/>
      <c r="O63" s="133"/>
      <c r="P63" s="133"/>
      <c r="Q63" s="133"/>
      <c r="R63" s="133"/>
      <c r="S63" s="173"/>
      <c r="T63" s="142"/>
      <c r="U63" s="133"/>
      <c r="V63" s="133"/>
      <c r="W63" s="133"/>
      <c r="X63" s="173"/>
      <c r="Y63" s="133"/>
      <c r="Z63" s="133"/>
      <c r="AA63" s="133"/>
      <c r="AB63" s="133"/>
      <c r="AC63" s="133"/>
      <c r="AD63" s="133"/>
      <c r="AE63" s="173"/>
      <c r="AF63" s="142"/>
      <c r="AG63" s="133"/>
      <c r="AH63" s="133"/>
      <c r="AI63" s="133"/>
      <c r="AJ63" s="173"/>
      <c r="AK63" s="133"/>
      <c r="AL63" s="142"/>
      <c r="AM63" s="21"/>
      <c r="AN63" s="19"/>
    </row>
    <row r="64" spans="2:40">
      <c r="B64" s="133"/>
      <c r="C64" s="133"/>
      <c r="D64" s="133"/>
      <c r="E64" s="133"/>
      <c r="F64" s="133"/>
      <c r="G64" s="173"/>
      <c r="H64" s="142"/>
      <c r="I64" s="133"/>
      <c r="J64" s="133"/>
      <c r="K64" s="133"/>
      <c r="L64" s="173"/>
      <c r="M64" s="133"/>
      <c r="N64" s="133"/>
      <c r="O64" s="133"/>
      <c r="P64" s="133"/>
      <c r="Q64" s="133"/>
      <c r="R64" s="133"/>
      <c r="S64" s="173"/>
      <c r="T64" s="142"/>
      <c r="U64" s="133"/>
      <c r="V64" s="133"/>
      <c r="W64" s="133"/>
      <c r="X64" s="173"/>
      <c r="Y64" s="133"/>
      <c r="Z64" s="133"/>
      <c r="AA64" s="133"/>
      <c r="AB64" s="133"/>
      <c r="AC64" s="133"/>
      <c r="AD64" s="133"/>
      <c r="AE64" s="173"/>
      <c r="AF64" s="142"/>
      <c r="AG64" s="133"/>
      <c r="AH64" s="133"/>
      <c r="AI64" s="133"/>
      <c r="AJ64" s="173"/>
      <c r="AK64" s="133"/>
      <c r="AL64" s="142"/>
      <c r="AM64" s="21"/>
      <c r="AN64" s="19"/>
    </row>
    <row r="65" spans="2:40">
      <c r="B65" s="133"/>
      <c r="C65" s="133"/>
      <c r="D65" s="133"/>
      <c r="E65" s="133"/>
      <c r="F65" s="133"/>
      <c r="G65" s="173"/>
      <c r="H65" s="142"/>
      <c r="I65" s="133"/>
      <c r="J65" s="133"/>
      <c r="K65" s="133"/>
      <c r="L65" s="173"/>
      <c r="M65" s="133"/>
      <c r="N65" s="133"/>
      <c r="O65" s="133"/>
      <c r="P65" s="133"/>
      <c r="Q65" s="133"/>
      <c r="R65" s="133"/>
      <c r="S65" s="173"/>
      <c r="T65" s="142"/>
      <c r="U65" s="133"/>
      <c r="V65" s="133"/>
      <c r="W65" s="133"/>
      <c r="X65" s="173"/>
      <c r="Y65" s="133"/>
      <c r="Z65" s="133"/>
      <c r="AA65" s="133"/>
      <c r="AB65" s="133"/>
      <c r="AC65" s="133"/>
      <c r="AD65" s="133"/>
      <c r="AE65" s="173"/>
      <c r="AF65" s="142"/>
      <c r="AG65" s="133"/>
      <c r="AH65" s="133"/>
      <c r="AI65" s="133"/>
      <c r="AJ65" s="173"/>
      <c r="AK65" s="133"/>
      <c r="AL65" s="142"/>
      <c r="AM65" s="21"/>
      <c r="AN65" s="19"/>
    </row>
    <row r="66" spans="2:40">
      <c r="B66" s="133"/>
      <c r="C66" s="133"/>
      <c r="D66" s="133"/>
      <c r="E66" s="133"/>
      <c r="F66" s="133"/>
      <c r="G66" s="173"/>
      <c r="H66" s="142"/>
      <c r="I66" s="133"/>
      <c r="J66" s="133"/>
      <c r="K66" s="133"/>
      <c r="L66" s="173"/>
      <c r="M66" s="133"/>
      <c r="N66" s="133"/>
      <c r="O66" s="133"/>
      <c r="P66" s="133"/>
      <c r="Q66" s="133"/>
      <c r="R66" s="133"/>
      <c r="S66" s="173"/>
      <c r="T66" s="142"/>
      <c r="U66" s="133"/>
      <c r="V66" s="133"/>
      <c r="W66" s="133"/>
      <c r="X66" s="173"/>
      <c r="Y66" s="133"/>
      <c r="Z66" s="133"/>
      <c r="AA66" s="133"/>
      <c r="AB66" s="133"/>
      <c r="AC66" s="133"/>
      <c r="AD66" s="133"/>
      <c r="AE66" s="173"/>
      <c r="AF66" s="142"/>
      <c r="AG66" s="133"/>
      <c r="AH66" s="133"/>
      <c r="AI66" s="133"/>
      <c r="AJ66" s="173"/>
      <c r="AK66" s="133"/>
      <c r="AL66" s="142"/>
      <c r="AM66" s="21"/>
      <c r="AN66" s="19"/>
    </row>
    <row r="67" spans="2:40">
      <c r="B67" s="133"/>
      <c r="C67" s="133"/>
      <c r="D67" s="133"/>
      <c r="E67" s="133"/>
      <c r="F67" s="133"/>
      <c r="G67" s="173"/>
      <c r="H67" s="142"/>
      <c r="I67" s="133"/>
      <c r="J67" s="133"/>
      <c r="K67" s="133"/>
      <c r="L67" s="173"/>
      <c r="M67" s="133"/>
      <c r="N67" s="133"/>
      <c r="O67" s="133"/>
      <c r="P67" s="133"/>
      <c r="Q67" s="133"/>
      <c r="R67" s="133"/>
      <c r="S67" s="173"/>
      <c r="T67" s="142"/>
      <c r="U67" s="133"/>
      <c r="V67" s="133"/>
      <c r="W67" s="133"/>
      <c r="X67" s="173"/>
      <c r="Y67" s="133"/>
      <c r="Z67" s="133"/>
      <c r="AA67" s="133"/>
      <c r="AB67" s="133"/>
      <c r="AC67" s="133"/>
      <c r="AD67" s="133"/>
      <c r="AE67" s="173"/>
      <c r="AF67" s="142"/>
      <c r="AG67" s="133"/>
      <c r="AH67" s="133"/>
      <c r="AI67" s="133"/>
      <c r="AJ67" s="173"/>
      <c r="AK67" s="133"/>
      <c r="AL67" s="142"/>
      <c r="AM67" s="21"/>
      <c r="AN67" s="19"/>
    </row>
    <row r="68" spans="2:40">
      <c r="B68" s="133"/>
      <c r="C68" s="133"/>
      <c r="D68" s="133"/>
      <c r="E68" s="133"/>
      <c r="F68" s="133"/>
      <c r="G68" s="173"/>
      <c r="H68" s="142"/>
      <c r="I68" s="133"/>
      <c r="J68" s="133"/>
      <c r="K68" s="133"/>
      <c r="L68" s="173"/>
      <c r="M68" s="133"/>
      <c r="N68" s="133"/>
      <c r="O68" s="133"/>
      <c r="P68" s="133"/>
      <c r="Q68" s="133"/>
      <c r="R68" s="133"/>
      <c r="S68" s="173"/>
      <c r="T68" s="142"/>
      <c r="U68" s="133"/>
      <c r="V68" s="133"/>
      <c r="W68" s="133"/>
      <c r="X68" s="173"/>
      <c r="Y68" s="133"/>
      <c r="Z68" s="133"/>
      <c r="AA68" s="133"/>
      <c r="AB68" s="133"/>
      <c r="AC68" s="133"/>
      <c r="AD68" s="133"/>
      <c r="AE68" s="173"/>
      <c r="AF68" s="142"/>
      <c r="AG68" s="133"/>
      <c r="AH68" s="133"/>
      <c r="AI68" s="133"/>
      <c r="AJ68" s="173"/>
      <c r="AK68" s="133"/>
      <c r="AL68" s="142"/>
      <c r="AM68" s="21"/>
      <c r="AN68" s="19"/>
    </row>
    <row r="69" spans="2:40">
      <c r="B69" s="133"/>
      <c r="C69" s="133"/>
      <c r="D69" s="133"/>
      <c r="E69" s="133"/>
      <c r="F69" s="133"/>
      <c r="G69" s="173"/>
      <c r="H69" s="142"/>
      <c r="I69" s="133"/>
      <c r="J69" s="133"/>
      <c r="K69" s="133"/>
      <c r="L69" s="173"/>
      <c r="M69" s="133"/>
      <c r="N69" s="133"/>
      <c r="O69" s="133"/>
      <c r="P69" s="133"/>
      <c r="Q69" s="133"/>
      <c r="R69" s="133"/>
      <c r="S69" s="173"/>
      <c r="T69" s="142"/>
      <c r="U69" s="133"/>
      <c r="V69" s="133"/>
      <c r="W69" s="133"/>
      <c r="X69" s="173"/>
      <c r="Y69" s="133"/>
      <c r="Z69" s="133"/>
      <c r="AA69" s="133"/>
      <c r="AB69" s="133"/>
      <c r="AC69" s="133"/>
      <c r="AD69" s="133"/>
      <c r="AE69" s="173"/>
      <c r="AF69" s="142"/>
      <c r="AG69" s="133"/>
      <c r="AH69" s="133"/>
      <c r="AI69" s="133"/>
      <c r="AJ69" s="173"/>
      <c r="AK69" s="133"/>
      <c r="AL69" s="142"/>
      <c r="AM69" s="21"/>
      <c r="AN69" s="19"/>
    </row>
    <row r="70" spans="2:40">
      <c r="B70" s="133"/>
      <c r="C70" s="133"/>
      <c r="D70" s="133"/>
      <c r="E70" s="133"/>
      <c r="F70" s="133"/>
      <c r="G70" s="173"/>
      <c r="H70" s="142"/>
      <c r="I70" s="133"/>
      <c r="J70" s="133"/>
      <c r="K70" s="133"/>
      <c r="L70" s="173"/>
      <c r="M70" s="133"/>
      <c r="N70" s="133"/>
      <c r="O70" s="133"/>
      <c r="P70" s="133"/>
      <c r="Q70" s="133"/>
      <c r="R70" s="133"/>
      <c r="S70" s="173"/>
      <c r="T70" s="142"/>
      <c r="U70" s="133"/>
      <c r="V70" s="133"/>
      <c r="W70" s="133"/>
      <c r="X70" s="173"/>
      <c r="Y70" s="133"/>
      <c r="Z70" s="133"/>
      <c r="AA70" s="133"/>
      <c r="AB70" s="133"/>
      <c r="AC70" s="133"/>
      <c r="AD70" s="133"/>
      <c r="AE70" s="173"/>
      <c r="AF70" s="142"/>
      <c r="AG70" s="133"/>
      <c r="AH70" s="133"/>
      <c r="AI70" s="133"/>
      <c r="AJ70" s="173"/>
      <c r="AK70" s="133"/>
      <c r="AL70" s="142"/>
      <c r="AM70" s="21"/>
      <c r="AN70" s="19"/>
    </row>
    <row r="71" spans="2:40">
      <c r="B71" s="133"/>
      <c r="C71" s="133"/>
      <c r="D71" s="133"/>
      <c r="E71" s="133"/>
      <c r="F71" s="133"/>
      <c r="G71" s="173"/>
      <c r="H71" s="142"/>
      <c r="I71" s="133"/>
      <c r="J71" s="133"/>
      <c r="K71" s="133"/>
      <c r="L71" s="173"/>
      <c r="M71" s="133"/>
      <c r="N71" s="133"/>
      <c r="O71" s="133"/>
      <c r="P71" s="133"/>
      <c r="Q71" s="133"/>
      <c r="R71" s="133"/>
      <c r="S71" s="173"/>
      <c r="T71" s="142"/>
      <c r="U71" s="133"/>
      <c r="V71" s="133"/>
      <c r="W71" s="133"/>
      <c r="X71" s="173"/>
      <c r="Y71" s="133"/>
      <c r="Z71" s="133"/>
      <c r="AA71" s="133"/>
      <c r="AB71" s="133"/>
      <c r="AC71" s="133"/>
      <c r="AD71" s="133"/>
      <c r="AE71" s="173"/>
      <c r="AF71" s="142"/>
      <c r="AG71" s="133"/>
      <c r="AH71" s="133"/>
      <c r="AI71" s="133"/>
      <c r="AJ71" s="173"/>
      <c r="AK71" s="133"/>
      <c r="AL71" s="142"/>
      <c r="AM71" s="21"/>
      <c r="AN71" s="19"/>
    </row>
    <row r="72" spans="2:40">
      <c r="B72" s="133"/>
      <c r="C72" s="133"/>
      <c r="D72" s="133"/>
      <c r="E72" s="133"/>
      <c r="F72" s="133"/>
      <c r="G72" s="173"/>
      <c r="H72" s="142"/>
      <c r="I72" s="133"/>
      <c r="J72" s="133"/>
      <c r="K72" s="133"/>
      <c r="L72" s="173"/>
      <c r="M72" s="133"/>
      <c r="N72" s="133"/>
      <c r="O72" s="133"/>
      <c r="P72" s="133"/>
      <c r="Q72" s="133"/>
      <c r="R72" s="133"/>
      <c r="S72" s="173"/>
      <c r="T72" s="142"/>
      <c r="U72" s="133"/>
      <c r="V72" s="133"/>
      <c r="W72" s="133"/>
      <c r="X72" s="173"/>
      <c r="Y72" s="133"/>
      <c r="Z72" s="133"/>
      <c r="AA72" s="133"/>
      <c r="AB72" s="133"/>
      <c r="AC72" s="133"/>
      <c r="AD72" s="133"/>
      <c r="AE72" s="173"/>
      <c r="AF72" s="142"/>
      <c r="AG72" s="133"/>
      <c r="AH72" s="133"/>
      <c r="AI72" s="133"/>
      <c r="AJ72" s="173"/>
      <c r="AK72" s="133"/>
      <c r="AL72" s="142"/>
      <c r="AM72" s="21"/>
      <c r="AN72" s="19"/>
    </row>
    <row r="73" spans="2:40">
      <c r="B73" s="133"/>
      <c r="C73" s="133"/>
      <c r="D73" s="133"/>
      <c r="E73" s="133"/>
      <c r="F73" s="133"/>
      <c r="G73" s="173"/>
      <c r="H73" s="142"/>
      <c r="I73" s="133"/>
      <c r="J73" s="133"/>
      <c r="K73" s="133"/>
      <c r="L73" s="173"/>
      <c r="M73" s="133"/>
      <c r="N73" s="133"/>
      <c r="O73" s="133"/>
      <c r="P73" s="133"/>
      <c r="Q73" s="133"/>
      <c r="R73" s="133"/>
      <c r="S73" s="173"/>
      <c r="T73" s="142"/>
      <c r="U73" s="133"/>
      <c r="V73" s="133"/>
      <c r="W73" s="133"/>
      <c r="X73" s="173"/>
      <c r="Y73" s="133"/>
      <c r="Z73" s="133"/>
      <c r="AA73" s="133"/>
      <c r="AB73" s="133"/>
      <c r="AC73" s="133"/>
      <c r="AD73" s="133"/>
      <c r="AE73" s="173"/>
      <c r="AF73" s="142"/>
      <c r="AG73" s="133"/>
      <c r="AH73" s="133"/>
      <c r="AI73" s="133"/>
      <c r="AJ73" s="173"/>
      <c r="AK73" s="133"/>
      <c r="AL73" s="142"/>
      <c r="AM73" s="21"/>
      <c r="AN73" s="19"/>
    </row>
    <row r="74" spans="2:40">
      <c r="B74" s="133"/>
      <c r="C74" s="133"/>
      <c r="D74" s="133"/>
      <c r="E74" s="133"/>
      <c r="F74" s="133"/>
      <c r="G74" s="173"/>
      <c r="H74" s="142"/>
      <c r="I74" s="133"/>
      <c r="J74" s="133"/>
      <c r="K74" s="133"/>
      <c r="L74" s="173"/>
      <c r="M74" s="133"/>
      <c r="N74" s="133"/>
      <c r="O74" s="133"/>
      <c r="P74" s="133"/>
      <c r="Q74" s="133"/>
      <c r="R74" s="133"/>
      <c r="S74" s="173"/>
      <c r="T74" s="142"/>
      <c r="U74" s="133"/>
      <c r="V74" s="133"/>
      <c r="W74" s="133"/>
      <c r="X74" s="173"/>
      <c r="Y74" s="133"/>
      <c r="Z74" s="133"/>
      <c r="AA74" s="133"/>
      <c r="AB74" s="133"/>
      <c r="AC74" s="133"/>
      <c r="AD74" s="133"/>
      <c r="AE74" s="173"/>
      <c r="AF74" s="142"/>
      <c r="AG74" s="133"/>
      <c r="AH74" s="133"/>
      <c r="AI74" s="133"/>
      <c r="AJ74" s="173"/>
      <c r="AK74" s="133"/>
      <c r="AL74" s="142"/>
      <c r="AM74" s="21"/>
      <c r="AN74" s="19"/>
    </row>
    <row r="75" spans="2:40">
      <c r="B75" s="133"/>
      <c r="C75" s="133"/>
      <c r="D75" s="133"/>
      <c r="E75" s="133"/>
      <c r="F75" s="133"/>
      <c r="G75" s="173"/>
      <c r="H75" s="142"/>
      <c r="I75" s="133"/>
      <c r="J75" s="133"/>
      <c r="K75" s="133"/>
      <c r="L75" s="173"/>
      <c r="M75" s="133"/>
      <c r="N75" s="133"/>
      <c r="O75" s="133"/>
      <c r="P75" s="133"/>
      <c r="Q75" s="133"/>
      <c r="R75" s="133"/>
      <c r="S75" s="173"/>
      <c r="T75" s="142"/>
      <c r="U75" s="133"/>
      <c r="V75" s="133"/>
      <c r="W75" s="133"/>
      <c r="X75" s="173"/>
      <c r="Y75" s="133"/>
      <c r="Z75" s="133"/>
      <c r="AA75" s="133"/>
      <c r="AB75" s="133"/>
      <c r="AC75" s="133"/>
      <c r="AD75" s="133"/>
      <c r="AE75" s="173"/>
      <c r="AF75" s="142"/>
      <c r="AG75" s="133"/>
      <c r="AH75" s="133"/>
      <c r="AI75" s="133"/>
      <c r="AJ75" s="173"/>
      <c r="AK75" s="133"/>
      <c r="AL75" s="142"/>
      <c r="AM75" s="21"/>
      <c r="AN75" s="19"/>
    </row>
    <row r="76" spans="2:40">
      <c r="B76" s="133"/>
      <c r="C76" s="133"/>
      <c r="D76" s="133"/>
      <c r="E76" s="133"/>
      <c r="F76" s="133"/>
      <c r="G76" s="173"/>
      <c r="H76" s="142"/>
      <c r="I76" s="133"/>
      <c r="J76" s="133"/>
      <c r="K76" s="133"/>
      <c r="L76" s="173"/>
      <c r="M76" s="133"/>
      <c r="N76" s="133"/>
      <c r="O76" s="133"/>
      <c r="P76" s="133"/>
      <c r="Q76" s="133"/>
      <c r="R76" s="133"/>
      <c r="S76" s="173"/>
      <c r="T76" s="142"/>
      <c r="U76" s="133"/>
      <c r="V76" s="133"/>
      <c r="W76" s="133"/>
      <c r="X76" s="173"/>
      <c r="Y76" s="133"/>
      <c r="Z76" s="133"/>
      <c r="AA76" s="133"/>
      <c r="AB76" s="133"/>
      <c r="AC76" s="133"/>
      <c r="AD76" s="133"/>
      <c r="AE76" s="173"/>
      <c r="AF76" s="142"/>
      <c r="AG76" s="133"/>
      <c r="AH76" s="133"/>
      <c r="AI76" s="133"/>
      <c r="AJ76" s="173"/>
      <c r="AK76" s="133"/>
      <c r="AL76" s="142"/>
      <c r="AM76" s="21"/>
      <c r="AN76" s="19"/>
    </row>
    <row r="77" spans="2:40">
      <c r="B77" s="133"/>
      <c r="C77" s="133"/>
      <c r="D77" s="133"/>
      <c r="E77" s="133"/>
      <c r="F77" s="133"/>
      <c r="G77" s="173"/>
      <c r="H77" s="142"/>
      <c r="I77" s="133"/>
      <c r="J77" s="133"/>
      <c r="K77" s="133"/>
      <c r="L77" s="173"/>
      <c r="M77" s="133"/>
      <c r="N77" s="133"/>
      <c r="O77" s="133"/>
      <c r="P77" s="133"/>
      <c r="Q77" s="133"/>
      <c r="R77" s="133"/>
      <c r="S77" s="173"/>
      <c r="T77" s="142"/>
      <c r="U77" s="133"/>
      <c r="V77" s="133"/>
      <c r="W77" s="133"/>
      <c r="X77" s="173"/>
      <c r="Y77" s="133"/>
      <c r="Z77" s="133"/>
      <c r="AA77" s="133"/>
      <c r="AB77" s="133"/>
      <c r="AC77" s="133"/>
      <c r="AD77" s="133"/>
      <c r="AE77" s="173"/>
      <c r="AF77" s="142"/>
      <c r="AG77" s="133"/>
      <c r="AH77" s="133"/>
      <c r="AI77" s="133"/>
      <c r="AJ77" s="173"/>
      <c r="AK77" s="133"/>
      <c r="AL77" s="142"/>
      <c r="AM77" s="21"/>
      <c r="AN77" s="19"/>
    </row>
    <row r="78" spans="2:40">
      <c r="B78" s="133"/>
      <c r="C78" s="133"/>
      <c r="D78" s="133"/>
      <c r="E78" s="133"/>
      <c r="F78" s="133"/>
      <c r="G78" s="173"/>
      <c r="H78" s="142"/>
      <c r="I78" s="133"/>
      <c r="J78" s="133"/>
      <c r="K78" s="133"/>
      <c r="L78" s="173"/>
      <c r="M78" s="133"/>
      <c r="N78" s="133"/>
      <c r="O78" s="133"/>
      <c r="P78" s="133"/>
      <c r="Q78" s="133"/>
      <c r="R78" s="133"/>
      <c r="S78" s="173"/>
      <c r="T78" s="142"/>
      <c r="U78" s="133"/>
      <c r="V78" s="133"/>
      <c r="W78" s="133"/>
      <c r="X78" s="173"/>
      <c r="Y78" s="133"/>
      <c r="Z78" s="133"/>
      <c r="AA78" s="133"/>
      <c r="AB78" s="133"/>
      <c r="AC78" s="133"/>
      <c r="AD78" s="133"/>
      <c r="AE78" s="173"/>
      <c r="AF78" s="142"/>
      <c r="AG78" s="133"/>
      <c r="AH78" s="133"/>
      <c r="AI78" s="133"/>
      <c r="AJ78" s="173"/>
      <c r="AK78" s="133"/>
      <c r="AL78" s="142"/>
      <c r="AM78" s="21"/>
      <c r="AN78" s="19"/>
    </row>
    <row r="79" spans="2:40">
      <c r="B79" s="133"/>
      <c r="C79" s="133"/>
      <c r="D79" s="133"/>
      <c r="E79" s="133"/>
      <c r="F79" s="133"/>
      <c r="G79" s="173"/>
      <c r="H79" s="142"/>
      <c r="I79" s="133"/>
      <c r="J79" s="133"/>
      <c r="K79" s="133"/>
      <c r="L79" s="173"/>
      <c r="M79" s="133"/>
      <c r="N79" s="133"/>
      <c r="O79" s="133"/>
      <c r="P79" s="133"/>
      <c r="Q79" s="133"/>
      <c r="R79" s="133"/>
      <c r="S79" s="173"/>
      <c r="T79" s="142"/>
      <c r="U79" s="133"/>
      <c r="V79" s="133"/>
      <c r="W79" s="133"/>
      <c r="X79" s="173"/>
      <c r="Y79" s="133"/>
      <c r="Z79" s="133"/>
      <c r="AA79" s="133"/>
      <c r="AB79" s="133"/>
      <c r="AC79" s="133"/>
      <c r="AD79" s="133"/>
      <c r="AE79" s="173"/>
      <c r="AF79" s="142"/>
      <c r="AG79" s="133"/>
      <c r="AH79" s="133"/>
      <c r="AI79" s="133"/>
      <c r="AJ79" s="173"/>
      <c r="AK79" s="133"/>
      <c r="AL79" s="142"/>
      <c r="AM79" s="21"/>
      <c r="AN79" s="19"/>
    </row>
    <row r="80" spans="2:40">
      <c r="B80" s="133"/>
      <c r="C80" s="133"/>
      <c r="D80" s="133"/>
      <c r="E80" s="133"/>
      <c r="F80" s="133"/>
      <c r="G80" s="173"/>
      <c r="H80" s="142"/>
      <c r="I80" s="133"/>
      <c r="J80" s="133"/>
      <c r="K80" s="133"/>
      <c r="L80" s="173"/>
      <c r="M80" s="133"/>
      <c r="N80" s="133"/>
      <c r="O80" s="133"/>
      <c r="P80" s="133"/>
      <c r="Q80" s="133"/>
      <c r="R80" s="133"/>
      <c r="S80" s="173"/>
      <c r="T80" s="142"/>
      <c r="U80" s="133"/>
      <c r="V80" s="133"/>
      <c r="W80" s="133"/>
      <c r="X80" s="173"/>
      <c r="Y80" s="133"/>
      <c r="Z80" s="133"/>
      <c r="AA80" s="133"/>
      <c r="AB80" s="133"/>
      <c r="AC80" s="133"/>
      <c r="AD80" s="133"/>
      <c r="AE80" s="173"/>
      <c r="AF80" s="142"/>
      <c r="AG80" s="133"/>
      <c r="AH80" s="133"/>
      <c r="AI80" s="133"/>
      <c r="AJ80" s="173"/>
      <c r="AK80" s="133"/>
      <c r="AL80" s="142"/>
      <c r="AM80" s="21"/>
      <c r="AN80" s="19"/>
    </row>
    <row r="81" spans="2:40">
      <c r="B81" s="133"/>
      <c r="C81" s="133"/>
      <c r="D81" s="133"/>
      <c r="E81" s="133"/>
      <c r="F81" s="133"/>
      <c r="G81" s="173"/>
      <c r="H81" s="142"/>
      <c r="I81" s="133"/>
      <c r="J81" s="133"/>
      <c r="K81" s="133"/>
      <c r="L81" s="173"/>
      <c r="M81" s="133"/>
      <c r="N81" s="133"/>
      <c r="O81" s="133"/>
      <c r="P81" s="133"/>
      <c r="Q81" s="133"/>
      <c r="R81" s="133"/>
      <c r="S81" s="173"/>
      <c r="T81" s="142"/>
      <c r="U81" s="133"/>
      <c r="V81" s="133"/>
      <c r="W81" s="133"/>
      <c r="X81" s="173"/>
      <c r="Y81" s="133"/>
      <c r="Z81" s="133"/>
      <c r="AA81" s="133"/>
      <c r="AB81" s="133"/>
      <c r="AC81" s="133"/>
      <c r="AD81" s="133"/>
      <c r="AE81" s="173"/>
      <c r="AF81" s="142"/>
      <c r="AG81" s="133"/>
      <c r="AH81" s="133"/>
      <c r="AI81" s="133"/>
      <c r="AJ81" s="173"/>
      <c r="AK81" s="133"/>
      <c r="AL81" s="142"/>
      <c r="AM81" s="21"/>
      <c r="AN81" s="19"/>
    </row>
    <row r="82" spans="2:40">
      <c r="B82" s="133"/>
      <c r="C82" s="133"/>
      <c r="D82" s="133"/>
      <c r="E82" s="133"/>
      <c r="F82" s="133"/>
      <c r="G82" s="173"/>
      <c r="H82" s="142"/>
      <c r="I82" s="133"/>
      <c r="J82" s="133"/>
      <c r="K82" s="133"/>
      <c r="L82" s="173"/>
      <c r="M82" s="133"/>
      <c r="N82" s="133"/>
      <c r="O82" s="133"/>
      <c r="P82" s="133"/>
      <c r="Q82" s="133"/>
      <c r="R82" s="133"/>
      <c r="S82" s="173"/>
      <c r="T82" s="142"/>
      <c r="U82" s="133"/>
      <c r="V82" s="133"/>
      <c r="W82" s="133"/>
      <c r="X82" s="173"/>
      <c r="Y82" s="133"/>
      <c r="Z82" s="133"/>
      <c r="AA82" s="133"/>
      <c r="AB82" s="133"/>
      <c r="AC82" s="133"/>
      <c r="AD82" s="133"/>
      <c r="AE82" s="173"/>
      <c r="AF82" s="142"/>
      <c r="AG82" s="133"/>
      <c r="AH82" s="133"/>
      <c r="AI82" s="133"/>
      <c r="AJ82" s="173"/>
      <c r="AK82" s="133"/>
      <c r="AL82" s="142"/>
      <c r="AM82" s="21"/>
      <c r="AN82" s="19"/>
    </row>
    <row r="83" spans="2:40">
      <c r="B83" s="133"/>
      <c r="C83" s="133"/>
      <c r="D83" s="133"/>
      <c r="E83" s="133"/>
      <c r="F83" s="133"/>
      <c r="G83" s="173"/>
      <c r="H83" s="142"/>
      <c r="I83" s="133"/>
      <c r="J83" s="133"/>
      <c r="K83" s="133"/>
      <c r="L83" s="173"/>
      <c r="M83" s="133"/>
      <c r="N83" s="133"/>
      <c r="O83" s="133"/>
      <c r="P83" s="133"/>
      <c r="Q83" s="133"/>
      <c r="R83" s="133"/>
      <c r="S83" s="173"/>
      <c r="T83" s="142"/>
      <c r="U83" s="133"/>
      <c r="V83" s="133"/>
      <c r="W83" s="133"/>
      <c r="X83" s="173"/>
      <c r="Y83" s="133"/>
      <c r="Z83" s="133"/>
      <c r="AA83" s="133"/>
      <c r="AB83" s="133"/>
      <c r="AC83" s="133"/>
      <c r="AD83" s="133"/>
      <c r="AE83" s="173"/>
      <c r="AF83" s="142"/>
      <c r="AG83" s="133"/>
      <c r="AH83" s="133"/>
      <c r="AI83" s="133"/>
      <c r="AJ83" s="173"/>
      <c r="AK83" s="133"/>
      <c r="AL83" s="142"/>
      <c r="AM83" s="21"/>
      <c r="AN83" s="19"/>
    </row>
    <row r="84" spans="2:40">
      <c r="B84" s="133"/>
      <c r="C84" s="133"/>
      <c r="D84" s="133"/>
      <c r="E84" s="133"/>
      <c r="F84" s="133"/>
      <c r="G84" s="173"/>
      <c r="H84" s="142"/>
      <c r="I84" s="133"/>
      <c r="J84" s="133"/>
      <c r="K84" s="133"/>
      <c r="L84" s="173"/>
      <c r="M84" s="133"/>
      <c r="N84" s="133"/>
      <c r="O84" s="133"/>
      <c r="P84" s="133"/>
      <c r="Q84" s="133"/>
      <c r="R84" s="133"/>
      <c r="S84" s="173"/>
      <c r="T84" s="142"/>
      <c r="U84" s="133"/>
      <c r="V84" s="133"/>
      <c r="W84" s="133"/>
      <c r="X84" s="173"/>
      <c r="Y84" s="133"/>
      <c r="Z84" s="133"/>
      <c r="AA84" s="133"/>
      <c r="AB84" s="133"/>
      <c r="AC84" s="133"/>
      <c r="AD84" s="133"/>
      <c r="AE84" s="173"/>
      <c r="AF84" s="142"/>
      <c r="AG84" s="133"/>
      <c r="AH84" s="133"/>
      <c r="AI84" s="133"/>
      <c r="AJ84" s="173"/>
      <c r="AK84" s="133"/>
      <c r="AL84" s="142"/>
      <c r="AM84" s="21"/>
      <c r="AN84" s="19"/>
    </row>
    <row r="85" spans="2:40">
      <c r="B85" s="133"/>
      <c r="C85" s="133"/>
      <c r="D85" s="133"/>
      <c r="E85" s="133"/>
      <c r="F85" s="133"/>
      <c r="G85" s="173"/>
      <c r="H85" s="142"/>
      <c r="I85" s="133"/>
      <c r="J85" s="133"/>
      <c r="K85" s="133"/>
      <c r="L85" s="173"/>
      <c r="M85" s="133"/>
      <c r="N85" s="133"/>
      <c r="O85" s="133"/>
      <c r="P85" s="133"/>
      <c r="Q85" s="133"/>
      <c r="R85" s="133"/>
      <c r="S85" s="173"/>
      <c r="T85" s="142"/>
      <c r="U85" s="133"/>
      <c r="V85" s="133"/>
      <c r="W85" s="133"/>
      <c r="X85" s="173"/>
      <c r="Y85" s="133"/>
      <c r="Z85" s="133"/>
      <c r="AA85" s="133"/>
      <c r="AB85" s="133"/>
      <c r="AC85" s="133"/>
      <c r="AD85" s="133"/>
      <c r="AE85" s="173"/>
      <c r="AF85" s="142"/>
      <c r="AG85" s="133"/>
      <c r="AH85" s="133"/>
      <c r="AI85" s="133"/>
      <c r="AJ85" s="173"/>
      <c r="AK85" s="133"/>
      <c r="AL85" s="142"/>
      <c r="AM85" s="21"/>
      <c r="AN85" s="19"/>
    </row>
    <row r="86" spans="2:40">
      <c r="B86" s="133"/>
      <c r="C86" s="133"/>
      <c r="D86" s="133"/>
      <c r="E86" s="133"/>
      <c r="F86" s="133"/>
      <c r="G86" s="173"/>
      <c r="H86" s="142"/>
      <c r="I86" s="133"/>
      <c r="J86" s="133"/>
      <c r="K86" s="133"/>
      <c r="L86" s="173"/>
      <c r="M86" s="133"/>
      <c r="N86" s="133"/>
      <c r="O86" s="133"/>
      <c r="P86" s="133"/>
      <c r="Q86" s="133"/>
      <c r="R86" s="133"/>
      <c r="S86" s="173"/>
      <c r="T86" s="142"/>
      <c r="U86" s="133"/>
      <c r="V86" s="133"/>
      <c r="W86" s="133"/>
      <c r="X86" s="173"/>
      <c r="Y86" s="133"/>
      <c r="Z86" s="133"/>
      <c r="AA86" s="133"/>
      <c r="AB86" s="133"/>
      <c r="AC86" s="133"/>
      <c r="AD86" s="133"/>
      <c r="AE86" s="173"/>
      <c r="AF86" s="142"/>
      <c r="AG86" s="133"/>
      <c r="AH86" s="133"/>
      <c r="AI86" s="133"/>
      <c r="AJ86" s="173"/>
      <c r="AK86" s="133"/>
      <c r="AL86" s="142"/>
      <c r="AM86" s="21"/>
      <c r="AN86" s="19"/>
    </row>
    <row r="87" spans="2:40">
      <c r="B87" s="133"/>
      <c r="C87" s="133"/>
      <c r="D87" s="133"/>
      <c r="E87" s="133"/>
      <c r="F87" s="133"/>
      <c r="G87" s="173"/>
      <c r="H87" s="142"/>
      <c r="I87" s="133"/>
      <c r="J87" s="133"/>
      <c r="K87" s="133"/>
      <c r="L87" s="173"/>
      <c r="M87" s="133"/>
      <c r="N87" s="133"/>
      <c r="O87" s="133"/>
      <c r="P87" s="133"/>
      <c r="Q87" s="133"/>
      <c r="R87" s="133"/>
      <c r="S87" s="173"/>
      <c r="T87" s="142"/>
      <c r="U87" s="133"/>
      <c r="V87" s="133"/>
      <c r="W87" s="133"/>
      <c r="X87" s="173"/>
      <c r="Y87" s="133"/>
      <c r="Z87" s="133"/>
      <c r="AA87" s="133"/>
      <c r="AB87" s="133"/>
      <c r="AC87" s="133"/>
      <c r="AD87" s="133"/>
      <c r="AE87" s="173"/>
      <c r="AF87" s="142"/>
      <c r="AG87" s="133"/>
      <c r="AH87" s="133"/>
      <c r="AI87" s="133"/>
      <c r="AJ87" s="173"/>
      <c r="AK87" s="133"/>
      <c r="AL87" s="142"/>
      <c r="AM87" s="21"/>
      <c r="AN87" s="19"/>
    </row>
    <row r="88" spans="2:40">
      <c r="B88" s="133"/>
      <c r="C88" s="133"/>
      <c r="D88" s="133"/>
      <c r="E88" s="133"/>
      <c r="F88" s="133"/>
      <c r="G88" s="173"/>
      <c r="H88" s="142"/>
      <c r="I88" s="133"/>
      <c r="J88" s="133"/>
      <c r="K88" s="133"/>
      <c r="L88" s="173"/>
      <c r="M88" s="133"/>
      <c r="N88" s="133"/>
      <c r="O88" s="133"/>
      <c r="P88" s="133"/>
      <c r="Q88" s="133"/>
      <c r="R88" s="133"/>
      <c r="S88" s="173"/>
      <c r="T88" s="142"/>
      <c r="U88" s="133"/>
      <c r="V88" s="133"/>
      <c r="W88" s="133"/>
      <c r="X88" s="173"/>
      <c r="Y88" s="133"/>
      <c r="Z88" s="133"/>
      <c r="AA88" s="133"/>
      <c r="AB88" s="133"/>
      <c r="AC88" s="133"/>
      <c r="AD88" s="133"/>
      <c r="AE88" s="173"/>
      <c r="AF88" s="142"/>
      <c r="AG88" s="133"/>
      <c r="AH88" s="133"/>
      <c r="AI88" s="133"/>
      <c r="AJ88" s="173"/>
      <c r="AK88" s="133"/>
      <c r="AL88" s="142"/>
      <c r="AM88" s="21"/>
      <c r="AN88" s="19"/>
    </row>
    <row r="89" spans="2:40">
      <c r="B89" s="133"/>
      <c r="C89" s="133"/>
      <c r="D89" s="133"/>
      <c r="E89" s="133"/>
      <c r="F89" s="133"/>
      <c r="G89" s="173"/>
      <c r="H89" s="142"/>
      <c r="I89" s="133"/>
      <c r="J89" s="133"/>
      <c r="K89" s="133"/>
      <c r="L89" s="173"/>
      <c r="M89" s="133"/>
      <c r="N89" s="133"/>
      <c r="O89" s="133"/>
      <c r="P89" s="133"/>
      <c r="Q89" s="133"/>
      <c r="R89" s="133"/>
      <c r="S89" s="173"/>
      <c r="T89" s="142"/>
      <c r="U89" s="133"/>
      <c r="V89" s="133"/>
      <c r="W89" s="133"/>
      <c r="X89" s="173"/>
      <c r="Y89" s="133"/>
      <c r="Z89" s="133"/>
      <c r="AA89" s="133"/>
      <c r="AB89" s="133"/>
      <c r="AC89" s="133"/>
      <c r="AD89" s="133"/>
      <c r="AE89" s="173"/>
      <c r="AF89" s="142"/>
      <c r="AG89" s="133"/>
      <c r="AH89" s="133"/>
      <c r="AI89" s="133"/>
      <c r="AJ89" s="173"/>
      <c r="AK89" s="133"/>
      <c r="AL89" s="142"/>
      <c r="AM89" s="21"/>
      <c r="AN89" s="19"/>
    </row>
    <row r="90" spans="2:40">
      <c r="B90" s="133"/>
      <c r="C90" s="133"/>
      <c r="D90" s="133"/>
      <c r="E90" s="133"/>
      <c r="F90" s="133"/>
      <c r="G90" s="173"/>
      <c r="H90" s="142"/>
      <c r="I90" s="133"/>
      <c r="J90" s="133"/>
      <c r="K90" s="133"/>
      <c r="L90" s="173"/>
      <c r="M90" s="133"/>
      <c r="N90" s="133"/>
      <c r="O90" s="133"/>
      <c r="P90" s="133"/>
      <c r="Q90" s="133"/>
      <c r="R90" s="133"/>
      <c r="S90" s="173"/>
      <c r="T90" s="142"/>
      <c r="U90" s="133"/>
      <c r="V90" s="133"/>
      <c r="W90" s="133"/>
      <c r="X90" s="173"/>
      <c r="Y90" s="133"/>
      <c r="Z90" s="133"/>
      <c r="AA90" s="133"/>
      <c r="AB90" s="133"/>
      <c r="AC90" s="133"/>
      <c r="AD90" s="133"/>
      <c r="AE90" s="173"/>
      <c r="AF90" s="142"/>
      <c r="AG90" s="133"/>
      <c r="AH90" s="133"/>
      <c r="AI90" s="133"/>
      <c r="AJ90" s="173"/>
      <c r="AK90" s="133"/>
      <c r="AL90" s="142"/>
      <c r="AM90" s="21"/>
      <c r="AN90" s="19"/>
    </row>
    <row r="91" spans="2:40">
      <c r="B91" s="133"/>
      <c r="C91" s="133"/>
      <c r="D91" s="133"/>
      <c r="E91" s="133"/>
      <c r="F91" s="133"/>
      <c r="G91" s="173"/>
      <c r="H91" s="142"/>
      <c r="I91" s="133"/>
      <c r="J91" s="133"/>
      <c r="K91" s="133"/>
      <c r="L91" s="173"/>
      <c r="M91" s="133"/>
      <c r="N91" s="133"/>
      <c r="O91" s="133"/>
      <c r="P91" s="133"/>
      <c r="Q91" s="133"/>
      <c r="R91" s="133"/>
      <c r="S91" s="173"/>
      <c r="T91" s="142"/>
      <c r="U91" s="133"/>
      <c r="V91" s="133"/>
      <c r="W91" s="133"/>
      <c r="X91" s="173"/>
      <c r="Y91" s="133"/>
      <c r="Z91" s="133"/>
      <c r="AA91" s="133"/>
      <c r="AB91" s="133"/>
      <c r="AC91" s="133"/>
      <c r="AD91" s="133"/>
      <c r="AE91" s="173"/>
      <c r="AF91" s="142"/>
      <c r="AG91" s="133"/>
      <c r="AH91" s="133"/>
      <c r="AI91" s="133"/>
      <c r="AJ91" s="173"/>
      <c r="AK91" s="133"/>
      <c r="AL91" s="142"/>
      <c r="AM91" s="21"/>
      <c r="AN91" s="19"/>
    </row>
    <row r="92" spans="2:40">
      <c r="B92" s="133"/>
      <c r="C92" s="133"/>
      <c r="D92" s="133"/>
      <c r="E92" s="133"/>
      <c r="F92" s="133"/>
      <c r="G92" s="173"/>
      <c r="H92" s="142"/>
      <c r="I92" s="133"/>
      <c r="J92" s="133"/>
      <c r="K92" s="133"/>
      <c r="L92" s="173"/>
      <c r="M92" s="133"/>
      <c r="N92" s="133"/>
      <c r="O92" s="133"/>
      <c r="P92" s="133"/>
      <c r="Q92" s="133"/>
      <c r="R92" s="133"/>
      <c r="S92" s="173"/>
      <c r="T92" s="142"/>
      <c r="U92" s="133"/>
      <c r="V92" s="133"/>
      <c r="W92" s="133"/>
      <c r="X92" s="173"/>
      <c r="Y92" s="133"/>
      <c r="Z92" s="133"/>
      <c r="AA92" s="133"/>
      <c r="AB92" s="133"/>
      <c r="AC92" s="133"/>
      <c r="AD92" s="133"/>
      <c r="AE92" s="173"/>
      <c r="AF92" s="142"/>
      <c r="AG92" s="133"/>
      <c r="AH92" s="133"/>
      <c r="AI92" s="133"/>
      <c r="AJ92" s="173"/>
      <c r="AK92" s="133"/>
      <c r="AL92" s="142"/>
      <c r="AM92" s="21"/>
      <c r="AN92" s="19"/>
    </row>
    <row r="93" spans="2:40">
      <c r="B93" s="133"/>
      <c r="C93" s="133"/>
      <c r="D93" s="133"/>
      <c r="E93" s="133"/>
      <c r="F93" s="133"/>
      <c r="G93" s="173"/>
      <c r="H93" s="142"/>
      <c r="I93" s="133"/>
      <c r="J93" s="133"/>
      <c r="K93" s="133"/>
      <c r="L93" s="173"/>
      <c r="M93" s="133"/>
      <c r="N93" s="133"/>
      <c r="O93" s="133"/>
      <c r="P93" s="133"/>
      <c r="Q93" s="133"/>
      <c r="R93" s="133"/>
      <c r="S93" s="173"/>
      <c r="T93" s="142"/>
      <c r="U93" s="133"/>
      <c r="V93" s="133"/>
      <c r="W93" s="133"/>
      <c r="X93" s="173"/>
      <c r="Y93" s="133"/>
      <c r="Z93" s="133"/>
      <c r="AA93" s="133"/>
      <c r="AB93" s="133"/>
      <c r="AC93" s="133"/>
      <c r="AD93" s="133"/>
      <c r="AE93" s="173"/>
      <c r="AF93" s="142"/>
      <c r="AG93" s="133"/>
      <c r="AH93" s="133"/>
      <c r="AI93" s="133"/>
      <c r="AJ93" s="173"/>
      <c r="AK93" s="133"/>
      <c r="AL93" s="142"/>
      <c r="AM93" s="21"/>
      <c r="AN93" s="19"/>
    </row>
    <row r="94" spans="2:40">
      <c r="B94" s="133"/>
      <c r="C94" s="133"/>
      <c r="D94" s="133"/>
      <c r="E94" s="133"/>
      <c r="F94" s="133"/>
      <c r="G94" s="173"/>
      <c r="H94" s="142"/>
      <c r="I94" s="133"/>
      <c r="J94" s="133"/>
      <c r="K94" s="133"/>
      <c r="L94" s="173"/>
      <c r="M94" s="133"/>
      <c r="N94" s="133"/>
      <c r="O94" s="133"/>
      <c r="P94" s="133"/>
      <c r="Q94" s="133"/>
      <c r="R94" s="133"/>
      <c r="S94" s="173"/>
      <c r="T94" s="142"/>
      <c r="U94" s="133"/>
      <c r="V94" s="133"/>
      <c r="W94" s="133"/>
      <c r="X94" s="173"/>
      <c r="Y94" s="133"/>
      <c r="Z94" s="133"/>
      <c r="AA94" s="133"/>
      <c r="AB94" s="133"/>
      <c r="AC94" s="133"/>
      <c r="AD94" s="133"/>
      <c r="AE94" s="173"/>
      <c r="AF94" s="142"/>
      <c r="AG94" s="133"/>
      <c r="AH94" s="133"/>
      <c r="AI94" s="133"/>
      <c r="AJ94" s="173"/>
      <c r="AK94" s="133"/>
      <c r="AL94" s="142"/>
      <c r="AM94" s="21"/>
      <c r="AN94" s="19"/>
    </row>
    <row r="95" spans="2:40">
      <c r="B95" s="133"/>
      <c r="C95" s="133"/>
      <c r="D95" s="133"/>
      <c r="E95" s="133"/>
      <c r="F95" s="133"/>
      <c r="G95" s="173"/>
      <c r="H95" s="142"/>
      <c r="I95" s="133"/>
      <c r="J95" s="133"/>
      <c r="K95" s="133"/>
      <c r="L95" s="173"/>
      <c r="M95" s="133"/>
      <c r="N95" s="133"/>
      <c r="O95" s="133"/>
      <c r="P95" s="133"/>
      <c r="Q95" s="133"/>
      <c r="R95" s="133"/>
      <c r="S95" s="173"/>
      <c r="T95" s="142"/>
      <c r="U95" s="133"/>
      <c r="V95" s="133"/>
      <c r="W95" s="133"/>
      <c r="X95" s="173"/>
      <c r="Y95" s="133"/>
      <c r="Z95" s="133"/>
      <c r="AA95" s="133"/>
      <c r="AB95" s="133"/>
      <c r="AC95" s="133"/>
      <c r="AD95" s="133"/>
      <c r="AE95" s="173"/>
      <c r="AF95" s="142"/>
      <c r="AG95" s="133"/>
      <c r="AH95" s="133"/>
      <c r="AI95" s="133"/>
      <c r="AJ95" s="173"/>
      <c r="AK95" s="133"/>
      <c r="AL95" s="142"/>
      <c r="AM95" s="21"/>
      <c r="AN95" s="19"/>
    </row>
    <row r="96" spans="2:40">
      <c r="B96" s="133"/>
      <c r="C96" s="133"/>
      <c r="D96" s="133"/>
      <c r="E96" s="133"/>
      <c r="F96" s="133"/>
      <c r="G96" s="173"/>
      <c r="H96" s="142"/>
      <c r="I96" s="133"/>
      <c r="J96" s="133"/>
      <c r="K96" s="133"/>
      <c r="L96" s="173"/>
      <c r="M96" s="133"/>
      <c r="N96" s="133"/>
      <c r="O96" s="133"/>
      <c r="P96" s="133"/>
      <c r="Q96" s="133"/>
      <c r="R96" s="133"/>
      <c r="S96" s="173"/>
      <c r="T96" s="142"/>
      <c r="U96" s="133"/>
      <c r="V96" s="133"/>
      <c r="W96" s="133"/>
      <c r="X96" s="173"/>
      <c r="Y96" s="133"/>
      <c r="Z96" s="133"/>
      <c r="AA96" s="133"/>
      <c r="AB96" s="133"/>
      <c r="AC96" s="133"/>
      <c r="AD96" s="133"/>
      <c r="AE96" s="173"/>
      <c r="AF96" s="142"/>
      <c r="AG96" s="133"/>
      <c r="AH96" s="133"/>
      <c r="AI96" s="133"/>
      <c r="AJ96" s="173"/>
      <c r="AK96" s="133"/>
      <c r="AL96" s="142"/>
      <c r="AM96" s="21"/>
      <c r="AN96" s="19"/>
    </row>
    <row r="97" spans="2:40">
      <c r="B97" s="133"/>
      <c r="C97" s="133"/>
      <c r="D97" s="133"/>
      <c r="E97" s="133"/>
      <c r="F97" s="133"/>
      <c r="G97" s="173"/>
      <c r="H97" s="142"/>
      <c r="I97" s="133"/>
      <c r="J97" s="133"/>
      <c r="K97" s="133"/>
      <c r="L97" s="173"/>
      <c r="M97" s="133"/>
      <c r="N97" s="133"/>
      <c r="O97" s="133"/>
      <c r="P97" s="133"/>
      <c r="Q97" s="133"/>
      <c r="R97" s="133"/>
      <c r="S97" s="173"/>
      <c r="T97" s="142"/>
      <c r="U97" s="133"/>
      <c r="V97" s="133"/>
      <c r="W97" s="133"/>
      <c r="X97" s="173"/>
      <c r="Y97" s="133"/>
      <c r="Z97" s="133"/>
      <c r="AA97" s="133"/>
      <c r="AB97" s="133"/>
      <c r="AC97" s="133"/>
      <c r="AD97" s="133"/>
      <c r="AE97" s="173"/>
      <c r="AF97" s="142"/>
      <c r="AG97" s="133"/>
      <c r="AH97" s="133"/>
      <c r="AI97" s="133"/>
      <c r="AJ97" s="173"/>
      <c r="AK97" s="133"/>
      <c r="AL97" s="142"/>
      <c r="AM97" s="21"/>
      <c r="AN97" s="19"/>
    </row>
    <row r="98" spans="2:40">
      <c r="B98" s="133"/>
      <c r="C98" s="133"/>
      <c r="D98" s="133"/>
      <c r="E98" s="133"/>
      <c r="F98" s="133"/>
      <c r="G98" s="173"/>
      <c r="H98" s="142"/>
      <c r="I98" s="133"/>
      <c r="J98" s="133"/>
      <c r="K98" s="133"/>
      <c r="L98" s="173"/>
      <c r="M98" s="133"/>
      <c r="N98" s="133"/>
      <c r="O98" s="133"/>
      <c r="P98" s="133"/>
      <c r="Q98" s="133"/>
      <c r="R98" s="133"/>
      <c r="S98" s="173"/>
      <c r="T98" s="142"/>
      <c r="U98" s="133"/>
      <c r="V98" s="133"/>
      <c r="W98" s="133"/>
      <c r="X98" s="173"/>
      <c r="Y98" s="133"/>
      <c r="Z98" s="133"/>
      <c r="AA98" s="133"/>
      <c r="AB98" s="133"/>
      <c r="AC98" s="133"/>
      <c r="AD98" s="133"/>
      <c r="AE98" s="173"/>
      <c r="AF98" s="142"/>
      <c r="AG98" s="133"/>
      <c r="AH98" s="133"/>
      <c r="AI98" s="133"/>
      <c r="AJ98" s="173"/>
      <c r="AK98" s="133"/>
      <c r="AL98" s="142"/>
      <c r="AM98" s="21"/>
      <c r="AN98" s="19"/>
    </row>
    <row r="99" spans="2:40">
      <c r="B99" s="133"/>
      <c r="C99" s="133"/>
      <c r="D99" s="133"/>
      <c r="E99" s="133"/>
      <c r="F99" s="133"/>
      <c r="G99" s="173"/>
      <c r="H99" s="142"/>
      <c r="I99" s="133"/>
      <c r="J99" s="133"/>
      <c r="K99" s="133"/>
      <c r="L99" s="173"/>
      <c r="M99" s="133"/>
      <c r="N99" s="133"/>
      <c r="O99" s="133"/>
      <c r="P99" s="133"/>
      <c r="Q99" s="133"/>
      <c r="R99" s="133"/>
      <c r="S99" s="173"/>
      <c r="T99" s="142"/>
      <c r="U99" s="133"/>
      <c r="V99" s="133"/>
      <c r="W99" s="133"/>
      <c r="X99" s="173"/>
      <c r="Y99" s="133"/>
      <c r="Z99" s="133"/>
      <c r="AA99" s="133"/>
      <c r="AB99" s="133"/>
      <c r="AC99" s="133"/>
      <c r="AD99" s="133"/>
      <c r="AE99" s="173"/>
      <c r="AF99" s="142"/>
      <c r="AG99" s="133"/>
      <c r="AH99" s="133"/>
      <c r="AI99" s="133"/>
      <c r="AJ99" s="173"/>
      <c r="AK99" s="133"/>
      <c r="AL99" s="142"/>
      <c r="AM99" s="21"/>
      <c r="AN99" s="19"/>
    </row>
    <row r="100" spans="2:40">
      <c r="B100" s="133"/>
      <c r="C100" s="133"/>
      <c r="D100" s="133"/>
      <c r="E100" s="133"/>
      <c r="F100" s="133"/>
      <c r="G100" s="173"/>
      <c r="H100" s="142"/>
      <c r="I100" s="133"/>
      <c r="J100" s="133"/>
      <c r="K100" s="133"/>
      <c r="L100" s="173"/>
      <c r="M100" s="133"/>
      <c r="N100" s="133"/>
      <c r="O100" s="133"/>
      <c r="P100" s="133"/>
      <c r="Q100" s="133"/>
      <c r="R100" s="133"/>
      <c r="S100" s="173"/>
      <c r="T100" s="142"/>
      <c r="U100" s="133"/>
      <c r="V100" s="133"/>
      <c r="W100" s="133"/>
      <c r="X100" s="173"/>
      <c r="Y100" s="133"/>
      <c r="Z100" s="133"/>
      <c r="AA100" s="133"/>
      <c r="AB100" s="133"/>
      <c r="AC100" s="133"/>
      <c r="AD100" s="133"/>
      <c r="AE100" s="173"/>
      <c r="AF100" s="142"/>
      <c r="AG100" s="133"/>
      <c r="AH100" s="133"/>
      <c r="AI100" s="133"/>
      <c r="AJ100" s="173"/>
      <c r="AK100" s="133"/>
      <c r="AL100" s="142"/>
      <c r="AM100" s="21"/>
      <c r="AN100" s="19"/>
    </row>
    <row r="101" spans="2:40">
      <c r="B101" s="133"/>
      <c r="C101" s="133"/>
      <c r="D101" s="133"/>
      <c r="E101" s="133"/>
      <c r="F101" s="133"/>
      <c r="G101" s="173"/>
      <c r="H101" s="142"/>
      <c r="I101" s="133"/>
      <c r="J101" s="133"/>
      <c r="K101" s="133"/>
      <c r="L101" s="173"/>
      <c r="M101" s="133"/>
      <c r="N101" s="133"/>
      <c r="O101" s="133"/>
      <c r="P101" s="133"/>
      <c r="Q101" s="133"/>
      <c r="R101" s="133"/>
      <c r="S101" s="173"/>
      <c r="T101" s="142"/>
      <c r="U101" s="133"/>
      <c r="V101" s="133"/>
      <c r="W101" s="133"/>
      <c r="X101" s="173"/>
      <c r="Y101" s="133"/>
      <c r="Z101" s="133"/>
      <c r="AA101" s="133"/>
      <c r="AB101" s="133"/>
      <c r="AC101" s="133"/>
      <c r="AD101" s="133"/>
      <c r="AE101" s="173"/>
      <c r="AF101" s="142"/>
      <c r="AG101" s="133"/>
      <c r="AH101" s="133"/>
      <c r="AI101" s="133"/>
      <c r="AJ101" s="173"/>
      <c r="AK101" s="133"/>
      <c r="AL101" s="142"/>
      <c r="AM101" s="21"/>
      <c r="AN101" s="19"/>
    </row>
    <row r="102" spans="2:40">
      <c r="B102" s="133"/>
      <c r="C102" s="133"/>
      <c r="D102" s="133"/>
      <c r="E102" s="133"/>
      <c r="F102" s="133"/>
      <c r="G102" s="173"/>
      <c r="H102" s="142"/>
      <c r="I102" s="133"/>
      <c r="J102" s="133"/>
      <c r="K102" s="133"/>
      <c r="L102" s="173"/>
      <c r="M102" s="133"/>
      <c r="N102" s="133"/>
      <c r="O102" s="133"/>
      <c r="P102" s="133"/>
      <c r="Q102" s="133"/>
      <c r="R102" s="133"/>
      <c r="S102" s="173"/>
      <c r="T102" s="142"/>
      <c r="U102" s="133"/>
      <c r="V102" s="133"/>
      <c r="W102" s="133"/>
      <c r="X102" s="173"/>
      <c r="Y102" s="133"/>
      <c r="Z102" s="133"/>
      <c r="AA102" s="133"/>
      <c r="AB102" s="133"/>
      <c r="AC102" s="133"/>
      <c r="AD102" s="133"/>
      <c r="AE102" s="173"/>
      <c r="AF102" s="142"/>
      <c r="AG102" s="133"/>
      <c r="AH102" s="133"/>
      <c r="AI102" s="133"/>
      <c r="AJ102" s="173"/>
      <c r="AK102" s="133"/>
      <c r="AL102" s="142"/>
      <c r="AM102" s="21"/>
      <c r="AN102" s="19"/>
    </row>
    <row r="103" spans="2:40">
      <c r="B103" s="133"/>
      <c r="C103" s="133"/>
      <c r="D103" s="133"/>
      <c r="E103" s="133"/>
      <c r="F103" s="133"/>
      <c r="G103" s="173"/>
      <c r="H103" s="142"/>
      <c r="I103" s="133"/>
      <c r="J103" s="133"/>
      <c r="K103" s="133"/>
      <c r="L103" s="173"/>
      <c r="M103" s="133"/>
      <c r="N103" s="133"/>
      <c r="O103" s="133"/>
      <c r="P103" s="133"/>
      <c r="Q103" s="133"/>
      <c r="R103" s="133"/>
      <c r="S103" s="173"/>
      <c r="T103" s="142"/>
      <c r="U103" s="133"/>
      <c r="V103" s="133"/>
      <c r="W103" s="133"/>
      <c r="X103" s="173"/>
      <c r="Y103" s="133"/>
      <c r="Z103" s="133"/>
      <c r="AA103" s="133"/>
      <c r="AB103" s="133"/>
      <c r="AC103" s="133"/>
      <c r="AD103" s="133"/>
      <c r="AE103" s="173"/>
      <c r="AF103" s="142"/>
      <c r="AG103" s="133"/>
      <c r="AH103" s="133"/>
      <c r="AI103" s="133"/>
      <c r="AJ103" s="173"/>
      <c r="AK103" s="133"/>
      <c r="AL103" s="142"/>
      <c r="AM103" s="21"/>
      <c r="AN103" s="19"/>
    </row>
    <row r="104" spans="2:40">
      <c r="B104" s="133"/>
      <c r="C104" s="133"/>
      <c r="D104" s="133"/>
      <c r="E104" s="133"/>
      <c r="F104" s="133"/>
      <c r="G104" s="173"/>
      <c r="H104" s="142"/>
      <c r="I104" s="133"/>
      <c r="J104" s="133"/>
      <c r="K104" s="133"/>
      <c r="L104" s="173"/>
      <c r="M104" s="133"/>
      <c r="N104" s="133"/>
      <c r="O104" s="133"/>
      <c r="P104" s="133"/>
      <c r="Q104" s="133"/>
      <c r="R104" s="133"/>
      <c r="S104" s="173"/>
      <c r="T104" s="142"/>
      <c r="U104" s="133"/>
      <c r="V104" s="133"/>
      <c r="W104" s="133"/>
      <c r="X104" s="173"/>
      <c r="Y104" s="133"/>
      <c r="Z104" s="133"/>
      <c r="AA104" s="133"/>
      <c r="AB104" s="133"/>
      <c r="AC104" s="133"/>
      <c r="AD104" s="133"/>
      <c r="AE104" s="173"/>
      <c r="AF104" s="142"/>
      <c r="AG104" s="133"/>
      <c r="AH104" s="133"/>
      <c r="AI104" s="133"/>
      <c r="AJ104" s="173"/>
      <c r="AK104" s="133"/>
      <c r="AL104" s="142"/>
      <c r="AM104" s="21"/>
      <c r="AN104" s="19"/>
    </row>
    <row r="105" spans="2:40">
      <c r="B105" s="133"/>
      <c r="C105" s="133"/>
      <c r="D105" s="133"/>
      <c r="E105" s="133"/>
      <c r="F105" s="133"/>
      <c r="G105" s="173"/>
      <c r="H105" s="142"/>
      <c r="I105" s="133"/>
      <c r="J105" s="133"/>
      <c r="K105" s="133"/>
      <c r="L105" s="173"/>
      <c r="M105" s="133"/>
      <c r="N105" s="133"/>
      <c r="O105" s="133"/>
      <c r="P105" s="133"/>
      <c r="Q105" s="133"/>
      <c r="R105" s="133"/>
      <c r="S105" s="173"/>
      <c r="T105" s="142"/>
      <c r="U105" s="133"/>
      <c r="V105" s="133"/>
      <c r="W105" s="133"/>
      <c r="X105" s="173"/>
      <c r="Y105" s="133"/>
      <c r="Z105" s="133"/>
      <c r="AA105" s="133"/>
      <c r="AB105" s="133"/>
      <c r="AC105" s="133"/>
      <c r="AD105" s="133"/>
      <c r="AE105" s="173"/>
      <c r="AF105" s="142"/>
      <c r="AG105" s="133"/>
      <c r="AH105" s="133"/>
      <c r="AI105" s="133"/>
      <c r="AJ105" s="173"/>
      <c r="AK105" s="133"/>
      <c r="AL105" s="142"/>
      <c r="AM105" s="21"/>
      <c r="AN105" s="19"/>
    </row>
    <row r="106" spans="2:40">
      <c r="B106" s="133"/>
      <c r="C106" s="133"/>
      <c r="D106" s="133"/>
      <c r="E106" s="133"/>
      <c r="F106" s="133"/>
      <c r="G106" s="173"/>
      <c r="H106" s="142"/>
      <c r="I106" s="133"/>
      <c r="J106" s="133"/>
      <c r="K106" s="133"/>
      <c r="L106" s="173"/>
      <c r="M106" s="133"/>
      <c r="N106" s="133"/>
      <c r="O106" s="133"/>
      <c r="P106" s="133"/>
      <c r="Q106" s="133"/>
      <c r="R106" s="133"/>
      <c r="S106" s="173"/>
      <c r="T106" s="142"/>
      <c r="U106" s="133"/>
      <c r="V106" s="133"/>
      <c r="W106" s="133"/>
      <c r="X106" s="173"/>
      <c r="Y106" s="133"/>
      <c r="Z106" s="133"/>
      <c r="AA106" s="133"/>
      <c r="AB106" s="133"/>
      <c r="AC106" s="133"/>
      <c r="AD106" s="133"/>
      <c r="AE106" s="173"/>
      <c r="AF106" s="142"/>
      <c r="AG106" s="133"/>
      <c r="AH106" s="133"/>
      <c r="AI106" s="133"/>
      <c r="AJ106" s="173"/>
      <c r="AK106" s="133"/>
      <c r="AL106" s="142"/>
      <c r="AM106" s="21"/>
      <c r="AN106" s="19"/>
    </row>
    <row r="107" spans="2:40">
      <c r="B107" s="133"/>
      <c r="C107" s="133"/>
      <c r="D107" s="133"/>
      <c r="E107" s="133"/>
      <c r="F107" s="133"/>
      <c r="G107" s="173"/>
      <c r="H107" s="142"/>
      <c r="I107" s="133"/>
      <c r="J107" s="133"/>
      <c r="K107" s="133"/>
      <c r="L107" s="173"/>
      <c r="M107" s="133"/>
      <c r="N107" s="133"/>
      <c r="O107" s="133"/>
      <c r="P107" s="133"/>
      <c r="Q107" s="133"/>
      <c r="R107" s="133"/>
      <c r="S107" s="173"/>
      <c r="T107" s="142"/>
      <c r="U107" s="133"/>
      <c r="V107" s="133"/>
      <c r="W107" s="133"/>
      <c r="X107" s="173"/>
      <c r="Y107" s="133"/>
      <c r="Z107" s="133"/>
      <c r="AA107" s="133"/>
      <c r="AB107" s="133"/>
      <c r="AC107" s="133"/>
      <c r="AD107" s="133"/>
      <c r="AE107" s="173"/>
      <c r="AF107" s="142"/>
      <c r="AG107" s="133"/>
      <c r="AH107" s="133"/>
      <c r="AI107" s="133"/>
      <c r="AJ107" s="173"/>
      <c r="AK107" s="133"/>
      <c r="AL107" s="142"/>
      <c r="AM107" s="21"/>
      <c r="AN107" s="19"/>
    </row>
    <row r="108" spans="2:40">
      <c r="B108" s="133"/>
      <c r="C108" s="133"/>
      <c r="D108" s="133"/>
      <c r="E108" s="133"/>
      <c r="F108" s="133"/>
      <c r="G108" s="173"/>
      <c r="H108" s="142"/>
      <c r="I108" s="133"/>
      <c r="J108" s="133"/>
      <c r="K108" s="133"/>
      <c r="L108" s="173"/>
      <c r="M108" s="133"/>
      <c r="N108" s="133"/>
      <c r="O108" s="133"/>
      <c r="P108" s="133"/>
      <c r="Q108" s="133"/>
      <c r="R108" s="133"/>
      <c r="S108" s="173"/>
      <c r="T108" s="142"/>
      <c r="U108" s="133"/>
      <c r="V108" s="133"/>
      <c r="W108" s="133"/>
      <c r="X108" s="173"/>
      <c r="Y108" s="133"/>
      <c r="Z108" s="133"/>
      <c r="AA108" s="133"/>
      <c r="AB108" s="133"/>
      <c r="AC108" s="133"/>
      <c r="AD108" s="133"/>
      <c r="AE108" s="173"/>
      <c r="AF108" s="142"/>
      <c r="AG108" s="133"/>
      <c r="AH108" s="133"/>
      <c r="AI108" s="133"/>
      <c r="AJ108" s="173"/>
      <c r="AK108" s="133"/>
      <c r="AL108" s="142"/>
      <c r="AM108" s="21"/>
      <c r="AN108" s="19"/>
    </row>
    <row r="109" spans="2:40">
      <c r="B109" s="133"/>
      <c r="C109" s="133"/>
      <c r="D109" s="133"/>
      <c r="E109" s="133"/>
      <c r="F109" s="133"/>
      <c r="G109" s="173"/>
      <c r="H109" s="142"/>
      <c r="I109" s="133"/>
      <c r="J109" s="133"/>
      <c r="K109" s="133"/>
      <c r="L109" s="173"/>
      <c r="M109" s="133"/>
      <c r="N109" s="133"/>
      <c r="O109" s="133"/>
      <c r="P109" s="133"/>
      <c r="Q109" s="133"/>
      <c r="R109" s="133"/>
      <c r="S109" s="173"/>
      <c r="T109" s="142"/>
      <c r="U109" s="133"/>
      <c r="V109" s="133"/>
      <c r="W109" s="133"/>
      <c r="X109" s="173"/>
      <c r="Y109" s="133"/>
      <c r="Z109" s="133"/>
      <c r="AA109" s="133"/>
      <c r="AB109" s="133"/>
      <c r="AC109" s="133"/>
      <c r="AD109" s="133"/>
      <c r="AE109" s="173"/>
      <c r="AF109" s="142"/>
      <c r="AG109" s="133"/>
      <c r="AH109" s="133"/>
      <c r="AI109" s="133"/>
      <c r="AJ109" s="173"/>
      <c r="AK109" s="133"/>
      <c r="AL109" s="142"/>
      <c r="AM109" s="21"/>
      <c r="AN109" s="19"/>
    </row>
    <row r="110" spans="2:40">
      <c r="B110" s="133"/>
      <c r="C110" s="133"/>
      <c r="D110" s="133"/>
      <c r="E110" s="133"/>
      <c r="F110" s="133"/>
      <c r="G110" s="173"/>
      <c r="H110" s="142"/>
      <c r="I110" s="133"/>
      <c r="J110" s="133"/>
      <c r="K110" s="133"/>
      <c r="L110" s="173"/>
      <c r="M110" s="133"/>
      <c r="N110" s="133"/>
      <c r="O110" s="133"/>
      <c r="P110" s="133"/>
      <c r="Q110" s="133"/>
      <c r="R110" s="133"/>
      <c r="S110" s="173"/>
      <c r="T110" s="142"/>
      <c r="U110" s="133"/>
      <c r="V110" s="133"/>
      <c r="W110" s="133"/>
      <c r="X110" s="173"/>
      <c r="Y110" s="133"/>
      <c r="Z110" s="133"/>
      <c r="AA110" s="133"/>
      <c r="AB110" s="133"/>
      <c r="AC110" s="133"/>
      <c r="AD110" s="133"/>
      <c r="AE110" s="173"/>
      <c r="AF110" s="142"/>
      <c r="AG110" s="133"/>
      <c r="AH110" s="133"/>
      <c r="AI110" s="133"/>
      <c r="AJ110" s="173"/>
      <c r="AK110" s="133"/>
      <c r="AL110" s="142"/>
      <c r="AM110" s="21"/>
      <c r="AN110" s="19"/>
    </row>
    <row r="111" spans="2:40">
      <c r="B111" s="133"/>
      <c r="C111" s="133"/>
      <c r="D111" s="133"/>
      <c r="E111" s="133"/>
      <c r="F111" s="133"/>
      <c r="G111" s="173"/>
      <c r="H111" s="142"/>
      <c r="I111" s="133"/>
      <c r="J111" s="133"/>
      <c r="K111" s="133"/>
      <c r="L111" s="173"/>
      <c r="M111" s="133"/>
      <c r="N111" s="133"/>
      <c r="O111" s="133"/>
      <c r="P111" s="133"/>
      <c r="Q111" s="133"/>
      <c r="R111" s="133"/>
      <c r="S111" s="173"/>
      <c r="T111" s="142"/>
      <c r="U111" s="133"/>
      <c r="V111" s="133"/>
      <c r="W111" s="133"/>
      <c r="X111" s="173"/>
      <c r="Y111" s="133"/>
      <c r="Z111" s="133"/>
      <c r="AA111" s="133"/>
      <c r="AB111" s="133"/>
      <c r="AC111" s="133"/>
      <c r="AD111" s="133"/>
      <c r="AE111" s="173"/>
      <c r="AF111" s="142"/>
      <c r="AG111" s="133"/>
      <c r="AH111" s="133"/>
      <c r="AI111" s="133"/>
      <c r="AJ111" s="173"/>
      <c r="AK111" s="133"/>
      <c r="AL111" s="142"/>
      <c r="AM111" s="21"/>
      <c r="AN111" s="19"/>
    </row>
    <row r="112" spans="2:40">
      <c r="B112" s="133"/>
      <c r="C112" s="133"/>
      <c r="D112" s="133"/>
      <c r="E112" s="133"/>
      <c r="F112" s="133"/>
      <c r="G112" s="173"/>
      <c r="H112" s="142"/>
      <c r="I112" s="133"/>
      <c r="J112" s="133"/>
      <c r="K112" s="133"/>
      <c r="L112" s="173"/>
      <c r="M112" s="133"/>
      <c r="N112" s="133"/>
      <c r="O112" s="133"/>
      <c r="P112" s="133"/>
      <c r="Q112" s="133"/>
      <c r="R112" s="133"/>
      <c r="S112" s="173"/>
      <c r="T112" s="142"/>
      <c r="U112" s="133"/>
      <c r="V112" s="133"/>
      <c r="W112" s="133"/>
      <c r="X112" s="173"/>
      <c r="Y112" s="133"/>
      <c r="Z112" s="133"/>
      <c r="AA112" s="133"/>
      <c r="AB112" s="133"/>
      <c r="AC112" s="133"/>
      <c r="AD112" s="133"/>
      <c r="AE112" s="173"/>
      <c r="AF112" s="142"/>
      <c r="AG112" s="133"/>
      <c r="AH112" s="133"/>
      <c r="AI112" s="133"/>
      <c r="AJ112" s="173"/>
      <c r="AK112" s="133"/>
      <c r="AL112" s="142"/>
      <c r="AM112" s="21"/>
      <c r="AN112" s="19"/>
    </row>
    <row r="113" spans="2:40">
      <c r="B113" s="133"/>
      <c r="C113" s="133"/>
      <c r="D113" s="133"/>
      <c r="E113" s="133"/>
      <c r="F113" s="133"/>
      <c r="G113" s="173"/>
      <c r="H113" s="142"/>
      <c r="I113" s="133"/>
      <c r="J113" s="133"/>
      <c r="K113" s="133"/>
      <c r="L113" s="173"/>
      <c r="M113" s="133"/>
      <c r="N113" s="133"/>
      <c r="O113" s="133"/>
      <c r="P113" s="133"/>
      <c r="Q113" s="133"/>
      <c r="R113" s="133"/>
      <c r="S113" s="173"/>
      <c r="T113" s="142"/>
      <c r="U113" s="133"/>
      <c r="V113" s="133"/>
      <c r="W113" s="133"/>
      <c r="X113" s="173"/>
      <c r="Y113" s="133"/>
      <c r="Z113" s="133"/>
      <c r="AA113" s="133"/>
      <c r="AB113" s="133"/>
      <c r="AC113" s="133"/>
      <c r="AD113" s="133"/>
      <c r="AE113" s="173"/>
      <c r="AF113" s="142"/>
      <c r="AG113" s="133"/>
      <c r="AH113" s="133"/>
      <c r="AI113" s="133"/>
      <c r="AJ113" s="173"/>
      <c r="AK113" s="133"/>
      <c r="AL113" s="142"/>
      <c r="AM113" s="21"/>
      <c r="AN113" s="19"/>
    </row>
    <row r="114" spans="2:40">
      <c r="B114" s="133"/>
      <c r="C114" s="133"/>
      <c r="D114" s="133"/>
      <c r="E114" s="133"/>
      <c r="F114" s="133"/>
      <c r="G114" s="173"/>
      <c r="H114" s="142"/>
      <c r="I114" s="133"/>
      <c r="J114" s="133"/>
      <c r="K114" s="133"/>
      <c r="L114" s="173"/>
      <c r="M114" s="133"/>
      <c r="N114" s="133"/>
      <c r="O114" s="133"/>
      <c r="P114" s="133"/>
      <c r="Q114" s="133"/>
      <c r="R114" s="133"/>
      <c r="S114" s="173"/>
      <c r="T114" s="142"/>
      <c r="U114" s="133"/>
      <c r="V114" s="133"/>
      <c r="W114" s="133"/>
      <c r="X114" s="173"/>
      <c r="Y114" s="133"/>
      <c r="Z114" s="133"/>
      <c r="AA114" s="133"/>
      <c r="AB114" s="133"/>
      <c r="AC114" s="133"/>
      <c r="AD114" s="133"/>
      <c r="AE114" s="173"/>
      <c r="AF114" s="142"/>
      <c r="AG114" s="133"/>
      <c r="AH114" s="133"/>
      <c r="AI114" s="133"/>
      <c r="AJ114" s="173"/>
      <c r="AK114" s="133"/>
      <c r="AL114" s="142"/>
      <c r="AM114" s="21"/>
      <c r="AN114" s="19"/>
    </row>
    <row r="115" spans="2:40">
      <c r="B115" s="133"/>
      <c r="C115" s="133"/>
      <c r="D115" s="133"/>
      <c r="E115" s="133"/>
      <c r="F115" s="133"/>
      <c r="G115" s="173"/>
      <c r="H115" s="142"/>
      <c r="I115" s="133"/>
      <c r="J115" s="133"/>
      <c r="K115" s="133"/>
      <c r="L115" s="173"/>
      <c r="M115" s="133"/>
      <c r="N115" s="133"/>
      <c r="O115" s="133"/>
      <c r="P115" s="133"/>
      <c r="Q115" s="133"/>
      <c r="R115" s="133"/>
      <c r="S115" s="173"/>
      <c r="T115" s="142"/>
      <c r="U115" s="133"/>
      <c r="V115" s="133"/>
      <c r="W115" s="133"/>
      <c r="X115" s="173"/>
      <c r="Y115" s="133"/>
      <c r="Z115" s="133"/>
      <c r="AA115" s="133"/>
      <c r="AB115" s="133"/>
      <c r="AC115" s="133"/>
      <c r="AD115" s="133"/>
      <c r="AE115" s="173"/>
      <c r="AF115" s="142"/>
      <c r="AG115" s="133"/>
      <c r="AH115" s="133"/>
      <c r="AI115" s="133"/>
      <c r="AJ115" s="173"/>
      <c r="AK115" s="133"/>
      <c r="AL115" s="142"/>
      <c r="AM115" s="21"/>
      <c r="AN115" s="19"/>
    </row>
    <row r="116" spans="2:40">
      <c r="B116" s="133"/>
      <c r="C116" s="133"/>
      <c r="D116" s="133"/>
      <c r="E116" s="133"/>
      <c r="F116" s="133"/>
      <c r="G116" s="173"/>
      <c r="H116" s="142"/>
      <c r="I116" s="133"/>
      <c r="J116" s="133"/>
      <c r="K116" s="133"/>
      <c r="L116" s="173"/>
      <c r="M116" s="133"/>
      <c r="N116" s="133"/>
      <c r="O116" s="133"/>
      <c r="P116" s="133"/>
      <c r="Q116" s="133"/>
      <c r="R116" s="133"/>
      <c r="S116" s="173"/>
      <c r="T116" s="142"/>
      <c r="U116" s="133"/>
      <c r="V116" s="133"/>
      <c r="W116" s="133"/>
      <c r="X116" s="173"/>
      <c r="Y116" s="133"/>
      <c r="Z116" s="133"/>
      <c r="AA116" s="133"/>
      <c r="AB116" s="133"/>
      <c r="AC116" s="133"/>
      <c r="AD116" s="133"/>
      <c r="AE116" s="173"/>
      <c r="AF116" s="142"/>
      <c r="AG116" s="133"/>
      <c r="AH116" s="133"/>
      <c r="AI116" s="133"/>
      <c r="AJ116" s="173"/>
      <c r="AK116" s="133"/>
      <c r="AL116" s="142"/>
      <c r="AM116" s="21"/>
      <c r="AN116" s="19"/>
    </row>
    <row r="117" spans="2:40">
      <c r="B117" s="133"/>
      <c r="C117" s="133"/>
      <c r="D117" s="133"/>
      <c r="E117" s="133"/>
      <c r="F117" s="133"/>
      <c r="G117" s="173"/>
      <c r="H117" s="142"/>
      <c r="I117" s="133"/>
      <c r="J117" s="133"/>
      <c r="K117" s="133"/>
      <c r="L117" s="173"/>
      <c r="M117" s="133"/>
      <c r="N117" s="133"/>
      <c r="O117" s="133"/>
      <c r="P117" s="133"/>
      <c r="Q117" s="133"/>
      <c r="R117" s="133"/>
      <c r="S117" s="173"/>
      <c r="T117" s="142"/>
      <c r="U117" s="133"/>
      <c r="V117" s="133"/>
      <c r="W117" s="133"/>
      <c r="X117" s="173"/>
      <c r="Y117" s="133"/>
      <c r="Z117" s="133"/>
      <c r="AA117" s="133"/>
      <c r="AB117" s="133"/>
      <c r="AC117" s="133"/>
      <c r="AD117" s="133"/>
      <c r="AE117" s="173"/>
      <c r="AF117" s="142"/>
      <c r="AG117" s="133"/>
      <c r="AH117" s="133"/>
      <c r="AI117" s="133"/>
      <c r="AJ117" s="173"/>
      <c r="AK117" s="133"/>
      <c r="AL117" s="142"/>
      <c r="AM117" s="21"/>
      <c r="AN117" s="19"/>
    </row>
    <row r="118" spans="2:40">
      <c r="B118" s="133"/>
      <c r="C118" s="133"/>
      <c r="D118" s="133"/>
      <c r="E118" s="133"/>
      <c r="F118" s="133"/>
      <c r="G118" s="173"/>
      <c r="H118" s="142"/>
      <c r="I118" s="133"/>
      <c r="J118" s="133"/>
      <c r="K118" s="133"/>
      <c r="L118" s="173"/>
      <c r="M118" s="133"/>
      <c r="N118" s="133"/>
      <c r="O118" s="133"/>
      <c r="P118" s="133"/>
      <c r="Q118" s="133"/>
      <c r="R118" s="133"/>
      <c r="S118" s="173"/>
      <c r="T118" s="142"/>
      <c r="U118" s="133"/>
      <c r="V118" s="133"/>
      <c r="W118" s="133"/>
      <c r="X118" s="173"/>
      <c r="Y118" s="133"/>
      <c r="Z118" s="133"/>
      <c r="AA118" s="133"/>
      <c r="AB118" s="133"/>
      <c r="AC118" s="133"/>
      <c r="AD118" s="133"/>
      <c r="AE118" s="173"/>
      <c r="AF118" s="142"/>
      <c r="AG118" s="133"/>
      <c r="AH118" s="133"/>
      <c r="AI118" s="133"/>
      <c r="AJ118" s="173"/>
      <c r="AK118" s="133"/>
      <c r="AL118" s="142"/>
      <c r="AM118" s="21"/>
      <c r="AN118" s="19"/>
    </row>
    <row r="119" spans="2:40">
      <c r="B119" s="133"/>
      <c r="C119" s="133"/>
      <c r="D119" s="133"/>
      <c r="E119" s="133"/>
      <c r="F119" s="133"/>
      <c r="G119" s="173"/>
      <c r="H119" s="142"/>
      <c r="I119" s="133"/>
      <c r="J119" s="133"/>
      <c r="K119" s="133"/>
      <c r="L119" s="173"/>
      <c r="M119" s="133"/>
      <c r="N119" s="133"/>
      <c r="O119" s="133"/>
      <c r="P119" s="133"/>
      <c r="Q119" s="133"/>
      <c r="R119" s="133"/>
      <c r="S119" s="173"/>
      <c r="T119" s="142"/>
      <c r="U119" s="133"/>
      <c r="V119" s="133"/>
      <c r="W119" s="133"/>
      <c r="X119" s="173"/>
      <c r="Y119" s="133"/>
      <c r="Z119" s="133"/>
      <c r="AA119" s="133"/>
      <c r="AB119" s="133"/>
      <c r="AC119" s="133"/>
      <c r="AD119" s="133"/>
      <c r="AE119" s="173"/>
      <c r="AF119" s="142"/>
      <c r="AG119" s="133"/>
      <c r="AH119" s="133"/>
      <c r="AI119" s="133"/>
      <c r="AJ119" s="173"/>
      <c r="AK119" s="133"/>
      <c r="AL119" s="142"/>
      <c r="AM119" s="21"/>
      <c r="AN119" s="19"/>
    </row>
    <row r="120" spans="2:40">
      <c r="B120" s="133"/>
      <c r="C120" s="133"/>
      <c r="D120" s="133"/>
      <c r="E120" s="133"/>
      <c r="F120" s="133"/>
      <c r="G120" s="173"/>
      <c r="H120" s="142"/>
      <c r="I120" s="133"/>
      <c r="J120" s="133"/>
      <c r="K120" s="133"/>
      <c r="L120" s="173"/>
      <c r="M120" s="133"/>
      <c r="N120" s="133"/>
      <c r="O120" s="133"/>
      <c r="P120" s="133"/>
      <c r="Q120" s="133"/>
      <c r="R120" s="133"/>
      <c r="S120" s="173"/>
      <c r="T120" s="142"/>
      <c r="U120" s="133"/>
      <c r="V120" s="133"/>
      <c r="W120" s="133"/>
      <c r="X120" s="173"/>
      <c r="Y120" s="133"/>
      <c r="Z120" s="133"/>
      <c r="AA120" s="133"/>
      <c r="AB120" s="133"/>
      <c r="AC120" s="133"/>
      <c r="AD120" s="133"/>
      <c r="AE120" s="173"/>
      <c r="AF120" s="142"/>
      <c r="AG120" s="133"/>
      <c r="AH120" s="133"/>
      <c r="AI120" s="133"/>
      <c r="AJ120" s="173"/>
      <c r="AK120" s="133"/>
      <c r="AL120" s="142"/>
      <c r="AM120" s="21"/>
      <c r="AN120" s="19"/>
    </row>
    <row r="121" spans="2:40">
      <c r="B121" s="133"/>
      <c r="C121" s="133"/>
      <c r="D121" s="133"/>
      <c r="E121" s="133"/>
      <c r="F121" s="133"/>
      <c r="G121" s="173"/>
      <c r="H121" s="142"/>
      <c r="I121" s="133"/>
      <c r="J121" s="133"/>
      <c r="K121" s="133"/>
      <c r="L121" s="173"/>
      <c r="M121" s="133"/>
      <c r="N121" s="133"/>
      <c r="O121" s="133"/>
      <c r="P121" s="133"/>
      <c r="Q121" s="133"/>
      <c r="R121" s="133"/>
      <c r="S121" s="173"/>
      <c r="T121" s="142"/>
      <c r="U121" s="133"/>
      <c r="V121" s="133"/>
      <c r="W121" s="133"/>
      <c r="X121" s="173"/>
      <c r="Y121" s="133"/>
      <c r="Z121" s="133"/>
      <c r="AA121" s="133"/>
      <c r="AB121" s="133"/>
      <c r="AC121" s="133"/>
      <c r="AD121" s="133"/>
      <c r="AE121" s="173"/>
      <c r="AF121" s="142"/>
      <c r="AG121" s="133"/>
      <c r="AH121" s="133"/>
      <c r="AI121" s="133"/>
      <c r="AJ121" s="173"/>
      <c r="AK121" s="133"/>
      <c r="AL121" s="142"/>
      <c r="AM121" s="21"/>
      <c r="AN121" s="19"/>
    </row>
    <row r="122" spans="2:40">
      <c r="B122" s="133"/>
      <c r="C122" s="133"/>
      <c r="D122" s="133"/>
      <c r="E122" s="133"/>
      <c r="F122" s="133"/>
      <c r="G122" s="173"/>
      <c r="H122" s="142"/>
      <c r="I122" s="133"/>
      <c r="J122" s="133"/>
      <c r="K122" s="133"/>
      <c r="L122" s="173"/>
      <c r="M122" s="133"/>
      <c r="N122" s="133"/>
      <c r="O122" s="133"/>
      <c r="P122" s="133"/>
      <c r="Q122" s="133"/>
      <c r="R122" s="133"/>
      <c r="S122" s="173"/>
      <c r="T122" s="142"/>
      <c r="U122" s="133"/>
      <c r="V122" s="133"/>
      <c r="W122" s="133"/>
      <c r="X122" s="173"/>
      <c r="Y122" s="133"/>
      <c r="Z122" s="133"/>
      <c r="AA122" s="133"/>
      <c r="AB122" s="133"/>
      <c r="AC122" s="133"/>
      <c r="AD122" s="133"/>
      <c r="AE122" s="173"/>
      <c r="AF122" s="142"/>
      <c r="AG122" s="133"/>
      <c r="AH122" s="133"/>
      <c r="AI122" s="133"/>
      <c r="AJ122" s="173"/>
      <c r="AK122" s="133"/>
      <c r="AL122" s="142"/>
      <c r="AM122" s="21"/>
      <c r="AN122" s="19"/>
    </row>
    <row r="123" spans="2:40">
      <c r="B123" s="133"/>
      <c r="C123" s="133"/>
      <c r="D123" s="133"/>
      <c r="E123" s="133"/>
      <c r="F123" s="133"/>
      <c r="G123" s="173"/>
      <c r="H123" s="142"/>
      <c r="I123" s="133"/>
      <c r="J123" s="133"/>
      <c r="K123" s="133"/>
      <c r="L123" s="173"/>
      <c r="M123" s="133"/>
      <c r="N123" s="133"/>
      <c r="O123" s="133"/>
      <c r="P123" s="133"/>
      <c r="Q123" s="133"/>
      <c r="R123" s="133"/>
      <c r="S123" s="173"/>
      <c r="T123" s="142"/>
      <c r="U123" s="133"/>
      <c r="V123" s="133"/>
      <c r="W123" s="133"/>
      <c r="X123" s="173"/>
      <c r="Y123" s="133"/>
      <c r="Z123" s="133"/>
      <c r="AA123" s="133"/>
      <c r="AB123" s="133"/>
      <c r="AC123" s="133"/>
      <c r="AD123" s="133"/>
      <c r="AE123" s="173"/>
      <c r="AF123" s="142"/>
      <c r="AG123" s="133"/>
      <c r="AH123" s="133"/>
      <c r="AI123" s="133"/>
      <c r="AJ123" s="173"/>
      <c r="AK123" s="133"/>
      <c r="AL123" s="142"/>
      <c r="AM123" s="21"/>
      <c r="AN123" s="19"/>
    </row>
    <row r="124" spans="2:40">
      <c r="B124" s="133"/>
      <c r="C124" s="133"/>
      <c r="D124" s="133"/>
      <c r="E124" s="133"/>
      <c r="F124" s="133"/>
      <c r="G124" s="173"/>
      <c r="H124" s="142"/>
      <c r="I124" s="133"/>
      <c r="J124" s="133"/>
      <c r="K124" s="133"/>
      <c r="L124" s="173"/>
      <c r="M124" s="133"/>
      <c r="N124" s="133"/>
      <c r="O124" s="133"/>
      <c r="P124" s="133"/>
      <c r="Q124" s="133"/>
      <c r="R124" s="133"/>
      <c r="S124" s="173"/>
      <c r="T124" s="142"/>
      <c r="U124" s="133"/>
      <c r="V124" s="133"/>
      <c r="W124" s="133"/>
      <c r="X124" s="173"/>
      <c r="Y124" s="133"/>
      <c r="Z124" s="133"/>
      <c r="AA124" s="133"/>
      <c r="AB124" s="133"/>
      <c r="AC124" s="133"/>
      <c r="AD124" s="133"/>
      <c r="AE124" s="173"/>
      <c r="AF124" s="142"/>
      <c r="AG124" s="133"/>
      <c r="AH124" s="133"/>
      <c r="AI124" s="133"/>
      <c r="AJ124" s="173"/>
      <c r="AK124" s="133"/>
      <c r="AL124" s="142"/>
      <c r="AM124" s="21"/>
      <c r="AN124" s="19"/>
    </row>
    <row r="125" spans="2:40">
      <c r="B125" s="133"/>
      <c r="C125" s="133"/>
      <c r="D125" s="133"/>
      <c r="E125" s="133"/>
      <c r="F125" s="133"/>
      <c r="G125" s="173"/>
      <c r="H125" s="142"/>
      <c r="I125" s="133"/>
      <c r="J125" s="133"/>
      <c r="K125" s="133"/>
      <c r="L125" s="173"/>
      <c r="M125" s="133"/>
      <c r="N125" s="133"/>
      <c r="O125" s="133"/>
      <c r="P125" s="133"/>
      <c r="Q125" s="133"/>
      <c r="R125" s="133"/>
      <c r="S125" s="173"/>
      <c r="T125" s="142"/>
      <c r="U125" s="133"/>
      <c r="V125" s="133"/>
      <c r="W125" s="133"/>
      <c r="X125" s="173"/>
      <c r="Y125" s="133"/>
      <c r="Z125" s="133"/>
      <c r="AA125" s="133"/>
      <c r="AB125" s="133"/>
      <c r="AC125" s="133"/>
      <c r="AD125" s="133"/>
      <c r="AE125" s="173"/>
      <c r="AF125" s="142"/>
      <c r="AG125" s="133"/>
      <c r="AH125" s="133"/>
      <c r="AI125" s="133"/>
      <c r="AJ125" s="173"/>
      <c r="AK125" s="133"/>
      <c r="AL125" s="142"/>
      <c r="AM125" s="21"/>
      <c r="AN125" s="19"/>
    </row>
    <row r="126" spans="2:40">
      <c r="B126" s="133"/>
      <c r="C126" s="133"/>
      <c r="D126" s="133"/>
      <c r="E126" s="133"/>
      <c r="F126" s="133"/>
      <c r="G126" s="173"/>
      <c r="H126" s="142"/>
      <c r="I126" s="133"/>
      <c r="J126" s="133"/>
      <c r="K126" s="133"/>
      <c r="L126" s="173"/>
      <c r="M126" s="133"/>
      <c r="N126" s="133"/>
      <c r="O126" s="133"/>
      <c r="P126" s="133"/>
      <c r="Q126" s="133"/>
      <c r="R126" s="133"/>
      <c r="S126" s="173"/>
      <c r="T126" s="142"/>
      <c r="U126" s="133"/>
      <c r="V126" s="133"/>
      <c r="W126" s="133"/>
      <c r="X126" s="173"/>
      <c r="Y126" s="133"/>
      <c r="Z126" s="133"/>
      <c r="AA126" s="133"/>
      <c r="AB126" s="133"/>
      <c r="AC126" s="133"/>
      <c r="AD126" s="133"/>
      <c r="AE126" s="173"/>
      <c r="AF126" s="142"/>
      <c r="AG126" s="133"/>
      <c r="AH126" s="133"/>
      <c r="AI126" s="133"/>
      <c r="AJ126" s="173"/>
      <c r="AK126" s="133"/>
      <c r="AL126" s="142"/>
      <c r="AM126" s="21"/>
      <c r="AN126" s="19"/>
    </row>
    <row r="127" spans="2:40">
      <c r="B127" s="133"/>
      <c r="C127" s="133"/>
      <c r="D127" s="133"/>
      <c r="E127" s="133"/>
      <c r="F127" s="133"/>
      <c r="G127" s="173"/>
      <c r="H127" s="142"/>
      <c r="I127" s="133"/>
      <c r="J127" s="133"/>
      <c r="K127" s="133"/>
      <c r="L127" s="173"/>
      <c r="M127" s="133"/>
      <c r="N127" s="133"/>
      <c r="O127" s="133"/>
      <c r="P127" s="133"/>
      <c r="Q127" s="133"/>
      <c r="R127" s="133"/>
      <c r="S127" s="173"/>
      <c r="T127" s="142"/>
      <c r="U127" s="133"/>
      <c r="V127" s="133"/>
      <c r="W127" s="133"/>
      <c r="X127" s="173"/>
      <c r="Y127" s="133"/>
      <c r="Z127" s="133"/>
      <c r="AA127" s="133"/>
      <c r="AB127" s="133"/>
      <c r="AC127" s="133"/>
      <c r="AD127" s="133"/>
      <c r="AE127" s="173"/>
      <c r="AF127" s="142"/>
      <c r="AG127" s="133"/>
      <c r="AH127" s="133"/>
      <c r="AI127" s="133"/>
      <c r="AJ127" s="173"/>
      <c r="AK127" s="133"/>
      <c r="AL127" s="142"/>
      <c r="AM127" s="21"/>
      <c r="AN127" s="19"/>
    </row>
    <row r="128" spans="2:40">
      <c r="B128" s="133"/>
      <c r="C128" s="133"/>
      <c r="D128" s="133"/>
      <c r="E128" s="133"/>
      <c r="F128" s="133"/>
      <c r="G128" s="173"/>
      <c r="H128" s="142"/>
      <c r="I128" s="133"/>
      <c r="J128" s="133"/>
      <c r="K128" s="133"/>
      <c r="L128" s="173"/>
      <c r="M128" s="133"/>
      <c r="N128" s="133"/>
      <c r="O128" s="133"/>
      <c r="P128" s="133"/>
      <c r="Q128" s="133"/>
      <c r="R128" s="133"/>
      <c r="S128" s="173"/>
      <c r="T128" s="142"/>
      <c r="U128" s="133"/>
      <c r="V128" s="133"/>
      <c r="W128" s="133"/>
      <c r="X128" s="173"/>
      <c r="Y128" s="133"/>
      <c r="Z128" s="133"/>
      <c r="AA128" s="133"/>
      <c r="AB128" s="133"/>
      <c r="AC128" s="133"/>
      <c r="AD128" s="133"/>
      <c r="AE128" s="173"/>
      <c r="AF128" s="142"/>
      <c r="AG128" s="133"/>
      <c r="AH128" s="133"/>
      <c r="AI128" s="133"/>
      <c r="AJ128" s="173"/>
      <c r="AK128" s="133"/>
      <c r="AL128" s="142"/>
      <c r="AM128" s="21"/>
      <c r="AN128" s="19"/>
    </row>
    <row r="129" spans="1:40">
      <c r="B129" s="133"/>
      <c r="C129" s="133"/>
      <c r="D129" s="133"/>
      <c r="E129" s="133"/>
      <c r="F129" s="133"/>
      <c r="G129" s="173"/>
      <c r="H129" s="142"/>
      <c r="I129" s="133"/>
      <c r="J129" s="133"/>
      <c r="K129" s="133"/>
      <c r="L129" s="173"/>
      <c r="M129" s="133"/>
      <c r="N129" s="133"/>
      <c r="O129" s="133"/>
      <c r="P129" s="133"/>
      <c r="Q129" s="133"/>
      <c r="R129" s="133"/>
      <c r="S129" s="173"/>
      <c r="T129" s="142"/>
      <c r="U129" s="133"/>
      <c r="V129" s="133"/>
      <c r="W129" s="133"/>
      <c r="X129" s="173"/>
      <c r="Y129" s="133"/>
      <c r="Z129" s="133"/>
      <c r="AA129" s="133"/>
      <c r="AB129" s="133"/>
      <c r="AC129" s="133"/>
      <c r="AD129" s="133"/>
      <c r="AE129" s="173"/>
      <c r="AF129" s="142"/>
      <c r="AG129" s="133"/>
      <c r="AH129" s="133"/>
      <c r="AI129" s="133"/>
      <c r="AJ129" s="173"/>
      <c r="AK129" s="133"/>
      <c r="AL129" s="142"/>
      <c r="AM129" s="21"/>
      <c r="AN129" s="19"/>
    </row>
    <row r="130" spans="1:40">
      <c r="B130" s="133"/>
      <c r="C130" s="133"/>
      <c r="D130" s="133"/>
      <c r="E130" s="133"/>
      <c r="F130" s="133"/>
      <c r="G130" s="173"/>
      <c r="H130" s="142"/>
      <c r="I130" s="133"/>
      <c r="J130" s="133"/>
      <c r="K130" s="133"/>
      <c r="L130" s="173"/>
      <c r="M130" s="133"/>
      <c r="N130" s="133"/>
      <c r="O130" s="133"/>
      <c r="P130" s="133"/>
      <c r="Q130" s="133"/>
      <c r="R130" s="133"/>
      <c r="S130" s="173"/>
      <c r="T130" s="142"/>
      <c r="U130" s="133"/>
      <c r="V130" s="133"/>
      <c r="W130" s="133"/>
      <c r="X130" s="173"/>
      <c r="Y130" s="133"/>
      <c r="Z130" s="133"/>
      <c r="AA130" s="133"/>
      <c r="AB130" s="133"/>
      <c r="AC130" s="133"/>
      <c r="AD130" s="133"/>
      <c r="AE130" s="173"/>
      <c r="AF130" s="142"/>
      <c r="AG130" s="133"/>
      <c r="AH130" s="133"/>
      <c r="AI130" s="133"/>
      <c r="AJ130" s="173"/>
      <c r="AK130" s="133"/>
      <c r="AL130" s="142"/>
      <c r="AM130" s="21"/>
      <c r="AN130" s="19"/>
    </row>
    <row r="131" spans="1:40">
      <c r="B131" s="133"/>
      <c r="C131" s="133"/>
      <c r="D131" s="133"/>
      <c r="E131" s="133"/>
      <c r="F131" s="133"/>
      <c r="G131" s="173"/>
      <c r="H131" s="142"/>
      <c r="I131" s="133"/>
      <c r="J131" s="133"/>
      <c r="K131" s="133"/>
      <c r="L131" s="173"/>
      <c r="M131" s="133"/>
      <c r="N131" s="133"/>
      <c r="O131" s="133"/>
      <c r="P131" s="133"/>
      <c r="Q131" s="133"/>
      <c r="R131" s="133"/>
      <c r="S131" s="173"/>
      <c r="T131" s="142"/>
      <c r="U131" s="133"/>
      <c r="V131" s="133"/>
      <c r="W131" s="133"/>
      <c r="X131" s="173"/>
      <c r="Y131" s="133"/>
      <c r="Z131" s="133"/>
      <c r="AA131" s="133"/>
      <c r="AB131" s="133"/>
      <c r="AC131" s="133"/>
      <c r="AD131" s="133"/>
      <c r="AE131" s="173"/>
      <c r="AF131" s="142"/>
      <c r="AG131" s="133"/>
      <c r="AH131" s="133"/>
      <c r="AI131" s="133"/>
      <c r="AJ131" s="173"/>
      <c r="AK131" s="133"/>
      <c r="AL131" s="142"/>
      <c r="AM131" s="21"/>
      <c r="AN131" s="19"/>
    </row>
    <row r="132" spans="1:40">
      <c r="B132" s="133"/>
      <c r="C132" s="133"/>
      <c r="D132" s="133"/>
      <c r="E132" s="133"/>
      <c r="F132" s="133"/>
      <c r="G132" s="173"/>
      <c r="H132" s="142"/>
      <c r="I132" s="133"/>
      <c r="J132" s="133"/>
      <c r="K132" s="133"/>
      <c r="L132" s="173"/>
      <c r="M132" s="133"/>
      <c r="N132" s="133"/>
      <c r="O132" s="133"/>
      <c r="P132" s="133"/>
      <c r="Q132" s="133"/>
      <c r="R132" s="133"/>
      <c r="S132" s="173"/>
      <c r="T132" s="142"/>
      <c r="U132" s="133"/>
      <c r="V132" s="133"/>
      <c r="W132" s="133"/>
      <c r="X132" s="173"/>
      <c r="Y132" s="133"/>
      <c r="Z132" s="133"/>
      <c r="AA132" s="133"/>
      <c r="AB132" s="133"/>
      <c r="AC132" s="133"/>
      <c r="AD132" s="133"/>
      <c r="AE132" s="173"/>
      <c r="AF132" s="142"/>
      <c r="AG132" s="133"/>
      <c r="AH132" s="133"/>
      <c r="AI132" s="133"/>
      <c r="AJ132" s="173"/>
      <c r="AK132" s="133"/>
      <c r="AL132" s="142"/>
      <c r="AM132" s="21"/>
      <c r="AN132" s="19"/>
    </row>
    <row r="133" spans="1:40">
      <c r="B133" s="133"/>
      <c r="C133" s="133"/>
      <c r="D133" s="133"/>
      <c r="E133" s="133"/>
      <c r="F133" s="133"/>
      <c r="G133" s="173"/>
      <c r="H133" s="142"/>
      <c r="I133" s="133"/>
      <c r="J133" s="133"/>
      <c r="K133" s="133"/>
      <c r="L133" s="173"/>
      <c r="M133" s="133"/>
      <c r="N133" s="133"/>
      <c r="O133" s="133"/>
      <c r="P133" s="133"/>
      <c r="Q133" s="133"/>
      <c r="R133" s="133"/>
      <c r="S133" s="173"/>
      <c r="T133" s="142"/>
      <c r="U133" s="133"/>
      <c r="V133" s="133"/>
      <c r="W133" s="133"/>
      <c r="X133" s="173"/>
      <c r="Y133" s="133"/>
      <c r="Z133" s="133"/>
      <c r="AA133" s="133"/>
      <c r="AB133" s="133"/>
      <c r="AC133" s="133"/>
      <c r="AD133" s="133"/>
      <c r="AE133" s="173"/>
      <c r="AF133" s="142"/>
      <c r="AG133" s="133"/>
      <c r="AH133" s="133"/>
      <c r="AI133" s="133"/>
      <c r="AJ133" s="173"/>
      <c r="AK133" s="133"/>
      <c r="AL133" s="142"/>
      <c r="AM133" s="21"/>
      <c r="AN133" s="19"/>
    </row>
    <row r="134" spans="1:40">
      <c r="B134" s="133"/>
      <c r="C134" s="133"/>
      <c r="D134" s="133"/>
      <c r="E134" s="133"/>
      <c r="F134" s="133"/>
      <c r="G134" s="173"/>
      <c r="H134" s="142"/>
      <c r="I134" s="133"/>
      <c r="J134" s="133"/>
      <c r="K134" s="133"/>
      <c r="L134" s="173"/>
      <c r="M134" s="133"/>
      <c r="N134" s="133"/>
      <c r="O134" s="133"/>
      <c r="P134" s="133"/>
      <c r="Q134" s="133"/>
      <c r="R134" s="133"/>
      <c r="S134" s="173"/>
      <c r="T134" s="142"/>
      <c r="U134" s="133"/>
      <c r="V134" s="133"/>
      <c r="W134" s="133"/>
      <c r="X134" s="173"/>
      <c r="Y134" s="133"/>
      <c r="Z134" s="133"/>
      <c r="AA134" s="133"/>
      <c r="AB134" s="133"/>
      <c r="AC134" s="133"/>
      <c r="AD134" s="133"/>
      <c r="AE134" s="173"/>
      <c r="AF134" s="142"/>
      <c r="AG134" s="133"/>
      <c r="AH134" s="133"/>
      <c r="AI134" s="133"/>
      <c r="AJ134" s="173"/>
      <c r="AK134" s="133"/>
      <c r="AL134" s="142"/>
      <c r="AM134" s="21"/>
      <c r="AN134" s="19"/>
    </row>
    <row r="135" spans="1:40">
      <c r="B135" s="133"/>
      <c r="C135" s="133"/>
      <c r="D135" s="133"/>
      <c r="E135" s="133"/>
      <c r="F135" s="133"/>
      <c r="G135" s="173"/>
      <c r="H135" s="142"/>
      <c r="I135" s="133"/>
      <c r="J135" s="133"/>
      <c r="K135" s="133"/>
      <c r="L135" s="173"/>
      <c r="M135" s="133"/>
      <c r="N135" s="133"/>
      <c r="O135" s="133"/>
      <c r="P135" s="133"/>
      <c r="Q135" s="133"/>
      <c r="R135" s="133"/>
      <c r="S135" s="173"/>
      <c r="T135" s="142"/>
      <c r="U135" s="133"/>
      <c r="V135" s="133"/>
      <c r="W135" s="133"/>
      <c r="X135" s="173"/>
      <c r="Y135" s="133"/>
      <c r="Z135" s="133"/>
      <c r="AA135" s="133"/>
      <c r="AB135" s="133"/>
      <c r="AC135" s="133"/>
      <c r="AD135" s="133"/>
      <c r="AE135" s="173"/>
      <c r="AF135" s="142"/>
      <c r="AG135" s="133"/>
      <c r="AH135" s="133"/>
      <c r="AI135" s="133"/>
      <c r="AJ135" s="173"/>
      <c r="AK135" s="133"/>
      <c r="AL135" s="142"/>
      <c r="AM135" s="21"/>
      <c r="AN135" s="19"/>
    </row>
    <row r="136" spans="1:40">
      <c r="B136" s="133"/>
      <c r="C136" s="133"/>
      <c r="D136" s="133"/>
      <c r="E136" s="133"/>
      <c r="F136" s="133"/>
      <c r="G136" s="173"/>
      <c r="H136" s="142"/>
      <c r="I136" s="133"/>
      <c r="J136" s="133"/>
      <c r="K136" s="133"/>
      <c r="L136" s="173"/>
      <c r="M136" s="133"/>
      <c r="N136" s="133"/>
      <c r="O136" s="133"/>
      <c r="P136" s="133"/>
      <c r="Q136" s="133"/>
      <c r="R136" s="133"/>
      <c r="S136" s="173"/>
      <c r="T136" s="142"/>
      <c r="U136" s="133"/>
      <c r="V136" s="133"/>
      <c r="W136" s="133"/>
      <c r="X136" s="173"/>
      <c r="Y136" s="133"/>
      <c r="Z136" s="133"/>
      <c r="AA136" s="133"/>
      <c r="AB136" s="133"/>
      <c r="AC136" s="133"/>
      <c r="AD136" s="133"/>
      <c r="AE136" s="173"/>
      <c r="AF136" s="142"/>
      <c r="AG136" s="133"/>
      <c r="AH136" s="133"/>
      <c r="AI136" s="133"/>
      <c r="AJ136" s="173"/>
      <c r="AK136" s="133"/>
      <c r="AL136" s="142"/>
      <c r="AM136" s="21"/>
      <c r="AN136" s="19"/>
    </row>
    <row r="137" spans="1:40">
      <c r="B137" s="133"/>
      <c r="C137" s="133"/>
      <c r="D137" s="133"/>
      <c r="E137" s="133"/>
      <c r="F137" s="133"/>
      <c r="G137" s="173"/>
      <c r="H137" s="142"/>
      <c r="I137" s="133"/>
      <c r="J137" s="133"/>
      <c r="K137" s="133"/>
      <c r="L137" s="173"/>
      <c r="M137" s="133"/>
      <c r="N137" s="133"/>
      <c r="O137" s="133"/>
      <c r="P137" s="133"/>
      <c r="Q137" s="133"/>
      <c r="R137" s="133"/>
      <c r="S137" s="173"/>
      <c r="T137" s="142"/>
      <c r="U137" s="133"/>
      <c r="V137" s="133"/>
      <c r="W137" s="133"/>
      <c r="X137" s="173"/>
      <c r="Y137" s="133"/>
      <c r="Z137" s="133"/>
      <c r="AA137" s="133"/>
      <c r="AB137" s="133"/>
      <c r="AC137" s="133"/>
      <c r="AD137" s="133"/>
      <c r="AE137" s="173"/>
      <c r="AF137" s="142"/>
      <c r="AG137" s="133"/>
      <c r="AH137" s="133"/>
      <c r="AI137" s="133"/>
      <c r="AJ137" s="173"/>
      <c r="AK137" s="133"/>
      <c r="AL137" s="142"/>
      <c r="AM137" s="21"/>
      <c r="AN137" s="19"/>
    </row>
    <row r="138" spans="1:40">
      <c r="B138" s="133"/>
      <c r="C138" s="133"/>
      <c r="D138" s="133"/>
      <c r="E138" s="133"/>
      <c r="F138" s="133"/>
      <c r="G138" s="173"/>
      <c r="H138" s="142"/>
      <c r="I138" s="133"/>
      <c r="J138" s="133"/>
      <c r="K138" s="133"/>
      <c r="L138" s="173"/>
      <c r="M138" s="133"/>
      <c r="N138" s="133"/>
      <c r="O138" s="133"/>
      <c r="P138" s="133"/>
      <c r="Q138" s="133"/>
      <c r="R138" s="133"/>
      <c r="S138" s="173"/>
      <c r="T138" s="142"/>
      <c r="U138" s="133"/>
      <c r="V138" s="133"/>
      <c r="W138" s="133"/>
      <c r="X138" s="173"/>
      <c r="Y138" s="133"/>
      <c r="Z138" s="133"/>
      <c r="AA138" s="133"/>
      <c r="AB138" s="133"/>
      <c r="AC138" s="133"/>
      <c r="AD138" s="133"/>
      <c r="AE138" s="173"/>
      <c r="AF138" s="142"/>
      <c r="AG138" s="133"/>
      <c r="AH138" s="133"/>
      <c r="AI138" s="133"/>
      <c r="AJ138" s="173"/>
      <c r="AK138" s="133"/>
      <c r="AL138" s="142"/>
      <c r="AM138" s="21"/>
      <c r="AN138" s="19"/>
    </row>
    <row r="139" spans="1:40" s="68" customFormat="1">
      <c r="A139" s="19"/>
      <c r="B139" s="133"/>
      <c r="C139" s="133"/>
      <c r="D139" s="133"/>
      <c r="E139" s="133"/>
      <c r="F139" s="133"/>
      <c r="G139" s="173"/>
      <c r="H139" s="142"/>
      <c r="I139" s="133"/>
      <c r="J139" s="133"/>
      <c r="K139" s="133"/>
      <c r="L139" s="173"/>
      <c r="M139" s="133"/>
      <c r="N139" s="133"/>
      <c r="O139" s="133"/>
      <c r="P139" s="133"/>
      <c r="Q139" s="133"/>
      <c r="R139" s="133"/>
      <c r="S139" s="173"/>
      <c r="T139" s="142"/>
      <c r="U139" s="133"/>
      <c r="V139" s="133"/>
      <c r="W139" s="133"/>
      <c r="X139" s="173"/>
      <c r="Y139" s="133"/>
      <c r="Z139" s="133"/>
      <c r="AA139" s="133"/>
      <c r="AB139" s="133"/>
      <c r="AC139" s="133"/>
      <c r="AD139" s="133"/>
      <c r="AE139" s="173"/>
      <c r="AF139" s="142"/>
      <c r="AG139" s="133"/>
      <c r="AH139" s="133"/>
      <c r="AI139" s="133"/>
      <c r="AJ139" s="173"/>
      <c r="AK139" s="133"/>
      <c r="AL139" s="142"/>
      <c r="AM139" s="21"/>
      <c r="AN139" s="19"/>
    </row>
    <row r="140" spans="1:40" s="68" customFormat="1">
      <c r="A140" s="19"/>
      <c r="B140" s="133"/>
      <c r="C140" s="133"/>
      <c r="D140" s="133"/>
      <c r="E140" s="133"/>
      <c r="F140" s="133"/>
      <c r="G140" s="173"/>
      <c r="H140" s="142"/>
      <c r="I140" s="133"/>
      <c r="J140" s="133"/>
      <c r="K140" s="133"/>
      <c r="L140" s="173"/>
      <c r="M140" s="133"/>
      <c r="N140" s="133"/>
      <c r="O140" s="133"/>
      <c r="P140" s="133"/>
      <c r="Q140" s="133"/>
      <c r="R140" s="133"/>
      <c r="S140" s="173"/>
      <c r="T140" s="142"/>
      <c r="U140" s="133"/>
      <c r="V140" s="133"/>
      <c r="W140" s="133"/>
      <c r="X140" s="173"/>
      <c r="Y140" s="133"/>
      <c r="Z140" s="133"/>
      <c r="AA140" s="133"/>
      <c r="AB140" s="133"/>
      <c r="AC140" s="133"/>
      <c r="AD140" s="133"/>
      <c r="AE140" s="173"/>
      <c r="AF140" s="142"/>
      <c r="AG140" s="133"/>
      <c r="AH140" s="133"/>
      <c r="AI140" s="133"/>
      <c r="AJ140" s="173"/>
      <c r="AK140" s="133"/>
      <c r="AL140" s="142"/>
      <c r="AM140" s="21"/>
      <c r="AN140" s="19"/>
    </row>
    <row r="141" spans="1:40">
      <c r="B141" s="133"/>
      <c r="C141" s="133"/>
      <c r="D141" s="133"/>
      <c r="E141" s="133"/>
      <c r="F141" s="133"/>
      <c r="G141" s="173"/>
      <c r="H141" s="142"/>
      <c r="I141" s="133"/>
      <c r="J141" s="133"/>
      <c r="K141" s="133"/>
      <c r="L141" s="173"/>
      <c r="M141" s="133"/>
      <c r="N141" s="133"/>
      <c r="O141" s="133"/>
      <c r="P141" s="133"/>
      <c r="Q141" s="133"/>
      <c r="R141" s="133"/>
      <c r="S141" s="173"/>
      <c r="T141" s="142"/>
      <c r="U141" s="133"/>
      <c r="V141" s="133"/>
      <c r="W141" s="133"/>
      <c r="X141" s="173"/>
      <c r="Y141" s="133"/>
      <c r="Z141" s="133"/>
      <c r="AA141" s="133"/>
      <c r="AB141" s="133"/>
      <c r="AC141" s="133"/>
      <c r="AD141" s="133"/>
      <c r="AE141" s="173"/>
      <c r="AF141" s="142"/>
      <c r="AG141" s="133"/>
      <c r="AH141" s="133"/>
      <c r="AI141" s="133"/>
      <c r="AJ141" s="173"/>
      <c r="AK141" s="133"/>
      <c r="AL141" s="142"/>
      <c r="AM141" s="21"/>
      <c r="AN141" s="19"/>
    </row>
    <row r="142" spans="1:40">
      <c r="B142" s="133"/>
      <c r="C142" s="133"/>
      <c r="D142" s="133"/>
      <c r="E142" s="133"/>
      <c r="F142" s="133"/>
      <c r="G142" s="173"/>
      <c r="H142" s="142"/>
      <c r="I142" s="133"/>
      <c r="J142" s="133"/>
      <c r="K142" s="133"/>
      <c r="L142" s="173"/>
      <c r="M142" s="133"/>
      <c r="N142" s="133"/>
      <c r="O142" s="133"/>
      <c r="P142" s="133"/>
      <c r="Q142" s="133"/>
      <c r="R142" s="133"/>
      <c r="S142" s="173"/>
      <c r="T142" s="142"/>
      <c r="U142" s="133"/>
      <c r="V142" s="133"/>
      <c r="W142" s="133"/>
      <c r="X142" s="173"/>
      <c r="Y142" s="133"/>
      <c r="Z142" s="133"/>
      <c r="AA142" s="133"/>
      <c r="AB142" s="133"/>
      <c r="AC142" s="133"/>
      <c r="AD142" s="133"/>
      <c r="AE142" s="173"/>
      <c r="AF142" s="142"/>
      <c r="AG142" s="133"/>
      <c r="AH142" s="133"/>
      <c r="AI142" s="133"/>
      <c r="AJ142" s="173"/>
      <c r="AK142" s="133"/>
      <c r="AL142" s="142"/>
      <c r="AM142" s="21"/>
      <c r="AN142" s="19"/>
    </row>
    <row r="143" spans="1:40">
      <c r="B143" s="133"/>
      <c r="C143" s="133"/>
      <c r="D143" s="133"/>
      <c r="E143" s="133"/>
      <c r="F143" s="133"/>
      <c r="G143" s="173"/>
      <c r="H143" s="142"/>
      <c r="I143" s="133"/>
      <c r="J143" s="133"/>
      <c r="K143" s="133"/>
      <c r="L143" s="173"/>
      <c r="M143" s="133"/>
      <c r="N143" s="133"/>
      <c r="O143" s="133"/>
      <c r="P143" s="133"/>
      <c r="Q143" s="133"/>
      <c r="R143" s="133"/>
      <c r="S143" s="173"/>
      <c r="T143" s="142"/>
      <c r="U143" s="133"/>
      <c r="V143" s="133"/>
      <c r="W143" s="133"/>
      <c r="X143" s="173"/>
      <c r="Y143" s="133"/>
      <c r="Z143" s="133"/>
      <c r="AA143" s="133"/>
      <c r="AB143" s="133"/>
      <c r="AC143" s="133"/>
      <c r="AD143" s="133"/>
      <c r="AE143" s="173"/>
      <c r="AF143" s="142"/>
      <c r="AG143" s="133"/>
      <c r="AH143" s="133"/>
      <c r="AI143" s="133"/>
      <c r="AJ143" s="173"/>
      <c r="AK143" s="133"/>
      <c r="AL143" s="142"/>
      <c r="AM143" s="21"/>
      <c r="AN143" s="19"/>
    </row>
    <row r="144" spans="1:40">
      <c r="B144" s="133"/>
      <c r="C144" s="133"/>
      <c r="D144" s="133"/>
      <c r="E144" s="133"/>
      <c r="F144" s="133"/>
      <c r="G144" s="173"/>
      <c r="H144" s="142"/>
      <c r="I144" s="133"/>
      <c r="J144" s="133"/>
      <c r="K144" s="133"/>
      <c r="L144" s="173"/>
      <c r="M144" s="133"/>
      <c r="N144" s="133"/>
      <c r="O144" s="133"/>
      <c r="P144" s="133"/>
      <c r="Q144" s="133"/>
      <c r="R144" s="133"/>
      <c r="S144" s="173"/>
      <c r="T144" s="142"/>
      <c r="U144" s="133"/>
      <c r="V144" s="133"/>
      <c r="W144" s="133"/>
      <c r="X144" s="173"/>
      <c r="Y144" s="133"/>
      <c r="Z144" s="133"/>
      <c r="AA144" s="133"/>
      <c r="AB144" s="133"/>
      <c r="AC144" s="133"/>
      <c r="AD144" s="133"/>
      <c r="AE144" s="173"/>
      <c r="AF144" s="142"/>
      <c r="AG144" s="133"/>
      <c r="AH144" s="133"/>
      <c r="AI144" s="133"/>
      <c r="AJ144" s="173"/>
      <c r="AK144" s="133"/>
      <c r="AL144" s="142"/>
      <c r="AM144" s="21"/>
      <c r="AN144" s="19"/>
    </row>
    <row r="145" spans="2:40">
      <c r="B145" s="133"/>
      <c r="C145" s="133"/>
      <c r="D145" s="133"/>
      <c r="E145" s="133"/>
      <c r="F145" s="133"/>
      <c r="G145" s="173"/>
      <c r="H145" s="142"/>
      <c r="I145" s="133"/>
      <c r="J145" s="133"/>
      <c r="K145" s="133"/>
      <c r="L145" s="173"/>
      <c r="M145" s="133"/>
      <c r="N145" s="133"/>
      <c r="O145" s="133"/>
      <c r="P145" s="133"/>
      <c r="Q145" s="133"/>
      <c r="R145" s="133"/>
      <c r="S145" s="173"/>
      <c r="T145" s="142"/>
      <c r="U145" s="133"/>
      <c r="V145" s="133"/>
      <c r="W145" s="133"/>
      <c r="X145" s="173"/>
      <c r="Y145" s="133"/>
      <c r="Z145" s="133"/>
      <c r="AA145" s="133"/>
      <c r="AB145" s="133"/>
      <c r="AC145" s="133"/>
      <c r="AD145" s="133"/>
      <c r="AE145" s="173"/>
      <c r="AF145" s="142"/>
      <c r="AG145" s="133"/>
      <c r="AH145" s="133"/>
      <c r="AI145" s="133"/>
      <c r="AJ145" s="173"/>
      <c r="AK145" s="133"/>
      <c r="AL145" s="142"/>
      <c r="AM145" s="21"/>
      <c r="AN145" s="19"/>
    </row>
    <row r="146" spans="2:40">
      <c r="B146" s="133"/>
      <c r="C146" s="133"/>
      <c r="D146" s="133"/>
      <c r="E146" s="133"/>
      <c r="F146" s="133"/>
      <c r="G146" s="173"/>
      <c r="H146" s="142"/>
      <c r="I146" s="133"/>
      <c r="J146" s="133"/>
      <c r="K146" s="133"/>
      <c r="L146" s="173"/>
      <c r="M146" s="133"/>
      <c r="N146" s="133"/>
      <c r="O146" s="133"/>
      <c r="P146" s="133"/>
      <c r="Q146" s="133"/>
      <c r="R146" s="133"/>
      <c r="S146" s="173"/>
      <c r="T146" s="142"/>
      <c r="U146" s="133"/>
      <c r="V146" s="133"/>
      <c r="W146" s="133"/>
      <c r="X146" s="173"/>
      <c r="Y146" s="133"/>
      <c r="Z146" s="133"/>
      <c r="AA146" s="133"/>
      <c r="AB146" s="133"/>
      <c r="AC146" s="133"/>
      <c r="AD146" s="133"/>
      <c r="AE146" s="173"/>
      <c r="AF146" s="142"/>
      <c r="AG146" s="133"/>
      <c r="AH146" s="133"/>
      <c r="AI146" s="133"/>
      <c r="AJ146" s="173"/>
      <c r="AK146" s="133"/>
      <c r="AL146" s="142"/>
      <c r="AM146" s="21"/>
      <c r="AN146" s="19"/>
    </row>
    <row r="147" spans="2:40">
      <c r="B147" s="133"/>
      <c r="C147" s="133"/>
      <c r="D147" s="133"/>
      <c r="E147" s="133"/>
      <c r="F147" s="133"/>
      <c r="G147" s="173"/>
      <c r="H147" s="142"/>
      <c r="I147" s="133"/>
      <c r="J147" s="133"/>
      <c r="K147" s="133"/>
      <c r="L147" s="173"/>
      <c r="M147" s="133"/>
      <c r="N147" s="133"/>
      <c r="O147" s="133"/>
      <c r="P147" s="133"/>
      <c r="Q147" s="133"/>
      <c r="R147" s="133"/>
      <c r="S147" s="173"/>
      <c r="T147" s="142"/>
      <c r="U147" s="133"/>
      <c r="V147" s="133"/>
      <c r="W147" s="133"/>
      <c r="X147" s="173"/>
      <c r="Y147" s="133"/>
      <c r="Z147" s="133"/>
      <c r="AA147" s="133"/>
      <c r="AB147" s="133"/>
      <c r="AC147" s="133"/>
      <c r="AD147" s="133"/>
      <c r="AE147" s="173"/>
      <c r="AF147" s="142"/>
      <c r="AG147" s="133"/>
      <c r="AH147" s="133"/>
      <c r="AI147" s="133"/>
      <c r="AJ147" s="173"/>
      <c r="AK147" s="133"/>
      <c r="AL147" s="142"/>
      <c r="AM147" s="21"/>
      <c r="AN147" s="19"/>
    </row>
    <row r="148" spans="2:40">
      <c r="B148" s="133"/>
      <c r="C148" s="133"/>
      <c r="D148" s="133"/>
      <c r="E148" s="133"/>
      <c r="F148" s="133"/>
      <c r="G148" s="173"/>
      <c r="H148" s="142"/>
      <c r="I148" s="133"/>
      <c r="J148" s="133"/>
      <c r="K148" s="133"/>
      <c r="L148" s="173"/>
      <c r="M148" s="133"/>
      <c r="N148" s="133"/>
      <c r="O148" s="133"/>
      <c r="P148" s="133"/>
      <c r="Q148" s="133"/>
      <c r="R148" s="133"/>
      <c r="S148" s="173"/>
      <c r="T148" s="142"/>
      <c r="U148" s="133"/>
      <c r="V148" s="133"/>
      <c r="W148" s="133"/>
      <c r="X148" s="173"/>
      <c r="Y148" s="133"/>
      <c r="Z148" s="133"/>
      <c r="AA148" s="133"/>
      <c r="AB148" s="133"/>
      <c r="AC148" s="133"/>
      <c r="AD148" s="133"/>
      <c r="AE148" s="173"/>
      <c r="AF148" s="142"/>
      <c r="AG148" s="133"/>
      <c r="AH148" s="133"/>
      <c r="AI148" s="133"/>
      <c r="AJ148" s="173"/>
      <c r="AK148" s="133"/>
      <c r="AL148" s="142"/>
      <c r="AM148" s="21"/>
      <c r="AN148" s="19"/>
    </row>
    <row r="149" spans="2:40">
      <c r="B149" s="133"/>
      <c r="C149" s="133"/>
      <c r="D149" s="133"/>
      <c r="E149" s="133"/>
      <c r="F149" s="133"/>
      <c r="G149" s="173"/>
      <c r="H149" s="142"/>
      <c r="I149" s="133"/>
      <c r="J149" s="133"/>
      <c r="K149" s="133"/>
      <c r="L149" s="173"/>
      <c r="M149" s="133"/>
      <c r="N149" s="133"/>
      <c r="O149" s="133"/>
      <c r="P149" s="133"/>
      <c r="Q149" s="133"/>
      <c r="R149" s="133"/>
      <c r="S149" s="173"/>
      <c r="T149" s="142"/>
      <c r="U149" s="133"/>
      <c r="V149" s="133"/>
      <c r="W149" s="133"/>
      <c r="X149" s="173"/>
      <c r="Y149" s="133"/>
      <c r="Z149" s="133"/>
      <c r="AA149" s="133"/>
      <c r="AB149" s="133"/>
      <c r="AC149" s="133"/>
      <c r="AD149" s="133"/>
      <c r="AE149" s="173"/>
      <c r="AF149" s="142"/>
      <c r="AG149" s="133"/>
      <c r="AH149" s="133"/>
      <c r="AI149" s="133"/>
      <c r="AJ149" s="173"/>
      <c r="AK149" s="133"/>
      <c r="AL149" s="142"/>
      <c r="AM149" s="21"/>
      <c r="AN149" s="19"/>
    </row>
    <row r="150" spans="2:40">
      <c r="B150" s="133"/>
      <c r="C150" s="133"/>
      <c r="D150" s="133"/>
      <c r="E150" s="133"/>
      <c r="F150" s="133"/>
      <c r="G150" s="173"/>
      <c r="H150" s="142"/>
      <c r="I150" s="133"/>
      <c r="J150" s="133"/>
      <c r="K150" s="133"/>
      <c r="L150" s="173"/>
      <c r="M150" s="133"/>
      <c r="N150" s="133"/>
      <c r="O150" s="133"/>
      <c r="P150" s="133"/>
      <c r="Q150" s="133"/>
      <c r="R150" s="133"/>
      <c r="S150" s="173"/>
      <c r="T150" s="142"/>
      <c r="U150" s="133"/>
      <c r="V150" s="133"/>
      <c r="W150" s="133"/>
      <c r="X150" s="173"/>
      <c r="Y150" s="133"/>
      <c r="Z150" s="133"/>
      <c r="AA150" s="133"/>
      <c r="AB150" s="133"/>
      <c r="AC150" s="133"/>
      <c r="AD150" s="133"/>
      <c r="AE150" s="173"/>
      <c r="AF150" s="142"/>
      <c r="AG150" s="133"/>
      <c r="AH150" s="133"/>
      <c r="AI150" s="133"/>
      <c r="AJ150" s="173"/>
      <c r="AK150" s="133"/>
      <c r="AL150" s="142"/>
      <c r="AM150" s="21"/>
      <c r="AN150" s="19"/>
    </row>
    <row r="151" spans="2:40">
      <c r="B151" s="133"/>
      <c r="C151" s="133"/>
      <c r="D151" s="133"/>
      <c r="E151" s="133"/>
      <c r="F151" s="133"/>
      <c r="G151" s="173"/>
      <c r="H151" s="142"/>
      <c r="I151" s="133"/>
      <c r="J151" s="133"/>
      <c r="K151" s="133"/>
      <c r="L151" s="173"/>
      <c r="M151" s="133"/>
      <c r="N151" s="133"/>
      <c r="O151" s="133"/>
      <c r="P151" s="133"/>
      <c r="Q151" s="133"/>
      <c r="R151" s="133"/>
      <c r="S151" s="173"/>
      <c r="T151" s="142"/>
      <c r="U151" s="133"/>
      <c r="V151" s="133"/>
      <c r="W151" s="133"/>
      <c r="X151" s="173"/>
      <c r="Y151" s="133"/>
      <c r="Z151" s="133"/>
      <c r="AA151" s="133"/>
      <c r="AB151" s="133"/>
      <c r="AC151" s="133"/>
      <c r="AD151" s="133"/>
      <c r="AE151" s="173"/>
      <c r="AF151" s="142"/>
      <c r="AG151" s="133"/>
      <c r="AH151" s="133"/>
      <c r="AI151" s="133"/>
      <c r="AJ151" s="173"/>
      <c r="AK151" s="133"/>
      <c r="AL151" s="142"/>
      <c r="AM151" s="21"/>
      <c r="AN151" s="19"/>
    </row>
    <row r="152" spans="2:40">
      <c r="B152" s="133"/>
      <c r="C152" s="133"/>
      <c r="D152" s="133"/>
      <c r="E152" s="133"/>
      <c r="F152" s="133"/>
      <c r="G152" s="173"/>
      <c r="H152" s="142"/>
      <c r="I152" s="133"/>
      <c r="J152" s="133"/>
      <c r="K152" s="133"/>
      <c r="L152" s="173"/>
      <c r="M152" s="133"/>
      <c r="N152" s="133"/>
      <c r="O152" s="133"/>
      <c r="P152" s="133"/>
      <c r="Q152" s="133"/>
      <c r="R152" s="133"/>
      <c r="S152" s="173"/>
      <c r="T152" s="142"/>
      <c r="U152" s="133"/>
      <c r="V152" s="133"/>
      <c r="W152" s="133"/>
      <c r="X152" s="173"/>
      <c r="Y152" s="133"/>
      <c r="Z152" s="133"/>
      <c r="AA152" s="133"/>
      <c r="AB152" s="133"/>
      <c r="AC152" s="133"/>
      <c r="AD152" s="133"/>
      <c r="AE152" s="173"/>
      <c r="AF152" s="142"/>
      <c r="AG152" s="133"/>
      <c r="AH152" s="133"/>
      <c r="AI152" s="133"/>
      <c r="AJ152" s="173"/>
      <c r="AK152" s="133"/>
      <c r="AL152" s="142"/>
      <c r="AM152" s="21"/>
      <c r="AN152" s="19"/>
    </row>
    <row r="153" spans="2:40">
      <c r="B153" s="133"/>
      <c r="C153" s="133"/>
      <c r="D153" s="133"/>
      <c r="E153" s="133"/>
      <c r="F153" s="133"/>
      <c r="G153" s="173"/>
      <c r="H153" s="142"/>
      <c r="I153" s="133"/>
      <c r="J153" s="133"/>
      <c r="K153" s="133"/>
      <c r="L153" s="173"/>
      <c r="M153" s="133"/>
      <c r="N153" s="133"/>
      <c r="O153" s="133"/>
      <c r="P153" s="133"/>
      <c r="Q153" s="133"/>
      <c r="R153" s="133"/>
      <c r="S153" s="173"/>
      <c r="T153" s="142"/>
      <c r="U153" s="133"/>
      <c r="V153" s="133"/>
      <c r="W153" s="133"/>
      <c r="X153" s="173"/>
      <c r="Y153" s="133"/>
      <c r="Z153" s="133"/>
      <c r="AA153" s="133"/>
      <c r="AB153" s="133"/>
      <c r="AC153" s="133"/>
      <c r="AD153" s="133"/>
      <c r="AE153" s="173"/>
      <c r="AF153" s="142"/>
      <c r="AG153" s="133"/>
      <c r="AH153" s="133"/>
      <c r="AI153" s="133"/>
      <c r="AJ153" s="173"/>
      <c r="AK153" s="133"/>
      <c r="AL153" s="142"/>
      <c r="AM153" s="21"/>
      <c r="AN153" s="19"/>
    </row>
    <row r="154" spans="2:40">
      <c r="B154" s="133"/>
      <c r="C154" s="133"/>
      <c r="D154" s="133"/>
      <c r="E154" s="133"/>
      <c r="F154" s="133"/>
      <c r="G154" s="173"/>
      <c r="H154" s="142"/>
      <c r="I154" s="133"/>
      <c r="J154" s="133"/>
      <c r="K154" s="133"/>
      <c r="L154" s="173"/>
      <c r="M154" s="133"/>
      <c r="N154" s="133"/>
      <c r="O154" s="133"/>
      <c r="P154" s="133"/>
      <c r="Q154" s="133"/>
      <c r="R154" s="133"/>
      <c r="S154" s="173"/>
      <c r="T154" s="142"/>
      <c r="U154" s="133"/>
      <c r="V154" s="133"/>
      <c r="W154" s="133"/>
      <c r="X154" s="173"/>
      <c r="Y154" s="133"/>
      <c r="Z154" s="133"/>
      <c r="AA154" s="133"/>
      <c r="AB154" s="133"/>
      <c r="AC154" s="133"/>
      <c r="AD154" s="133"/>
      <c r="AE154" s="173"/>
      <c r="AF154" s="142"/>
      <c r="AG154" s="133"/>
      <c r="AH154" s="133"/>
      <c r="AI154" s="133"/>
      <c r="AJ154" s="173"/>
      <c r="AK154" s="133"/>
      <c r="AL154" s="142"/>
      <c r="AM154" s="21"/>
      <c r="AN154" s="19"/>
    </row>
    <row r="155" spans="2:40">
      <c r="B155" s="133"/>
      <c r="C155" s="133"/>
      <c r="D155" s="133"/>
      <c r="E155" s="133"/>
      <c r="F155" s="133"/>
      <c r="G155" s="173"/>
      <c r="H155" s="142"/>
      <c r="I155" s="133"/>
      <c r="J155" s="133"/>
      <c r="K155" s="133"/>
      <c r="L155" s="173"/>
      <c r="M155" s="133"/>
      <c r="N155" s="133"/>
      <c r="O155" s="133"/>
      <c r="P155" s="133"/>
      <c r="Q155" s="133"/>
      <c r="R155" s="133"/>
      <c r="S155" s="173"/>
      <c r="T155" s="142"/>
      <c r="U155" s="133"/>
      <c r="V155" s="133"/>
      <c r="W155" s="133"/>
      <c r="X155" s="173"/>
      <c r="Y155" s="133"/>
      <c r="Z155" s="133"/>
      <c r="AA155" s="133"/>
      <c r="AB155" s="133"/>
      <c r="AC155" s="133"/>
      <c r="AD155" s="133"/>
      <c r="AE155" s="173"/>
      <c r="AF155" s="142"/>
      <c r="AG155" s="133"/>
      <c r="AH155" s="133"/>
      <c r="AI155" s="133"/>
      <c r="AJ155" s="173"/>
      <c r="AK155" s="133"/>
      <c r="AL155" s="142"/>
      <c r="AM155" s="21"/>
      <c r="AN155" s="19"/>
    </row>
    <row r="156" spans="2:40">
      <c r="B156" s="133"/>
      <c r="C156" s="133"/>
      <c r="D156" s="133"/>
      <c r="E156" s="133"/>
      <c r="F156" s="133"/>
      <c r="G156" s="173"/>
      <c r="H156" s="142"/>
      <c r="I156" s="133"/>
      <c r="J156" s="133"/>
      <c r="K156" s="133"/>
      <c r="L156" s="173"/>
      <c r="M156" s="133"/>
      <c r="N156" s="133"/>
      <c r="O156" s="133"/>
      <c r="P156" s="133"/>
      <c r="Q156" s="133"/>
      <c r="R156" s="133"/>
      <c r="S156" s="173"/>
      <c r="T156" s="142"/>
      <c r="U156" s="133"/>
      <c r="V156" s="133"/>
      <c r="W156" s="133"/>
      <c r="X156" s="173"/>
      <c r="Y156" s="133"/>
      <c r="Z156" s="133"/>
      <c r="AA156" s="133"/>
      <c r="AB156" s="133"/>
      <c r="AC156" s="133"/>
      <c r="AD156" s="133"/>
      <c r="AE156" s="173"/>
      <c r="AF156" s="142"/>
      <c r="AG156" s="133"/>
      <c r="AH156" s="133"/>
      <c r="AI156" s="133"/>
      <c r="AJ156" s="173"/>
      <c r="AK156" s="133"/>
      <c r="AL156" s="142"/>
      <c r="AM156" s="21"/>
      <c r="AN156" s="19"/>
    </row>
    <row r="157" spans="2:40">
      <c r="B157" s="133"/>
      <c r="C157" s="133"/>
      <c r="D157" s="133"/>
      <c r="E157" s="133"/>
      <c r="F157" s="133"/>
      <c r="G157" s="173"/>
      <c r="H157" s="142"/>
      <c r="I157" s="133"/>
      <c r="J157" s="133"/>
      <c r="K157" s="133"/>
      <c r="L157" s="173"/>
      <c r="M157" s="133"/>
      <c r="N157" s="133"/>
      <c r="O157" s="133"/>
      <c r="P157" s="133"/>
      <c r="Q157" s="133"/>
      <c r="R157" s="133"/>
      <c r="S157" s="173"/>
      <c r="T157" s="142"/>
      <c r="U157" s="133"/>
      <c r="V157" s="133"/>
      <c r="W157" s="133"/>
      <c r="X157" s="173"/>
      <c r="Y157" s="133"/>
      <c r="Z157" s="133"/>
      <c r="AA157" s="133"/>
      <c r="AB157" s="133"/>
      <c r="AC157" s="133"/>
      <c r="AD157" s="133"/>
      <c r="AE157" s="173"/>
      <c r="AF157" s="142"/>
      <c r="AG157" s="133"/>
      <c r="AH157" s="133"/>
      <c r="AI157" s="133"/>
      <c r="AJ157" s="173"/>
      <c r="AK157" s="133"/>
      <c r="AL157" s="142"/>
      <c r="AM157" s="21"/>
      <c r="AN157" s="19"/>
    </row>
    <row r="158" spans="2:40">
      <c r="B158" s="133"/>
      <c r="C158" s="133"/>
      <c r="D158" s="133"/>
      <c r="E158" s="133"/>
      <c r="F158" s="133"/>
      <c r="G158" s="173"/>
      <c r="H158" s="142"/>
      <c r="I158" s="133"/>
      <c r="J158" s="133"/>
      <c r="K158" s="133"/>
      <c r="L158" s="173"/>
      <c r="M158" s="133"/>
      <c r="N158" s="133"/>
      <c r="O158" s="133"/>
      <c r="P158" s="133"/>
      <c r="Q158" s="133"/>
      <c r="R158" s="133"/>
      <c r="S158" s="173"/>
      <c r="T158" s="142"/>
      <c r="U158" s="133"/>
      <c r="V158" s="133"/>
      <c r="W158" s="133"/>
      <c r="X158" s="173"/>
      <c r="Y158" s="133"/>
      <c r="Z158" s="133"/>
      <c r="AA158" s="133"/>
      <c r="AB158" s="133"/>
      <c r="AC158" s="133"/>
      <c r="AD158" s="133"/>
      <c r="AE158" s="173"/>
      <c r="AF158" s="142"/>
      <c r="AG158" s="133"/>
      <c r="AH158" s="133"/>
      <c r="AI158" s="133"/>
      <c r="AJ158" s="173"/>
      <c r="AK158" s="133"/>
      <c r="AL158" s="142"/>
      <c r="AM158" s="21"/>
      <c r="AN158" s="19"/>
    </row>
    <row r="159" spans="2:40">
      <c r="B159" s="133"/>
      <c r="C159" s="133"/>
      <c r="D159" s="133"/>
      <c r="E159" s="133"/>
      <c r="F159" s="133"/>
      <c r="G159" s="173"/>
      <c r="H159" s="142"/>
      <c r="I159" s="133"/>
      <c r="J159" s="133"/>
      <c r="K159" s="133"/>
      <c r="L159" s="173"/>
      <c r="M159" s="133"/>
      <c r="N159" s="133"/>
      <c r="O159" s="133"/>
      <c r="P159" s="133"/>
      <c r="Q159" s="133"/>
      <c r="R159" s="133"/>
      <c r="S159" s="173"/>
      <c r="T159" s="142"/>
      <c r="U159" s="133"/>
      <c r="V159" s="133"/>
      <c r="W159" s="133"/>
      <c r="X159" s="173"/>
      <c r="Y159" s="133"/>
      <c r="Z159" s="133"/>
      <c r="AA159" s="133"/>
      <c r="AB159" s="133"/>
      <c r="AC159" s="133"/>
      <c r="AD159" s="133"/>
      <c r="AE159" s="173"/>
      <c r="AF159" s="142"/>
      <c r="AG159" s="133"/>
      <c r="AH159" s="133"/>
      <c r="AI159" s="133"/>
      <c r="AJ159" s="173"/>
      <c r="AK159" s="133"/>
      <c r="AL159" s="142"/>
      <c r="AM159" s="21"/>
      <c r="AN159" s="19"/>
    </row>
    <row r="160" spans="2:40">
      <c r="B160" s="133"/>
      <c r="C160" s="133"/>
      <c r="D160" s="133"/>
      <c r="E160" s="133"/>
      <c r="F160" s="133"/>
      <c r="G160" s="173"/>
      <c r="H160" s="142"/>
      <c r="I160" s="133"/>
      <c r="J160" s="133"/>
      <c r="K160" s="133"/>
      <c r="L160" s="173"/>
      <c r="M160" s="133"/>
      <c r="N160" s="133"/>
      <c r="O160" s="133"/>
      <c r="P160" s="133"/>
      <c r="Q160" s="133"/>
      <c r="R160" s="133"/>
      <c r="S160" s="173"/>
      <c r="T160" s="142"/>
      <c r="U160" s="133"/>
      <c r="V160" s="133"/>
      <c r="W160" s="133"/>
      <c r="X160" s="173"/>
      <c r="Y160" s="133"/>
      <c r="Z160" s="133"/>
      <c r="AA160" s="133"/>
      <c r="AB160" s="133"/>
      <c r="AC160" s="133"/>
      <c r="AD160" s="133"/>
      <c r="AE160" s="173"/>
      <c r="AF160" s="142"/>
      <c r="AG160" s="133"/>
      <c r="AH160" s="133"/>
      <c r="AI160" s="133"/>
      <c r="AJ160" s="173"/>
      <c r="AK160" s="133"/>
      <c r="AL160" s="142"/>
      <c r="AM160" s="21"/>
      <c r="AN160" s="19"/>
    </row>
    <row r="161" spans="2:40">
      <c r="B161" s="133"/>
      <c r="C161" s="133"/>
      <c r="D161" s="133"/>
      <c r="E161" s="133"/>
      <c r="F161" s="133"/>
      <c r="G161" s="173"/>
      <c r="H161" s="142"/>
      <c r="I161" s="133"/>
      <c r="J161" s="133"/>
      <c r="K161" s="133"/>
      <c r="L161" s="173"/>
      <c r="M161" s="133"/>
      <c r="N161" s="133"/>
      <c r="O161" s="133"/>
      <c r="P161" s="133"/>
      <c r="Q161" s="133"/>
      <c r="R161" s="133"/>
      <c r="S161" s="173"/>
      <c r="T161" s="142"/>
      <c r="U161" s="133"/>
      <c r="V161" s="133"/>
      <c r="W161" s="133"/>
      <c r="X161" s="173"/>
      <c r="Y161" s="133"/>
      <c r="Z161" s="133"/>
      <c r="AA161" s="133"/>
      <c r="AB161" s="133"/>
      <c r="AC161" s="133"/>
      <c r="AD161" s="133"/>
      <c r="AE161" s="173"/>
      <c r="AF161" s="142"/>
      <c r="AG161" s="133"/>
      <c r="AH161" s="133"/>
      <c r="AI161" s="133"/>
      <c r="AJ161" s="173"/>
      <c r="AK161" s="133"/>
      <c r="AL161" s="142"/>
      <c r="AM161" s="21"/>
      <c r="AN161" s="19"/>
    </row>
    <row r="162" spans="2:40">
      <c r="B162" s="133"/>
      <c r="C162" s="133"/>
      <c r="D162" s="133"/>
      <c r="E162" s="133"/>
      <c r="F162" s="133"/>
      <c r="G162" s="173"/>
      <c r="H162" s="142"/>
      <c r="I162" s="133"/>
      <c r="J162" s="133"/>
      <c r="K162" s="133"/>
      <c r="L162" s="173"/>
      <c r="M162" s="133"/>
      <c r="N162" s="133"/>
      <c r="O162" s="133"/>
      <c r="P162" s="133"/>
      <c r="Q162" s="133"/>
      <c r="R162" s="133"/>
      <c r="S162" s="173"/>
      <c r="T162" s="142"/>
      <c r="U162" s="133"/>
      <c r="V162" s="133"/>
      <c r="W162" s="133"/>
      <c r="X162" s="173"/>
      <c r="Y162" s="133"/>
      <c r="Z162" s="133"/>
      <c r="AA162" s="133"/>
      <c r="AB162" s="133"/>
      <c r="AC162" s="133"/>
      <c r="AD162" s="133"/>
      <c r="AE162" s="173"/>
      <c r="AF162" s="142"/>
      <c r="AG162" s="133"/>
      <c r="AH162" s="133"/>
      <c r="AI162" s="133"/>
      <c r="AJ162" s="173"/>
      <c r="AK162" s="133"/>
      <c r="AL162" s="142"/>
      <c r="AM162" s="21"/>
      <c r="AN162" s="19"/>
    </row>
    <row r="163" spans="2:40">
      <c r="B163" s="133"/>
      <c r="C163" s="133"/>
      <c r="D163" s="133"/>
      <c r="E163" s="133"/>
      <c r="F163" s="133"/>
      <c r="G163" s="173"/>
      <c r="H163" s="142"/>
      <c r="I163" s="133"/>
      <c r="J163" s="133"/>
      <c r="K163" s="133"/>
      <c r="L163" s="173"/>
      <c r="M163" s="133"/>
      <c r="N163" s="133"/>
      <c r="O163" s="133"/>
      <c r="P163" s="133"/>
      <c r="Q163" s="133"/>
      <c r="R163" s="133"/>
      <c r="S163" s="173"/>
      <c r="T163" s="142"/>
      <c r="U163" s="133"/>
      <c r="V163" s="133"/>
      <c r="W163" s="133"/>
      <c r="X163" s="173"/>
      <c r="Y163" s="133"/>
      <c r="Z163" s="133"/>
      <c r="AA163" s="133"/>
      <c r="AB163" s="133"/>
      <c r="AC163" s="133"/>
      <c r="AD163" s="133"/>
      <c r="AE163" s="173"/>
      <c r="AF163" s="142"/>
      <c r="AG163" s="133"/>
      <c r="AH163" s="133"/>
      <c r="AI163" s="133"/>
      <c r="AJ163" s="173"/>
      <c r="AK163" s="133"/>
      <c r="AL163" s="142"/>
      <c r="AM163" s="21"/>
      <c r="AN163" s="19"/>
    </row>
    <row r="164" spans="2:40">
      <c r="B164" s="133"/>
      <c r="C164" s="133"/>
      <c r="D164" s="133"/>
      <c r="E164" s="133"/>
      <c r="F164" s="133"/>
      <c r="G164" s="173"/>
      <c r="H164" s="142"/>
      <c r="I164" s="133"/>
      <c r="J164" s="133"/>
      <c r="K164" s="133"/>
      <c r="L164" s="173"/>
      <c r="M164" s="133"/>
      <c r="N164" s="133"/>
      <c r="O164" s="133"/>
      <c r="P164" s="133"/>
      <c r="Q164" s="133"/>
      <c r="R164" s="133"/>
      <c r="S164" s="173"/>
      <c r="T164" s="142"/>
      <c r="U164" s="133"/>
      <c r="V164" s="133"/>
      <c r="W164" s="133"/>
      <c r="X164" s="173"/>
      <c r="Y164" s="133"/>
      <c r="Z164" s="133"/>
      <c r="AA164" s="133"/>
      <c r="AB164" s="133"/>
      <c r="AC164" s="133"/>
      <c r="AD164" s="133"/>
      <c r="AE164" s="173"/>
      <c r="AF164" s="142"/>
      <c r="AG164" s="133"/>
      <c r="AH164" s="133"/>
      <c r="AI164" s="133"/>
      <c r="AJ164" s="173"/>
      <c r="AK164" s="133"/>
      <c r="AL164" s="142"/>
      <c r="AM164" s="21"/>
      <c r="AN164" s="19"/>
    </row>
    <row r="165" spans="2:40">
      <c r="B165" s="133"/>
      <c r="C165" s="133"/>
      <c r="D165" s="133"/>
      <c r="E165" s="133"/>
      <c r="F165" s="133"/>
      <c r="G165" s="173"/>
      <c r="H165" s="142"/>
      <c r="I165" s="133"/>
      <c r="J165" s="133"/>
      <c r="K165" s="133"/>
      <c r="L165" s="173"/>
      <c r="M165" s="133"/>
      <c r="N165" s="133"/>
      <c r="O165" s="133"/>
      <c r="P165" s="133"/>
      <c r="Q165" s="133"/>
      <c r="R165" s="133"/>
      <c r="S165" s="173"/>
      <c r="T165" s="142"/>
      <c r="U165" s="133"/>
      <c r="V165" s="133"/>
      <c r="W165" s="133"/>
      <c r="X165" s="173"/>
      <c r="Y165" s="133"/>
      <c r="Z165" s="133"/>
      <c r="AA165" s="133"/>
      <c r="AB165" s="133"/>
      <c r="AC165" s="133"/>
      <c r="AD165" s="133"/>
      <c r="AE165" s="173"/>
      <c r="AF165" s="142"/>
      <c r="AG165" s="133"/>
      <c r="AH165" s="133"/>
      <c r="AI165" s="133"/>
      <c r="AJ165" s="173"/>
      <c r="AK165" s="133"/>
      <c r="AL165" s="142"/>
      <c r="AM165" s="21"/>
      <c r="AN165" s="19"/>
    </row>
    <row r="166" spans="2:40">
      <c r="B166" s="133"/>
      <c r="C166" s="133"/>
      <c r="D166" s="133"/>
      <c r="E166" s="133"/>
      <c r="F166" s="133"/>
      <c r="G166" s="173"/>
      <c r="H166" s="142"/>
      <c r="I166" s="133"/>
      <c r="J166" s="133"/>
      <c r="K166" s="133"/>
      <c r="L166" s="173"/>
      <c r="M166" s="133"/>
      <c r="N166" s="133"/>
      <c r="O166" s="133"/>
      <c r="P166" s="133"/>
      <c r="Q166" s="133"/>
      <c r="R166" s="133"/>
      <c r="S166" s="173"/>
      <c r="T166" s="142"/>
      <c r="U166" s="133"/>
      <c r="V166" s="133"/>
      <c r="W166" s="133"/>
      <c r="X166" s="173"/>
      <c r="Y166" s="133"/>
      <c r="Z166" s="133"/>
      <c r="AA166" s="133"/>
      <c r="AB166" s="133"/>
      <c r="AC166" s="133"/>
      <c r="AD166" s="133"/>
      <c r="AE166" s="173"/>
      <c r="AF166" s="142"/>
      <c r="AG166" s="133"/>
      <c r="AH166" s="133"/>
      <c r="AI166" s="133"/>
      <c r="AJ166" s="173"/>
      <c r="AK166" s="133"/>
      <c r="AL166" s="142"/>
      <c r="AM166" s="21"/>
      <c r="AN166" s="19"/>
    </row>
    <row r="167" spans="2:40">
      <c r="B167" s="133"/>
      <c r="C167" s="133"/>
      <c r="D167" s="133"/>
      <c r="E167" s="133"/>
      <c r="F167" s="133"/>
      <c r="G167" s="173"/>
      <c r="H167" s="142"/>
      <c r="I167" s="133"/>
      <c r="J167" s="133"/>
      <c r="K167" s="133"/>
      <c r="L167" s="173"/>
      <c r="M167" s="133"/>
      <c r="N167" s="133"/>
      <c r="O167" s="133"/>
      <c r="P167" s="133"/>
      <c r="Q167" s="133"/>
      <c r="R167" s="133"/>
      <c r="S167" s="173"/>
      <c r="T167" s="142"/>
      <c r="U167" s="133"/>
      <c r="V167" s="133"/>
      <c r="W167" s="133"/>
      <c r="X167" s="173"/>
      <c r="Y167" s="133"/>
      <c r="Z167" s="133"/>
      <c r="AA167" s="133"/>
      <c r="AB167" s="133"/>
      <c r="AC167" s="133"/>
      <c r="AD167" s="133"/>
      <c r="AE167" s="173"/>
      <c r="AF167" s="142"/>
      <c r="AG167" s="133"/>
      <c r="AH167" s="133"/>
      <c r="AI167" s="133"/>
      <c r="AJ167" s="173"/>
      <c r="AK167" s="133"/>
      <c r="AL167" s="142"/>
      <c r="AM167" s="21"/>
      <c r="AN167" s="19"/>
    </row>
    <row r="168" spans="2:40">
      <c r="B168" s="133"/>
      <c r="C168" s="133"/>
      <c r="D168" s="133"/>
      <c r="E168" s="133"/>
      <c r="F168" s="133"/>
      <c r="G168" s="173"/>
      <c r="H168" s="142"/>
      <c r="I168" s="133"/>
      <c r="J168" s="133"/>
      <c r="K168" s="133"/>
      <c r="L168" s="173"/>
      <c r="M168" s="133"/>
      <c r="N168" s="133"/>
      <c r="O168" s="133"/>
      <c r="P168" s="133"/>
      <c r="Q168" s="133"/>
      <c r="R168" s="133"/>
      <c r="S168" s="173"/>
      <c r="T168" s="142"/>
      <c r="U168" s="133"/>
      <c r="V168" s="133"/>
      <c r="W168" s="133"/>
      <c r="X168" s="173"/>
      <c r="Y168" s="133"/>
      <c r="Z168" s="133"/>
      <c r="AA168" s="133"/>
      <c r="AB168" s="133"/>
      <c r="AC168" s="133"/>
      <c r="AD168" s="133"/>
      <c r="AE168" s="173"/>
      <c r="AF168" s="142"/>
      <c r="AG168" s="133"/>
      <c r="AH168" s="133"/>
      <c r="AI168" s="133"/>
      <c r="AJ168" s="173"/>
      <c r="AK168" s="133"/>
      <c r="AL168" s="142"/>
      <c r="AM168" s="21"/>
      <c r="AN168" s="19"/>
    </row>
    <row r="169" spans="2:40">
      <c r="B169" s="133"/>
      <c r="C169" s="133"/>
      <c r="D169" s="133"/>
      <c r="E169" s="133"/>
      <c r="F169" s="133"/>
      <c r="G169" s="173"/>
      <c r="H169" s="142"/>
      <c r="I169" s="133"/>
      <c r="J169" s="133"/>
      <c r="K169" s="133"/>
      <c r="L169" s="173"/>
      <c r="M169" s="133"/>
      <c r="N169" s="133"/>
      <c r="O169" s="133"/>
      <c r="P169" s="133"/>
      <c r="Q169" s="133"/>
      <c r="R169" s="133"/>
      <c r="S169" s="173"/>
      <c r="T169" s="142"/>
      <c r="U169" s="133"/>
      <c r="V169" s="133"/>
      <c r="W169" s="133"/>
      <c r="X169" s="173"/>
      <c r="Y169" s="133"/>
      <c r="Z169" s="133"/>
      <c r="AA169" s="133"/>
      <c r="AB169" s="133"/>
      <c r="AC169" s="133"/>
      <c r="AD169" s="133"/>
      <c r="AE169" s="173"/>
      <c r="AF169" s="142"/>
      <c r="AG169" s="133"/>
      <c r="AH169" s="133"/>
      <c r="AI169" s="133"/>
      <c r="AJ169" s="173"/>
      <c r="AK169" s="133"/>
      <c r="AL169" s="142"/>
      <c r="AM169" s="21"/>
      <c r="AN169" s="19"/>
    </row>
    <row r="170" spans="2:40">
      <c r="B170" s="133"/>
      <c r="C170" s="133"/>
      <c r="D170" s="133"/>
      <c r="E170" s="133"/>
      <c r="F170" s="133"/>
      <c r="G170" s="173"/>
      <c r="H170" s="142"/>
      <c r="I170" s="133"/>
      <c r="J170" s="133"/>
      <c r="K170" s="133"/>
      <c r="L170" s="173"/>
      <c r="M170" s="133"/>
      <c r="N170" s="133"/>
      <c r="O170" s="133"/>
      <c r="P170" s="133"/>
      <c r="Q170" s="133"/>
      <c r="R170" s="133"/>
      <c r="S170" s="173"/>
      <c r="T170" s="142"/>
      <c r="U170" s="133"/>
      <c r="V170" s="133"/>
      <c r="W170" s="133"/>
      <c r="X170" s="173"/>
      <c r="Y170" s="133"/>
      <c r="Z170" s="133"/>
      <c r="AA170" s="133"/>
      <c r="AB170" s="133"/>
      <c r="AC170" s="133"/>
      <c r="AD170" s="133"/>
      <c r="AE170" s="173"/>
      <c r="AF170" s="142"/>
      <c r="AG170" s="133"/>
      <c r="AH170" s="133"/>
      <c r="AI170" s="133"/>
      <c r="AJ170" s="173"/>
      <c r="AK170" s="133"/>
      <c r="AL170" s="142"/>
      <c r="AM170" s="21"/>
      <c r="AN170" s="19"/>
    </row>
    <row r="171" spans="2:40">
      <c r="B171" s="133"/>
      <c r="C171" s="133"/>
      <c r="D171" s="133"/>
      <c r="E171" s="133"/>
      <c r="F171" s="133"/>
      <c r="G171" s="173"/>
      <c r="H171" s="142"/>
      <c r="I171" s="133"/>
      <c r="J171" s="133"/>
      <c r="K171" s="133"/>
      <c r="L171" s="173"/>
      <c r="M171" s="133"/>
      <c r="N171" s="133"/>
      <c r="O171" s="133"/>
      <c r="P171" s="133"/>
      <c r="Q171" s="133"/>
      <c r="R171" s="133"/>
      <c r="S171" s="173"/>
      <c r="T171" s="142"/>
      <c r="U171" s="133"/>
      <c r="V171" s="133"/>
      <c r="W171" s="133"/>
      <c r="X171" s="173"/>
      <c r="Y171" s="133"/>
      <c r="Z171" s="133"/>
      <c r="AA171" s="133"/>
      <c r="AB171" s="133"/>
      <c r="AC171" s="133"/>
      <c r="AD171" s="133"/>
      <c r="AE171" s="173"/>
      <c r="AF171" s="142"/>
      <c r="AG171" s="133"/>
      <c r="AH171" s="133"/>
      <c r="AI171" s="133"/>
      <c r="AJ171" s="173"/>
      <c r="AK171" s="133"/>
      <c r="AL171" s="142"/>
      <c r="AM171" s="21"/>
      <c r="AN171" s="19"/>
    </row>
    <row r="172" spans="2:40">
      <c r="B172" s="133"/>
      <c r="C172" s="133"/>
      <c r="D172" s="133"/>
      <c r="E172" s="133"/>
      <c r="F172" s="133"/>
      <c r="G172" s="173"/>
      <c r="H172" s="142"/>
      <c r="I172" s="133"/>
      <c r="J172" s="133"/>
      <c r="K172" s="133"/>
      <c r="L172" s="173"/>
      <c r="M172" s="133"/>
      <c r="N172" s="133"/>
      <c r="O172" s="133"/>
      <c r="P172" s="133"/>
      <c r="Q172" s="133"/>
      <c r="R172" s="133"/>
      <c r="S172" s="173"/>
      <c r="T172" s="142"/>
      <c r="U172" s="133"/>
      <c r="V172" s="133"/>
      <c r="W172" s="133"/>
      <c r="X172" s="173"/>
      <c r="Y172" s="133"/>
      <c r="Z172" s="133"/>
      <c r="AA172" s="133"/>
      <c r="AB172" s="133"/>
      <c r="AC172" s="133"/>
      <c r="AD172" s="133"/>
      <c r="AE172" s="173"/>
      <c r="AF172" s="142"/>
      <c r="AG172" s="133"/>
      <c r="AH172" s="133"/>
      <c r="AI172" s="133"/>
      <c r="AJ172" s="173"/>
      <c r="AK172" s="133"/>
      <c r="AL172" s="142"/>
      <c r="AM172" s="21"/>
      <c r="AN172" s="19"/>
    </row>
    <row r="173" spans="2:40">
      <c r="B173" s="133"/>
      <c r="C173" s="133"/>
      <c r="D173" s="133"/>
      <c r="E173" s="133"/>
      <c r="F173" s="133"/>
      <c r="G173" s="173"/>
      <c r="H173" s="142"/>
      <c r="I173" s="133"/>
      <c r="J173" s="133"/>
      <c r="K173" s="133"/>
      <c r="L173" s="173"/>
      <c r="M173" s="133"/>
      <c r="N173" s="133"/>
      <c r="O173" s="133"/>
      <c r="P173" s="133"/>
      <c r="Q173" s="133"/>
      <c r="R173" s="133"/>
      <c r="S173" s="173"/>
      <c r="T173" s="142"/>
      <c r="U173" s="133"/>
      <c r="V173" s="133"/>
      <c r="W173" s="133"/>
      <c r="X173" s="173"/>
      <c r="Y173" s="133"/>
      <c r="Z173" s="133"/>
      <c r="AA173" s="133"/>
      <c r="AB173" s="133"/>
      <c r="AC173" s="133"/>
      <c r="AD173" s="133"/>
      <c r="AE173" s="173"/>
      <c r="AF173" s="142"/>
      <c r="AG173" s="133"/>
      <c r="AH173" s="133"/>
      <c r="AI173" s="133"/>
      <c r="AJ173" s="173"/>
      <c r="AK173" s="133"/>
      <c r="AL173" s="142"/>
      <c r="AM173" s="21"/>
      <c r="AN173" s="19"/>
    </row>
    <row r="174" spans="2:40">
      <c r="B174" s="133"/>
      <c r="C174" s="133"/>
      <c r="D174" s="133"/>
      <c r="E174" s="133"/>
      <c r="F174" s="133"/>
      <c r="G174" s="173"/>
      <c r="H174" s="142"/>
      <c r="I174" s="133"/>
      <c r="J174" s="133"/>
      <c r="K174" s="133"/>
      <c r="L174" s="173"/>
      <c r="M174" s="133"/>
      <c r="N174" s="133"/>
      <c r="O174" s="133"/>
      <c r="P174" s="133"/>
      <c r="Q174" s="133"/>
      <c r="R174" s="133"/>
      <c r="S174" s="173"/>
      <c r="T174" s="142"/>
      <c r="U174" s="133"/>
      <c r="V174" s="133"/>
      <c r="W174" s="133"/>
      <c r="X174" s="173"/>
      <c r="Y174" s="133"/>
      <c r="Z174" s="133"/>
      <c r="AA174" s="133"/>
      <c r="AB174" s="133"/>
      <c r="AC174" s="133"/>
      <c r="AD174" s="133"/>
      <c r="AE174" s="173"/>
      <c r="AF174" s="142"/>
      <c r="AG174" s="133"/>
      <c r="AH174" s="133"/>
      <c r="AI174" s="133"/>
      <c r="AJ174" s="173"/>
      <c r="AK174" s="133"/>
      <c r="AL174" s="142"/>
      <c r="AM174" s="21"/>
      <c r="AN174" s="19"/>
    </row>
    <row r="175" spans="2:40">
      <c r="B175" s="133"/>
      <c r="C175" s="133"/>
      <c r="D175" s="133"/>
      <c r="E175" s="133"/>
      <c r="F175" s="133"/>
      <c r="G175" s="173"/>
      <c r="H175" s="142"/>
      <c r="I175" s="133"/>
      <c r="J175" s="133"/>
      <c r="K175" s="133"/>
      <c r="L175" s="173"/>
      <c r="M175" s="133"/>
      <c r="N175" s="133"/>
      <c r="O175" s="133"/>
      <c r="P175" s="133"/>
      <c r="Q175" s="133"/>
      <c r="R175" s="133"/>
      <c r="S175" s="173"/>
      <c r="T175" s="142"/>
      <c r="U175" s="133"/>
      <c r="V175" s="133"/>
      <c r="W175" s="133"/>
      <c r="X175" s="173"/>
      <c r="Y175" s="133"/>
      <c r="Z175" s="133"/>
      <c r="AA175" s="133"/>
      <c r="AB175" s="133"/>
      <c r="AC175" s="133"/>
      <c r="AD175" s="133"/>
      <c r="AE175" s="173"/>
      <c r="AF175" s="142"/>
      <c r="AG175" s="133"/>
      <c r="AH175" s="133"/>
      <c r="AI175" s="133"/>
      <c r="AJ175" s="173"/>
      <c r="AK175" s="133"/>
      <c r="AL175" s="142"/>
      <c r="AM175" s="21"/>
      <c r="AN175" s="19"/>
    </row>
    <row r="176" spans="2:40">
      <c r="B176" s="133"/>
      <c r="C176" s="133"/>
      <c r="D176" s="133"/>
      <c r="E176" s="133"/>
      <c r="F176" s="133"/>
      <c r="G176" s="173"/>
      <c r="H176" s="142"/>
      <c r="I176" s="133"/>
      <c r="J176" s="133"/>
      <c r="K176" s="133"/>
      <c r="L176" s="173"/>
      <c r="M176" s="133"/>
      <c r="N176" s="133"/>
      <c r="O176" s="133"/>
      <c r="P176" s="133"/>
      <c r="Q176" s="133"/>
      <c r="R176" s="133"/>
      <c r="S176" s="173"/>
      <c r="T176" s="142"/>
      <c r="U176" s="133"/>
      <c r="V176" s="133"/>
      <c r="W176" s="133"/>
      <c r="X176" s="173"/>
      <c r="Y176" s="133"/>
      <c r="Z176" s="133"/>
      <c r="AA176" s="133"/>
      <c r="AB176" s="133"/>
      <c r="AC176" s="133"/>
      <c r="AD176" s="133"/>
      <c r="AE176" s="173"/>
      <c r="AF176" s="142"/>
      <c r="AG176" s="133"/>
      <c r="AH176" s="133"/>
      <c r="AI176" s="133"/>
      <c r="AJ176" s="173"/>
      <c r="AK176" s="133"/>
      <c r="AL176" s="142"/>
      <c r="AM176" s="21"/>
      <c r="AN176" s="19"/>
    </row>
    <row r="177" spans="2:40">
      <c r="B177" s="133"/>
      <c r="C177" s="133"/>
      <c r="D177" s="133"/>
      <c r="E177" s="133"/>
      <c r="F177" s="133"/>
      <c r="G177" s="173"/>
      <c r="H177" s="142"/>
      <c r="I177" s="133"/>
      <c r="J177" s="133"/>
      <c r="K177" s="133"/>
      <c r="L177" s="173"/>
      <c r="M177" s="133"/>
      <c r="N177" s="133"/>
      <c r="O177" s="133"/>
      <c r="P177" s="133"/>
      <c r="Q177" s="133"/>
      <c r="R177" s="133"/>
      <c r="S177" s="173"/>
      <c r="T177" s="142"/>
      <c r="U177" s="133"/>
      <c r="V177" s="133"/>
      <c r="W177" s="133"/>
      <c r="X177" s="173"/>
      <c r="Y177" s="133"/>
      <c r="Z177" s="133"/>
      <c r="AA177" s="133"/>
      <c r="AB177" s="133"/>
      <c r="AC177" s="133"/>
      <c r="AD177" s="133"/>
      <c r="AE177" s="173"/>
      <c r="AF177" s="142"/>
      <c r="AG177" s="133"/>
      <c r="AH177" s="133"/>
      <c r="AI177" s="133"/>
      <c r="AJ177" s="173"/>
      <c r="AK177" s="133"/>
      <c r="AL177" s="142"/>
      <c r="AM177" s="21"/>
      <c r="AN177" s="19"/>
    </row>
    <row r="178" spans="2:40">
      <c r="B178" s="133"/>
      <c r="C178" s="133"/>
      <c r="D178" s="133"/>
      <c r="E178" s="133"/>
      <c r="F178" s="133"/>
      <c r="G178" s="173"/>
      <c r="H178" s="142"/>
      <c r="I178" s="133"/>
      <c r="J178" s="133"/>
      <c r="K178" s="133"/>
      <c r="L178" s="173"/>
      <c r="M178" s="133"/>
      <c r="N178" s="133"/>
      <c r="O178" s="133"/>
      <c r="P178" s="133"/>
      <c r="Q178" s="133"/>
      <c r="R178" s="133"/>
      <c r="S178" s="173"/>
      <c r="T178" s="142"/>
      <c r="U178" s="133"/>
      <c r="V178" s="133"/>
      <c r="W178" s="133"/>
      <c r="X178" s="173"/>
      <c r="Y178" s="133"/>
      <c r="Z178" s="133"/>
      <c r="AA178" s="133"/>
      <c r="AB178" s="133"/>
      <c r="AC178" s="133"/>
      <c r="AD178" s="133"/>
      <c r="AE178" s="173"/>
      <c r="AF178" s="142"/>
      <c r="AG178" s="133"/>
      <c r="AH178" s="133"/>
      <c r="AI178" s="133"/>
      <c r="AJ178" s="173"/>
      <c r="AK178" s="133"/>
      <c r="AL178" s="142"/>
      <c r="AM178" s="21"/>
      <c r="AN178" s="19"/>
    </row>
    <row r="179" spans="2:40">
      <c r="B179" s="133"/>
      <c r="C179" s="133"/>
      <c r="D179" s="133"/>
      <c r="E179" s="133"/>
      <c r="F179" s="133"/>
      <c r="G179" s="173"/>
      <c r="H179" s="142"/>
      <c r="I179" s="133"/>
      <c r="J179" s="133"/>
      <c r="K179" s="133"/>
      <c r="L179" s="173"/>
      <c r="M179" s="133"/>
      <c r="N179" s="133"/>
      <c r="O179" s="133"/>
      <c r="P179" s="133"/>
      <c r="Q179" s="133"/>
      <c r="R179" s="133"/>
      <c r="S179" s="133"/>
      <c r="T179" s="133"/>
      <c r="U179" s="133"/>
      <c r="V179" s="133"/>
      <c r="W179" s="133"/>
      <c r="X179" s="173"/>
      <c r="Y179" s="133"/>
      <c r="Z179" s="133"/>
      <c r="AA179" s="133"/>
      <c r="AB179" s="133"/>
      <c r="AC179" s="133"/>
      <c r="AD179" s="133"/>
      <c r="AE179" s="173"/>
      <c r="AF179" s="142"/>
      <c r="AG179" s="133"/>
      <c r="AH179" s="133"/>
      <c r="AI179" s="133"/>
      <c r="AJ179" s="173"/>
      <c r="AK179" s="133"/>
      <c r="AL179" s="142"/>
      <c r="AM179" s="21"/>
      <c r="AN179" s="19"/>
    </row>
    <row r="180" spans="2:40">
      <c r="B180" s="133"/>
      <c r="C180" s="133"/>
      <c r="D180" s="133"/>
      <c r="E180" s="133"/>
      <c r="F180" s="133"/>
      <c r="G180" s="173"/>
      <c r="H180" s="142"/>
      <c r="I180" s="133"/>
      <c r="J180" s="133"/>
      <c r="K180" s="133"/>
      <c r="L180" s="173"/>
      <c r="M180" s="133"/>
      <c r="N180" s="133"/>
      <c r="O180" s="133"/>
      <c r="P180" s="133"/>
      <c r="Q180" s="133"/>
      <c r="R180" s="133"/>
      <c r="S180" s="173"/>
      <c r="T180" s="142"/>
      <c r="U180" s="133"/>
      <c r="V180" s="133"/>
      <c r="W180" s="133"/>
      <c r="X180" s="173"/>
      <c r="Y180" s="133"/>
      <c r="Z180" s="133"/>
      <c r="AA180" s="133"/>
      <c r="AB180" s="133"/>
      <c r="AC180" s="133"/>
      <c r="AD180" s="133"/>
      <c r="AE180" s="173"/>
      <c r="AF180" s="142"/>
      <c r="AG180" s="133"/>
      <c r="AH180" s="133"/>
      <c r="AI180" s="133"/>
      <c r="AJ180" s="173"/>
      <c r="AK180" s="133"/>
      <c r="AL180" s="142"/>
      <c r="AM180" s="21"/>
      <c r="AN180" s="19"/>
    </row>
    <row r="181" spans="2:40">
      <c r="B181" s="133"/>
      <c r="C181" s="133"/>
      <c r="D181" s="133"/>
      <c r="E181" s="133"/>
      <c r="F181" s="133"/>
      <c r="G181" s="173"/>
      <c r="H181" s="142"/>
      <c r="I181" s="133"/>
      <c r="J181" s="133"/>
      <c r="K181" s="133"/>
      <c r="L181" s="173"/>
      <c r="M181" s="133"/>
      <c r="N181" s="133"/>
      <c r="O181" s="133"/>
      <c r="P181" s="133"/>
      <c r="Q181" s="133"/>
      <c r="R181" s="133"/>
      <c r="S181" s="173"/>
      <c r="T181" s="142"/>
      <c r="U181" s="133"/>
      <c r="V181" s="133"/>
      <c r="W181" s="133"/>
      <c r="X181" s="173"/>
      <c r="Y181" s="133"/>
      <c r="Z181" s="133"/>
      <c r="AA181" s="133"/>
      <c r="AB181" s="133"/>
      <c r="AC181" s="133"/>
      <c r="AD181" s="133"/>
      <c r="AE181" s="173"/>
      <c r="AF181" s="142"/>
      <c r="AG181" s="133"/>
      <c r="AH181" s="133"/>
      <c r="AI181" s="133"/>
      <c r="AJ181" s="173"/>
      <c r="AK181" s="133"/>
      <c r="AL181" s="142"/>
      <c r="AM181" s="21"/>
      <c r="AN181" s="19"/>
    </row>
    <row r="182" spans="2:40">
      <c r="B182" s="133"/>
      <c r="C182" s="133"/>
      <c r="D182" s="133"/>
      <c r="E182" s="133"/>
      <c r="F182" s="133"/>
      <c r="G182" s="173"/>
      <c r="H182" s="142"/>
      <c r="I182" s="133"/>
      <c r="J182" s="133"/>
      <c r="K182" s="133"/>
      <c r="L182" s="173"/>
      <c r="M182" s="133"/>
      <c r="N182" s="133"/>
      <c r="O182" s="133"/>
      <c r="P182" s="133"/>
      <c r="Q182" s="133"/>
      <c r="R182" s="133"/>
      <c r="S182" s="173"/>
      <c r="T182" s="142"/>
      <c r="U182" s="133"/>
      <c r="V182" s="133"/>
      <c r="W182" s="133"/>
      <c r="X182" s="173"/>
      <c r="Y182" s="133"/>
      <c r="Z182" s="133"/>
      <c r="AA182" s="133"/>
      <c r="AB182" s="133"/>
      <c r="AC182" s="133"/>
      <c r="AD182" s="133"/>
      <c r="AE182" s="173"/>
      <c r="AF182" s="142"/>
      <c r="AG182" s="133"/>
      <c r="AH182" s="133"/>
      <c r="AI182" s="133"/>
      <c r="AJ182" s="173"/>
      <c r="AK182" s="133"/>
      <c r="AL182" s="142"/>
      <c r="AM182" s="21"/>
      <c r="AN182" s="19"/>
    </row>
    <row r="183" spans="2:40">
      <c r="B183" s="133"/>
      <c r="C183" s="133"/>
      <c r="D183" s="133"/>
      <c r="E183" s="133"/>
      <c r="F183" s="133"/>
      <c r="G183" s="173"/>
      <c r="H183" s="142"/>
      <c r="I183" s="133"/>
      <c r="J183" s="133"/>
      <c r="K183" s="133"/>
      <c r="L183" s="173"/>
      <c r="M183" s="133"/>
      <c r="N183" s="133"/>
      <c r="O183" s="133"/>
      <c r="P183" s="133"/>
      <c r="Q183" s="133"/>
      <c r="R183" s="133"/>
      <c r="S183" s="173"/>
      <c r="T183" s="142"/>
      <c r="U183" s="133"/>
      <c r="V183" s="133"/>
      <c r="W183" s="133"/>
      <c r="X183" s="173"/>
      <c r="Y183" s="133"/>
      <c r="Z183" s="133"/>
      <c r="AA183" s="133"/>
      <c r="AB183" s="133"/>
      <c r="AC183" s="133"/>
      <c r="AD183" s="133"/>
      <c r="AE183" s="173"/>
      <c r="AF183" s="142"/>
      <c r="AG183" s="133"/>
      <c r="AH183" s="133"/>
      <c r="AI183" s="133"/>
      <c r="AJ183" s="173"/>
      <c r="AK183" s="133"/>
      <c r="AL183" s="142"/>
      <c r="AM183" s="21"/>
      <c r="AN183" s="19"/>
    </row>
    <row r="184" spans="2:40">
      <c r="B184" s="133"/>
      <c r="C184" s="133"/>
      <c r="D184" s="133"/>
      <c r="E184" s="133"/>
      <c r="F184" s="133"/>
      <c r="G184" s="173"/>
      <c r="H184" s="142"/>
      <c r="I184" s="133"/>
      <c r="J184" s="133"/>
      <c r="K184" s="133"/>
      <c r="L184" s="173"/>
      <c r="M184" s="133"/>
      <c r="N184" s="133"/>
      <c r="O184" s="133"/>
      <c r="P184" s="133"/>
      <c r="Q184" s="133"/>
      <c r="R184" s="133"/>
      <c r="S184" s="173"/>
      <c r="T184" s="142"/>
      <c r="U184" s="133"/>
      <c r="V184" s="133"/>
      <c r="W184" s="133"/>
      <c r="X184" s="173"/>
      <c r="Y184" s="133"/>
      <c r="Z184" s="133"/>
      <c r="AA184" s="133"/>
      <c r="AB184" s="133"/>
      <c r="AC184" s="133"/>
      <c r="AD184" s="133"/>
      <c r="AE184" s="173"/>
      <c r="AF184" s="142"/>
      <c r="AG184" s="133"/>
      <c r="AH184" s="133"/>
      <c r="AI184" s="133"/>
      <c r="AJ184" s="173"/>
      <c r="AK184" s="133"/>
      <c r="AL184" s="142"/>
      <c r="AM184" s="21"/>
      <c r="AN184" s="19"/>
    </row>
    <row r="185" spans="2:40">
      <c r="B185" s="133"/>
      <c r="C185" s="133"/>
      <c r="D185" s="133"/>
      <c r="E185" s="133"/>
      <c r="F185" s="133"/>
      <c r="G185" s="173"/>
      <c r="H185" s="142"/>
      <c r="I185" s="133"/>
      <c r="J185" s="133"/>
      <c r="K185" s="133"/>
      <c r="L185" s="173"/>
      <c r="M185" s="133"/>
      <c r="N185" s="133"/>
      <c r="O185" s="133"/>
      <c r="P185" s="133"/>
      <c r="Q185" s="133"/>
      <c r="R185" s="133"/>
      <c r="S185" s="173"/>
      <c r="T185" s="142"/>
      <c r="U185" s="133"/>
      <c r="V185" s="133"/>
      <c r="W185" s="133"/>
      <c r="X185" s="173"/>
      <c r="Y185" s="133"/>
      <c r="Z185" s="133"/>
      <c r="AA185" s="133"/>
      <c r="AB185" s="133"/>
      <c r="AC185" s="133"/>
      <c r="AD185" s="133"/>
      <c r="AE185" s="173"/>
      <c r="AF185" s="142"/>
      <c r="AG185" s="133"/>
      <c r="AH185" s="133"/>
      <c r="AI185" s="133"/>
      <c r="AJ185" s="173"/>
      <c r="AK185" s="133"/>
      <c r="AL185" s="142"/>
      <c r="AM185" s="21"/>
      <c r="AN185" s="19"/>
    </row>
    <row r="186" spans="2:40">
      <c r="B186" s="133"/>
      <c r="C186" s="133"/>
      <c r="D186" s="133"/>
      <c r="E186" s="133"/>
      <c r="F186" s="133"/>
      <c r="G186" s="173"/>
      <c r="H186" s="142"/>
      <c r="I186" s="133"/>
      <c r="J186" s="133"/>
      <c r="K186" s="133"/>
      <c r="L186" s="173"/>
      <c r="M186" s="133"/>
      <c r="N186" s="133"/>
      <c r="O186" s="133"/>
      <c r="P186" s="133"/>
      <c r="Q186" s="133"/>
      <c r="R186" s="133"/>
      <c r="S186" s="173"/>
      <c r="T186" s="142"/>
      <c r="U186" s="133"/>
      <c r="V186" s="133"/>
      <c r="W186" s="133"/>
      <c r="X186" s="173"/>
      <c r="Y186" s="133"/>
      <c r="Z186" s="133"/>
      <c r="AA186" s="133"/>
      <c r="AB186" s="133"/>
      <c r="AC186" s="133"/>
      <c r="AD186" s="133"/>
      <c r="AE186" s="173"/>
      <c r="AF186" s="142"/>
      <c r="AG186" s="133"/>
      <c r="AH186" s="133"/>
      <c r="AI186" s="133"/>
      <c r="AJ186" s="173"/>
      <c r="AK186" s="133"/>
      <c r="AL186" s="142"/>
      <c r="AM186" s="21"/>
      <c r="AN186" s="19"/>
    </row>
    <row r="187" spans="2:40">
      <c r="B187" s="133"/>
      <c r="C187" s="133"/>
      <c r="D187" s="133"/>
      <c r="E187" s="133"/>
      <c r="F187" s="133"/>
      <c r="G187" s="173"/>
      <c r="H187" s="142"/>
      <c r="I187" s="133"/>
      <c r="J187" s="133"/>
      <c r="K187" s="133"/>
      <c r="L187" s="173"/>
      <c r="M187" s="133"/>
      <c r="N187" s="133"/>
      <c r="O187" s="133"/>
      <c r="P187" s="133"/>
      <c r="Q187" s="133"/>
      <c r="R187" s="133"/>
      <c r="S187" s="173"/>
      <c r="T187" s="142"/>
      <c r="U187" s="133"/>
      <c r="V187" s="133"/>
      <c r="W187" s="133"/>
      <c r="X187" s="173"/>
      <c r="Y187" s="133"/>
      <c r="Z187" s="133"/>
      <c r="AA187" s="133"/>
      <c r="AB187" s="133"/>
      <c r="AC187" s="133"/>
      <c r="AD187" s="133"/>
      <c r="AE187" s="173"/>
      <c r="AF187" s="142"/>
      <c r="AG187" s="133"/>
      <c r="AH187" s="133"/>
      <c r="AI187" s="133"/>
      <c r="AJ187" s="173"/>
      <c r="AK187" s="133"/>
      <c r="AL187" s="142"/>
      <c r="AM187" s="21"/>
      <c r="AN187" s="19"/>
    </row>
    <row r="188" spans="2:40">
      <c r="B188" s="133"/>
      <c r="C188" s="133"/>
      <c r="D188" s="133"/>
      <c r="E188" s="133"/>
      <c r="F188" s="133"/>
      <c r="G188" s="173"/>
      <c r="H188" s="142"/>
      <c r="I188" s="133"/>
      <c r="J188" s="133"/>
      <c r="K188" s="133"/>
      <c r="L188" s="173"/>
      <c r="M188" s="133"/>
      <c r="N188" s="133"/>
      <c r="O188" s="133"/>
      <c r="P188" s="133"/>
      <c r="Q188" s="133"/>
      <c r="R188" s="133"/>
      <c r="S188" s="173"/>
      <c r="T188" s="142"/>
      <c r="U188" s="133"/>
      <c r="V188" s="133"/>
      <c r="W188" s="133"/>
      <c r="X188" s="173"/>
      <c r="Y188" s="133"/>
      <c r="Z188" s="133"/>
      <c r="AA188" s="133"/>
      <c r="AB188" s="133"/>
      <c r="AC188" s="133"/>
      <c r="AD188" s="133"/>
      <c r="AE188" s="173"/>
      <c r="AF188" s="142"/>
      <c r="AG188" s="133"/>
      <c r="AH188" s="133"/>
      <c r="AI188" s="133"/>
      <c r="AJ188" s="173"/>
      <c r="AK188" s="133"/>
      <c r="AL188" s="142"/>
      <c r="AM188" s="21"/>
      <c r="AN188" s="19"/>
    </row>
    <row r="189" spans="2:40">
      <c r="B189" s="133"/>
      <c r="C189" s="133"/>
      <c r="D189" s="133"/>
      <c r="E189" s="133"/>
      <c r="F189" s="133"/>
      <c r="G189" s="173"/>
      <c r="H189" s="142"/>
      <c r="I189" s="133"/>
      <c r="J189" s="133"/>
      <c r="K189" s="133"/>
      <c r="L189" s="173"/>
      <c r="M189" s="133"/>
      <c r="N189" s="133"/>
      <c r="O189" s="133"/>
      <c r="P189" s="133"/>
      <c r="Q189" s="133"/>
      <c r="R189" s="133"/>
      <c r="S189" s="173"/>
      <c r="T189" s="142"/>
      <c r="U189" s="133"/>
      <c r="V189" s="133"/>
      <c r="W189" s="133"/>
      <c r="X189" s="173"/>
      <c r="Y189" s="133"/>
      <c r="Z189" s="133"/>
      <c r="AA189" s="133"/>
      <c r="AB189" s="133"/>
      <c r="AC189" s="133"/>
      <c r="AD189" s="133"/>
      <c r="AE189" s="173"/>
      <c r="AF189" s="142"/>
      <c r="AG189" s="133"/>
      <c r="AH189" s="133"/>
      <c r="AI189" s="133"/>
      <c r="AJ189" s="173"/>
      <c r="AK189" s="133"/>
      <c r="AL189" s="142"/>
      <c r="AM189" s="21"/>
      <c r="AN189" s="19"/>
    </row>
    <row r="190" spans="2:40">
      <c r="B190" s="133"/>
      <c r="C190" s="133"/>
      <c r="D190" s="133"/>
      <c r="E190" s="133"/>
      <c r="F190" s="133"/>
      <c r="G190" s="173"/>
      <c r="H190" s="142"/>
      <c r="I190" s="133"/>
      <c r="J190" s="133"/>
      <c r="K190" s="133"/>
      <c r="L190" s="173"/>
      <c r="M190" s="133"/>
      <c r="N190" s="133"/>
      <c r="O190" s="133"/>
      <c r="P190" s="133"/>
      <c r="Q190" s="133"/>
      <c r="R190" s="133"/>
      <c r="S190" s="173"/>
      <c r="T190" s="142"/>
      <c r="U190" s="133"/>
      <c r="V190" s="133"/>
      <c r="W190" s="133"/>
      <c r="X190" s="173"/>
      <c r="Y190" s="133"/>
      <c r="Z190" s="133"/>
      <c r="AA190" s="133"/>
      <c r="AB190" s="133"/>
      <c r="AC190" s="133"/>
      <c r="AD190" s="133"/>
      <c r="AE190" s="173"/>
      <c r="AF190" s="142"/>
      <c r="AG190" s="133"/>
      <c r="AH190" s="133"/>
      <c r="AI190" s="133"/>
      <c r="AJ190" s="173"/>
      <c r="AK190" s="133"/>
      <c r="AL190" s="142"/>
      <c r="AM190" s="21"/>
      <c r="AN190" s="19"/>
    </row>
    <row r="191" spans="2:40">
      <c r="B191" s="133"/>
      <c r="C191" s="133"/>
      <c r="D191" s="133"/>
      <c r="E191" s="133"/>
      <c r="F191" s="133"/>
      <c r="G191" s="173"/>
      <c r="H191" s="142"/>
      <c r="I191" s="133"/>
      <c r="J191" s="133"/>
      <c r="K191" s="133"/>
      <c r="L191" s="173"/>
      <c r="M191" s="133"/>
      <c r="N191" s="133"/>
      <c r="O191" s="133"/>
      <c r="P191" s="133"/>
      <c r="Q191" s="133"/>
      <c r="R191" s="133"/>
      <c r="S191" s="173"/>
      <c r="T191" s="142"/>
      <c r="U191" s="133"/>
      <c r="V191" s="133"/>
      <c r="W191" s="133"/>
      <c r="X191" s="173"/>
      <c r="Y191" s="133"/>
      <c r="Z191" s="133"/>
      <c r="AA191" s="133"/>
      <c r="AB191" s="133"/>
      <c r="AC191" s="133"/>
      <c r="AD191" s="133"/>
      <c r="AE191" s="173"/>
      <c r="AF191" s="142"/>
      <c r="AG191" s="133"/>
      <c r="AH191" s="133"/>
      <c r="AI191" s="133"/>
      <c r="AJ191" s="173"/>
      <c r="AK191" s="133"/>
      <c r="AL191" s="142"/>
      <c r="AM191" s="21"/>
      <c r="AN191" s="19"/>
    </row>
    <row r="192" spans="2:40">
      <c r="B192" s="133"/>
      <c r="C192" s="133"/>
      <c r="D192" s="133"/>
      <c r="E192" s="133"/>
      <c r="F192" s="133"/>
      <c r="G192" s="173"/>
      <c r="H192" s="142"/>
      <c r="I192" s="133"/>
      <c r="J192" s="133"/>
      <c r="K192" s="133"/>
      <c r="L192" s="173"/>
      <c r="M192" s="133"/>
      <c r="N192" s="133"/>
      <c r="O192" s="133"/>
      <c r="P192" s="133"/>
      <c r="Q192" s="133"/>
      <c r="R192" s="133"/>
      <c r="S192" s="173"/>
      <c r="T192" s="142"/>
      <c r="U192" s="133"/>
      <c r="V192" s="133"/>
      <c r="W192" s="133"/>
      <c r="X192" s="173"/>
      <c r="Y192" s="133"/>
      <c r="Z192" s="133"/>
      <c r="AA192" s="133"/>
      <c r="AB192" s="133"/>
      <c r="AC192" s="133"/>
      <c r="AD192" s="133"/>
      <c r="AE192" s="173"/>
      <c r="AF192" s="142"/>
      <c r="AG192" s="133"/>
      <c r="AH192" s="133"/>
      <c r="AI192" s="133"/>
      <c r="AJ192" s="173"/>
      <c r="AK192" s="133"/>
      <c r="AL192" s="142"/>
      <c r="AM192" s="21"/>
      <c r="AN192" s="19"/>
    </row>
    <row r="193" spans="2:40">
      <c r="B193" s="133"/>
      <c r="C193" s="133"/>
      <c r="D193" s="133"/>
      <c r="E193" s="133"/>
      <c r="F193" s="133"/>
      <c r="G193" s="173"/>
      <c r="H193" s="142"/>
      <c r="I193" s="133"/>
      <c r="J193" s="133"/>
      <c r="K193" s="133"/>
      <c r="L193" s="173"/>
      <c r="M193" s="133"/>
      <c r="N193" s="133"/>
      <c r="O193" s="133"/>
      <c r="P193" s="133"/>
      <c r="Q193" s="133"/>
      <c r="R193" s="133"/>
      <c r="S193" s="173"/>
      <c r="T193" s="142"/>
      <c r="U193" s="133"/>
      <c r="V193" s="133"/>
      <c r="W193" s="133"/>
      <c r="X193" s="173"/>
      <c r="Y193" s="133"/>
      <c r="Z193" s="133"/>
      <c r="AA193" s="133"/>
      <c r="AB193" s="133"/>
      <c r="AC193" s="133"/>
      <c r="AD193" s="133"/>
      <c r="AE193" s="173"/>
      <c r="AF193" s="142"/>
      <c r="AG193" s="133"/>
      <c r="AH193" s="133"/>
      <c r="AI193" s="133"/>
      <c r="AJ193" s="173"/>
      <c r="AK193" s="133"/>
      <c r="AL193" s="142"/>
      <c r="AM193" s="21"/>
      <c r="AN193" s="19"/>
    </row>
    <row r="194" spans="2:40">
      <c r="B194" s="133"/>
      <c r="C194" s="133"/>
      <c r="D194" s="133"/>
      <c r="E194" s="133"/>
      <c r="F194" s="133"/>
      <c r="G194" s="173"/>
      <c r="H194" s="142"/>
      <c r="I194" s="133"/>
      <c r="J194" s="133"/>
      <c r="K194" s="133"/>
      <c r="L194" s="173"/>
      <c r="M194" s="133"/>
      <c r="N194" s="133"/>
      <c r="O194" s="133"/>
      <c r="P194" s="133"/>
      <c r="Q194" s="133"/>
      <c r="R194" s="133"/>
      <c r="S194" s="173"/>
      <c r="T194" s="142"/>
      <c r="U194" s="133"/>
      <c r="V194" s="133"/>
      <c r="W194" s="133"/>
      <c r="X194" s="173"/>
      <c r="Y194" s="133"/>
      <c r="Z194" s="133"/>
      <c r="AA194" s="133"/>
      <c r="AB194" s="133"/>
      <c r="AC194" s="133"/>
      <c r="AD194" s="133"/>
      <c r="AE194" s="173"/>
      <c r="AF194" s="142"/>
      <c r="AG194" s="133"/>
      <c r="AH194" s="133"/>
      <c r="AI194" s="133"/>
      <c r="AJ194" s="173"/>
      <c r="AK194" s="133"/>
      <c r="AL194" s="142"/>
      <c r="AM194" s="21"/>
      <c r="AN194" s="19"/>
    </row>
    <row r="195" spans="2:40">
      <c r="B195" s="133"/>
      <c r="C195" s="133"/>
      <c r="D195" s="133"/>
      <c r="E195" s="133"/>
      <c r="F195" s="133"/>
      <c r="G195" s="173"/>
      <c r="H195" s="142"/>
      <c r="I195" s="133"/>
      <c r="J195" s="133"/>
      <c r="K195" s="133"/>
      <c r="L195" s="173"/>
      <c r="M195" s="133"/>
      <c r="N195" s="133"/>
      <c r="O195" s="133"/>
      <c r="P195" s="133"/>
      <c r="Q195" s="133"/>
      <c r="R195" s="133"/>
      <c r="S195" s="173"/>
      <c r="T195" s="142"/>
      <c r="U195" s="133"/>
      <c r="V195" s="133"/>
      <c r="W195" s="133"/>
      <c r="X195" s="173"/>
      <c r="Y195" s="133"/>
      <c r="Z195" s="133"/>
      <c r="AA195" s="133"/>
      <c r="AB195" s="133"/>
      <c r="AC195" s="133"/>
      <c r="AD195" s="133"/>
      <c r="AE195" s="173"/>
      <c r="AF195" s="142"/>
      <c r="AG195" s="133"/>
      <c r="AH195" s="133"/>
      <c r="AI195" s="133"/>
      <c r="AJ195" s="173"/>
      <c r="AK195" s="133"/>
      <c r="AL195" s="142"/>
      <c r="AM195" s="21"/>
      <c r="AN195" s="19"/>
    </row>
    <row r="196" spans="2:40">
      <c r="B196" s="133"/>
      <c r="C196" s="133"/>
      <c r="D196" s="133"/>
      <c r="E196" s="133"/>
      <c r="F196" s="133"/>
      <c r="G196" s="173"/>
      <c r="H196" s="142"/>
      <c r="I196" s="133"/>
      <c r="J196" s="133"/>
      <c r="K196" s="133"/>
      <c r="L196" s="173"/>
      <c r="M196" s="133"/>
      <c r="N196" s="133"/>
      <c r="O196" s="133"/>
      <c r="P196" s="133"/>
      <c r="Q196" s="133"/>
      <c r="R196" s="133"/>
      <c r="S196" s="173"/>
      <c r="T196" s="142"/>
      <c r="U196" s="133"/>
      <c r="V196" s="133"/>
      <c r="W196" s="133"/>
      <c r="X196" s="173"/>
      <c r="Y196" s="133"/>
      <c r="Z196" s="133"/>
      <c r="AA196" s="133"/>
      <c r="AB196" s="133"/>
      <c r="AC196" s="133"/>
      <c r="AD196" s="133"/>
      <c r="AE196" s="173"/>
      <c r="AF196" s="142"/>
      <c r="AG196" s="133"/>
      <c r="AH196" s="133"/>
      <c r="AI196" s="133"/>
      <c r="AJ196" s="173"/>
      <c r="AK196" s="133"/>
      <c r="AL196" s="142"/>
      <c r="AM196" s="21"/>
      <c r="AN196" s="19"/>
    </row>
    <row r="197" spans="2:40">
      <c r="B197" s="133"/>
      <c r="C197" s="133"/>
      <c r="D197" s="133"/>
      <c r="E197" s="133"/>
      <c r="F197" s="133"/>
      <c r="G197" s="173"/>
      <c r="H197" s="142"/>
      <c r="I197" s="133"/>
      <c r="J197" s="133"/>
      <c r="K197" s="133"/>
      <c r="L197" s="173"/>
      <c r="M197" s="133"/>
      <c r="N197" s="133"/>
      <c r="O197" s="133"/>
      <c r="P197" s="133"/>
      <c r="Q197" s="133"/>
      <c r="R197" s="133"/>
      <c r="S197" s="173"/>
      <c r="T197" s="142"/>
      <c r="U197" s="133"/>
      <c r="V197" s="133"/>
      <c r="W197" s="133"/>
      <c r="X197" s="173"/>
      <c r="Y197" s="133"/>
      <c r="Z197" s="133"/>
      <c r="AA197" s="133"/>
      <c r="AB197" s="133"/>
      <c r="AC197" s="133"/>
      <c r="AD197" s="133"/>
      <c r="AE197" s="173"/>
      <c r="AF197" s="142"/>
      <c r="AG197" s="133"/>
      <c r="AH197" s="133"/>
      <c r="AI197" s="133"/>
      <c r="AJ197" s="173"/>
      <c r="AK197" s="133"/>
      <c r="AL197" s="142"/>
      <c r="AM197" s="21"/>
      <c r="AN197" s="19"/>
    </row>
    <row r="198" spans="2:40">
      <c r="B198" s="133"/>
      <c r="C198" s="133"/>
      <c r="D198" s="133"/>
      <c r="E198" s="133"/>
      <c r="F198" s="133"/>
      <c r="G198" s="173"/>
      <c r="H198" s="142"/>
      <c r="I198" s="133"/>
      <c r="J198" s="133"/>
      <c r="K198" s="133"/>
      <c r="L198" s="173"/>
      <c r="M198" s="133"/>
      <c r="N198" s="133"/>
      <c r="O198" s="133"/>
      <c r="P198" s="133"/>
      <c r="Q198" s="133"/>
      <c r="R198" s="133"/>
      <c r="S198" s="173"/>
      <c r="T198" s="142"/>
      <c r="U198" s="133"/>
      <c r="V198" s="133"/>
      <c r="W198" s="133"/>
      <c r="X198" s="173"/>
      <c r="Y198" s="133"/>
      <c r="Z198" s="133"/>
      <c r="AA198" s="133"/>
      <c r="AB198" s="133"/>
      <c r="AC198" s="133"/>
      <c r="AD198" s="133"/>
      <c r="AE198" s="173"/>
      <c r="AF198" s="142"/>
      <c r="AG198" s="133"/>
      <c r="AH198" s="133"/>
      <c r="AI198" s="133"/>
      <c r="AJ198" s="173"/>
      <c r="AK198" s="133"/>
      <c r="AL198" s="142"/>
      <c r="AM198" s="21"/>
      <c r="AN198" s="19"/>
    </row>
    <row r="199" spans="2:40">
      <c r="B199" s="133"/>
      <c r="C199" s="133"/>
      <c r="D199" s="133"/>
      <c r="E199" s="133"/>
      <c r="F199" s="133"/>
      <c r="G199" s="173"/>
      <c r="H199" s="142"/>
      <c r="I199" s="133"/>
      <c r="J199" s="133"/>
      <c r="K199" s="133"/>
      <c r="L199" s="173"/>
      <c r="M199" s="133"/>
      <c r="N199" s="133"/>
      <c r="O199" s="133"/>
      <c r="P199" s="133"/>
      <c r="Q199" s="133"/>
      <c r="R199" s="133"/>
      <c r="S199" s="173"/>
      <c r="T199" s="142"/>
      <c r="U199" s="133"/>
      <c r="V199" s="133"/>
      <c r="W199" s="133"/>
      <c r="X199" s="173"/>
      <c r="Y199" s="133"/>
      <c r="Z199" s="133"/>
      <c r="AA199" s="133"/>
      <c r="AB199" s="133"/>
      <c r="AC199" s="133"/>
      <c r="AD199" s="133"/>
      <c r="AE199" s="173"/>
      <c r="AF199" s="142"/>
      <c r="AG199" s="133"/>
      <c r="AH199" s="133"/>
      <c r="AI199" s="133"/>
      <c r="AJ199" s="173"/>
      <c r="AK199" s="133"/>
      <c r="AL199" s="142"/>
      <c r="AM199" s="21"/>
      <c r="AN199" s="19"/>
    </row>
    <row r="200" spans="2:40">
      <c r="B200" s="133"/>
      <c r="C200" s="133"/>
      <c r="D200" s="133"/>
      <c r="E200" s="133"/>
      <c r="F200" s="133"/>
      <c r="G200" s="173"/>
      <c r="H200" s="142"/>
      <c r="I200" s="133"/>
      <c r="J200" s="133"/>
      <c r="K200" s="133"/>
      <c r="L200" s="173"/>
      <c r="M200" s="133"/>
      <c r="N200" s="133"/>
      <c r="O200" s="133"/>
      <c r="P200" s="133"/>
      <c r="Q200" s="133"/>
      <c r="R200" s="133"/>
      <c r="S200" s="173"/>
      <c r="T200" s="142"/>
      <c r="U200" s="133"/>
      <c r="V200" s="133"/>
      <c r="W200" s="133"/>
      <c r="X200" s="173"/>
      <c r="Y200" s="133"/>
      <c r="Z200" s="133"/>
      <c r="AA200" s="133"/>
      <c r="AB200" s="133"/>
      <c r="AC200" s="133"/>
      <c r="AD200" s="133"/>
      <c r="AE200" s="173"/>
      <c r="AF200" s="142"/>
      <c r="AG200" s="133"/>
      <c r="AH200" s="133"/>
      <c r="AI200" s="133"/>
      <c r="AJ200" s="173"/>
      <c r="AK200" s="133"/>
      <c r="AL200" s="142"/>
      <c r="AM200" s="21"/>
      <c r="AN200" s="19"/>
    </row>
    <row r="201" spans="2:40">
      <c r="B201" s="133"/>
      <c r="C201" s="133"/>
      <c r="D201" s="133"/>
      <c r="E201" s="133"/>
      <c r="F201" s="133"/>
      <c r="G201" s="173"/>
      <c r="H201" s="142"/>
      <c r="I201" s="133"/>
      <c r="J201" s="133"/>
      <c r="K201" s="133"/>
      <c r="L201" s="173"/>
      <c r="M201" s="133"/>
      <c r="N201" s="133"/>
      <c r="O201" s="133"/>
      <c r="P201" s="133"/>
      <c r="Q201" s="133"/>
      <c r="R201" s="133"/>
      <c r="S201" s="173"/>
      <c r="T201" s="142"/>
      <c r="U201" s="133"/>
      <c r="V201" s="133"/>
      <c r="W201" s="133"/>
      <c r="X201" s="173"/>
      <c r="Y201" s="133"/>
      <c r="Z201" s="133"/>
      <c r="AA201" s="133"/>
      <c r="AB201" s="133"/>
      <c r="AC201" s="133"/>
      <c r="AD201" s="133"/>
      <c r="AE201" s="173"/>
      <c r="AF201" s="142"/>
      <c r="AG201" s="133"/>
      <c r="AH201" s="133"/>
      <c r="AI201" s="133"/>
      <c r="AJ201" s="173"/>
      <c r="AK201" s="133"/>
      <c r="AL201" s="142"/>
      <c r="AM201" s="21"/>
      <c r="AN201" s="19"/>
    </row>
    <row r="202" spans="2:40">
      <c r="B202" s="133"/>
      <c r="C202" s="133"/>
      <c r="D202" s="133"/>
      <c r="E202" s="133"/>
      <c r="F202" s="133"/>
      <c r="G202" s="173"/>
      <c r="H202" s="142"/>
      <c r="I202" s="133"/>
      <c r="J202" s="133"/>
      <c r="K202" s="133"/>
      <c r="L202" s="173"/>
      <c r="M202" s="133"/>
      <c r="N202" s="133"/>
      <c r="O202" s="133"/>
      <c r="P202" s="133"/>
      <c r="Q202" s="133"/>
      <c r="R202" s="133"/>
      <c r="S202" s="173"/>
      <c r="T202" s="142"/>
      <c r="U202" s="133"/>
      <c r="V202" s="133"/>
      <c r="W202" s="133"/>
      <c r="X202" s="173"/>
      <c r="Y202" s="133"/>
      <c r="Z202" s="133"/>
      <c r="AA202" s="133"/>
      <c r="AB202" s="133"/>
      <c r="AC202" s="133"/>
      <c r="AD202" s="133"/>
      <c r="AE202" s="173"/>
      <c r="AF202" s="142"/>
      <c r="AG202" s="133"/>
      <c r="AH202" s="133"/>
      <c r="AI202" s="133"/>
      <c r="AJ202" s="173"/>
      <c r="AK202" s="133"/>
      <c r="AL202" s="142"/>
      <c r="AM202" s="21"/>
      <c r="AN202" s="19"/>
    </row>
    <row r="203" spans="2:40">
      <c r="B203" s="133"/>
      <c r="C203" s="133"/>
      <c r="D203" s="133"/>
      <c r="E203" s="133"/>
      <c r="F203" s="133"/>
      <c r="G203" s="173"/>
      <c r="H203" s="142"/>
      <c r="I203" s="133"/>
      <c r="J203" s="133"/>
      <c r="K203" s="133"/>
      <c r="L203" s="173"/>
      <c r="M203" s="133"/>
      <c r="N203" s="133"/>
      <c r="O203" s="133"/>
      <c r="P203" s="133"/>
      <c r="Q203" s="133"/>
      <c r="R203" s="133"/>
      <c r="S203" s="173"/>
      <c r="T203" s="142"/>
      <c r="U203" s="133"/>
      <c r="V203" s="133"/>
      <c r="W203" s="133"/>
      <c r="X203" s="173"/>
      <c r="Y203" s="133"/>
      <c r="Z203" s="133"/>
      <c r="AA203" s="133"/>
      <c r="AB203" s="133"/>
      <c r="AC203" s="133"/>
      <c r="AD203" s="133"/>
      <c r="AE203" s="173"/>
      <c r="AF203" s="142"/>
      <c r="AG203" s="133"/>
      <c r="AH203" s="133"/>
      <c r="AI203" s="133"/>
      <c r="AJ203" s="173"/>
      <c r="AK203" s="133"/>
      <c r="AL203" s="142"/>
      <c r="AM203" s="21"/>
      <c r="AN203" s="19"/>
    </row>
    <row r="204" spans="2:40">
      <c r="B204" s="133"/>
      <c r="C204" s="133"/>
      <c r="D204" s="133"/>
      <c r="E204" s="133"/>
      <c r="F204" s="133"/>
      <c r="G204" s="173"/>
      <c r="H204" s="142"/>
      <c r="I204" s="133"/>
      <c r="J204" s="133"/>
      <c r="K204" s="133"/>
      <c r="L204" s="173"/>
      <c r="M204" s="133"/>
      <c r="N204" s="133"/>
      <c r="O204" s="133"/>
      <c r="P204" s="133"/>
      <c r="Q204" s="133"/>
      <c r="R204" s="133"/>
      <c r="S204" s="173"/>
      <c r="T204" s="142"/>
      <c r="U204" s="133"/>
      <c r="V204" s="133"/>
      <c r="W204" s="133"/>
      <c r="X204" s="173"/>
      <c r="Y204" s="133"/>
      <c r="Z204" s="133"/>
      <c r="AA204" s="133"/>
      <c r="AB204" s="133"/>
      <c r="AC204" s="133"/>
      <c r="AD204" s="133"/>
      <c r="AE204" s="173"/>
      <c r="AF204" s="142"/>
      <c r="AG204" s="133"/>
      <c r="AH204" s="133"/>
      <c r="AI204" s="133"/>
      <c r="AJ204" s="173"/>
      <c r="AK204" s="133"/>
      <c r="AL204" s="142"/>
      <c r="AM204" s="21"/>
      <c r="AN204" s="19"/>
    </row>
    <row r="205" spans="2:40">
      <c r="B205" s="133"/>
      <c r="C205" s="133"/>
      <c r="D205" s="133"/>
      <c r="E205" s="133"/>
      <c r="F205" s="133"/>
      <c r="G205" s="173"/>
      <c r="H205" s="142"/>
      <c r="I205" s="133"/>
      <c r="J205" s="133"/>
      <c r="K205" s="133"/>
      <c r="L205" s="173"/>
      <c r="M205" s="133"/>
      <c r="N205" s="133"/>
      <c r="O205" s="133"/>
      <c r="P205" s="133"/>
      <c r="Q205" s="133"/>
      <c r="R205" s="133"/>
      <c r="S205" s="173"/>
      <c r="T205" s="142"/>
      <c r="U205" s="133"/>
      <c r="V205" s="133"/>
      <c r="W205" s="133"/>
      <c r="X205" s="173"/>
      <c r="Y205" s="133"/>
      <c r="Z205" s="133"/>
      <c r="AA205" s="133"/>
      <c r="AB205" s="133"/>
      <c r="AC205" s="133"/>
      <c r="AD205" s="133"/>
      <c r="AE205" s="173"/>
      <c r="AF205" s="142"/>
      <c r="AG205" s="133"/>
      <c r="AH205" s="133"/>
      <c r="AI205" s="133"/>
      <c r="AJ205" s="173"/>
      <c r="AK205" s="133"/>
      <c r="AL205" s="142"/>
      <c r="AM205" s="21"/>
      <c r="AN205" s="19"/>
    </row>
    <row r="206" spans="2:40">
      <c r="B206" s="133"/>
      <c r="C206" s="133"/>
      <c r="D206" s="133"/>
      <c r="E206" s="133"/>
      <c r="F206" s="133"/>
      <c r="G206" s="173"/>
      <c r="H206" s="142"/>
      <c r="I206" s="133"/>
      <c r="J206" s="133"/>
      <c r="K206" s="133"/>
      <c r="L206" s="173"/>
      <c r="M206" s="133"/>
      <c r="N206" s="133"/>
      <c r="O206" s="133"/>
      <c r="P206" s="133"/>
      <c r="Q206" s="133"/>
      <c r="R206" s="133"/>
      <c r="S206" s="173"/>
      <c r="T206" s="142"/>
      <c r="U206" s="133"/>
      <c r="V206" s="133"/>
      <c r="W206" s="133"/>
      <c r="X206" s="173"/>
      <c r="Y206" s="133"/>
      <c r="Z206" s="133"/>
      <c r="AA206" s="133"/>
      <c r="AB206" s="133"/>
      <c r="AC206" s="133"/>
      <c r="AD206" s="133"/>
      <c r="AE206" s="173"/>
      <c r="AF206" s="142"/>
      <c r="AG206" s="133"/>
      <c r="AH206" s="133"/>
      <c r="AI206" s="133"/>
      <c r="AJ206" s="173"/>
      <c r="AK206" s="133"/>
      <c r="AL206" s="142"/>
      <c r="AM206" s="21"/>
      <c r="AN206" s="19"/>
    </row>
    <row r="207" spans="2:40">
      <c r="B207" s="133"/>
      <c r="C207" s="133"/>
      <c r="D207" s="133"/>
      <c r="E207" s="133"/>
      <c r="F207" s="133"/>
      <c r="G207" s="173"/>
      <c r="H207" s="142"/>
      <c r="I207" s="133"/>
      <c r="J207" s="133"/>
      <c r="K207" s="133"/>
      <c r="L207" s="173"/>
      <c r="M207" s="133"/>
      <c r="N207" s="133"/>
      <c r="O207" s="133"/>
      <c r="P207" s="133"/>
      <c r="Q207" s="133"/>
      <c r="R207" s="133"/>
      <c r="S207" s="173"/>
      <c r="T207" s="142"/>
      <c r="U207" s="133"/>
      <c r="V207" s="133"/>
      <c r="W207" s="133"/>
      <c r="X207" s="173"/>
      <c r="Y207" s="133"/>
      <c r="Z207" s="133"/>
      <c r="AA207" s="133"/>
      <c r="AB207" s="133"/>
      <c r="AC207" s="133"/>
      <c r="AD207" s="133"/>
      <c r="AE207" s="173"/>
      <c r="AF207" s="142"/>
      <c r="AG207" s="133"/>
      <c r="AH207" s="133"/>
      <c r="AI207" s="133"/>
      <c r="AJ207" s="173"/>
      <c r="AK207" s="133"/>
      <c r="AL207" s="142"/>
      <c r="AM207" s="21"/>
      <c r="AN207" s="19"/>
    </row>
    <row r="208" spans="2:40">
      <c r="B208" s="133"/>
      <c r="C208" s="133"/>
      <c r="D208" s="133"/>
      <c r="E208" s="133"/>
      <c r="F208" s="133"/>
      <c r="G208" s="173"/>
      <c r="H208" s="142"/>
      <c r="I208" s="133"/>
      <c r="J208" s="133"/>
      <c r="K208" s="133"/>
      <c r="L208" s="173"/>
      <c r="M208" s="133"/>
      <c r="N208" s="133"/>
      <c r="O208" s="133"/>
      <c r="P208" s="133"/>
      <c r="Q208" s="133"/>
      <c r="R208" s="133"/>
      <c r="S208" s="173"/>
      <c r="T208" s="142"/>
      <c r="U208" s="133"/>
      <c r="V208" s="133"/>
      <c r="W208" s="133"/>
      <c r="X208" s="173"/>
      <c r="Y208" s="133"/>
      <c r="Z208" s="133"/>
      <c r="AA208" s="133"/>
      <c r="AB208" s="133"/>
      <c r="AC208" s="133"/>
      <c r="AD208" s="133"/>
      <c r="AE208" s="173"/>
      <c r="AF208" s="142"/>
      <c r="AG208" s="133"/>
      <c r="AH208" s="133"/>
      <c r="AI208" s="133"/>
      <c r="AJ208" s="173"/>
      <c r="AK208" s="133"/>
      <c r="AL208" s="142"/>
      <c r="AM208" s="21"/>
      <c r="AN208" s="19"/>
    </row>
    <row r="209" spans="2:40">
      <c r="B209" s="133"/>
      <c r="C209" s="133"/>
      <c r="D209" s="133"/>
      <c r="E209" s="133"/>
      <c r="F209" s="133"/>
      <c r="G209" s="173"/>
      <c r="H209" s="142"/>
      <c r="I209" s="133"/>
      <c r="J209" s="133"/>
      <c r="K209" s="133"/>
      <c r="L209" s="173"/>
      <c r="M209" s="133"/>
      <c r="N209" s="133"/>
      <c r="O209" s="133"/>
      <c r="P209" s="133"/>
      <c r="Q209" s="133"/>
      <c r="R209" s="133"/>
      <c r="S209" s="173"/>
      <c r="T209" s="142"/>
      <c r="U209" s="133"/>
      <c r="V209" s="133"/>
      <c r="W209" s="133"/>
      <c r="X209" s="173"/>
      <c r="Y209" s="133"/>
      <c r="Z209" s="133"/>
      <c r="AA209" s="133"/>
      <c r="AB209" s="133"/>
      <c r="AC209" s="133"/>
      <c r="AD209" s="133"/>
      <c r="AE209" s="173"/>
      <c r="AF209" s="142"/>
      <c r="AG209" s="133"/>
      <c r="AH209" s="133"/>
      <c r="AI209" s="133"/>
      <c r="AJ209" s="173"/>
      <c r="AK209" s="133"/>
      <c r="AL209" s="142"/>
      <c r="AM209" s="21"/>
      <c r="AN209" s="19"/>
    </row>
    <row r="210" spans="2:40">
      <c r="B210" s="133"/>
      <c r="C210" s="133"/>
      <c r="D210" s="133"/>
      <c r="E210" s="133"/>
      <c r="F210" s="133"/>
      <c r="G210" s="173"/>
      <c r="H210" s="142"/>
      <c r="I210" s="133"/>
      <c r="J210" s="133"/>
      <c r="K210" s="133"/>
      <c r="L210" s="173"/>
      <c r="M210" s="133"/>
      <c r="N210" s="133"/>
      <c r="O210" s="133"/>
      <c r="P210" s="133"/>
      <c r="Q210" s="133"/>
      <c r="R210" s="133"/>
      <c r="S210" s="173"/>
      <c r="T210" s="142"/>
      <c r="U210" s="133"/>
      <c r="V210" s="133"/>
      <c r="W210" s="133"/>
      <c r="X210" s="173"/>
      <c r="Y210" s="133"/>
      <c r="Z210" s="133"/>
      <c r="AA210" s="133"/>
      <c r="AB210" s="133"/>
      <c r="AC210" s="133"/>
      <c r="AD210" s="133"/>
      <c r="AE210" s="173"/>
      <c r="AF210" s="142"/>
      <c r="AG210" s="133"/>
      <c r="AH210" s="133"/>
      <c r="AI210" s="133"/>
      <c r="AJ210" s="173"/>
      <c r="AK210" s="133"/>
      <c r="AL210" s="142"/>
      <c r="AM210" s="21"/>
      <c r="AN210" s="19"/>
    </row>
    <row r="211" spans="2:40">
      <c r="B211" s="133"/>
      <c r="C211" s="133"/>
      <c r="D211" s="133"/>
      <c r="E211" s="133"/>
      <c r="F211" s="133"/>
      <c r="G211" s="173"/>
      <c r="H211" s="142"/>
      <c r="I211" s="133"/>
      <c r="J211" s="133"/>
      <c r="K211" s="133"/>
      <c r="L211" s="173"/>
      <c r="M211" s="133"/>
      <c r="N211" s="133"/>
      <c r="O211" s="133"/>
      <c r="P211" s="133"/>
      <c r="Q211" s="133"/>
      <c r="R211" s="133"/>
      <c r="S211" s="173"/>
      <c r="T211" s="142"/>
      <c r="U211" s="133"/>
      <c r="V211" s="133"/>
      <c r="W211" s="133"/>
      <c r="X211" s="173"/>
      <c r="Y211" s="133"/>
      <c r="Z211" s="133"/>
      <c r="AA211" s="133"/>
      <c r="AB211" s="133"/>
      <c r="AC211" s="133"/>
      <c r="AD211" s="133"/>
      <c r="AE211" s="173"/>
      <c r="AF211" s="142"/>
      <c r="AG211" s="133"/>
      <c r="AH211" s="133"/>
      <c r="AI211" s="133"/>
      <c r="AJ211" s="173"/>
      <c r="AK211" s="133"/>
      <c r="AL211" s="142"/>
      <c r="AM211" s="21"/>
      <c r="AN211" s="19"/>
    </row>
    <row r="212" spans="2:40">
      <c r="B212" s="133"/>
      <c r="C212" s="133"/>
      <c r="D212" s="133"/>
      <c r="E212" s="133"/>
      <c r="F212" s="133"/>
      <c r="G212" s="173"/>
      <c r="H212" s="142"/>
      <c r="I212" s="133"/>
      <c r="J212" s="133"/>
      <c r="K212" s="133"/>
      <c r="L212" s="173"/>
      <c r="M212" s="133"/>
      <c r="N212" s="133"/>
      <c r="O212" s="133"/>
      <c r="P212" s="133"/>
      <c r="Q212" s="133"/>
      <c r="R212" s="133"/>
      <c r="S212" s="173"/>
      <c r="T212" s="142"/>
      <c r="U212" s="133"/>
      <c r="V212" s="133"/>
      <c r="W212" s="133"/>
      <c r="X212" s="173"/>
      <c r="Y212" s="133"/>
      <c r="Z212" s="133"/>
      <c r="AA212" s="133"/>
      <c r="AB212" s="133"/>
      <c r="AC212" s="133"/>
      <c r="AD212" s="133"/>
      <c r="AE212" s="173"/>
      <c r="AF212" s="142"/>
      <c r="AG212" s="133"/>
      <c r="AH212" s="133"/>
      <c r="AI212" s="133"/>
      <c r="AJ212" s="173"/>
      <c r="AK212" s="133"/>
      <c r="AL212" s="142"/>
      <c r="AM212" s="21"/>
      <c r="AN212" s="19"/>
    </row>
    <row r="213" spans="2:40">
      <c r="B213" s="133"/>
      <c r="C213" s="133"/>
      <c r="D213" s="133"/>
      <c r="E213" s="133"/>
      <c r="F213" s="133"/>
      <c r="G213" s="173"/>
      <c r="H213" s="142"/>
      <c r="I213" s="133"/>
      <c r="J213" s="133"/>
      <c r="K213" s="133"/>
      <c r="L213" s="173"/>
      <c r="M213" s="133"/>
      <c r="N213" s="133"/>
      <c r="O213" s="133"/>
      <c r="P213" s="133"/>
      <c r="Q213" s="133"/>
      <c r="R213" s="133"/>
      <c r="S213" s="173"/>
      <c r="T213" s="142"/>
      <c r="U213" s="133"/>
      <c r="V213" s="133"/>
      <c r="W213" s="133"/>
      <c r="X213" s="173"/>
      <c r="Y213" s="133"/>
      <c r="Z213" s="133"/>
      <c r="AA213" s="133"/>
      <c r="AB213" s="133"/>
      <c r="AC213" s="133"/>
      <c r="AD213" s="133"/>
      <c r="AE213" s="173"/>
      <c r="AF213" s="142"/>
      <c r="AG213" s="133"/>
      <c r="AH213" s="133"/>
      <c r="AI213" s="133"/>
      <c r="AJ213" s="173"/>
      <c r="AK213" s="133"/>
      <c r="AL213" s="142"/>
      <c r="AM213" s="21"/>
      <c r="AN213" s="19"/>
    </row>
    <row r="214" spans="2:40">
      <c r="B214" s="133"/>
      <c r="C214" s="133"/>
      <c r="D214" s="133"/>
      <c r="E214" s="133"/>
      <c r="F214" s="133"/>
      <c r="G214" s="173"/>
      <c r="H214" s="142"/>
      <c r="I214" s="133"/>
      <c r="J214" s="133"/>
      <c r="K214" s="133"/>
      <c r="L214" s="173"/>
      <c r="M214" s="133"/>
      <c r="N214" s="133"/>
      <c r="O214" s="133"/>
      <c r="P214" s="133"/>
      <c r="Q214" s="133"/>
      <c r="R214" s="133"/>
      <c r="S214" s="173"/>
      <c r="T214" s="142"/>
      <c r="U214" s="133"/>
      <c r="V214" s="133"/>
      <c r="W214" s="133"/>
      <c r="X214" s="173"/>
      <c r="Y214" s="133"/>
      <c r="Z214" s="133"/>
      <c r="AA214" s="133"/>
      <c r="AB214" s="133"/>
      <c r="AC214" s="133"/>
      <c r="AD214" s="133"/>
      <c r="AE214" s="173"/>
      <c r="AF214" s="142"/>
      <c r="AG214" s="133"/>
      <c r="AH214" s="133"/>
      <c r="AI214" s="133"/>
      <c r="AJ214" s="173"/>
      <c r="AK214" s="133"/>
      <c r="AL214" s="142"/>
      <c r="AM214" s="21"/>
      <c r="AN214" s="19"/>
    </row>
    <row r="215" spans="2:40">
      <c r="B215" s="133"/>
      <c r="C215" s="133"/>
      <c r="D215" s="133"/>
      <c r="E215" s="133"/>
      <c r="F215" s="133"/>
      <c r="G215" s="173"/>
      <c r="H215" s="142"/>
      <c r="I215" s="133"/>
      <c r="J215" s="133"/>
      <c r="K215" s="133"/>
      <c r="L215" s="173"/>
      <c r="M215" s="133"/>
      <c r="N215" s="133"/>
      <c r="O215" s="133"/>
      <c r="P215" s="133"/>
      <c r="Q215" s="133"/>
      <c r="R215" s="133"/>
      <c r="S215" s="173"/>
      <c r="T215" s="142"/>
      <c r="U215" s="133"/>
      <c r="V215" s="133"/>
      <c r="W215" s="133"/>
      <c r="X215" s="173"/>
      <c r="Y215" s="133"/>
      <c r="Z215" s="133"/>
      <c r="AA215" s="133"/>
      <c r="AB215" s="133"/>
      <c r="AC215" s="133"/>
      <c r="AD215" s="133"/>
      <c r="AE215" s="173"/>
      <c r="AF215" s="142"/>
      <c r="AG215" s="133"/>
      <c r="AH215" s="133"/>
      <c r="AI215" s="133"/>
      <c r="AJ215" s="173"/>
      <c r="AK215" s="133"/>
      <c r="AL215" s="142"/>
      <c r="AM215" s="21"/>
      <c r="AN215" s="19"/>
    </row>
    <row r="216" spans="2:40">
      <c r="B216" s="133"/>
      <c r="C216" s="133"/>
      <c r="D216" s="133"/>
      <c r="E216" s="133"/>
      <c r="F216" s="133"/>
      <c r="G216" s="173"/>
      <c r="H216" s="142"/>
      <c r="I216" s="133"/>
      <c r="J216" s="133"/>
      <c r="K216" s="133"/>
      <c r="L216" s="173"/>
      <c r="M216" s="133"/>
      <c r="N216" s="133"/>
      <c r="O216" s="133"/>
      <c r="P216" s="133"/>
      <c r="Q216" s="133"/>
      <c r="R216" s="133"/>
      <c r="S216" s="173"/>
      <c r="T216" s="142"/>
      <c r="U216" s="133"/>
      <c r="V216" s="133"/>
      <c r="W216" s="133"/>
      <c r="X216" s="173"/>
      <c r="Y216" s="133"/>
      <c r="Z216" s="133"/>
      <c r="AA216" s="133"/>
      <c r="AB216" s="133"/>
      <c r="AC216" s="133"/>
      <c r="AD216" s="133"/>
      <c r="AE216" s="173"/>
      <c r="AF216" s="142"/>
      <c r="AG216" s="133"/>
      <c r="AH216" s="133"/>
      <c r="AI216" s="133"/>
      <c r="AJ216" s="173"/>
      <c r="AK216" s="133"/>
      <c r="AL216" s="142"/>
      <c r="AM216" s="21"/>
      <c r="AN216" s="19"/>
    </row>
    <row r="217" spans="2:40">
      <c r="B217" s="133"/>
      <c r="C217" s="133"/>
      <c r="D217" s="133"/>
      <c r="E217" s="133"/>
      <c r="F217" s="133"/>
      <c r="G217" s="173"/>
      <c r="H217" s="142"/>
      <c r="I217" s="133"/>
      <c r="J217" s="133"/>
      <c r="K217" s="133"/>
      <c r="L217" s="173"/>
      <c r="M217" s="133"/>
      <c r="N217" s="133"/>
      <c r="O217" s="133"/>
      <c r="P217" s="133"/>
      <c r="Q217" s="133"/>
      <c r="R217" s="133"/>
      <c r="S217" s="173"/>
      <c r="T217" s="142"/>
      <c r="U217" s="133"/>
      <c r="V217" s="133"/>
      <c r="W217" s="133"/>
      <c r="X217" s="173"/>
      <c r="Y217" s="133"/>
      <c r="Z217" s="133"/>
      <c r="AA217" s="133"/>
      <c r="AB217" s="133"/>
      <c r="AC217" s="133"/>
      <c r="AD217" s="133"/>
      <c r="AE217" s="173"/>
      <c r="AF217" s="142"/>
      <c r="AG217" s="133"/>
      <c r="AH217" s="133"/>
      <c r="AI217" s="133"/>
      <c r="AJ217" s="173"/>
      <c r="AK217" s="133"/>
      <c r="AL217" s="142"/>
      <c r="AM217" s="21"/>
      <c r="AN217" s="19"/>
    </row>
    <row r="218" spans="2:40">
      <c r="B218" s="133"/>
      <c r="C218" s="133"/>
      <c r="D218" s="133"/>
      <c r="E218" s="133"/>
      <c r="F218" s="133"/>
      <c r="G218" s="173"/>
      <c r="H218" s="142"/>
      <c r="I218" s="133"/>
      <c r="J218" s="133"/>
      <c r="K218" s="133"/>
      <c r="L218" s="173"/>
      <c r="M218" s="133"/>
      <c r="N218" s="133"/>
      <c r="O218" s="133"/>
      <c r="P218" s="133"/>
      <c r="Q218" s="133"/>
      <c r="R218" s="133"/>
      <c r="S218" s="173"/>
      <c r="T218" s="142"/>
      <c r="U218" s="133"/>
      <c r="V218" s="133"/>
      <c r="W218" s="133"/>
      <c r="X218" s="173"/>
      <c r="Y218" s="133"/>
      <c r="Z218" s="133"/>
      <c r="AA218" s="133"/>
      <c r="AB218" s="133"/>
      <c r="AC218" s="133"/>
      <c r="AD218" s="133"/>
      <c r="AE218" s="173"/>
      <c r="AF218" s="142"/>
      <c r="AG218" s="133"/>
      <c r="AH218" s="133"/>
      <c r="AI218" s="133"/>
      <c r="AJ218" s="173"/>
      <c r="AK218" s="133"/>
      <c r="AL218" s="142"/>
      <c r="AM218" s="21"/>
      <c r="AN218" s="19"/>
    </row>
    <row r="219" spans="2:40">
      <c r="B219" s="133"/>
      <c r="C219" s="133"/>
      <c r="D219" s="133"/>
      <c r="E219" s="133"/>
      <c r="F219" s="133"/>
      <c r="G219" s="173"/>
      <c r="H219" s="142"/>
      <c r="I219" s="133"/>
      <c r="J219" s="133"/>
      <c r="K219" s="133"/>
      <c r="L219" s="173"/>
      <c r="M219" s="133"/>
      <c r="N219" s="133"/>
      <c r="O219" s="133"/>
      <c r="P219" s="133"/>
      <c r="Q219" s="133"/>
      <c r="R219" s="133"/>
      <c r="S219" s="173"/>
      <c r="T219" s="142"/>
      <c r="U219" s="133"/>
      <c r="V219" s="133"/>
      <c r="W219" s="133"/>
      <c r="X219" s="173"/>
      <c r="Y219" s="133"/>
      <c r="Z219" s="133"/>
      <c r="AA219" s="133"/>
      <c r="AB219" s="133"/>
      <c r="AC219" s="133"/>
      <c r="AD219" s="133"/>
      <c r="AE219" s="173"/>
      <c r="AF219" s="142"/>
      <c r="AG219" s="133"/>
      <c r="AH219" s="133"/>
      <c r="AI219" s="133"/>
      <c r="AJ219" s="173"/>
      <c r="AK219" s="133"/>
      <c r="AL219" s="142"/>
      <c r="AM219" s="21"/>
      <c r="AN219" s="19"/>
    </row>
  </sheetData>
  <conditionalFormatting sqref="Q9">
    <cfRule type="expression" dxfId="185" priority="23">
      <formula>$Q$7&lt;&gt;"User-defined"</formula>
    </cfRule>
  </conditionalFormatting>
  <pageMargins left="0.75" right="0.75" top="1" bottom="1" header="0.5" footer="0.5"/>
  <pageSetup paperSize="9" scale="70" orientation="landscape" verticalDpi="96" r:id="rId1"/>
  <headerFooter alignWithMargins="0">
    <oddHeader>&amp;COil field probabilistic life-cycle model&amp;R&amp;D</oddHeader>
    <oddFooter>&amp;Remail : christian.bos@tno.nl</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CCFFCC"/>
  </sheetPr>
  <dimension ref="A1:BB160"/>
  <sheetViews>
    <sheetView topLeftCell="E1" workbookViewId="0">
      <selection activeCell="O4" sqref="O4"/>
    </sheetView>
  </sheetViews>
  <sheetFormatPr defaultRowHeight="14.4"/>
  <cols>
    <col min="1" max="1" width="5.33203125" customWidth="1"/>
    <col min="2" max="2" width="36.5546875" customWidth="1"/>
    <col min="5" max="5" width="10.33203125" customWidth="1"/>
    <col min="6" max="6" width="13.44140625" bestFit="1" customWidth="1"/>
    <col min="7" max="8" width="10.33203125" customWidth="1"/>
    <col min="9" max="9" width="12.33203125" customWidth="1"/>
    <col min="10" max="10" width="11.6640625" customWidth="1"/>
    <col min="37" max="37" width="5.33203125" bestFit="1" customWidth="1"/>
    <col min="38" max="38" width="14" bestFit="1" customWidth="1"/>
    <col min="39" max="39" width="17.44140625" bestFit="1" customWidth="1"/>
    <col min="40" max="40" width="13.6640625" bestFit="1" customWidth="1"/>
    <col min="41" max="41" width="15.5546875" bestFit="1" customWidth="1"/>
    <col min="42" max="42" width="10.6640625" bestFit="1" customWidth="1"/>
    <col min="43" max="43" width="13.44140625" bestFit="1" customWidth="1"/>
  </cols>
  <sheetData>
    <row r="1" spans="1:54" s="326" customFormat="1" ht="24.6">
      <c r="B1" s="327" t="s">
        <v>843</v>
      </c>
      <c r="K1" s="328"/>
      <c r="L1" s="328"/>
      <c r="M1" s="328"/>
      <c r="N1" s="328"/>
    </row>
    <row r="2" spans="1:54" s="326" customFormat="1" ht="13.8" thickBot="1">
      <c r="P2" s="329"/>
      <c r="S2" s="330"/>
      <c r="AK2" s="32" t="s">
        <v>782</v>
      </c>
      <c r="AL2" s="32" t="s">
        <v>781</v>
      </c>
      <c r="AM2" s="32" t="s">
        <v>1486</v>
      </c>
      <c r="AN2" s="32" t="s">
        <v>783</v>
      </c>
      <c r="AO2" s="32" t="s">
        <v>1137</v>
      </c>
      <c r="AP2" s="32" t="s">
        <v>1484</v>
      </c>
      <c r="AQ2" s="32" t="s">
        <v>1485</v>
      </c>
    </row>
    <row r="3" spans="1:54" s="326" customFormat="1" thickTop="1" thickBot="1">
      <c r="B3" s="332" t="s">
        <v>214</v>
      </c>
      <c r="C3" s="331"/>
      <c r="E3" s="333" t="str">
        <f>Cashflow!S4</f>
        <v>Phasing variables</v>
      </c>
      <c r="F3" s="328"/>
      <c r="G3" s="328"/>
      <c r="H3" s="328"/>
      <c r="I3" s="328"/>
      <c r="K3" s="333" t="s">
        <v>1380</v>
      </c>
      <c r="L3" s="328"/>
      <c r="M3" s="328"/>
      <c r="N3" s="328"/>
      <c r="O3" s="328"/>
      <c r="AK3" s="628">
        <v>1</v>
      </c>
      <c r="AL3" s="629">
        <f>IF($I$4="y=m*x+b",IF($I$6*AK3+$I$5&gt;1,1,$I$6*AK3+$I$5),IF($I$6*LN(AK3)+$I$5&gt;1,1,$I$6*LN(AK3)+$I$5))</f>
        <v>0.48</v>
      </c>
      <c r="AM3" s="629">
        <f>IF($I$7="Fixed",AP3,AQ3)</f>
        <v>0.52678704624133488</v>
      </c>
      <c r="AN3" s="626" t="str">
        <f>IF(AM3&lt;AL3,"Success","Failure")</f>
        <v>Failure</v>
      </c>
      <c r="AO3" s="629">
        <f>IF(AM3&lt;AL3,NA(),AL3)</f>
        <v>0.48</v>
      </c>
      <c r="AP3" s="629">
        <v>0.52678704624133488</v>
      </c>
      <c r="AQ3" s="629">
        <f ca="1">RAND()</f>
        <v>0.63330439749647172</v>
      </c>
    </row>
    <row r="4" spans="1:54" s="326" customFormat="1" ht="13.2">
      <c r="B4" s="334" t="s">
        <v>211</v>
      </c>
      <c r="C4" s="81"/>
      <c r="D4" s="329"/>
      <c r="E4" s="336" t="str">
        <f>Cashflow!M20</f>
        <v>Select eqn. for well success learning curve</v>
      </c>
      <c r="F4" s="337"/>
      <c r="G4" s="337"/>
      <c r="H4" s="337"/>
      <c r="I4" s="582" t="str">
        <f>Cashflow!Q20</f>
        <v>y=m*ln(x)+b</v>
      </c>
      <c r="J4" s="335"/>
      <c r="K4" s="336" t="s">
        <v>1373</v>
      </c>
      <c r="L4" s="877"/>
      <c r="M4" s="337"/>
      <c r="N4" s="878">
        <f ca="1">AH17</f>
        <v>15</v>
      </c>
      <c r="O4" s="1168" t="s">
        <v>1846</v>
      </c>
      <c r="P4" s="335"/>
      <c r="S4" s="329"/>
      <c r="Z4" s="335"/>
      <c r="AE4" s="335"/>
      <c r="AK4" s="627">
        <v>2</v>
      </c>
      <c r="AL4" s="629">
        <f t="shared" ref="AL4:AL15" si="0">IF($I$4="y=m*x+b",IF($I$6*AK4+$I$5&gt;1,1,$I$6*AK4+$I$5),IF($I$6*LN(AK4)+$I$5&gt;1,1,$I$6*LN(AK4)+$I$5))</f>
        <v>0.52852030263919614</v>
      </c>
      <c r="AM4" s="629">
        <f t="shared" ref="AM4:AM67" si="1">IF($I$7="Fixed",AP4,AQ4)</f>
        <v>0.16832282343294269</v>
      </c>
      <c r="AN4" s="626" t="str">
        <f t="shared" ref="AN4:AN67" si="2">IF(AM4&lt;AL4,"Success","Failure")</f>
        <v>Success</v>
      </c>
      <c r="AO4" s="629" t="e">
        <f>IF(AM4&lt;AL4,NA(),AL4)</f>
        <v>#N/A</v>
      </c>
      <c r="AP4" s="629">
        <v>0.16832282343294269</v>
      </c>
      <c r="AQ4" s="629">
        <f t="shared" ref="AQ4:AQ15" ca="1" si="3">RAND()</f>
        <v>0.33930453789692272</v>
      </c>
    </row>
    <row r="5" spans="1:54" s="326" customFormat="1" ht="13.2">
      <c r="B5" s="334" t="s">
        <v>89</v>
      </c>
      <c r="C5" s="29"/>
      <c r="D5" s="329"/>
      <c r="E5" s="430"/>
      <c r="H5" s="630" t="str">
        <f>Cashflow!P21</f>
        <v>Initial well success rate (b factor)</v>
      </c>
      <c r="I5" s="625">
        <f>Cashflow!Q21</f>
        <v>0.48</v>
      </c>
      <c r="J5" s="335"/>
      <c r="K5" s="430" t="s">
        <v>1375</v>
      </c>
      <c r="L5" s="335"/>
      <c r="N5" s="879">
        <f ca="1">AH62+AH86+AH110</f>
        <v>4</v>
      </c>
      <c r="P5" s="335"/>
      <c r="S5" s="429"/>
      <c r="Z5" s="355"/>
      <c r="AA5" s="338"/>
      <c r="AB5" s="338"/>
      <c r="AC5" s="338"/>
      <c r="AD5" s="338"/>
      <c r="AK5" s="627">
        <v>3</v>
      </c>
      <c r="AL5" s="629">
        <f t="shared" si="0"/>
        <v>0.55690286020676771</v>
      </c>
      <c r="AM5" s="629">
        <f t="shared" si="1"/>
        <v>0.80369850998057091</v>
      </c>
      <c r="AN5" s="626" t="str">
        <f t="shared" si="2"/>
        <v>Failure</v>
      </c>
      <c r="AO5" s="629">
        <f t="shared" ref="AO5:AO68" si="4">IF(AM5&lt;AL5,NA(),AL5)</f>
        <v>0.55690286020676771</v>
      </c>
      <c r="AP5" s="629">
        <v>0.80369850998057091</v>
      </c>
      <c r="AQ5" s="629">
        <f t="shared" ca="1" si="3"/>
        <v>0.88827286058667632</v>
      </c>
    </row>
    <row r="6" spans="1:54" s="326" customFormat="1" ht="13.8" thickBot="1">
      <c r="D6" s="329"/>
      <c r="E6" s="926"/>
      <c r="F6" s="328"/>
      <c r="G6" s="328"/>
      <c r="H6" s="927" t="str">
        <f>Cashflow!P22</f>
        <v>Slope of well success rate curve (m factor)</v>
      </c>
      <c r="I6" s="147">
        <f>Cashflow!Q22</f>
        <v>7.0000000000000007E-2</v>
      </c>
      <c r="J6" s="335"/>
      <c r="K6" s="339" t="s">
        <v>1374</v>
      </c>
      <c r="L6" s="880"/>
      <c r="M6" s="340"/>
      <c r="N6" s="881">
        <f ca="1">AH63+AH87+AH111</f>
        <v>11</v>
      </c>
      <c r="P6" s="335"/>
      <c r="S6" s="429"/>
      <c r="Z6" s="335"/>
      <c r="AK6" s="627">
        <v>4</v>
      </c>
      <c r="AL6" s="629">
        <f t="shared" si="0"/>
        <v>0.57704060527839229</v>
      </c>
      <c r="AM6" s="629">
        <f t="shared" si="1"/>
        <v>0.23721452641773011</v>
      </c>
      <c r="AN6" s="626" t="str">
        <f t="shared" si="2"/>
        <v>Success</v>
      </c>
      <c r="AO6" s="629" t="e">
        <f t="shared" si="4"/>
        <v>#N/A</v>
      </c>
      <c r="AP6" s="629">
        <v>0.23721452641773011</v>
      </c>
      <c r="AQ6" s="629">
        <f t="shared" ca="1" si="3"/>
        <v>0.84849118028443582</v>
      </c>
    </row>
    <row r="7" spans="1:54" s="326" customFormat="1" ht="13.8" thickBot="1">
      <c r="D7" s="331"/>
      <c r="E7" s="339" t="str">
        <f>Cashflow!M23</f>
        <v>Select realization of the random number generator</v>
      </c>
      <c r="F7" s="340"/>
      <c r="G7" s="340"/>
      <c r="H7" s="601"/>
      <c r="I7" s="456" t="str">
        <f>Cashflow!Q23</f>
        <v>Fixed</v>
      </c>
      <c r="J7" s="335"/>
      <c r="K7" s="338"/>
      <c r="L7" s="355"/>
      <c r="M7" s="338"/>
      <c r="N7" s="338"/>
      <c r="O7" s="338"/>
      <c r="AK7" s="627">
        <v>5</v>
      </c>
      <c r="AL7" s="629">
        <f t="shared" si="0"/>
        <v>0.59266065387038702</v>
      </c>
      <c r="AM7" s="629">
        <f t="shared" si="1"/>
        <v>0.47634353042577127</v>
      </c>
      <c r="AN7" s="626" t="str">
        <f t="shared" si="2"/>
        <v>Success</v>
      </c>
      <c r="AO7" s="629" t="e">
        <f t="shared" si="4"/>
        <v>#N/A</v>
      </c>
      <c r="AP7" s="629">
        <v>0.47634353042577127</v>
      </c>
      <c r="AQ7" s="629">
        <f t="shared" ca="1" si="3"/>
        <v>0.59771078617786577</v>
      </c>
    </row>
    <row r="8" spans="1:54" s="326" customFormat="1" ht="13.2">
      <c r="B8" s="328"/>
      <c r="C8" s="328"/>
      <c r="D8" s="331"/>
      <c r="E8" s="338"/>
      <c r="F8" s="338"/>
      <c r="G8" s="338"/>
      <c r="H8" s="338"/>
      <c r="I8" s="338"/>
      <c r="L8" s="331"/>
      <c r="S8" s="328"/>
      <c r="T8" s="328"/>
      <c r="U8" s="328"/>
      <c r="V8" s="328"/>
      <c r="W8" s="328"/>
      <c r="X8" s="328"/>
      <c r="Y8" s="328"/>
      <c r="Z8" s="328"/>
      <c r="AA8" s="328"/>
      <c r="AB8" s="328"/>
      <c r="AC8" s="328"/>
      <c r="AD8" s="328"/>
      <c r="AE8" s="328"/>
      <c r="AF8" s="328"/>
      <c r="AG8" s="328"/>
      <c r="AH8" s="328"/>
      <c r="AK8" s="627">
        <v>6</v>
      </c>
      <c r="AL8" s="629">
        <f t="shared" si="0"/>
        <v>0.60542316284596387</v>
      </c>
      <c r="AM8" s="629">
        <f t="shared" si="1"/>
        <v>0.46132824953805862</v>
      </c>
      <c r="AN8" s="626" t="str">
        <f t="shared" si="2"/>
        <v>Success</v>
      </c>
      <c r="AO8" s="629" t="e">
        <f t="shared" si="4"/>
        <v>#N/A</v>
      </c>
      <c r="AP8" s="629">
        <v>0.46132824953805862</v>
      </c>
      <c r="AQ8" s="629">
        <f t="shared" ca="1" si="3"/>
        <v>0.29491209687022668</v>
      </c>
    </row>
    <row r="9" spans="1:54" s="326" customFormat="1" ht="13.8" thickBot="1">
      <c r="B9" s="52" t="s">
        <v>785</v>
      </c>
      <c r="C9" s="32">
        <f>Cashflow!C$30</f>
        <v>2017</v>
      </c>
      <c r="D9" s="32">
        <f>Cashflow!D$30</f>
        <v>2018</v>
      </c>
      <c r="E9" s="32">
        <f>Cashflow!E$30</f>
        <v>2019</v>
      </c>
      <c r="F9" s="32">
        <f>Cashflow!F$30</f>
        <v>2020</v>
      </c>
      <c r="G9" s="32">
        <f>Cashflow!G$30</f>
        <v>2021</v>
      </c>
      <c r="H9" s="32">
        <f>Cashflow!H$30</f>
        <v>2022</v>
      </c>
      <c r="I9" s="32">
        <f>Cashflow!I$30</f>
        <v>2023</v>
      </c>
      <c r="J9" s="32">
        <f>Cashflow!J$30</f>
        <v>2024</v>
      </c>
      <c r="K9" s="32">
        <f>Cashflow!K$30</f>
        <v>2025</v>
      </c>
      <c r="L9" s="32">
        <f>Cashflow!L$30</f>
        <v>2026</v>
      </c>
      <c r="M9" s="32">
        <f>Cashflow!M$30</f>
        <v>2027</v>
      </c>
      <c r="N9" s="32">
        <f>Cashflow!N$30</f>
        <v>2028</v>
      </c>
      <c r="O9" s="32">
        <f>Cashflow!O$30</f>
        <v>2029</v>
      </c>
      <c r="P9" s="32">
        <f>Cashflow!P$30</f>
        <v>2030</v>
      </c>
      <c r="Q9" s="32">
        <f>Cashflow!Q$30</f>
        <v>2031</v>
      </c>
      <c r="R9" s="32">
        <f>Cashflow!R$30</f>
        <v>2032</v>
      </c>
      <c r="S9" s="32">
        <f>Cashflow!S$30</f>
        <v>2033</v>
      </c>
      <c r="T9" s="32">
        <f>Cashflow!T$30</f>
        <v>2034</v>
      </c>
      <c r="U9" s="32">
        <f>Cashflow!U$30</f>
        <v>2035</v>
      </c>
      <c r="V9" s="32">
        <f>Cashflow!V$30</f>
        <v>2036</v>
      </c>
      <c r="W9" s="32">
        <f>Cashflow!W$30</f>
        <v>2037</v>
      </c>
      <c r="X9" s="32">
        <f>Cashflow!X$30</f>
        <v>2038</v>
      </c>
      <c r="Y9" s="32">
        <f>Cashflow!Y$30</f>
        <v>2039</v>
      </c>
      <c r="Z9" s="32">
        <f>Cashflow!Z$30</f>
        <v>2040</v>
      </c>
      <c r="AA9" s="32">
        <f>Cashflow!AA$30</f>
        <v>2041</v>
      </c>
      <c r="AB9" s="32">
        <f>Cashflow!AB$30</f>
        <v>2042</v>
      </c>
      <c r="AC9" s="32">
        <f>Cashflow!AC$30</f>
        <v>2043</v>
      </c>
      <c r="AD9" s="32">
        <f>Cashflow!AD$30</f>
        <v>2044</v>
      </c>
      <c r="AE9" s="32">
        <f>Cashflow!AE$30</f>
        <v>2045</v>
      </c>
      <c r="AF9" s="32">
        <f>Cashflow!AF$30</f>
        <v>2046</v>
      </c>
      <c r="AG9" s="32">
        <f>Cashflow!AG$30</f>
        <v>2047</v>
      </c>
      <c r="AH9" s="873"/>
      <c r="AI9" s="874"/>
      <c r="AJ9" s="874"/>
      <c r="AK9" s="627">
        <v>7</v>
      </c>
      <c r="AL9" s="629">
        <f t="shared" si="0"/>
        <v>0.61621371043387185</v>
      </c>
      <c r="AM9" s="629">
        <f t="shared" si="1"/>
        <v>0.32794583625606788</v>
      </c>
      <c r="AN9" s="626" t="str">
        <f t="shared" si="2"/>
        <v>Success</v>
      </c>
      <c r="AO9" s="629" t="e">
        <f t="shared" si="4"/>
        <v>#N/A</v>
      </c>
      <c r="AP9" s="629">
        <v>0.32794583625606788</v>
      </c>
      <c r="AQ9" s="629">
        <f t="shared" ca="1" si="3"/>
        <v>0.67848791594491409</v>
      </c>
    </row>
    <row r="10" spans="1:54" s="326" customFormat="1" ht="13.8" thickTop="1">
      <c r="B10" s="434" t="s">
        <v>794</v>
      </c>
      <c r="C10" s="435">
        <f>Cashflow!C135</f>
        <v>0</v>
      </c>
      <c r="D10" s="435">
        <f>Cashflow!D135</f>
        <v>0</v>
      </c>
      <c r="E10" s="435">
        <f>Cashflow!E135</f>
        <v>0</v>
      </c>
      <c r="F10" s="435">
        <f>Cashflow!F135</f>
        <v>2</v>
      </c>
      <c r="G10" s="435">
        <f>Cashflow!G135</f>
        <v>0</v>
      </c>
      <c r="H10" s="435">
        <f>Cashflow!H135</f>
        <v>0</v>
      </c>
      <c r="I10" s="435">
        <f>Cashflow!I135</f>
        <v>0</v>
      </c>
      <c r="J10" s="435">
        <f>Cashflow!J135</f>
        <v>0</v>
      </c>
      <c r="K10" s="435">
        <f>Cashflow!K135</f>
        <v>0</v>
      </c>
      <c r="L10" s="435">
        <f ca="1">Cashflow!L135</f>
        <v>0</v>
      </c>
      <c r="M10" s="435">
        <f ca="1">Cashflow!M135</f>
        <v>0</v>
      </c>
      <c r="N10" s="435">
        <f ca="1">Cashflow!N135</f>
        <v>0</v>
      </c>
      <c r="O10" s="435">
        <f ca="1">Cashflow!O135</f>
        <v>0</v>
      </c>
      <c r="P10" s="435">
        <f ca="1">Cashflow!P135</f>
        <v>0</v>
      </c>
      <c r="Q10" s="435">
        <f ca="1">Cashflow!Q135</f>
        <v>0</v>
      </c>
      <c r="R10" s="435">
        <f ca="1">Cashflow!R135</f>
        <v>0</v>
      </c>
      <c r="S10" s="435">
        <f ca="1">Cashflow!S135</f>
        <v>0</v>
      </c>
      <c r="T10" s="435">
        <f ca="1">Cashflow!T135</f>
        <v>0</v>
      </c>
      <c r="U10" s="435">
        <f ca="1">Cashflow!U135</f>
        <v>0</v>
      </c>
      <c r="V10" s="435">
        <f ca="1">Cashflow!V135</f>
        <v>0</v>
      </c>
      <c r="W10" s="435">
        <f ca="1">Cashflow!W135</f>
        <v>0</v>
      </c>
      <c r="X10" s="435">
        <f ca="1">Cashflow!X135</f>
        <v>0</v>
      </c>
      <c r="Y10" s="435">
        <f ca="1">Cashflow!Y135</f>
        <v>0</v>
      </c>
      <c r="Z10" s="435">
        <f ca="1">Cashflow!Z135</f>
        <v>0</v>
      </c>
      <c r="AA10" s="435">
        <f ca="1">Cashflow!AA135</f>
        <v>0</v>
      </c>
      <c r="AB10" s="435">
        <f ca="1">Cashflow!AB135</f>
        <v>0</v>
      </c>
      <c r="AC10" s="435">
        <f ca="1">Cashflow!AC135</f>
        <v>0</v>
      </c>
      <c r="AD10" s="435">
        <f ca="1">Cashflow!AD135</f>
        <v>0</v>
      </c>
      <c r="AE10" s="435">
        <f ca="1">Cashflow!AE135</f>
        <v>0</v>
      </c>
      <c r="AF10" s="435">
        <f ca="1">Cashflow!AF135</f>
        <v>0</v>
      </c>
      <c r="AG10" s="435">
        <f ca="1">Cashflow!AG135</f>
        <v>0</v>
      </c>
      <c r="AH10" s="873"/>
      <c r="AI10" s="874"/>
      <c r="AJ10" s="874"/>
      <c r="AK10" s="627">
        <v>8</v>
      </c>
      <c r="AL10" s="629">
        <f t="shared" si="0"/>
        <v>0.62556090791758856</v>
      </c>
      <c r="AM10" s="629">
        <f t="shared" si="1"/>
        <v>0.4168048495680472</v>
      </c>
      <c r="AN10" s="626" t="str">
        <f t="shared" si="2"/>
        <v>Success</v>
      </c>
      <c r="AO10" s="629" t="e">
        <f t="shared" si="4"/>
        <v>#N/A</v>
      </c>
      <c r="AP10" s="629">
        <v>0.4168048495680472</v>
      </c>
      <c r="AQ10" s="629">
        <f t="shared" ca="1" si="3"/>
        <v>3.5965999021441597E-2</v>
      </c>
    </row>
    <row r="11" spans="1:54">
      <c r="A11" s="326"/>
      <c r="B11" s="434" t="s">
        <v>793</v>
      </c>
      <c r="C11" s="239">
        <f>Cashflow!C136</f>
        <v>0</v>
      </c>
      <c r="D11" s="239">
        <f>Cashflow!D136</f>
        <v>0</v>
      </c>
      <c r="E11" s="239">
        <f>Cashflow!E136</f>
        <v>0</v>
      </c>
      <c r="F11" s="239">
        <f>Cashflow!F136</f>
        <v>2</v>
      </c>
      <c r="G11" s="239">
        <f>Cashflow!G136</f>
        <v>2</v>
      </c>
      <c r="H11" s="239">
        <f>Cashflow!H136</f>
        <v>2</v>
      </c>
      <c r="I11" s="239">
        <f>Cashflow!I136</f>
        <v>2</v>
      </c>
      <c r="J11" s="239">
        <f>Cashflow!J136</f>
        <v>2</v>
      </c>
      <c r="K11" s="239">
        <f>Cashflow!K136</f>
        <v>2</v>
      </c>
      <c r="L11" s="239">
        <f ca="1">Cashflow!L136</f>
        <v>2</v>
      </c>
      <c r="M11" s="239">
        <f ca="1">Cashflow!M136</f>
        <v>2</v>
      </c>
      <c r="N11" s="239">
        <f ca="1">Cashflow!N136</f>
        <v>2</v>
      </c>
      <c r="O11" s="239">
        <f ca="1">Cashflow!O136</f>
        <v>2</v>
      </c>
      <c r="P11" s="239">
        <f ca="1">Cashflow!P136</f>
        <v>2</v>
      </c>
      <c r="Q11" s="239">
        <f ca="1">Cashflow!Q136</f>
        <v>2</v>
      </c>
      <c r="R11" s="239">
        <f ca="1">Cashflow!R136</f>
        <v>2</v>
      </c>
      <c r="S11" s="239">
        <f ca="1">Cashflow!S136</f>
        <v>2</v>
      </c>
      <c r="T11" s="239">
        <f ca="1">Cashflow!T136</f>
        <v>2</v>
      </c>
      <c r="U11" s="239">
        <f ca="1">Cashflow!U136</f>
        <v>2</v>
      </c>
      <c r="V11" s="239">
        <f ca="1">Cashflow!V136</f>
        <v>2</v>
      </c>
      <c r="W11" s="239">
        <f ca="1">Cashflow!W136</f>
        <v>2</v>
      </c>
      <c r="X11" s="239">
        <f ca="1">Cashflow!X136</f>
        <v>2</v>
      </c>
      <c r="Y11" s="239">
        <f ca="1">Cashflow!Y136</f>
        <v>2</v>
      </c>
      <c r="Z11" s="239">
        <f ca="1">Cashflow!Z136</f>
        <v>2</v>
      </c>
      <c r="AA11" s="239">
        <f ca="1">Cashflow!AA136</f>
        <v>2</v>
      </c>
      <c r="AB11" s="239">
        <f ca="1">Cashflow!AB136</f>
        <v>2</v>
      </c>
      <c r="AC11" s="239">
        <f ca="1">Cashflow!AC136</f>
        <v>2</v>
      </c>
      <c r="AD11" s="239">
        <f ca="1">Cashflow!AD136</f>
        <v>2</v>
      </c>
      <c r="AE11" s="239">
        <f ca="1">Cashflow!AE136</f>
        <v>2</v>
      </c>
      <c r="AF11" s="239">
        <f ca="1">Cashflow!AF136</f>
        <v>2</v>
      </c>
      <c r="AG11" s="239">
        <f ca="1">Cashflow!AG136</f>
        <v>2</v>
      </c>
      <c r="AH11" s="873"/>
      <c r="AI11" s="874"/>
      <c r="AJ11" s="874"/>
      <c r="AK11" s="627">
        <v>9</v>
      </c>
      <c r="AL11" s="629">
        <f t="shared" si="0"/>
        <v>0.63380572041353533</v>
      </c>
      <c r="AM11" s="629">
        <f t="shared" si="1"/>
        <v>0.97004540535813255</v>
      </c>
      <c r="AN11" s="626" t="str">
        <f t="shared" si="2"/>
        <v>Failure</v>
      </c>
      <c r="AO11" s="629">
        <f t="shared" si="4"/>
        <v>0.63380572041353533</v>
      </c>
      <c r="AP11" s="629">
        <v>0.97004540535813255</v>
      </c>
      <c r="AQ11" s="629">
        <f t="shared" ca="1" si="3"/>
        <v>0.98361446974167888</v>
      </c>
      <c r="AR11" s="326"/>
      <c r="AS11" s="326"/>
      <c r="AT11" s="326"/>
      <c r="AU11" s="326"/>
      <c r="AV11" s="326"/>
      <c r="AW11" s="326"/>
      <c r="AX11" s="326"/>
      <c r="AY11" s="326"/>
      <c r="AZ11" s="326"/>
      <c r="BA11" s="326"/>
      <c r="BB11" s="326"/>
    </row>
    <row r="12" spans="1:54">
      <c r="A12" s="326"/>
      <c r="B12" s="434" t="s">
        <v>791</v>
      </c>
      <c r="C12" s="435">
        <f>Cashflow!C141</f>
        <v>0</v>
      </c>
      <c r="D12" s="435">
        <f>Cashflow!D141</f>
        <v>0</v>
      </c>
      <c r="E12" s="435">
        <f>Cashflow!E141</f>
        <v>0</v>
      </c>
      <c r="F12" s="435">
        <f>Cashflow!F141</f>
        <v>0</v>
      </c>
      <c r="G12" s="435">
        <f>Cashflow!G141</f>
        <v>2</v>
      </c>
      <c r="H12" s="435">
        <f>Cashflow!H141</f>
        <v>0</v>
      </c>
      <c r="I12" s="435">
        <f>Cashflow!I141</f>
        <v>0</v>
      </c>
      <c r="J12" s="435">
        <f>Cashflow!J141</f>
        <v>0</v>
      </c>
      <c r="K12" s="435">
        <f>Cashflow!K141</f>
        <v>0</v>
      </c>
      <c r="L12" s="435">
        <f ca="1">Cashflow!L141</f>
        <v>0</v>
      </c>
      <c r="M12" s="435">
        <f ca="1">Cashflow!M141</f>
        <v>0</v>
      </c>
      <c r="N12" s="435">
        <f ca="1">Cashflow!N141</f>
        <v>0</v>
      </c>
      <c r="O12" s="435">
        <f ca="1">Cashflow!O141</f>
        <v>0</v>
      </c>
      <c r="P12" s="435">
        <f ca="1">Cashflow!P141</f>
        <v>0</v>
      </c>
      <c r="Q12" s="435">
        <f ca="1">Cashflow!Q141</f>
        <v>0</v>
      </c>
      <c r="R12" s="435">
        <f ca="1">Cashflow!R141</f>
        <v>0</v>
      </c>
      <c r="S12" s="435">
        <f ca="1">Cashflow!S141</f>
        <v>0</v>
      </c>
      <c r="T12" s="435">
        <f ca="1">Cashflow!T141</f>
        <v>0</v>
      </c>
      <c r="U12" s="435">
        <f ca="1">Cashflow!U141</f>
        <v>0</v>
      </c>
      <c r="V12" s="435">
        <f ca="1">Cashflow!V141</f>
        <v>0</v>
      </c>
      <c r="W12" s="435">
        <f ca="1">Cashflow!W141</f>
        <v>0</v>
      </c>
      <c r="X12" s="435">
        <f ca="1">Cashflow!X141</f>
        <v>0</v>
      </c>
      <c r="Y12" s="435">
        <f ca="1">Cashflow!Y141</f>
        <v>0</v>
      </c>
      <c r="Z12" s="435">
        <f ca="1">Cashflow!Z141</f>
        <v>0</v>
      </c>
      <c r="AA12" s="435">
        <f ca="1">Cashflow!AA141</f>
        <v>0</v>
      </c>
      <c r="AB12" s="435">
        <f ca="1">Cashflow!AB141</f>
        <v>0</v>
      </c>
      <c r="AC12" s="435">
        <f ca="1">Cashflow!AC141</f>
        <v>0</v>
      </c>
      <c r="AD12" s="435">
        <f ca="1">Cashflow!AD141</f>
        <v>0</v>
      </c>
      <c r="AE12" s="435">
        <f ca="1">Cashflow!AE141</f>
        <v>0</v>
      </c>
      <c r="AF12" s="435">
        <f ca="1">Cashflow!AF141</f>
        <v>0</v>
      </c>
      <c r="AG12" s="435">
        <f ca="1">Cashflow!AG141</f>
        <v>0</v>
      </c>
      <c r="AH12" s="874"/>
      <c r="AI12" s="874"/>
      <c r="AJ12" s="874"/>
      <c r="AK12" s="627">
        <v>10</v>
      </c>
      <c r="AL12" s="629">
        <f t="shared" si="0"/>
        <v>0.64118095650958318</v>
      </c>
      <c r="AM12" s="629">
        <f t="shared" si="1"/>
        <v>0.37777611300056557</v>
      </c>
      <c r="AN12" s="626" t="str">
        <f t="shared" si="2"/>
        <v>Success</v>
      </c>
      <c r="AO12" s="629" t="e">
        <f t="shared" si="4"/>
        <v>#N/A</v>
      </c>
      <c r="AP12" s="629">
        <v>0.37777611300056557</v>
      </c>
      <c r="AQ12" s="629">
        <f t="shared" ca="1" si="3"/>
        <v>0.65961774205296253</v>
      </c>
      <c r="AR12" s="326"/>
      <c r="AS12" s="326"/>
      <c r="AT12" s="326"/>
      <c r="AU12" s="326"/>
      <c r="AV12" s="326"/>
      <c r="AW12" s="326"/>
      <c r="AX12" s="326"/>
      <c r="AY12" s="326"/>
      <c r="AZ12" s="326"/>
      <c r="BA12" s="326"/>
      <c r="BB12" s="326"/>
    </row>
    <row r="13" spans="1:54" s="26" customFormat="1" ht="13.2">
      <c r="A13" s="19"/>
      <c r="B13" s="55" t="s">
        <v>792</v>
      </c>
      <c r="C13" s="239">
        <f>Cashflow!C142</f>
        <v>0</v>
      </c>
      <c r="D13" s="239">
        <f>Cashflow!D142</f>
        <v>0</v>
      </c>
      <c r="E13" s="239">
        <f>Cashflow!E142</f>
        <v>0</v>
      </c>
      <c r="F13" s="239">
        <f>Cashflow!F142</f>
        <v>0</v>
      </c>
      <c r="G13" s="239">
        <f>Cashflow!G142</f>
        <v>2</v>
      </c>
      <c r="H13" s="239">
        <f>Cashflow!H142</f>
        <v>2</v>
      </c>
      <c r="I13" s="239">
        <f>Cashflow!I142</f>
        <v>2</v>
      </c>
      <c r="J13" s="239">
        <f>Cashflow!J142</f>
        <v>2</v>
      </c>
      <c r="K13" s="239">
        <f>Cashflow!K142</f>
        <v>2</v>
      </c>
      <c r="L13" s="239">
        <f ca="1">Cashflow!L142</f>
        <v>2</v>
      </c>
      <c r="M13" s="239">
        <f ca="1">Cashflow!M142</f>
        <v>2</v>
      </c>
      <c r="N13" s="239">
        <f ca="1">Cashflow!N142</f>
        <v>2</v>
      </c>
      <c r="O13" s="239">
        <f ca="1">Cashflow!O142</f>
        <v>2</v>
      </c>
      <c r="P13" s="239">
        <f ca="1">Cashflow!P142</f>
        <v>2</v>
      </c>
      <c r="Q13" s="239">
        <f ca="1">Cashflow!Q142</f>
        <v>2</v>
      </c>
      <c r="R13" s="239">
        <f ca="1">Cashflow!R142</f>
        <v>2</v>
      </c>
      <c r="S13" s="239">
        <f ca="1">Cashflow!S142</f>
        <v>2</v>
      </c>
      <c r="T13" s="239">
        <f ca="1">Cashflow!T142</f>
        <v>2</v>
      </c>
      <c r="U13" s="239">
        <f ca="1">Cashflow!U142</f>
        <v>2</v>
      </c>
      <c r="V13" s="239">
        <f ca="1">Cashflow!V142</f>
        <v>2</v>
      </c>
      <c r="W13" s="239">
        <f ca="1">Cashflow!W142</f>
        <v>2</v>
      </c>
      <c r="X13" s="239">
        <f ca="1">Cashflow!X142</f>
        <v>2</v>
      </c>
      <c r="Y13" s="239">
        <f ca="1">Cashflow!Y142</f>
        <v>2</v>
      </c>
      <c r="Z13" s="239">
        <f ca="1">Cashflow!Z142</f>
        <v>2</v>
      </c>
      <c r="AA13" s="239">
        <f ca="1">Cashflow!AA142</f>
        <v>2</v>
      </c>
      <c r="AB13" s="239">
        <f ca="1">Cashflow!AB142</f>
        <v>2</v>
      </c>
      <c r="AC13" s="239">
        <f ca="1">Cashflow!AC142</f>
        <v>2</v>
      </c>
      <c r="AD13" s="239">
        <f ca="1">Cashflow!AD142</f>
        <v>2</v>
      </c>
      <c r="AE13" s="239">
        <f ca="1">Cashflow!AE142</f>
        <v>2</v>
      </c>
      <c r="AF13" s="239">
        <f ca="1">Cashflow!AF142</f>
        <v>2</v>
      </c>
      <c r="AG13" s="239">
        <f ca="1">Cashflow!AG142</f>
        <v>2</v>
      </c>
      <c r="AH13" s="874"/>
      <c r="AI13" s="874"/>
      <c r="AJ13" s="874"/>
      <c r="AK13" s="627">
        <v>11</v>
      </c>
      <c r="AL13" s="629">
        <f t="shared" si="0"/>
        <v>0.6478526690958859</v>
      </c>
      <c r="AM13" s="629">
        <f t="shared" si="1"/>
        <v>0.32331073947200817</v>
      </c>
      <c r="AN13" s="626" t="str">
        <f t="shared" si="2"/>
        <v>Success</v>
      </c>
      <c r="AO13" s="629" t="e">
        <f t="shared" si="4"/>
        <v>#N/A</v>
      </c>
      <c r="AP13" s="629">
        <v>0.32331073947200817</v>
      </c>
      <c r="AQ13" s="629">
        <f t="shared" ca="1" si="3"/>
        <v>0.32347470445656068</v>
      </c>
      <c r="AR13" s="326"/>
      <c r="AS13" s="326"/>
      <c r="AT13" s="326"/>
      <c r="AU13" s="326"/>
      <c r="AV13" s="326"/>
      <c r="AW13" s="326"/>
      <c r="AX13" s="326"/>
      <c r="AY13" s="326"/>
      <c r="AZ13" s="326"/>
      <c r="BA13" s="326"/>
      <c r="BB13" s="326"/>
    </row>
    <row r="14" spans="1:54" s="26" customFormat="1" ht="13.2">
      <c r="A14" s="19"/>
      <c r="B14" s="55" t="s">
        <v>786</v>
      </c>
      <c r="C14" s="435">
        <f>Cashflow!C147</f>
        <v>0</v>
      </c>
      <c r="D14" s="435">
        <f>Cashflow!D147</f>
        <v>0</v>
      </c>
      <c r="E14" s="435">
        <f>Cashflow!E147</f>
        <v>0</v>
      </c>
      <c r="F14" s="435">
        <f>Cashflow!F147</f>
        <v>0</v>
      </c>
      <c r="G14" s="435">
        <f>Cashflow!G147</f>
        <v>0</v>
      </c>
      <c r="H14" s="435">
        <f>Cashflow!H147</f>
        <v>0</v>
      </c>
      <c r="I14" s="435">
        <f>Cashflow!I147</f>
        <v>1</v>
      </c>
      <c r="J14" s="435">
        <f>Cashflow!J147</f>
        <v>2</v>
      </c>
      <c r="K14" s="435">
        <f>Cashflow!K147</f>
        <v>2</v>
      </c>
      <c r="L14" s="435">
        <f ca="1">Cashflow!L147</f>
        <v>2</v>
      </c>
      <c r="M14" s="435">
        <f ca="1">Cashflow!M147</f>
        <v>2</v>
      </c>
      <c r="N14" s="435">
        <f ca="1">Cashflow!N147</f>
        <v>2</v>
      </c>
      <c r="O14" s="435">
        <f ca="1">Cashflow!O147</f>
        <v>0</v>
      </c>
      <c r="P14" s="435">
        <f ca="1">Cashflow!P147</f>
        <v>0</v>
      </c>
      <c r="Q14" s="435">
        <f ca="1">Cashflow!Q147</f>
        <v>0</v>
      </c>
      <c r="R14" s="435">
        <f ca="1">Cashflow!R147</f>
        <v>0</v>
      </c>
      <c r="S14" s="435">
        <f ca="1">Cashflow!S147</f>
        <v>0</v>
      </c>
      <c r="T14" s="435">
        <f ca="1">Cashflow!T147</f>
        <v>0</v>
      </c>
      <c r="U14" s="435">
        <f ca="1">Cashflow!U147</f>
        <v>0</v>
      </c>
      <c r="V14" s="435">
        <f ca="1">Cashflow!V147</f>
        <v>0</v>
      </c>
      <c r="W14" s="435">
        <f ca="1">Cashflow!W147</f>
        <v>0</v>
      </c>
      <c r="X14" s="435">
        <f ca="1">Cashflow!X147</f>
        <v>0</v>
      </c>
      <c r="Y14" s="435">
        <f ca="1">Cashflow!Y147</f>
        <v>0</v>
      </c>
      <c r="Z14" s="435">
        <f ca="1">Cashflow!Z147</f>
        <v>0</v>
      </c>
      <c r="AA14" s="435">
        <f ca="1">Cashflow!AA147</f>
        <v>0</v>
      </c>
      <c r="AB14" s="435">
        <f ca="1">Cashflow!AB147</f>
        <v>0</v>
      </c>
      <c r="AC14" s="435">
        <f ca="1">Cashflow!AC147</f>
        <v>0</v>
      </c>
      <c r="AD14" s="435">
        <f ca="1">Cashflow!AD147</f>
        <v>0</v>
      </c>
      <c r="AE14" s="435">
        <f ca="1">Cashflow!AE147</f>
        <v>0</v>
      </c>
      <c r="AF14" s="435">
        <f ca="1">Cashflow!AF147</f>
        <v>0</v>
      </c>
      <c r="AG14" s="435">
        <f ca="1">Cashflow!AG147</f>
        <v>0</v>
      </c>
      <c r="AH14" s="873"/>
      <c r="AI14" s="874"/>
      <c r="AJ14" s="874"/>
      <c r="AK14" s="627">
        <v>12</v>
      </c>
      <c r="AL14" s="629">
        <f t="shared" si="0"/>
        <v>0.65394346548516002</v>
      </c>
      <c r="AM14" s="629">
        <f t="shared" si="1"/>
        <v>0.13890953129837225</v>
      </c>
      <c r="AN14" s="626" t="str">
        <f t="shared" si="2"/>
        <v>Success</v>
      </c>
      <c r="AO14" s="629" t="e">
        <f t="shared" si="4"/>
        <v>#N/A</v>
      </c>
      <c r="AP14" s="629">
        <v>0.13890953129837225</v>
      </c>
      <c r="AQ14" s="629">
        <f t="shared" ca="1" si="3"/>
        <v>0.42721244422998583</v>
      </c>
      <c r="AR14" s="326"/>
      <c r="AS14" s="326"/>
      <c r="AT14" s="326"/>
      <c r="AU14" s="326"/>
      <c r="AV14" s="326"/>
      <c r="AW14" s="326"/>
      <c r="AX14" s="326"/>
      <c r="AY14" s="326"/>
      <c r="AZ14" s="326"/>
      <c r="BA14" s="326"/>
      <c r="BB14" s="326"/>
    </row>
    <row r="15" spans="1:54" s="26" customFormat="1" ht="13.2">
      <c r="A15" s="19"/>
      <c r="B15" s="55" t="s">
        <v>784</v>
      </c>
      <c r="C15" s="239">
        <f>Cashflow!C148</f>
        <v>0</v>
      </c>
      <c r="D15" s="239">
        <f>Cashflow!D148</f>
        <v>0</v>
      </c>
      <c r="E15" s="239">
        <f>Cashflow!E148</f>
        <v>0</v>
      </c>
      <c r="F15" s="239">
        <f>Cashflow!F148</f>
        <v>0</v>
      </c>
      <c r="G15" s="239">
        <f>Cashflow!G148</f>
        <v>0</v>
      </c>
      <c r="H15" s="239">
        <f>Cashflow!H148</f>
        <v>0</v>
      </c>
      <c r="I15" s="239">
        <f>Cashflow!I148</f>
        <v>1</v>
      </c>
      <c r="J15" s="239">
        <f>Cashflow!J148</f>
        <v>3</v>
      </c>
      <c r="K15" s="239">
        <f>Cashflow!K148</f>
        <v>5</v>
      </c>
      <c r="L15" s="239">
        <f ca="1">Cashflow!L148</f>
        <v>7</v>
      </c>
      <c r="M15" s="239">
        <f ca="1">Cashflow!M148</f>
        <v>9</v>
      </c>
      <c r="N15" s="239">
        <f ca="1">Cashflow!N148</f>
        <v>11</v>
      </c>
      <c r="O15" s="239">
        <f ca="1">Cashflow!O148</f>
        <v>11</v>
      </c>
      <c r="P15" s="239">
        <f ca="1">Cashflow!P148</f>
        <v>11</v>
      </c>
      <c r="Q15" s="239">
        <f ca="1">Cashflow!Q148</f>
        <v>11</v>
      </c>
      <c r="R15" s="239">
        <f ca="1">Cashflow!R148</f>
        <v>11</v>
      </c>
      <c r="S15" s="239">
        <f ca="1">Cashflow!S148</f>
        <v>11</v>
      </c>
      <c r="T15" s="239">
        <f ca="1">Cashflow!T148</f>
        <v>11</v>
      </c>
      <c r="U15" s="239">
        <f ca="1">Cashflow!U148</f>
        <v>11</v>
      </c>
      <c r="V15" s="239">
        <f ca="1">Cashflow!V148</f>
        <v>11</v>
      </c>
      <c r="W15" s="239">
        <f ca="1">Cashflow!W148</f>
        <v>11</v>
      </c>
      <c r="X15" s="239">
        <f ca="1">Cashflow!X148</f>
        <v>11</v>
      </c>
      <c r="Y15" s="239">
        <f ca="1">Cashflow!Y148</f>
        <v>11</v>
      </c>
      <c r="Z15" s="239">
        <f ca="1">Cashflow!Z148</f>
        <v>11</v>
      </c>
      <c r="AA15" s="239">
        <f ca="1">Cashflow!AA148</f>
        <v>11</v>
      </c>
      <c r="AB15" s="239">
        <f ca="1">Cashflow!AB148</f>
        <v>11</v>
      </c>
      <c r="AC15" s="239">
        <f ca="1">Cashflow!AC148</f>
        <v>11</v>
      </c>
      <c r="AD15" s="239">
        <f ca="1">Cashflow!AD148</f>
        <v>11</v>
      </c>
      <c r="AE15" s="239">
        <f ca="1">Cashflow!AE148</f>
        <v>11</v>
      </c>
      <c r="AF15" s="239">
        <f ca="1">Cashflow!AF148</f>
        <v>11</v>
      </c>
      <c r="AG15" s="239">
        <f ca="1">Cashflow!AG148</f>
        <v>11</v>
      </c>
      <c r="AH15" s="873"/>
      <c r="AI15" s="874"/>
      <c r="AJ15" s="874"/>
      <c r="AK15" s="627">
        <v>13</v>
      </c>
      <c r="AL15" s="629">
        <f t="shared" si="0"/>
        <v>0.65954645502230758</v>
      </c>
      <c r="AM15" s="629">
        <f t="shared" si="1"/>
        <v>0.83810564083875627</v>
      </c>
      <c r="AN15" s="626" t="str">
        <f t="shared" si="2"/>
        <v>Failure</v>
      </c>
      <c r="AO15" s="629">
        <f t="shared" si="4"/>
        <v>0.65954645502230758</v>
      </c>
      <c r="AP15" s="629">
        <v>0.83810564083875627</v>
      </c>
      <c r="AQ15" s="629">
        <f t="shared" ca="1" si="3"/>
        <v>7.0754748154997382E-2</v>
      </c>
      <c r="AR15" s="326"/>
      <c r="AS15" s="326"/>
      <c r="AT15" s="326"/>
      <c r="AU15" s="326"/>
      <c r="AV15" s="326"/>
      <c r="AW15" s="326"/>
      <c r="AX15" s="326"/>
      <c r="AY15" s="326"/>
      <c r="AZ15" s="326"/>
      <c r="BA15" s="326"/>
      <c r="BB15" s="326"/>
    </row>
    <row r="16" spans="1:54" s="26" customFormat="1" ht="13.2">
      <c r="A16" s="19"/>
      <c r="B16" s="55" t="s">
        <v>1037</v>
      </c>
      <c r="C16" s="239">
        <f>C10+C12+C14</f>
        <v>0</v>
      </c>
      <c r="D16" s="239">
        <f t="shared" ref="D16:AG16" si="5">D10+D12+D14</f>
        <v>0</v>
      </c>
      <c r="E16" s="239">
        <f t="shared" si="5"/>
        <v>0</v>
      </c>
      <c r="F16" s="239">
        <f t="shared" si="5"/>
        <v>2</v>
      </c>
      <c r="G16" s="239">
        <f t="shared" si="5"/>
        <v>2</v>
      </c>
      <c r="H16" s="239">
        <f t="shared" si="5"/>
        <v>0</v>
      </c>
      <c r="I16" s="239">
        <f t="shared" si="5"/>
        <v>1</v>
      </c>
      <c r="J16" s="239">
        <f t="shared" si="5"/>
        <v>2</v>
      </c>
      <c r="K16" s="239">
        <f t="shared" si="5"/>
        <v>2</v>
      </c>
      <c r="L16" s="239">
        <f t="shared" ca="1" si="5"/>
        <v>2</v>
      </c>
      <c r="M16" s="239">
        <f t="shared" ca="1" si="5"/>
        <v>2</v>
      </c>
      <c r="N16" s="239">
        <f t="shared" ca="1" si="5"/>
        <v>2</v>
      </c>
      <c r="O16" s="239">
        <f t="shared" ca="1" si="5"/>
        <v>0</v>
      </c>
      <c r="P16" s="239">
        <f t="shared" ca="1" si="5"/>
        <v>0</v>
      </c>
      <c r="Q16" s="239">
        <f t="shared" ca="1" si="5"/>
        <v>0</v>
      </c>
      <c r="R16" s="239">
        <f t="shared" ca="1" si="5"/>
        <v>0</v>
      </c>
      <c r="S16" s="239">
        <f t="shared" ca="1" si="5"/>
        <v>0</v>
      </c>
      <c r="T16" s="239">
        <f t="shared" ca="1" si="5"/>
        <v>0</v>
      </c>
      <c r="U16" s="239">
        <f t="shared" ca="1" si="5"/>
        <v>0</v>
      </c>
      <c r="V16" s="239">
        <f t="shared" ca="1" si="5"/>
        <v>0</v>
      </c>
      <c r="W16" s="239">
        <f t="shared" ca="1" si="5"/>
        <v>0</v>
      </c>
      <c r="X16" s="239">
        <f t="shared" ca="1" si="5"/>
        <v>0</v>
      </c>
      <c r="Y16" s="239">
        <f t="shared" ca="1" si="5"/>
        <v>0</v>
      </c>
      <c r="Z16" s="239">
        <f t="shared" ca="1" si="5"/>
        <v>0</v>
      </c>
      <c r="AA16" s="239">
        <f t="shared" ca="1" si="5"/>
        <v>0</v>
      </c>
      <c r="AB16" s="239">
        <f t="shared" ca="1" si="5"/>
        <v>0</v>
      </c>
      <c r="AC16" s="239">
        <f t="shared" ca="1" si="5"/>
        <v>0</v>
      </c>
      <c r="AD16" s="239">
        <f t="shared" ca="1" si="5"/>
        <v>0</v>
      </c>
      <c r="AE16" s="239">
        <f t="shared" ca="1" si="5"/>
        <v>0</v>
      </c>
      <c r="AF16" s="239">
        <f t="shared" ca="1" si="5"/>
        <v>0</v>
      </c>
      <c r="AG16" s="239">
        <f t="shared" ca="1" si="5"/>
        <v>0</v>
      </c>
      <c r="AH16" s="873"/>
      <c r="AI16" s="874"/>
      <c r="AJ16" s="874"/>
      <c r="AK16" s="627">
        <v>14</v>
      </c>
      <c r="AL16" s="629">
        <f t="shared" ref="AL16:AL47" si="6">IF($I$4="y=m*x+b",IF($I$6*AK16+$I$5&gt;1,1,$I$6*AK16+$I$5),IF($I$6*LN(AK16)+$I$5&gt;1,1,$I$6*LN(AK16)+$I$5))</f>
        <v>0.66473401307306812</v>
      </c>
      <c r="AM16" s="629">
        <f t="shared" si="1"/>
        <v>0.58145508969811743</v>
      </c>
      <c r="AN16" s="626" t="str">
        <f t="shared" si="2"/>
        <v>Success</v>
      </c>
      <c r="AO16" s="629" t="e">
        <f t="shared" si="4"/>
        <v>#N/A</v>
      </c>
      <c r="AP16" s="629">
        <v>0.58145508969811743</v>
      </c>
      <c r="AQ16" s="629">
        <f t="shared" ref="AQ16:AQ47" ca="1" si="7">RAND()</f>
        <v>0.84279551048029122</v>
      </c>
      <c r="AR16" s="326"/>
      <c r="AS16" s="326"/>
      <c r="AT16" s="326"/>
      <c r="AU16" s="326"/>
      <c r="AV16" s="326"/>
      <c r="AW16" s="326"/>
      <c r="AX16" s="326"/>
      <c r="AY16" s="326"/>
      <c r="AZ16" s="326"/>
      <c r="BA16" s="326"/>
      <c r="BB16" s="326"/>
    </row>
    <row r="17" spans="1:54" s="26" customFormat="1" ht="13.2">
      <c r="A17" s="19"/>
      <c r="B17" s="55" t="s">
        <v>1036</v>
      </c>
      <c r="C17" s="239">
        <f>C16</f>
        <v>0</v>
      </c>
      <c r="D17" s="239">
        <f>C17+D16</f>
        <v>0</v>
      </c>
      <c r="E17" s="239">
        <f t="shared" ref="E17:AG17" si="8">D17+E16</f>
        <v>0</v>
      </c>
      <c r="F17" s="239">
        <f t="shared" si="8"/>
        <v>2</v>
      </c>
      <c r="G17" s="239">
        <f t="shared" si="8"/>
        <v>4</v>
      </c>
      <c r="H17" s="239">
        <f t="shared" si="8"/>
        <v>4</v>
      </c>
      <c r="I17" s="239">
        <f t="shared" si="8"/>
        <v>5</v>
      </c>
      <c r="J17" s="239">
        <f t="shared" si="8"/>
        <v>7</v>
      </c>
      <c r="K17" s="239">
        <f t="shared" si="8"/>
        <v>9</v>
      </c>
      <c r="L17" s="239">
        <f t="shared" ca="1" si="8"/>
        <v>11</v>
      </c>
      <c r="M17" s="239">
        <f t="shared" ca="1" si="8"/>
        <v>13</v>
      </c>
      <c r="N17" s="239">
        <f t="shared" ca="1" si="8"/>
        <v>15</v>
      </c>
      <c r="O17" s="239">
        <f t="shared" ca="1" si="8"/>
        <v>15</v>
      </c>
      <c r="P17" s="239">
        <f t="shared" ca="1" si="8"/>
        <v>15</v>
      </c>
      <c r="Q17" s="239">
        <f t="shared" ca="1" si="8"/>
        <v>15</v>
      </c>
      <c r="R17" s="239">
        <f t="shared" ca="1" si="8"/>
        <v>15</v>
      </c>
      <c r="S17" s="239">
        <f t="shared" ca="1" si="8"/>
        <v>15</v>
      </c>
      <c r="T17" s="239">
        <f t="shared" ca="1" si="8"/>
        <v>15</v>
      </c>
      <c r="U17" s="239">
        <f t="shared" ca="1" si="8"/>
        <v>15</v>
      </c>
      <c r="V17" s="239">
        <f t="shared" ca="1" si="8"/>
        <v>15</v>
      </c>
      <c r="W17" s="239">
        <f t="shared" ca="1" si="8"/>
        <v>15</v>
      </c>
      <c r="X17" s="239">
        <f t="shared" ca="1" si="8"/>
        <v>15</v>
      </c>
      <c r="Y17" s="239">
        <f t="shared" ca="1" si="8"/>
        <v>15</v>
      </c>
      <c r="Z17" s="239">
        <f t="shared" ca="1" si="8"/>
        <v>15</v>
      </c>
      <c r="AA17" s="239">
        <f t="shared" ca="1" si="8"/>
        <v>15</v>
      </c>
      <c r="AB17" s="239">
        <f t="shared" ca="1" si="8"/>
        <v>15</v>
      </c>
      <c r="AC17" s="239">
        <f t="shared" ca="1" si="8"/>
        <v>15</v>
      </c>
      <c r="AD17" s="239">
        <f t="shared" ca="1" si="8"/>
        <v>15</v>
      </c>
      <c r="AE17" s="239">
        <f t="shared" ca="1" si="8"/>
        <v>15</v>
      </c>
      <c r="AF17" s="239">
        <f t="shared" ca="1" si="8"/>
        <v>15</v>
      </c>
      <c r="AG17" s="239">
        <f t="shared" ca="1" si="8"/>
        <v>15</v>
      </c>
      <c r="AH17" s="876">
        <f ca="1">AG17</f>
        <v>15</v>
      </c>
      <c r="AI17" s="875" t="s">
        <v>1381</v>
      </c>
      <c r="AJ17" s="874"/>
      <c r="AK17" s="627">
        <v>15</v>
      </c>
      <c r="AL17" s="629">
        <f t="shared" si="6"/>
        <v>0.66956351407715475</v>
      </c>
      <c r="AM17" s="629">
        <f t="shared" si="1"/>
        <v>0.48132457971951481</v>
      </c>
      <c r="AN17" s="626" t="str">
        <f t="shared" si="2"/>
        <v>Success</v>
      </c>
      <c r="AO17" s="629" t="e">
        <f t="shared" si="4"/>
        <v>#N/A</v>
      </c>
      <c r="AP17" s="629">
        <v>0.48132457971951481</v>
      </c>
      <c r="AQ17" s="629">
        <f t="shared" ca="1" si="7"/>
        <v>0.75405706145952256</v>
      </c>
      <c r="AR17" s="326"/>
      <c r="AS17" s="326"/>
      <c r="AT17" s="326"/>
      <c r="AU17" s="326"/>
      <c r="AV17" s="326"/>
      <c r="AW17" s="326"/>
      <c r="AX17" s="326"/>
      <c r="AY17" s="326"/>
      <c r="AZ17" s="326"/>
      <c r="BA17" s="326"/>
      <c r="BB17" s="326"/>
    </row>
    <row r="18" spans="1:54" s="26" customFormat="1" ht="13.2">
      <c r="A18" s="19"/>
      <c r="B18" s="617"/>
      <c r="C18" s="580"/>
      <c r="D18" s="580"/>
      <c r="E18" s="577"/>
      <c r="F18" s="577"/>
      <c r="G18" s="577"/>
      <c r="H18" s="616"/>
      <c r="I18" s="616"/>
      <c r="J18" s="616"/>
      <c r="K18" s="616"/>
      <c r="L18" s="616"/>
      <c r="M18" s="616"/>
      <c r="N18" s="577"/>
      <c r="O18" s="577"/>
      <c r="P18" s="577"/>
      <c r="Q18" s="577"/>
      <c r="R18" s="577"/>
      <c r="S18" s="577"/>
      <c r="T18" s="577"/>
      <c r="U18" s="577"/>
      <c r="V18" s="577"/>
      <c r="W18" s="577"/>
      <c r="X18" s="577"/>
      <c r="Y18" s="577"/>
      <c r="Z18" s="577"/>
      <c r="AA18" s="577"/>
      <c r="AB18" s="577"/>
      <c r="AC18" s="577"/>
      <c r="AD18" s="577"/>
      <c r="AE18" s="577"/>
      <c r="AF18" s="577"/>
      <c r="AG18" s="577"/>
      <c r="AH18" s="873"/>
      <c r="AI18" s="874"/>
      <c r="AJ18" s="874"/>
      <c r="AK18" s="627">
        <v>16</v>
      </c>
      <c r="AL18" s="629">
        <f t="shared" si="6"/>
        <v>0.67408121055678472</v>
      </c>
      <c r="AM18" s="629">
        <f t="shared" si="1"/>
        <v>0.78194112201541266</v>
      </c>
      <c r="AN18" s="626" t="str">
        <f t="shared" si="2"/>
        <v>Failure</v>
      </c>
      <c r="AO18" s="629">
        <f t="shared" si="4"/>
        <v>0.67408121055678472</v>
      </c>
      <c r="AP18" s="629">
        <v>0.78194112201541266</v>
      </c>
      <c r="AQ18" s="629">
        <f t="shared" ca="1" si="7"/>
        <v>0.11200157505328967</v>
      </c>
      <c r="AR18" s="326"/>
      <c r="AS18" s="326"/>
      <c r="AT18" s="326"/>
      <c r="AU18" s="326"/>
      <c r="AV18" s="326"/>
      <c r="AW18" s="326"/>
      <c r="AX18" s="326"/>
      <c r="AY18" s="326"/>
      <c r="AZ18" s="326"/>
      <c r="BA18" s="326"/>
      <c r="BB18" s="326"/>
    </row>
    <row r="19" spans="1:54" s="26" customFormat="1" ht="13.8" thickBot="1">
      <c r="A19" s="19"/>
      <c r="B19" s="52" t="s">
        <v>805</v>
      </c>
      <c r="C19" s="32">
        <f>Cashflow!C$30</f>
        <v>2017</v>
      </c>
      <c r="D19" s="32">
        <f>Cashflow!D$30</f>
        <v>2018</v>
      </c>
      <c r="E19" s="32">
        <f>Cashflow!E$30</f>
        <v>2019</v>
      </c>
      <c r="F19" s="32">
        <f>Cashflow!F$30</f>
        <v>2020</v>
      </c>
      <c r="G19" s="32">
        <f>Cashflow!G$30</f>
        <v>2021</v>
      </c>
      <c r="H19" s="32">
        <f>Cashflow!H$30</f>
        <v>2022</v>
      </c>
      <c r="I19" s="32">
        <f>Cashflow!I$30</f>
        <v>2023</v>
      </c>
      <c r="J19" s="32">
        <f>Cashflow!J$30</f>
        <v>2024</v>
      </c>
      <c r="K19" s="32">
        <f>Cashflow!K$30</f>
        <v>2025</v>
      </c>
      <c r="L19" s="32">
        <f>Cashflow!L$30</f>
        <v>2026</v>
      </c>
      <c r="M19" s="32">
        <f>Cashflow!M$30</f>
        <v>2027</v>
      </c>
      <c r="N19" s="32">
        <f>Cashflow!N$30</f>
        <v>2028</v>
      </c>
      <c r="O19" s="32">
        <f>Cashflow!O$30</f>
        <v>2029</v>
      </c>
      <c r="P19" s="32">
        <f>Cashflow!P$30</f>
        <v>2030</v>
      </c>
      <c r="Q19" s="32">
        <f>Cashflow!Q$30</f>
        <v>2031</v>
      </c>
      <c r="R19" s="32">
        <f>Cashflow!R$30</f>
        <v>2032</v>
      </c>
      <c r="S19" s="32">
        <f>Cashflow!S$30</f>
        <v>2033</v>
      </c>
      <c r="T19" s="32">
        <f>Cashflow!T$30</f>
        <v>2034</v>
      </c>
      <c r="U19" s="32">
        <f>Cashflow!U$30</f>
        <v>2035</v>
      </c>
      <c r="V19" s="32">
        <f>Cashflow!V$30</f>
        <v>2036</v>
      </c>
      <c r="W19" s="32">
        <f>Cashflow!W$30</f>
        <v>2037</v>
      </c>
      <c r="X19" s="32">
        <f>Cashflow!X$30</f>
        <v>2038</v>
      </c>
      <c r="Y19" s="32">
        <f>Cashflow!Y$30</f>
        <v>2039</v>
      </c>
      <c r="Z19" s="32">
        <f>Cashflow!Z$30</f>
        <v>2040</v>
      </c>
      <c r="AA19" s="32">
        <f>Cashflow!AA$30</f>
        <v>2041</v>
      </c>
      <c r="AB19" s="32">
        <f>Cashflow!AB$30</f>
        <v>2042</v>
      </c>
      <c r="AC19" s="32">
        <f>Cashflow!AC$30</f>
        <v>2043</v>
      </c>
      <c r="AD19" s="32">
        <f>Cashflow!AD$30</f>
        <v>2044</v>
      </c>
      <c r="AE19" s="32">
        <f>Cashflow!AE$30</f>
        <v>2045</v>
      </c>
      <c r="AF19" s="32">
        <f>Cashflow!AF$30</f>
        <v>2046</v>
      </c>
      <c r="AG19" s="32">
        <f>Cashflow!AG$30</f>
        <v>2047</v>
      </c>
      <c r="AH19" s="873"/>
      <c r="AI19" s="874"/>
      <c r="AJ19" s="874"/>
      <c r="AK19" s="627">
        <v>17</v>
      </c>
      <c r="AL19" s="629">
        <f t="shared" si="6"/>
        <v>0.67832493408393513</v>
      </c>
      <c r="AM19" s="629">
        <f t="shared" si="1"/>
        <v>0.15975844007372986</v>
      </c>
      <c r="AN19" s="626" t="str">
        <f t="shared" si="2"/>
        <v>Success</v>
      </c>
      <c r="AO19" s="629" t="e">
        <f t="shared" si="4"/>
        <v>#N/A</v>
      </c>
      <c r="AP19" s="629">
        <v>0.15975844007372986</v>
      </c>
      <c r="AQ19" s="629">
        <f t="shared" ca="1" si="7"/>
        <v>0.1311926807996433</v>
      </c>
      <c r="AR19" s="326"/>
      <c r="AS19" s="326"/>
      <c r="AT19" s="326"/>
      <c r="AU19" s="326"/>
      <c r="AV19" s="326"/>
      <c r="AW19" s="326"/>
      <c r="AX19" s="326"/>
      <c r="AY19" s="326"/>
      <c r="AZ19" s="326"/>
      <c r="BA19" s="326"/>
      <c r="BB19" s="326"/>
    </row>
    <row r="20" spans="1:54" s="26" customFormat="1" ht="13.8" thickTop="1">
      <c r="A20" s="19"/>
      <c r="B20" s="42" t="s">
        <v>795</v>
      </c>
      <c r="C20" s="58">
        <f>IF(C16=0,0,IF(B17=0,1,B17+1))</f>
        <v>0</v>
      </c>
      <c r="D20" s="58">
        <f t="shared" ref="D20:AG20" si="9">IF(D16=0,0,IF(C17=0,1,C17+1))</f>
        <v>0</v>
      </c>
      <c r="E20" s="58">
        <f t="shared" si="9"/>
        <v>0</v>
      </c>
      <c r="F20" s="58">
        <f t="shared" si="9"/>
        <v>1</v>
      </c>
      <c r="G20" s="58">
        <f t="shared" si="9"/>
        <v>3</v>
      </c>
      <c r="H20" s="58">
        <f t="shared" si="9"/>
        <v>0</v>
      </c>
      <c r="I20" s="58">
        <f t="shared" si="9"/>
        <v>5</v>
      </c>
      <c r="J20" s="58">
        <f t="shared" si="9"/>
        <v>6</v>
      </c>
      <c r="K20" s="58">
        <f t="shared" si="9"/>
        <v>8</v>
      </c>
      <c r="L20" s="58">
        <f t="shared" ca="1" si="9"/>
        <v>10</v>
      </c>
      <c r="M20" s="58">
        <f t="shared" ca="1" si="9"/>
        <v>12</v>
      </c>
      <c r="N20" s="58">
        <f t="shared" ca="1" si="9"/>
        <v>14</v>
      </c>
      <c r="O20" s="58">
        <f t="shared" ca="1" si="9"/>
        <v>0</v>
      </c>
      <c r="P20" s="58">
        <f t="shared" ca="1" si="9"/>
        <v>0</v>
      </c>
      <c r="Q20" s="58">
        <f t="shared" ca="1" si="9"/>
        <v>0</v>
      </c>
      <c r="R20" s="58">
        <f t="shared" ca="1" si="9"/>
        <v>0</v>
      </c>
      <c r="S20" s="58">
        <f t="shared" ca="1" si="9"/>
        <v>0</v>
      </c>
      <c r="T20" s="58">
        <f t="shared" ca="1" si="9"/>
        <v>0</v>
      </c>
      <c r="U20" s="58">
        <f t="shared" ca="1" si="9"/>
        <v>0</v>
      </c>
      <c r="V20" s="58">
        <f t="shared" ca="1" si="9"/>
        <v>0</v>
      </c>
      <c r="W20" s="58">
        <f t="shared" ca="1" si="9"/>
        <v>0</v>
      </c>
      <c r="X20" s="58">
        <f t="shared" ca="1" si="9"/>
        <v>0</v>
      </c>
      <c r="Y20" s="58">
        <f t="shared" ca="1" si="9"/>
        <v>0</v>
      </c>
      <c r="Z20" s="58">
        <f t="shared" ca="1" si="9"/>
        <v>0</v>
      </c>
      <c r="AA20" s="58">
        <f t="shared" ca="1" si="9"/>
        <v>0</v>
      </c>
      <c r="AB20" s="58">
        <f t="shared" ca="1" si="9"/>
        <v>0</v>
      </c>
      <c r="AC20" s="58">
        <f t="shared" ca="1" si="9"/>
        <v>0</v>
      </c>
      <c r="AD20" s="58">
        <f t="shared" ca="1" si="9"/>
        <v>0</v>
      </c>
      <c r="AE20" s="58">
        <f t="shared" ca="1" si="9"/>
        <v>0</v>
      </c>
      <c r="AF20" s="58">
        <f t="shared" ca="1" si="9"/>
        <v>0</v>
      </c>
      <c r="AG20" s="58">
        <f t="shared" ca="1" si="9"/>
        <v>0</v>
      </c>
      <c r="AH20" s="873"/>
      <c r="AI20" s="874"/>
      <c r="AJ20" s="874"/>
      <c r="AK20" s="627">
        <v>18</v>
      </c>
      <c r="AL20" s="629">
        <f t="shared" si="6"/>
        <v>0.68232602305273149</v>
      </c>
      <c r="AM20" s="629">
        <f t="shared" si="1"/>
        <v>0.59208916753664831</v>
      </c>
      <c r="AN20" s="626" t="str">
        <f t="shared" si="2"/>
        <v>Success</v>
      </c>
      <c r="AO20" s="629" t="e">
        <f t="shared" si="4"/>
        <v>#N/A</v>
      </c>
      <c r="AP20" s="629">
        <v>0.59208916753664831</v>
      </c>
      <c r="AQ20" s="629">
        <f t="shared" ca="1" si="7"/>
        <v>0.10289633850585289</v>
      </c>
      <c r="AR20" s="326"/>
      <c r="AS20" s="326"/>
      <c r="AT20" s="326"/>
      <c r="AU20" s="326"/>
      <c r="AV20" s="326"/>
      <c r="AW20" s="326"/>
      <c r="AX20" s="326"/>
      <c r="AY20" s="326"/>
      <c r="AZ20" s="326"/>
      <c r="BA20" s="326"/>
      <c r="BB20" s="326"/>
    </row>
    <row r="21" spans="1:54" s="26" customFormat="1" ht="13.2">
      <c r="A21" s="19"/>
      <c r="B21" s="55" t="s">
        <v>796</v>
      </c>
      <c r="C21" s="58">
        <f t="shared" ref="C21:C39" si="10">IF(C20=0,0,IF(C20+1&lt;=C$17,C20+1,0))</f>
        <v>0</v>
      </c>
      <c r="D21" s="58">
        <f t="shared" ref="D21:D39" si="11">IF(D20=0,0,IF(D20+1&lt;=D$17,D20+1,0))</f>
        <v>0</v>
      </c>
      <c r="E21" s="58">
        <f t="shared" ref="E21:E39" si="12">IF(E20=0,0,IF(E20+1&lt;=E$17,E20+1,0))</f>
        <v>0</v>
      </c>
      <c r="F21" s="58">
        <f t="shared" ref="F21:F39" si="13">IF(F20=0,0,IF(F20+1&lt;=F$17,F20+1,0))</f>
        <v>2</v>
      </c>
      <c r="G21" s="58">
        <f t="shared" ref="G21:G39" si="14">IF(G20=0,0,IF(G20+1&lt;=G$17,G20+1,0))</f>
        <v>4</v>
      </c>
      <c r="H21" s="58">
        <f t="shared" ref="H21:H39" si="15">IF(H20=0,0,IF(H20+1&lt;=H$17,H20+1,0))</f>
        <v>0</v>
      </c>
      <c r="I21" s="58">
        <f t="shared" ref="I21:I39" si="16">IF(I20=0,0,IF(I20+1&lt;=I$17,I20+1,0))</f>
        <v>0</v>
      </c>
      <c r="J21" s="58">
        <f t="shared" ref="J21:J39" si="17">IF(J20=0,0,IF(J20+1&lt;=J$17,J20+1,0))</f>
        <v>7</v>
      </c>
      <c r="K21" s="58">
        <f t="shared" ref="K21:K39" si="18">IF(K20=0,0,IF(K20+1&lt;=K$17,K20+1,0))</f>
        <v>9</v>
      </c>
      <c r="L21" s="58">
        <f t="shared" ref="L21:L39" ca="1" si="19">IF(L20=0,0,IF(L20+1&lt;=L$17,L20+1,0))</f>
        <v>11</v>
      </c>
      <c r="M21" s="58">
        <f t="shared" ref="M21:M39" ca="1" si="20">IF(M20=0,0,IF(M20+1&lt;=M$17,M20+1,0))</f>
        <v>13</v>
      </c>
      <c r="N21" s="58">
        <f t="shared" ref="N21:N39" ca="1" si="21">IF(N20=0,0,IF(N20+1&lt;=N$17,N20+1,0))</f>
        <v>15</v>
      </c>
      <c r="O21" s="58">
        <f t="shared" ref="O21:O39" ca="1" si="22">IF(O20=0,0,IF(O20+1&lt;=O$17,O20+1,0))</f>
        <v>0</v>
      </c>
      <c r="P21" s="58">
        <f t="shared" ref="P21:P39" ca="1" si="23">IF(P20=0,0,IF(P20+1&lt;=P$17,P20+1,0))</f>
        <v>0</v>
      </c>
      <c r="Q21" s="58">
        <f t="shared" ref="Q21:Q39" ca="1" si="24">IF(Q20=0,0,IF(Q20+1&lt;=Q$17,Q20+1,0))</f>
        <v>0</v>
      </c>
      <c r="R21" s="58">
        <f t="shared" ref="R21:R39" ca="1" si="25">IF(R20=0,0,IF(R20+1&lt;=R$17,R20+1,0))</f>
        <v>0</v>
      </c>
      <c r="S21" s="58">
        <f t="shared" ref="S21:S39" ca="1" si="26">IF(S20=0,0,IF(S20+1&lt;=S$17,S20+1,0))</f>
        <v>0</v>
      </c>
      <c r="T21" s="58">
        <f t="shared" ref="T21:T39" ca="1" si="27">IF(T20=0,0,IF(T20+1&lt;=T$17,T20+1,0))</f>
        <v>0</v>
      </c>
      <c r="U21" s="58">
        <f t="shared" ref="U21:U39" ca="1" si="28">IF(U20=0,0,IF(U20+1&lt;=U$17,U20+1,0))</f>
        <v>0</v>
      </c>
      <c r="V21" s="58">
        <f t="shared" ref="V21:V39" ca="1" si="29">IF(V20=0,0,IF(V20+1&lt;=V$17,V20+1,0))</f>
        <v>0</v>
      </c>
      <c r="W21" s="58">
        <f t="shared" ref="W21:W39" ca="1" si="30">IF(W20=0,0,IF(W20+1&lt;=W$17,W20+1,0))</f>
        <v>0</v>
      </c>
      <c r="X21" s="58">
        <f t="shared" ref="X21:X39" ca="1" si="31">IF(X20=0,0,IF(X20+1&lt;=X$17,X20+1,0))</f>
        <v>0</v>
      </c>
      <c r="Y21" s="58">
        <f t="shared" ref="Y21:Y39" ca="1" si="32">IF(Y20=0,0,IF(Y20+1&lt;=Y$17,Y20+1,0))</f>
        <v>0</v>
      </c>
      <c r="Z21" s="58">
        <f t="shared" ref="Z21:Z39" ca="1" si="33">IF(Z20=0,0,IF(Z20+1&lt;=Z$17,Z20+1,0))</f>
        <v>0</v>
      </c>
      <c r="AA21" s="58">
        <f t="shared" ref="AA21:AA39" ca="1" si="34">IF(AA20=0,0,IF(AA20+1&lt;=AA$17,AA20+1,0))</f>
        <v>0</v>
      </c>
      <c r="AB21" s="58">
        <f t="shared" ref="AB21:AB39" ca="1" si="35">IF(AB20=0,0,IF(AB20+1&lt;=AB$17,AB20+1,0))</f>
        <v>0</v>
      </c>
      <c r="AC21" s="58">
        <f t="shared" ref="AC21:AC39" ca="1" si="36">IF(AC20=0,0,IF(AC20+1&lt;=AC$17,AC20+1,0))</f>
        <v>0</v>
      </c>
      <c r="AD21" s="58">
        <f t="shared" ref="AD21:AD39" ca="1" si="37">IF(AD20=0,0,IF(AD20+1&lt;=AD$17,AD20+1,0))</f>
        <v>0</v>
      </c>
      <c r="AE21" s="58">
        <f t="shared" ref="AE21:AE39" ca="1" si="38">IF(AE20=0,0,IF(AE20+1&lt;=AE$17,AE20+1,0))</f>
        <v>0</v>
      </c>
      <c r="AF21" s="58">
        <f t="shared" ref="AF21:AF39" ca="1" si="39">IF(AF20=0,0,IF(AF20+1&lt;=AF$17,AF20+1,0))</f>
        <v>0</v>
      </c>
      <c r="AG21" s="58">
        <f t="shared" ref="AG21:AG39" ca="1" si="40">IF(AG20=0,0,IF(AG20+1&lt;=AG$17,AG20+1,0))</f>
        <v>0</v>
      </c>
      <c r="AH21" s="873"/>
      <c r="AI21" s="874"/>
      <c r="AJ21" s="874"/>
      <c r="AK21" s="627">
        <v>19</v>
      </c>
      <c r="AL21" s="629">
        <f t="shared" si="6"/>
        <v>0.68611072854165078</v>
      </c>
      <c r="AM21" s="629">
        <f t="shared" si="1"/>
        <v>0.71706238343553275</v>
      </c>
      <c r="AN21" s="626" t="str">
        <f t="shared" si="2"/>
        <v>Failure</v>
      </c>
      <c r="AO21" s="629">
        <f t="shared" si="4"/>
        <v>0.68611072854165078</v>
      </c>
      <c r="AP21" s="629">
        <v>0.71706238343553275</v>
      </c>
      <c r="AQ21" s="629">
        <f t="shared" ca="1" si="7"/>
        <v>0.18033504228601149</v>
      </c>
      <c r="AR21" s="326"/>
      <c r="AS21" s="326"/>
      <c r="AT21" s="326"/>
      <c r="AU21" s="326"/>
      <c r="AV21" s="326"/>
      <c r="AW21" s="326"/>
      <c r="AX21" s="326"/>
      <c r="AY21" s="326"/>
      <c r="AZ21" s="326"/>
      <c r="BA21" s="326"/>
      <c r="BB21" s="326"/>
    </row>
    <row r="22" spans="1:54" s="26" customFormat="1" ht="13.2">
      <c r="A22" s="19"/>
      <c r="B22" s="55" t="s">
        <v>797</v>
      </c>
      <c r="C22" s="58">
        <f t="shared" si="10"/>
        <v>0</v>
      </c>
      <c r="D22" s="58">
        <f t="shared" si="11"/>
        <v>0</v>
      </c>
      <c r="E22" s="58">
        <f t="shared" si="12"/>
        <v>0</v>
      </c>
      <c r="F22" s="58">
        <f t="shared" si="13"/>
        <v>0</v>
      </c>
      <c r="G22" s="58">
        <f t="shared" si="14"/>
        <v>0</v>
      </c>
      <c r="H22" s="58">
        <f t="shared" si="15"/>
        <v>0</v>
      </c>
      <c r="I22" s="58">
        <f t="shared" si="16"/>
        <v>0</v>
      </c>
      <c r="J22" s="58">
        <f t="shared" si="17"/>
        <v>0</v>
      </c>
      <c r="K22" s="58">
        <f t="shared" si="18"/>
        <v>0</v>
      </c>
      <c r="L22" s="58">
        <f t="shared" ca="1" si="19"/>
        <v>0</v>
      </c>
      <c r="M22" s="58">
        <f t="shared" ca="1" si="20"/>
        <v>0</v>
      </c>
      <c r="N22" s="58">
        <f t="shared" ca="1" si="21"/>
        <v>0</v>
      </c>
      <c r="O22" s="58">
        <f t="shared" ca="1" si="22"/>
        <v>0</v>
      </c>
      <c r="P22" s="58">
        <f t="shared" ca="1" si="23"/>
        <v>0</v>
      </c>
      <c r="Q22" s="58">
        <f t="shared" ca="1" si="24"/>
        <v>0</v>
      </c>
      <c r="R22" s="58">
        <f t="shared" ca="1" si="25"/>
        <v>0</v>
      </c>
      <c r="S22" s="58">
        <f t="shared" ca="1" si="26"/>
        <v>0</v>
      </c>
      <c r="T22" s="58">
        <f t="shared" ca="1" si="27"/>
        <v>0</v>
      </c>
      <c r="U22" s="58">
        <f t="shared" ca="1" si="28"/>
        <v>0</v>
      </c>
      <c r="V22" s="58">
        <f t="shared" ca="1" si="29"/>
        <v>0</v>
      </c>
      <c r="W22" s="58">
        <f t="shared" ca="1" si="30"/>
        <v>0</v>
      </c>
      <c r="X22" s="58">
        <f t="shared" ca="1" si="31"/>
        <v>0</v>
      </c>
      <c r="Y22" s="58">
        <f t="shared" ca="1" si="32"/>
        <v>0</v>
      </c>
      <c r="Z22" s="58">
        <f t="shared" ca="1" si="33"/>
        <v>0</v>
      </c>
      <c r="AA22" s="58">
        <f t="shared" ca="1" si="34"/>
        <v>0</v>
      </c>
      <c r="AB22" s="58">
        <f t="shared" ca="1" si="35"/>
        <v>0</v>
      </c>
      <c r="AC22" s="58">
        <f t="shared" ca="1" si="36"/>
        <v>0</v>
      </c>
      <c r="AD22" s="58">
        <f t="shared" ca="1" si="37"/>
        <v>0</v>
      </c>
      <c r="AE22" s="58">
        <f t="shared" ca="1" si="38"/>
        <v>0</v>
      </c>
      <c r="AF22" s="58">
        <f t="shared" ca="1" si="39"/>
        <v>0</v>
      </c>
      <c r="AG22" s="58">
        <f t="shared" ca="1" si="40"/>
        <v>0</v>
      </c>
      <c r="AH22" s="874"/>
      <c r="AI22" s="874"/>
      <c r="AJ22" s="874"/>
      <c r="AK22" s="627">
        <v>20</v>
      </c>
      <c r="AL22" s="629">
        <f t="shared" si="6"/>
        <v>0.68970125914877933</v>
      </c>
      <c r="AM22" s="629">
        <f t="shared" si="1"/>
        <v>0.62697372689426389</v>
      </c>
      <c r="AN22" s="626" t="str">
        <f t="shared" si="2"/>
        <v>Success</v>
      </c>
      <c r="AO22" s="629" t="e">
        <f t="shared" si="4"/>
        <v>#N/A</v>
      </c>
      <c r="AP22" s="629">
        <v>0.62697372689426389</v>
      </c>
      <c r="AQ22" s="629">
        <f t="shared" ca="1" si="7"/>
        <v>0.14657564205450135</v>
      </c>
      <c r="AR22" s="326"/>
      <c r="AS22" s="326"/>
      <c r="AT22" s="326"/>
      <c r="AU22" s="326"/>
      <c r="AV22" s="326"/>
      <c r="AW22" s="326"/>
      <c r="AX22" s="326"/>
      <c r="AY22" s="326"/>
      <c r="AZ22" s="326"/>
      <c r="BA22" s="326"/>
      <c r="BB22" s="326"/>
    </row>
    <row r="23" spans="1:54" s="26" customFormat="1" ht="13.2">
      <c r="A23" s="19"/>
      <c r="B23" s="55" t="s">
        <v>798</v>
      </c>
      <c r="C23" s="58">
        <f t="shared" si="10"/>
        <v>0</v>
      </c>
      <c r="D23" s="58">
        <f t="shared" si="11"/>
        <v>0</v>
      </c>
      <c r="E23" s="58">
        <f t="shared" si="12"/>
        <v>0</v>
      </c>
      <c r="F23" s="58">
        <f t="shared" si="13"/>
        <v>0</v>
      </c>
      <c r="G23" s="58">
        <f t="shared" si="14"/>
        <v>0</v>
      </c>
      <c r="H23" s="58">
        <f t="shared" si="15"/>
        <v>0</v>
      </c>
      <c r="I23" s="58">
        <f t="shared" si="16"/>
        <v>0</v>
      </c>
      <c r="J23" s="58">
        <f t="shared" si="17"/>
        <v>0</v>
      </c>
      <c r="K23" s="58">
        <f t="shared" si="18"/>
        <v>0</v>
      </c>
      <c r="L23" s="58">
        <f t="shared" ca="1" si="19"/>
        <v>0</v>
      </c>
      <c r="M23" s="58">
        <f t="shared" ca="1" si="20"/>
        <v>0</v>
      </c>
      <c r="N23" s="58">
        <f t="shared" ca="1" si="21"/>
        <v>0</v>
      </c>
      <c r="O23" s="58">
        <f t="shared" ca="1" si="22"/>
        <v>0</v>
      </c>
      <c r="P23" s="58">
        <f t="shared" ca="1" si="23"/>
        <v>0</v>
      </c>
      <c r="Q23" s="58">
        <f t="shared" ca="1" si="24"/>
        <v>0</v>
      </c>
      <c r="R23" s="58">
        <f t="shared" ca="1" si="25"/>
        <v>0</v>
      </c>
      <c r="S23" s="58">
        <f t="shared" ca="1" si="26"/>
        <v>0</v>
      </c>
      <c r="T23" s="58">
        <f t="shared" ca="1" si="27"/>
        <v>0</v>
      </c>
      <c r="U23" s="58">
        <f t="shared" ca="1" si="28"/>
        <v>0</v>
      </c>
      <c r="V23" s="58">
        <f t="shared" ca="1" si="29"/>
        <v>0</v>
      </c>
      <c r="W23" s="58">
        <f t="shared" ca="1" si="30"/>
        <v>0</v>
      </c>
      <c r="X23" s="58">
        <f t="shared" ca="1" si="31"/>
        <v>0</v>
      </c>
      <c r="Y23" s="58">
        <f t="shared" ca="1" si="32"/>
        <v>0</v>
      </c>
      <c r="Z23" s="58">
        <f t="shared" ca="1" si="33"/>
        <v>0</v>
      </c>
      <c r="AA23" s="58">
        <f t="shared" ca="1" si="34"/>
        <v>0</v>
      </c>
      <c r="AB23" s="58">
        <f t="shared" ca="1" si="35"/>
        <v>0</v>
      </c>
      <c r="AC23" s="58">
        <f t="shared" ca="1" si="36"/>
        <v>0</v>
      </c>
      <c r="AD23" s="58">
        <f t="shared" ca="1" si="37"/>
        <v>0</v>
      </c>
      <c r="AE23" s="58">
        <f t="shared" ca="1" si="38"/>
        <v>0</v>
      </c>
      <c r="AF23" s="58">
        <f t="shared" ca="1" si="39"/>
        <v>0</v>
      </c>
      <c r="AG23" s="58">
        <f t="shared" ca="1" si="40"/>
        <v>0</v>
      </c>
      <c r="AH23" s="874"/>
      <c r="AI23" s="874"/>
      <c r="AJ23" s="874"/>
      <c r="AK23" s="627">
        <v>21</v>
      </c>
      <c r="AL23" s="629">
        <f t="shared" si="6"/>
        <v>0.69311657064063958</v>
      </c>
      <c r="AM23" s="629">
        <f t="shared" si="1"/>
        <v>0.32446397489133405</v>
      </c>
      <c r="AN23" s="626" t="str">
        <f t="shared" si="2"/>
        <v>Success</v>
      </c>
      <c r="AO23" s="629" t="e">
        <f t="shared" si="4"/>
        <v>#N/A</v>
      </c>
      <c r="AP23" s="629">
        <v>0.32446397489133405</v>
      </c>
      <c r="AQ23" s="629">
        <f t="shared" ca="1" si="7"/>
        <v>0.64798565984035728</v>
      </c>
      <c r="AR23" s="326"/>
      <c r="AS23" s="326"/>
      <c r="AT23" s="326"/>
      <c r="AU23" s="326"/>
      <c r="AV23" s="326"/>
      <c r="AW23" s="326"/>
      <c r="AX23" s="326"/>
      <c r="AY23" s="326"/>
      <c r="AZ23" s="326"/>
      <c r="BA23" s="326"/>
      <c r="BB23" s="326"/>
    </row>
    <row r="24" spans="1:54" s="26" customFormat="1" ht="13.2">
      <c r="A24" s="19"/>
      <c r="B24" s="55" t="s">
        <v>799</v>
      </c>
      <c r="C24" s="58">
        <f t="shared" si="10"/>
        <v>0</v>
      </c>
      <c r="D24" s="58">
        <f t="shared" si="11"/>
        <v>0</v>
      </c>
      <c r="E24" s="58">
        <f t="shared" si="12"/>
        <v>0</v>
      </c>
      <c r="F24" s="58">
        <f t="shared" si="13"/>
        <v>0</v>
      </c>
      <c r="G24" s="58">
        <f t="shared" si="14"/>
        <v>0</v>
      </c>
      <c r="H24" s="58">
        <f t="shared" si="15"/>
        <v>0</v>
      </c>
      <c r="I24" s="58">
        <f t="shared" si="16"/>
        <v>0</v>
      </c>
      <c r="J24" s="58">
        <f t="shared" si="17"/>
        <v>0</v>
      </c>
      <c r="K24" s="58">
        <f t="shared" si="18"/>
        <v>0</v>
      </c>
      <c r="L24" s="58">
        <f t="shared" ca="1" si="19"/>
        <v>0</v>
      </c>
      <c r="M24" s="58">
        <f t="shared" ca="1" si="20"/>
        <v>0</v>
      </c>
      <c r="N24" s="58">
        <f t="shared" ca="1" si="21"/>
        <v>0</v>
      </c>
      <c r="O24" s="58">
        <f t="shared" ca="1" si="22"/>
        <v>0</v>
      </c>
      <c r="P24" s="58">
        <f t="shared" ca="1" si="23"/>
        <v>0</v>
      </c>
      <c r="Q24" s="58">
        <f t="shared" ca="1" si="24"/>
        <v>0</v>
      </c>
      <c r="R24" s="58">
        <f t="shared" ca="1" si="25"/>
        <v>0</v>
      </c>
      <c r="S24" s="58">
        <f t="shared" ca="1" si="26"/>
        <v>0</v>
      </c>
      <c r="T24" s="58">
        <f t="shared" ca="1" si="27"/>
        <v>0</v>
      </c>
      <c r="U24" s="58">
        <f t="shared" ca="1" si="28"/>
        <v>0</v>
      </c>
      <c r="V24" s="58">
        <f t="shared" ca="1" si="29"/>
        <v>0</v>
      </c>
      <c r="W24" s="58">
        <f t="shared" ca="1" si="30"/>
        <v>0</v>
      </c>
      <c r="X24" s="58">
        <f t="shared" ca="1" si="31"/>
        <v>0</v>
      </c>
      <c r="Y24" s="58">
        <f t="shared" ca="1" si="32"/>
        <v>0</v>
      </c>
      <c r="Z24" s="58">
        <f t="shared" ca="1" si="33"/>
        <v>0</v>
      </c>
      <c r="AA24" s="58">
        <f t="shared" ca="1" si="34"/>
        <v>0</v>
      </c>
      <c r="AB24" s="58">
        <f t="shared" ca="1" si="35"/>
        <v>0</v>
      </c>
      <c r="AC24" s="58">
        <f t="shared" ca="1" si="36"/>
        <v>0</v>
      </c>
      <c r="AD24" s="58">
        <f t="shared" ca="1" si="37"/>
        <v>0</v>
      </c>
      <c r="AE24" s="58">
        <f t="shared" ca="1" si="38"/>
        <v>0</v>
      </c>
      <c r="AF24" s="58">
        <f t="shared" ca="1" si="39"/>
        <v>0</v>
      </c>
      <c r="AG24" s="58">
        <f t="shared" ca="1" si="40"/>
        <v>0</v>
      </c>
      <c r="AH24" s="873"/>
      <c r="AI24" s="874"/>
      <c r="AJ24" s="874"/>
      <c r="AK24" s="627">
        <v>22</v>
      </c>
      <c r="AL24" s="629">
        <f t="shared" si="6"/>
        <v>0.69637297173508217</v>
      </c>
      <c r="AM24" s="629">
        <f t="shared" si="1"/>
        <v>0.64537425005391735</v>
      </c>
      <c r="AN24" s="626" t="str">
        <f t="shared" si="2"/>
        <v>Success</v>
      </c>
      <c r="AO24" s="629" t="e">
        <f t="shared" si="4"/>
        <v>#N/A</v>
      </c>
      <c r="AP24" s="629">
        <v>0.64537425005391735</v>
      </c>
      <c r="AQ24" s="629">
        <f t="shared" ca="1" si="7"/>
        <v>0.29234551829994437</v>
      </c>
      <c r="AR24" s="326"/>
      <c r="AS24" s="326"/>
      <c r="AT24" s="326"/>
      <c r="AU24" s="326"/>
      <c r="AV24" s="326"/>
      <c r="AW24" s="326"/>
      <c r="AX24" s="326"/>
      <c r="AY24" s="326"/>
      <c r="AZ24" s="326"/>
      <c r="BA24" s="326"/>
      <c r="BB24" s="326"/>
    </row>
    <row r="25" spans="1:54" s="26" customFormat="1" ht="13.2">
      <c r="A25" s="19"/>
      <c r="B25" s="55" t="s">
        <v>800</v>
      </c>
      <c r="C25" s="58">
        <f t="shared" si="10"/>
        <v>0</v>
      </c>
      <c r="D25" s="58">
        <f t="shared" si="11"/>
        <v>0</v>
      </c>
      <c r="E25" s="58">
        <f t="shared" si="12"/>
        <v>0</v>
      </c>
      <c r="F25" s="58">
        <f t="shared" si="13"/>
        <v>0</v>
      </c>
      <c r="G25" s="58">
        <f t="shared" si="14"/>
        <v>0</v>
      </c>
      <c r="H25" s="58">
        <f t="shared" si="15"/>
        <v>0</v>
      </c>
      <c r="I25" s="58">
        <f t="shared" si="16"/>
        <v>0</v>
      </c>
      <c r="J25" s="58">
        <f t="shared" si="17"/>
        <v>0</v>
      </c>
      <c r="K25" s="58">
        <f t="shared" si="18"/>
        <v>0</v>
      </c>
      <c r="L25" s="58">
        <f t="shared" ca="1" si="19"/>
        <v>0</v>
      </c>
      <c r="M25" s="58">
        <f t="shared" ca="1" si="20"/>
        <v>0</v>
      </c>
      <c r="N25" s="58">
        <f t="shared" ca="1" si="21"/>
        <v>0</v>
      </c>
      <c r="O25" s="58">
        <f t="shared" ca="1" si="22"/>
        <v>0</v>
      </c>
      <c r="P25" s="58">
        <f t="shared" ca="1" si="23"/>
        <v>0</v>
      </c>
      <c r="Q25" s="58">
        <f t="shared" ca="1" si="24"/>
        <v>0</v>
      </c>
      <c r="R25" s="58">
        <f t="shared" ca="1" si="25"/>
        <v>0</v>
      </c>
      <c r="S25" s="58">
        <f t="shared" ca="1" si="26"/>
        <v>0</v>
      </c>
      <c r="T25" s="58">
        <f t="shared" ca="1" si="27"/>
        <v>0</v>
      </c>
      <c r="U25" s="58">
        <f t="shared" ca="1" si="28"/>
        <v>0</v>
      </c>
      <c r="V25" s="58">
        <f t="shared" ca="1" si="29"/>
        <v>0</v>
      </c>
      <c r="W25" s="58">
        <f t="shared" ca="1" si="30"/>
        <v>0</v>
      </c>
      <c r="X25" s="58">
        <f t="shared" ca="1" si="31"/>
        <v>0</v>
      </c>
      <c r="Y25" s="58">
        <f t="shared" ca="1" si="32"/>
        <v>0</v>
      </c>
      <c r="Z25" s="58">
        <f t="shared" ca="1" si="33"/>
        <v>0</v>
      </c>
      <c r="AA25" s="58">
        <f t="shared" ca="1" si="34"/>
        <v>0</v>
      </c>
      <c r="AB25" s="58">
        <f t="shared" ca="1" si="35"/>
        <v>0</v>
      </c>
      <c r="AC25" s="58">
        <f t="shared" ca="1" si="36"/>
        <v>0</v>
      </c>
      <c r="AD25" s="58">
        <f t="shared" ca="1" si="37"/>
        <v>0</v>
      </c>
      <c r="AE25" s="58">
        <f t="shared" ca="1" si="38"/>
        <v>0</v>
      </c>
      <c r="AF25" s="58">
        <f t="shared" ca="1" si="39"/>
        <v>0</v>
      </c>
      <c r="AG25" s="58">
        <f t="shared" ca="1" si="40"/>
        <v>0</v>
      </c>
      <c r="AH25" s="873"/>
      <c r="AI25" s="874"/>
      <c r="AJ25" s="874"/>
      <c r="AK25" s="627">
        <v>23</v>
      </c>
      <c r="AL25" s="629">
        <f t="shared" si="6"/>
        <v>0.69948459511504046</v>
      </c>
      <c r="AM25" s="629">
        <f t="shared" si="1"/>
        <v>0.41966145224809226</v>
      </c>
      <c r="AN25" s="626" t="str">
        <f t="shared" si="2"/>
        <v>Success</v>
      </c>
      <c r="AO25" s="629" t="e">
        <f t="shared" si="4"/>
        <v>#N/A</v>
      </c>
      <c r="AP25" s="629">
        <v>0.41966145224809226</v>
      </c>
      <c r="AQ25" s="629">
        <f t="shared" ca="1" si="7"/>
        <v>0.76945264408849667</v>
      </c>
      <c r="AR25" s="326"/>
      <c r="AS25" s="326"/>
      <c r="AT25" s="326"/>
      <c r="AU25" s="326"/>
      <c r="AV25" s="326"/>
      <c r="AW25" s="326"/>
      <c r="AX25" s="326"/>
      <c r="AY25" s="326"/>
      <c r="AZ25" s="326"/>
      <c r="BA25" s="326"/>
      <c r="BB25" s="326"/>
    </row>
    <row r="26" spans="1:54" s="26" customFormat="1" ht="13.2">
      <c r="A26" s="19"/>
      <c r="B26" s="55" t="s">
        <v>801</v>
      </c>
      <c r="C26" s="58">
        <f t="shared" si="10"/>
        <v>0</v>
      </c>
      <c r="D26" s="58">
        <f t="shared" si="11"/>
        <v>0</v>
      </c>
      <c r="E26" s="58">
        <f t="shared" si="12"/>
        <v>0</v>
      </c>
      <c r="F26" s="58">
        <f t="shared" si="13"/>
        <v>0</v>
      </c>
      <c r="G26" s="58">
        <f t="shared" si="14"/>
        <v>0</v>
      </c>
      <c r="H26" s="58">
        <f t="shared" si="15"/>
        <v>0</v>
      </c>
      <c r="I26" s="58">
        <f t="shared" si="16"/>
        <v>0</v>
      </c>
      <c r="J26" s="58">
        <f t="shared" si="17"/>
        <v>0</v>
      </c>
      <c r="K26" s="58">
        <f t="shared" si="18"/>
        <v>0</v>
      </c>
      <c r="L26" s="58">
        <f t="shared" ca="1" si="19"/>
        <v>0</v>
      </c>
      <c r="M26" s="58">
        <f t="shared" ca="1" si="20"/>
        <v>0</v>
      </c>
      <c r="N26" s="58">
        <f t="shared" ca="1" si="21"/>
        <v>0</v>
      </c>
      <c r="O26" s="58">
        <f t="shared" ca="1" si="22"/>
        <v>0</v>
      </c>
      <c r="P26" s="58">
        <f t="shared" ca="1" si="23"/>
        <v>0</v>
      </c>
      <c r="Q26" s="58">
        <f t="shared" ca="1" si="24"/>
        <v>0</v>
      </c>
      <c r="R26" s="58">
        <f t="shared" ca="1" si="25"/>
        <v>0</v>
      </c>
      <c r="S26" s="58">
        <f t="shared" ca="1" si="26"/>
        <v>0</v>
      </c>
      <c r="T26" s="58">
        <f t="shared" ca="1" si="27"/>
        <v>0</v>
      </c>
      <c r="U26" s="58">
        <f t="shared" ca="1" si="28"/>
        <v>0</v>
      </c>
      <c r="V26" s="58">
        <f t="shared" ca="1" si="29"/>
        <v>0</v>
      </c>
      <c r="W26" s="58">
        <f t="shared" ca="1" si="30"/>
        <v>0</v>
      </c>
      <c r="X26" s="58">
        <f t="shared" ca="1" si="31"/>
        <v>0</v>
      </c>
      <c r="Y26" s="58">
        <f t="shared" ca="1" si="32"/>
        <v>0</v>
      </c>
      <c r="Z26" s="58">
        <f t="shared" ca="1" si="33"/>
        <v>0</v>
      </c>
      <c r="AA26" s="58">
        <f t="shared" ca="1" si="34"/>
        <v>0</v>
      </c>
      <c r="AB26" s="58">
        <f t="shared" ca="1" si="35"/>
        <v>0</v>
      </c>
      <c r="AC26" s="58">
        <f t="shared" ca="1" si="36"/>
        <v>0</v>
      </c>
      <c r="AD26" s="58">
        <f t="shared" ca="1" si="37"/>
        <v>0</v>
      </c>
      <c r="AE26" s="58">
        <f t="shared" ca="1" si="38"/>
        <v>0</v>
      </c>
      <c r="AF26" s="58">
        <f t="shared" ca="1" si="39"/>
        <v>0</v>
      </c>
      <c r="AG26" s="58">
        <f t="shared" ca="1" si="40"/>
        <v>0</v>
      </c>
      <c r="AH26" s="873"/>
      <c r="AI26" s="874"/>
      <c r="AJ26" s="874"/>
      <c r="AK26" s="627">
        <v>24</v>
      </c>
      <c r="AL26" s="629">
        <f t="shared" si="6"/>
        <v>0.70246376812435618</v>
      </c>
      <c r="AM26" s="629">
        <f t="shared" si="1"/>
        <v>0.95982492583681245</v>
      </c>
      <c r="AN26" s="626" t="str">
        <f t="shared" si="2"/>
        <v>Failure</v>
      </c>
      <c r="AO26" s="629">
        <f t="shared" si="4"/>
        <v>0.70246376812435618</v>
      </c>
      <c r="AP26" s="629">
        <v>0.95982492583681245</v>
      </c>
      <c r="AQ26" s="629">
        <f t="shared" ca="1" si="7"/>
        <v>0.47646991187095589</v>
      </c>
      <c r="AR26" s="326"/>
      <c r="AS26" s="326"/>
      <c r="AT26" s="326"/>
      <c r="AU26" s="326"/>
      <c r="AV26" s="326"/>
      <c r="AW26" s="326"/>
      <c r="AX26" s="326"/>
      <c r="AY26" s="326"/>
      <c r="AZ26" s="326"/>
      <c r="BA26" s="326"/>
      <c r="BB26" s="326"/>
    </row>
    <row r="27" spans="1:54" s="26" customFormat="1" ht="13.2">
      <c r="A27" s="19"/>
      <c r="B27" s="55" t="s">
        <v>802</v>
      </c>
      <c r="C27" s="58">
        <f t="shared" si="10"/>
        <v>0</v>
      </c>
      <c r="D27" s="58">
        <f t="shared" si="11"/>
        <v>0</v>
      </c>
      <c r="E27" s="58">
        <f t="shared" si="12"/>
        <v>0</v>
      </c>
      <c r="F27" s="58">
        <f t="shared" si="13"/>
        <v>0</v>
      </c>
      <c r="G27" s="58">
        <f t="shared" si="14"/>
        <v>0</v>
      </c>
      <c r="H27" s="58">
        <f t="shared" si="15"/>
        <v>0</v>
      </c>
      <c r="I27" s="58">
        <f t="shared" si="16"/>
        <v>0</v>
      </c>
      <c r="J27" s="58">
        <f t="shared" si="17"/>
        <v>0</v>
      </c>
      <c r="K27" s="58">
        <f t="shared" si="18"/>
        <v>0</v>
      </c>
      <c r="L27" s="58">
        <f t="shared" ca="1" si="19"/>
        <v>0</v>
      </c>
      <c r="M27" s="58">
        <f t="shared" ca="1" si="20"/>
        <v>0</v>
      </c>
      <c r="N27" s="58">
        <f t="shared" ca="1" si="21"/>
        <v>0</v>
      </c>
      <c r="O27" s="58">
        <f t="shared" ca="1" si="22"/>
        <v>0</v>
      </c>
      <c r="P27" s="58">
        <f t="shared" ca="1" si="23"/>
        <v>0</v>
      </c>
      <c r="Q27" s="58">
        <f t="shared" ca="1" si="24"/>
        <v>0</v>
      </c>
      <c r="R27" s="58">
        <f t="shared" ca="1" si="25"/>
        <v>0</v>
      </c>
      <c r="S27" s="58">
        <f t="shared" ca="1" si="26"/>
        <v>0</v>
      </c>
      <c r="T27" s="58">
        <f t="shared" ca="1" si="27"/>
        <v>0</v>
      </c>
      <c r="U27" s="58">
        <f t="shared" ca="1" si="28"/>
        <v>0</v>
      </c>
      <c r="V27" s="58">
        <f t="shared" ca="1" si="29"/>
        <v>0</v>
      </c>
      <c r="W27" s="58">
        <f t="shared" ca="1" si="30"/>
        <v>0</v>
      </c>
      <c r="X27" s="58">
        <f t="shared" ca="1" si="31"/>
        <v>0</v>
      </c>
      <c r="Y27" s="58">
        <f t="shared" ca="1" si="32"/>
        <v>0</v>
      </c>
      <c r="Z27" s="58">
        <f t="shared" ca="1" si="33"/>
        <v>0</v>
      </c>
      <c r="AA27" s="58">
        <f t="shared" ca="1" si="34"/>
        <v>0</v>
      </c>
      <c r="AB27" s="58">
        <f t="shared" ca="1" si="35"/>
        <v>0</v>
      </c>
      <c r="AC27" s="58">
        <f t="shared" ca="1" si="36"/>
        <v>0</v>
      </c>
      <c r="AD27" s="58">
        <f t="shared" ca="1" si="37"/>
        <v>0</v>
      </c>
      <c r="AE27" s="58">
        <f t="shared" ca="1" si="38"/>
        <v>0</v>
      </c>
      <c r="AF27" s="58">
        <f t="shared" ca="1" si="39"/>
        <v>0</v>
      </c>
      <c r="AG27" s="58">
        <f t="shared" ca="1" si="40"/>
        <v>0</v>
      </c>
      <c r="AH27" s="873"/>
      <c r="AI27" s="874"/>
      <c r="AJ27" s="874"/>
      <c r="AK27" s="627">
        <v>25</v>
      </c>
      <c r="AL27" s="629">
        <f t="shared" si="6"/>
        <v>0.70532130774077406</v>
      </c>
      <c r="AM27" s="629">
        <f t="shared" si="1"/>
        <v>0.64974502884676921</v>
      </c>
      <c r="AN27" s="626" t="str">
        <f t="shared" si="2"/>
        <v>Success</v>
      </c>
      <c r="AO27" s="629" t="e">
        <f t="shared" si="4"/>
        <v>#N/A</v>
      </c>
      <c r="AP27" s="629">
        <v>0.64974502884676921</v>
      </c>
      <c r="AQ27" s="629">
        <f t="shared" ca="1" si="7"/>
        <v>0.82711511007603833</v>
      </c>
      <c r="AR27" s="326"/>
      <c r="AS27" s="326"/>
      <c r="AT27" s="326"/>
      <c r="AU27" s="326"/>
      <c r="AV27" s="326"/>
      <c r="AW27" s="326"/>
      <c r="AX27" s="326"/>
      <c r="AY27" s="326"/>
      <c r="AZ27" s="326"/>
      <c r="BA27" s="326"/>
      <c r="BB27" s="326"/>
    </row>
    <row r="28" spans="1:54" s="68" customFormat="1" ht="13.2">
      <c r="A28" s="19"/>
      <c r="B28" s="55" t="s">
        <v>803</v>
      </c>
      <c r="C28" s="58">
        <f t="shared" si="10"/>
        <v>0</v>
      </c>
      <c r="D28" s="58">
        <f t="shared" si="11"/>
        <v>0</v>
      </c>
      <c r="E28" s="58">
        <f t="shared" si="12"/>
        <v>0</v>
      </c>
      <c r="F28" s="58">
        <f t="shared" si="13"/>
        <v>0</v>
      </c>
      <c r="G28" s="58">
        <f t="shared" si="14"/>
        <v>0</v>
      </c>
      <c r="H28" s="58">
        <f t="shared" si="15"/>
        <v>0</v>
      </c>
      <c r="I28" s="58">
        <f t="shared" si="16"/>
        <v>0</v>
      </c>
      <c r="J28" s="58">
        <f t="shared" si="17"/>
        <v>0</v>
      </c>
      <c r="K28" s="58">
        <f t="shared" si="18"/>
        <v>0</v>
      </c>
      <c r="L28" s="58">
        <f t="shared" ca="1" si="19"/>
        <v>0</v>
      </c>
      <c r="M28" s="58">
        <f t="shared" ca="1" si="20"/>
        <v>0</v>
      </c>
      <c r="N28" s="58">
        <f t="shared" ca="1" si="21"/>
        <v>0</v>
      </c>
      <c r="O28" s="58">
        <f t="shared" ca="1" si="22"/>
        <v>0</v>
      </c>
      <c r="P28" s="58">
        <f t="shared" ca="1" si="23"/>
        <v>0</v>
      </c>
      <c r="Q28" s="58">
        <f t="shared" ca="1" si="24"/>
        <v>0</v>
      </c>
      <c r="R28" s="58">
        <f t="shared" ca="1" si="25"/>
        <v>0</v>
      </c>
      <c r="S28" s="58">
        <f t="shared" ca="1" si="26"/>
        <v>0</v>
      </c>
      <c r="T28" s="58">
        <f t="shared" ca="1" si="27"/>
        <v>0</v>
      </c>
      <c r="U28" s="58">
        <f t="shared" ca="1" si="28"/>
        <v>0</v>
      </c>
      <c r="V28" s="58">
        <f t="shared" ca="1" si="29"/>
        <v>0</v>
      </c>
      <c r="W28" s="58">
        <f t="shared" ca="1" si="30"/>
        <v>0</v>
      </c>
      <c r="X28" s="58">
        <f t="shared" ca="1" si="31"/>
        <v>0</v>
      </c>
      <c r="Y28" s="58">
        <f t="shared" ca="1" si="32"/>
        <v>0</v>
      </c>
      <c r="Z28" s="58">
        <f t="shared" ca="1" si="33"/>
        <v>0</v>
      </c>
      <c r="AA28" s="58">
        <f t="shared" ca="1" si="34"/>
        <v>0</v>
      </c>
      <c r="AB28" s="58">
        <f t="shared" ca="1" si="35"/>
        <v>0</v>
      </c>
      <c r="AC28" s="58">
        <f t="shared" ca="1" si="36"/>
        <v>0</v>
      </c>
      <c r="AD28" s="58">
        <f t="shared" ca="1" si="37"/>
        <v>0</v>
      </c>
      <c r="AE28" s="58">
        <f t="shared" ca="1" si="38"/>
        <v>0</v>
      </c>
      <c r="AF28" s="58">
        <f t="shared" ca="1" si="39"/>
        <v>0</v>
      </c>
      <c r="AG28" s="58">
        <f t="shared" ca="1" si="40"/>
        <v>0</v>
      </c>
      <c r="AH28" s="873"/>
      <c r="AI28" s="874"/>
      <c r="AJ28" s="874"/>
      <c r="AK28" s="627">
        <v>26</v>
      </c>
      <c r="AL28" s="629">
        <f t="shared" si="6"/>
        <v>0.70806675766150373</v>
      </c>
      <c r="AM28" s="629">
        <f t="shared" si="1"/>
        <v>0.77997266560388523</v>
      </c>
      <c r="AN28" s="626" t="str">
        <f t="shared" si="2"/>
        <v>Failure</v>
      </c>
      <c r="AO28" s="629">
        <f t="shared" si="4"/>
        <v>0.70806675766150373</v>
      </c>
      <c r="AP28" s="629">
        <v>0.77997266560388523</v>
      </c>
      <c r="AQ28" s="629">
        <f t="shared" ca="1" si="7"/>
        <v>0.29673945264749346</v>
      </c>
      <c r="AR28" s="326"/>
      <c r="AS28" s="326"/>
      <c r="AT28" s="326"/>
      <c r="AU28" s="326"/>
      <c r="AV28" s="326"/>
      <c r="AW28" s="326"/>
      <c r="AX28" s="326"/>
      <c r="AY28" s="326"/>
      <c r="AZ28" s="326"/>
      <c r="BA28" s="326"/>
      <c r="BB28" s="326"/>
    </row>
    <row r="29" spans="1:54" s="68" customFormat="1" ht="13.2">
      <c r="A29" s="19"/>
      <c r="B29" s="55" t="s">
        <v>804</v>
      </c>
      <c r="C29" s="58">
        <f t="shared" si="10"/>
        <v>0</v>
      </c>
      <c r="D29" s="58">
        <f t="shared" si="11"/>
        <v>0</v>
      </c>
      <c r="E29" s="58">
        <f t="shared" si="12"/>
        <v>0</v>
      </c>
      <c r="F29" s="58">
        <f t="shared" si="13"/>
        <v>0</v>
      </c>
      <c r="G29" s="58">
        <f t="shared" si="14"/>
        <v>0</v>
      </c>
      <c r="H29" s="58">
        <f t="shared" si="15"/>
        <v>0</v>
      </c>
      <c r="I29" s="58">
        <f t="shared" si="16"/>
        <v>0</v>
      </c>
      <c r="J29" s="58">
        <f t="shared" si="17"/>
        <v>0</v>
      </c>
      <c r="K29" s="58">
        <f t="shared" si="18"/>
        <v>0</v>
      </c>
      <c r="L29" s="58">
        <f t="shared" ca="1" si="19"/>
        <v>0</v>
      </c>
      <c r="M29" s="58">
        <f t="shared" ca="1" si="20"/>
        <v>0</v>
      </c>
      <c r="N29" s="58">
        <f t="shared" ca="1" si="21"/>
        <v>0</v>
      </c>
      <c r="O29" s="58">
        <f t="shared" ca="1" si="22"/>
        <v>0</v>
      </c>
      <c r="P29" s="58">
        <f t="shared" ca="1" si="23"/>
        <v>0</v>
      </c>
      <c r="Q29" s="58">
        <f t="shared" ca="1" si="24"/>
        <v>0</v>
      </c>
      <c r="R29" s="58">
        <f t="shared" ca="1" si="25"/>
        <v>0</v>
      </c>
      <c r="S29" s="58">
        <f t="shared" ca="1" si="26"/>
        <v>0</v>
      </c>
      <c r="T29" s="58">
        <f t="shared" ca="1" si="27"/>
        <v>0</v>
      </c>
      <c r="U29" s="58">
        <f t="shared" ca="1" si="28"/>
        <v>0</v>
      </c>
      <c r="V29" s="58">
        <f t="shared" ca="1" si="29"/>
        <v>0</v>
      </c>
      <c r="W29" s="58">
        <f t="shared" ca="1" si="30"/>
        <v>0</v>
      </c>
      <c r="X29" s="58">
        <f t="shared" ca="1" si="31"/>
        <v>0</v>
      </c>
      <c r="Y29" s="58">
        <f t="shared" ca="1" si="32"/>
        <v>0</v>
      </c>
      <c r="Z29" s="58">
        <f t="shared" ca="1" si="33"/>
        <v>0</v>
      </c>
      <c r="AA29" s="58">
        <f t="shared" ca="1" si="34"/>
        <v>0</v>
      </c>
      <c r="AB29" s="58">
        <f t="shared" ca="1" si="35"/>
        <v>0</v>
      </c>
      <c r="AC29" s="58">
        <f t="shared" ca="1" si="36"/>
        <v>0</v>
      </c>
      <c r="AD29" s="58">
        <f t="shared" ca="1" si="37"/>
        <v>0</v>
      </c>
      <c r="AE29" s="58">
        <f t="shared" ca="1" si="38"/>
        <v>0</v>
      </c>
      <c r="AF29" s="58">
        <f t="shared" ca="1" si="39"/>
        <v>0</v>
      </c>
      <c r="AG29" s="58">
        <f t="shared" ca="1" si="40"/>
        <v>0</v>
      </c>
      <c r="AH29" s="873"/>
      <c r="AI29" s="874"/>
      <c r="AJ29" s="874"/>
      <c r="AK29" s="627">
        <v>27</v>
      </c>
      <c r="AL29" s="629">
        <f t="shared" si="6"/>
        <v>0.71070858062030307</v>
      </c>
      <c r="AM29" s="629">
        <f t="shared" si="1"/>
        <v>0.65604185826107297</v>
      </c>
      <c r="AN29" s="626" t="str">
        <f t="shared" si="2"/>
        <v>Success</v>
      </c>
      <c r="AO29" s="629" t="e">
        <f t="shared" si="4"/>
        <v>#N/A</v>
      </c>
      <c r="AP29" s="629">
        <v>0.65604185826107297</v>
      </c>
      <c r="AQ29" s="629">
        <f t="shared" ca="1" si="7"/>
        <v>0.61761749774575936</v>
      </c>
      <c r="AR29" s="326"/>
      <c r="AS29" s="326"/>
      <c r="AT29" s="326"/>
      <c r="AU29" s="326"/>
      <c r="AV29" s="326"/>
      <c r="AW29" s="326"/>
      <c r="AX29" s="326"/>
      <c r="AY29" s="326"/>
      <c r="AZ29" s="326"/>
      <c r="BA29" s="326"/>
      <c r="BB29" s="326"/>
    </row>
    <row r="30" spans="1:54">
      <c r="A30" s="326"/>
      <c r="B30" s="55" t="s">
        <v>806</v>
      </c>
      <c r="C30" s="58">
        <f t="shared" si="10"/>
        <v>0</v>
      </c>
      <c r="D30" s="58">
        <f t="shared" si="11"/>
        <v>0</v>
      </c>
      <c r="E30" s="58">
        <f t="shared" si="12"/>
        <v>0</v>
      </c>
      <c r="F30" s="58">
        <f t="shared" si="13"/>
        <v>0</v>
      </c>
      <c r="G30" s="58">
        <f t="shared" si="14"/>
        <v>0</v>
      </c>
      <c r="H30" s="58">
        <f t="shared" si="15"/>
        <v>0</v>
      </c>
      <c r="I30" s="58">
        <f t="shared" si="16"/>
        <v>0</v>
      </c>
      <c r="J30" s="58">
        <f t="shared" si="17"/>
        <v>0</v>
      </c>
      <c r="K30" s="58">
        <f t="shared" si="18"/>
        <v>0</v>
      </c>
      <c r="L30" s="58">
        <f t="shared" ca="1" si="19"/>
        <v>0</v>
      </c>
      <c r="M30" s="58">
        <f t="shared" ca="1" si="20"/>
        <v>0</v>
      </c>
      <c r="N30" s="58">
        <f t="shared" ca="1" si="21"/>
        <v>0</v>
      </c>
      <c r="O30" s="58">
        <f t="shared" ca="1" si="22"/>
        <v>0</v>
      </c>
      <c r="P30" s="58">
        <f t="shared" ca="1" si="23"/>
        <v>0</v>
      </c>
      <c r="Q30" s="58">
        <f t="shared" ca="1" si="24"/>
        <v>0</v>
      </c>
      <c r="R30" s="58">
        <f t="shared" ca="1" si="25"/>
        <v>0</v>
      </c>
      <c r="S30" s="58">
        <f t="shared" ca="1" si="26"/>
        <v>0</v>
      </c>
      <c r="T30" s="58">
        <f t="shared" ca="1" si="27"/>
        <v>0</v>
      </c>
      <c r="U30" s="58">
        <f t="shared" ca="1" si="28"/>
        <v>0</v>
      </c>
      <c r="V30" s="58">
        <f t="shared" ca="1" si="29"/>
        <v>0</v>
      </c>
      <c r="W30" s="58">
        <f t="shared" ca="1" si="30"/>
        <v>0</v>
      </c>
      <c r="X30" s="58">
        <f t="shared" ca="1" si="31"/>
        <v>0</v>
      </c>
      <c r="Y30" s="58">
        <f t="shared" ca="1" si="32"/>
        <v>0</v>
      </c>
      <c r="Z30" s="58">
        <f t="shared" ca="1" si="33"/>
        <v>0</v>
      </c>
      <c r="AA30" s="58">
        <f t="shared" ca="1" si="34"/>
        <v>0</v>
      </c>
      <c r="AB30" s="58">
        <f t="shared" ca="1" si="35"/>
        <v>0</v>
      </c>
      <c r="AC30" s="58">
        <f t="shared" ca="1" si="36"/>
        <v>0</v>
      </c>
      <c r="AD30" s="58">
        <f t="shared" ca="1" si="37"/>
        <v>0</v>
      </c>
      <c r="AE30" s="58">
        <f t="shared" ca="1" si="38"/>
        <v>0</v>
      </c>
      <c r="AF30" s="58">
        <f t="shared" ca="1" si="39"/>
        <v>0</v>
      </c>
      <c r="AG30" s="58">
        <f t="shared" ca="1" si="40"/>
        <v>0</v>
      </c>
      <c r="AH30" s="873"/>
      <c r="AI30" s="874"/>
      <c r="AJ30" s="874"/>
      <c r="AK30" s="627">
        <v>28</v>
      </c>
      <c r="AL30" s="629">
        <f t="shared" si="6"/>
        <v>0.71325431571226428</v>
      </c>
      <c r="AM30" s="629">
        <f t="shared" si="1"/>
        <v>0.56286675452726964</v>
      </c>
      <c r="AN30" s="626" t="str">
        <f t="shared" si="2"/>
        <v>Success</v>
      </c>
      <c r="AO30" s="629" t="e">
        <f t="shared" si="4"/>
        <v>#N/A</v>
      </c>
      <c r="AP30" s="629">
        <v>0.56286675452726964</v>
      </c>
      <c r="AQ30" s="629">
        <f t="shared" ca="1" si="7"/>
        <v>0.98513068454624775</v>
      </c>
      <c r="AR30" s="326"/>
      <c r="AS30" s="326"/>
      <c r="AT30" s="326"/>
      <c r="AU30" s="326"/>
      <c r="AV30" s="326"/>
      <c r="AW30" s="326"/>
      <c r="AX30" s="326"/>
      <c r="AY30" s="326"/>
      <c r="AZ30" s="326"/>
      <c r="BA30" s="326"/>
      <c r="BB30" s="326"/>
    </row>
    <row r="31" spans="1:54">
      <c r="A31" s="326"/>
      <c r="B31" s="55" t="s">
        <v>807</v>
      </c>
      <c r="C31" s="58">
        <f t="shared" si="10"/>
        <v>0</v>
      </c>
      <c r="D31" s="58">
        <f t="shared" si="11"/>
        <v>0</v>
      </c>
      <c r="E31" s="58">
        <f t="shared" si="12"/>
        <v>0</v>
      </c>
      <c r="F31" s="58">
        <f t="shared" si="13"/>
        <v>0</v>
      </c>
      <c r="G31" s="58">
        <f t="shared" si="14"/>
        <v>0</v>
      </c>
      <c r="H31" s="58">
        <f t="shared" si="15"/>
        <v>0</v>
      </c>
      <c r="I31" s="58">
        <f t="shared" si="16"/>
        <v>0</v>
      </c>
      <c r="J31" s="58">
        <f t="shared" si="17"/>
        <v>0</v>
      </c>
      <c r="K31" s="58">
        <f t="shared" si="18"/>
        <v>0</v>
      </c>
      <c r="L31" s="58">
        <f t="shared" ca="1" si="19"/>
        <v>0</v>
      </c>
      <c r="M31" s="58">
        <f t="shared" ca="1" si="20"/>
        <v>0</v>
      </c>
      <c r="N31" s="58">
        <f t="shared" ca="1" si="21"/>
        <v>0</v>
      </c>
      <c r="O31" s="58">
        <f t="shared" ca="1" si="22"/>
        <v>0</v>
      </c>
      <c r="P31" s="58">
        <f t="shared" ca="1" si="23"/>
        <v>0</v>
      </c>
      <c r="Q31" s="58">
        <f t="shared" ca="1" si="24"/>
        <v>0</v>
      </c>
      <c r="R31" s="58">
        <f t="shared" ca="1" si="25"/>
        <v>0</v>
      </c>
      <c r="S31" s="58">
        <f t="shared" ca="1" si="26"/>
        <v>0</v>
      </c>
      <c r="T31" s="58">
        <f t="shared" ca="1" si="27"/>
        <v>0</v>
      </c>
      <c r="U31" s="58">
        <f t="shared" ca="1" si="28"/>
        <v>0</v>
      </c>
      <c r="V31" s="58">
        <f t="shared" ca="1" si="29"/>
        <v>0</v>
      </c>
      <c r="W31" s="58">
        <f t="shared" ca="1" si="30"/>
        <v>0</v>
      </c>
      <c r="X31" s="58">
        <f t="shared" ca="1" si="31"/>
        <v>0</v>
      </c>
      <c r="Y31" s="58">
        <f t="shared" ca="1" si="32"/>
        <v>0</v>
      </c>
      <c r="Z31" s="58">
        <f t="shared" ca="1" si="33"/>
        <v>0</v>
      </c>
      <c r="AA31" s="58">
        <f t="shared" ca="1" si="34"/>
        <v>0</v>
      </c>
      <c r="AB31" s="58">
        <f t="shared" ca="1" si="35"/>
        <v>0</v>
      </c>
      <c r="AC31" s="58">
        <f t="shared" ca="1" si="36"/>
        <v>0</v>
      </c>
      <c r="AD31" s="58">
        <f t="shared" ca="1" si="37"/>
        <v>0</v>
      </c>
      <c r="AE31" s="58">
        <f t="shared" ca="1" si="38"/>
        <v>0</v>
      </c>
      <c r="AF31" s="58">
        <f t="shared" ca="1" si="39"/>
        <v>0</v>
      </c>
      <c r="AG31" s="58">
        <f t="shared" ca="1" si="40"/>
        <v>0</v>
      </c>
      <c r="AH31" s="873"/>
      <c r="AI31" s="874"/>
      <c r="AJ31" s="874"/>
      <c r="AK31" s="627">
        <v>29</v>
      </c>
      <c r="AL31" s="629">
        <f t="shared" si="6"/>
        <v>0.71571070809905324</v>
      </c>
      <c r="AM31" s="629">
        <f t="shared" si="1"/>
        <v>0.29767442826716994</v>
      </c>
      <c r="AN31" s="626" t="str">
        <f t="shared" si="2"/>
        <v>Success</v>
      </c>
      <c r="AO31" s="629" t="e">
        <f t="shared" si="4"/>
        <v>#N/A</v>
      </c>
      <c r="AP31" s="629">
        <v>0.29767442826716994</v>
      </c>
      <c r="AQ31" s="629">
        <f t="shared" ca="1" si="7"/>
        <v>0.48232611007708937</v>
      </c>
      <c r="AR31" s="326"/>
      <c r="AS31" s="326"/>
      <c r="AT31" s="326"/>
      <c r="AU31" s="326"/>
      <c r="AV31" s="326"/>
      <c r="AW31" s="326"/>
      <c r="AX31" s="326"/>
      <c r="AY31" s="326"/>
      <c r="AZ31" s="326"/>
      <c r="BA31" s="326"/>
      <c r="BB31" s="326"/>
    </row>
    <row r="32" spans="1:54">
      <c r="A32" s="326"/>
      <c r="B32" s="55" t="s">
        <v>808</v>
      </c>
      <c r="C32" s="58">
        <f t="shared" si="10"/>
        <v>0</v>
      </c>
      <c r="D32" s="58">
        <f t="shared" si="11"/>
        <v>0</v>
      </c>
      <c r="E32" s="58">
        <f t="shared" si="12"/>
        <v>0</v>
      </c>
      <c r="F32" s="58">
        <f t="shared" si="13"/>
        <v>0</v>
      </c>
      <c r="G32" s="58">
        <f t="shared" si="14"/>
        <v>0</v>
      </c>
      <c r="H32" s="58">
        <f t="shared" si="15"/>
        <v>0</v>
      </c>
      <c r="I32" s="58">
        <f t="shared" si="16"/>
        <v>0</v>
      </c>
      <c r="J32" s="58">
        <f t="shared" si="17"/>
        <v>0</v>
      </c>
      <c r="K32" s="58">
        <f t="shared" si="18"/>
        <v>0</v>
      </c>
      <c r="L32" s="58">
        <f t="shared" ca="1" si="19"/>
        <v>0</v>
      </c>
      <c r="M32" s="58">
        <f t="shared" ca="1" si="20"/>
        <v>0</v>
      </c>
      <c r="N32" s="58">
        <f t="shared" ca="1" si="21"/>
        <v>0</v>
      </c>
      <c r="O32" s="58">
        <f t="shared" ca="1" si="22"/>
        <v>0</v>
      </c>
      <c r="P32" s="58">
        <f t="shared" ca="1" si="23"/>
        <v>0</v>
      </c>
      <c r="Q32" s="58">
        <f t="shared" ca="1" si="24"/>
        <v>0</v>
      </c>
      <c r="R32" s="58">
        <f t="shared" ca="1" si="25"/>
        <v>0</v>
      </c>
      <c r="S32" s="58">
        <f t="shared" ca="1" si="26"/>
        <v>0</v>
      </c>
      <c r="T32" s="58">
        <f t="shared" ca="1" si="27"/>
        <v>0</v>
      </c>
      <c r="U32" s="58">
        <f t="shared" ca="1" si="28"/>
        <v>0</v>
      </c>
      <c r="V32" s="58">
        <f t="shared" ca="1" si="29"/>
        <v>0</v>
      </c>
      <c r="W32" s="58">
        <f t="shared" ca="1" si="30"/>
        <v>0</v>
      </c>
      <c r="X32" s="58">
        <f t="shared" ca="1" si="31"/>
        <v>0</v>
      </c>
      <c r="Y32" s="58">
        <f t="shared" ca="1" si="32"/>
        <v>0</v>
      </c>
      <c r="Z32" s="58">
        <f t="shared" ca="1" si="33"/>
        <v>0</v>
      </c>
      <c r="AA32" s="58">
        <f t="shared" ca="1" si="34"/>
        <v>0</v>
      </c>
      <c r="AB32" s="58">
        <f t="shared" ca="1" si="35"/>
        <v>0</v>
      </c>
      <c r="AC32" s="58">
        <f t="shared" ca="1" si="36"/>
        <v>0</v>
      </c>
      <c r="AD32" s="58">
        <f t="shared" ca="1" si="37"/>
        <v>0</v>
      </c>
      <c r="AE32" s="58">
        <f t="shared" ca="1" si="38"/>
        <v>0</v>
      </c>
      <c r="AF32" s="58">
        <f t="shared" ca="1" si="39"/>
        <v>0</v>
      </c>
      <c r="AG32" s="58">
        <f t="shared" ca="1" si="40"/>
        <v>0</v>
      </c>
      <c r="AH32" s="874"/>
      <c r="AI32" s="874"/>
      <c r="AJ32" s="874"/>
      <c r="AK32" s="627">
        <v>30</v>
      </c>
      <c r="AL32" s="629">
        <f t="shared" si="6"/>
        <v>0.71808381671635091</v>
      </c>
      <c r="AM32" s="629">
        <f t="shared" si="1"/>
        <v>0.61523173026723299</v>
      </c>
      <c r="AN32" s="626" t="str">
        <f t="shared" si="2"/>
        <v>Success</v>
      </c>
      <c r="AO32" s="629" t="e">
        <f t="shared" si="4"/>
        <v>#N/A</v>
      </c>
      <c r="AP32" s="629">
        <v>0.61523173026723299</v>
      </c>
      <c r="AQ32" s="629">
        <f t="shared" ca="1" si="7"/>
        <v>0.33855494411909759</v>
      </c>
      <c r="AR32" s="326"/>
      <c r="AS32" s="326"/>
      <c r="AT32" s="326"/>
      <c r="AU32" s="326"/>
      <c r="AV32" s="326"/>
      <c r="AW32" s="326"/>
      <c r="AX32" s="326"/>
      <c r="AY32" s="326"/>
      <c r="AZ32" s="326"/>
      <c r="BA32" s="326"/>
      <c r="BB32" s="326"/>
    </row>
    <row r="33" spans="1:54">
      <c r="A33" s="19"/>
      <c r="B33" s="55" t="s">
        <v>809</v>
      </c>
      <c r="C33" s="58">
        <f t="shared" si="10"/>
        <v>0</v>
      </c>
      <c r="D33" s="58">
        <f t="shared" si="11"/>
        <v>0</v>
      </c>
      <c r="E33" s="58">
        <f t="shared" si="12"/>
        <v>0</v>
      </c>
      <c r="F33" s="58">
        <f t="shared" si="13"/>
        <v>0</v>
      </c>
      <c r="G33" s="58">
        <f t="shared" si="14"/>
        <v>0</v>
      </c>
      <c r="H33" s="58">
        <f t="shared" si="15"/>
        <v>0</v>
      </c>
      <c r="I33" s="58">
        <f t="shared" si="16"/>
        <v>0</v>
      </c>
      <c r="J33" s="58">
        <f t="shared" si="17"/>
        <v>0</v>
      </c>
      <c r="K33" s="58">
        <f t="shared" si="18"/>
        <v>0</v>
      </c>
      <c r="L33" s="58">
        <f t="shared" ca="1" si="19"/>
        <v>0</v>
      </c>
      <c r="M33" s="58">
        <f t="shared" ca="1" si="20"/>
        <v>0</v>
      </c>
      <c r="N33" s="58">
        <f t="shared" ca="1" si="21"/>
        <v>0</v>
      </c>
      <c r="O33" s="58">
        <f t="shared" ca="1" si="22"/>
        <v>0</v>
      </c>
      <c r="P33" s="58">
        <f t="shared" ca="1" si="23"/>
        <v>0</v>
      </c>
      <c r="Q33" s="58">
        <f t="shared" ca="1" si="24"/>
        <v>0</v>
      </c>
      <c r="R33" s="58">
        <f t="shared" ca="1" si="25"/>
        <v>0</v>
      </c>
      <c r="S33" s="58">
        <f t="shared" ca="1" si="26"/>
        <v>0</v>
      </c>
      <c r="T33" s="58">
        <f t="shared" ca="1" si="27"/>
        <v>0</v>
      </c>
      <c r="U33" s="58">
        <f t="shared" ca="1" si="28"/>
        <v>0</v>
      </c>
      <c r="V33" s="58">
        <f t="shared" ca="1" si="29"/>
        <v>0</v>
      </c>
      <c r="W33" s="58">
        <f t="shared" ca="1" si="30"/>
        <v>0</v>
      </c>
      <c r="X33" s="58">
        <f t="shared" ca="1" si="31"/>
        <v>0</v>
      </c>
      <c r="Y33" s="58">
        <f t="shared" ca="1" si="32"/>
        <v>0</v>
      </c>
      <c r="Z33" s="58">
        <f t="shared" ca="1" si="33"/>
        <v>0</v>
      </c>
      <c r="AA33" s="58">
        <f t="shared" ca="1" si="34"/>
        <v>0</v>
      </c>
      <c r="AB33" s="58">
        <f t="shared" ca="1" si="35"/>
        <v>0</v>
      </c>
      <c r="AC33" s="58">
        <f t="shared" ca="1" si="36"/>
        <v>0</v>
      </c>
      <c r="AD33" s="58">
        <f t="shared" ca="1" si="37"/>
        <v>0</v>
      </c>
      <c r="AE33" s="58">
        <f t="shared" ca="1" si="38"/>
        <v>0</v>
      </c>
      <c r="AF33" s="58">
        <f t="shared" ca="1" si="39"/>
        <v>0</v>
      </c>
      <c r="AG33" s="58">
        <f t="shared" ca="1" si="40"/>
        <v>0</v>
      </c>
      <c r="AH33" s="874"/>
      <c r="AI33" s="874"/>
      <c r="AJ33" s="874"/>
      <c r="AK33" s="627">
        <v>31</v>
      </c>
      <c r="AL33" s="629">
        <f t="shared" si="6"/>
        <v>0.72037910431396024</v>
      </c>
      <c r="AM33" s="629">
        <f t="shared" si="1"/>
        <v>0.3458406741693294</v>
      </c>
      <c r="AN33" s="626" t="str">
        <f t="shared" si="2"/>
        <v>Success</v>
      </c>
      <c r="AO33" s="629" t="e">
        <f t="shared" si="4"/>
        <v>#N/A</v>
      </c>
      <c r="AP33" s="629">
        <v>0.3458406741693294</v>
      </c>
      <c r="AQ33" s="629">
        <f t="shared" ca="1" si="7"/>
        <v>0.44172852692924658</v>
      </c>
      <c r="AR33" s="326"/>
      <c r="AS33" s="326"/>
      <c r="AT33" s="326"/>
      <c r="AU33" s="326"/>
      <c r="AV33" s="326"/>
      <c r="AW33" s="326"/>
      <c r="AX33" s="326"/>
      <c r="AY33" s="326"/>
      <c r="AZ33" s="326"/>
      <c r="BA33" s="326"/>
      <c r="BB33" s="326"/>
    </row>
    <row r="34" spans="1:54">
      <c r="A34" s="19"/>
      <c r="B34" s="55" t="s">
        <v>810</v>
      </c>
      <c r="C34" s="58">
        <f t="shared" si="10"/>
        <v>0</v>
      </c>
      <c r="D34" s="58">
        <f t="shared" si="11"/>
        <v>0</v>
      </c>
      <c r="E34" s="58">
        <f t="shared" si="12"/>
        <v>0</v>
      </c>
      <c r="F34" s="58">
        <f t="shared" si="13"/>
        <v>0</v>
      </c>
      <c r="G34" s="58">
        <f t="shared" si="14"/>
        <v>0</v>
      </c>
      <c r="H34" s="58">
        <f t="shared" si="15"/>
        <v>0</v>
      </c>
      <c r="I34" s="58">
        <f t="shared" si="16"/>
        <v>0</v>
      </c>
      <c r="J34" s="58">
        <f t="shared" si="17"/>
        <v>0</v>
      </c>
      <c r="K34" s="58">
        <f t="shared" si="18"/>
        <v>0</v>
      </c>
      <c r="L34" s="58">
        <f t="shared" ca="1" si="19"/>
        <v>0</v>
      </c>
      <c r="M34" s="58">
        <f t="shared" ca="1" si="20"/>
        <v>0</v>
      </c>
      <c r="N34" s="58">
        <f t="shared" ca="1" si="21"/>
        <v>0</v>
      </c>
      <c r="O34" s="58">
        <f t="shared" ca="1" si="22"/>
        <v>0</v>
      </c>
      <c r="P34" s="58">
        <f t="shared" ca="1" si="23"/>
        <v>0</v>
      </c>
      <c r="Q34" s="58">
        <f t="shared" ca="1" si="24"/>
        <v>0</v>
      </c>
      <c r="R34" s="58">
        <f t="shared" ca="1" si="25"/>
        <v>0</v>
      </c>
      <c r="S34" s="58">
        <f t="shared" ca="1" si="26"/>
        <v>0</v>
      </c>
      <c r="T34" s="58">
        <f t="shared" ca="1" si="27"/>
        <v>0</v>
      </c>
      <c r="U34" s="58">
        <f t="shared" ca="1" si="28"/>
        <v>0</v>
      </c>
      <c r="V34" s="58">
        <f t="shared" ca="1" si="29"/>
        <v>0</v>
      </c>
      <c r="W34" s="58">
        <f t="shared" ca="1" si="30"/>
        <v>0</v>
      </c>
      <c r="X34" s="58">
        <f t="shared" ca="1" si="31"/>
        <v>0</v>
      </c>
      <c r="Y34" s="58">
        <f t="shared" ca="1" si="32"/>
        <v>0</v>
      </c>
      <c r="Z34" s="58">
        <f t="shared" ca="1" si="33"/>
        <v>0</v>
      </c>
      <c r="AA34" s="58">
        <f t="shared" ca="1" si="34"/>
        <v>0</v>
      </c>
      <c r="AB34" s="58">
        <f t="shared" ca="1" si="35"/>
        <v>0</v>
      </c>
      <c r="AC34" s="58">
        <f t="shared" ca="1" si="36"/>
        <v>0</v>
      </c>
      <c r="AD34" s="58">
        <f t="shared" ca="1" si="37"/>
        <v>0</v>
      </c>
      <c r="AE34" s="58">
        <f t="shared" ca="1" si="38"/>
        <v>0</v>
      </c>
      <c r="AF34" s="58">
        <f t="shared" ca="1" si="39"/>
        <v>0</v>
      </c>
      <c r="AG34" s="58">
        <f t="shared" ca="1" si="40"/>
        <v>0</v>
      </c>
      <c r="AH34" s="873"/>
      <c r="AI34" s="874"/>
      <c r="AJ34" s="874"/>
      <c r="AK34" s="627">
        <v>32</v>
      </c>
      <c r="AL34" s="629">
        <f t="shared" si="6"/>
        <v>0.72260151319598087</v>
      </c>
      <c r="AM34" s="629">
        <f t="shared" si="1"/>
        <v>0.73296958807321</v>
      </c>
      <c r="AN34" s="626" t="str">
        <f t="shared" si="2"/>
        <v>Failure</v>
      </c>
      <c r="AO34" s="629">
        <f t="shared" si="4"/>
        <v>0.72260151319598087</v>
      </c>
      <c r="AP34" s="629">
        <v>0.73296958807321</v>
      </c>
      <c r="AQ34" s="629">
        <f t="shared" ca="1" si="7"/>
        <v>0.48467839713189664</v>
      </c>
      <c r="AR34" s="326"/>
      <c r="AS34" s="326"/>
      <c r="AT34" s="326"/>
      <c r="AU34" s="326"/>
      <c r="AV34" s="326"/>
      <c r="AW34" s="326"/>
      <c r="AX34" s="326"/>
      <c r="AY34" s="326"/>
      <c r="AZ34" s="326"/>
      <c r="BA34" s="326"/>
      <c r="BB34" s="326"/>
    </row>
    <row r="35" spans="1:54">
      <c r="A35" s="19"/>
      <c r="B35" s="55" t="s">
        <v>811</v>
      </c>
      <c r="C35" s="58">
        <f t="shared" si="10"/>
        <v>0</v>
      </c>
      <c r="D35" s="58">
        <f t="shared" si="11"/>
        <v>0</v>
      </c>
      <c r="E35" s="58">
        <f t="shared" si="12"/>
        <v>0</v>
      </c>
      <c r="F35" s="58">
        <f t="shared" si="13"/>
        <v>0</v>
      </c>
      <c r="G35" s="58">
        <f t="shared" si="14"/>
        <v>0</v>
      </c>
      <c r="H35" s="58">
        <f t="shared" si="15"/>
        <v>0</v>
      </c>
      <c r="I35" s="58">
        <f t="shared" si="16"/>
        <v>0</v>
      </c>
      <c r="J35" s="58">
        <f t="shared" si="17"/>
        <v>0</v>
      </c>
      <c r="K35" s="58">
        <f t="shared" si="18"/>
        <v>0</v>
      </c>
      <c r="L35" s="58">
        <f t="shared" ca="1" si="19"/>
        <v>0</v>
      </c>
      <c r="M35" s="58">
        <f t="shared" ca="1" si="20"/>
        <v>0</v>
      </c>
      <c r="N35" s="58">
        <f t="shared" ca="1" si="21"/>
        <v>0</v>
      </c>
      <c r="O35" s="58">
        <f t="shared" ca="1" si="22"/>
        <v>0</v>
      </c>
      <c r="P35" s="58">
        <f t="shared" ca="1" si="23"/>
        <v>0</v>
      </c>
      <c r="Q35" s="58">
        <f t="shared" ca="1" si="24"/>
        <v>0</v>
      </c>
      <c r="R35" s="58">
        <f t="shared" ca="1" si="25"/>
        <v>0</v>
      </c>
      <c r="S35" s="58">
        <f t="shared" ca="1" si="26"/>
        <v>0</v>
      </c>
      <c r="T35" s="58">
        <f t="shared" ca="1" si="27"/>
        <v>0</v>
      </c>
      <c r="U35" s="58">
        <f t="shared" ca="1" si="28"/>
        <v>0</v>
      </c>
      <c r="V35" s="58">
        <f t="shared" ca="1" si="29"/>
        <v>0</v>
      </c>
      <c r="W35" s="58">
        <f t="shared" ca="1" si="30"/>
        <v>0</v>
      </c>
      <c r="X35" s="58">
        <f t="shared" ca="1" si="31"/>
        <v>0</v>
      </c>
      <c r="Y35" s="58">
        <f t="shared" ca="1" si="32"/>
        <v>0</v>
      </c>
      <c r="Z35" s="58">
        <f t="shared" ca="1" si="33"/>
        <v>0</v>
      </c>
      <c r="AA35" s="58">
        <f t="shared" ca="1" si="34"/>
        <v>0</v>
      </c>
      <c r="AB35" s="58">
        <f t="shared" ca="1" si="35"/>
        <v>0</v>
      </c>
      <c r="AC35" s="58">
        <f t="shared" ca="1" si="36"/>
        <v>0</v>
      </c>
      <c r="AD35" s="58">
        <f t="shared" ca="1" si="37"/>
        <v>0</v>
      </c>
      <c r="AE35" s="58">
        <f t="shared" ca="1" si="38"/>
        <v>0</v>
      </c>
      <c r="AF35" s="58">
        <f t="shared" ca="1" si="39"/>
        <v>0</v>
      </c>
      <c r="AG35" s="58">
        <f t="shared" ca="1" si="40"/>
        <v>0</v>
      </c>
      <c r="AH35" s="873"/>
      <c r="AI35" s="874"/>
      <c r="AJ35" s="874"/>
      <c r="AK35" s="627">
        <v>33</v>
      </c>
      <c r="AL35" s="629">
        <f t="shared" si="6"/>
        <v>0.72475552930265363</v>
      </c>
      <c r="AM35" s="629">
        <f t="shared" si="1"/>
        <v>0.11877419058174221</v>
      </c>
      <c r="AN35" s="626" t="str">
        <f t="shared" si="2"/>
        <v>Success</v>
      </c>
      <c r="AO35" s="629" t="e">
        <f t="shared" si="4"/>
        <v>#N/A</v>
      </c>
      <c r="AP35" s="629">
        <v>0.11877419058174221</v>
      </c>
      <c r="AQ35" s="629">
        <f t="shared" ca="1" si="7"/>
        <v>0.86377206238905768</v>
      </c>
      <c r="AR35" s="326"/>
      <c r="AS35" s="326"/>
      <c r="AT35" s="326"/>
      <c r="AU35" s="326"/>
      <c r="AV35" s="326"/>
      <c r="AW35" s="326"/>
      <c r="AX35" s="326"/>
      <c r="AY35" s="326"/>
      <c r="AZ35" s="326"/>
      <c r="BA35" s="326"/>
      <c r="BB35" s="326"/>
    </row>
    <row r="36" spans="1:54">
      <c r="A36" s="19"/>
      <c r="B36" s="55" t="s">
        <v>812</v>
      </c>
      <c r="C36" s="58">
        <f t="shared" si="10"/>
        <v>0</v>
      </c>
      <c r="D36" s="58">
        <f t="shared" si="11"/>
        <v>0</v>
      </c>
      <c r="E36" s="58">
        <f t="shared" si="12"/>
        <v>0</v>
      </c>
      <c r="F36" s="58">
        <f t="shared" si="13"/>
        <v>0</v>
      </c>
      <c r="G36" s="58">
        <f t="shared" si="14"/>
        <v>0</v>
      </c>
      <c r="H36" s="58">
        <f t="shared" si="15"/>
        <v>0</v>
      </c>
      <c r="I36" s="58">
        <f t="shared" si="16"/>
        <v>0</v>
      </c>
      <c r="J36" s="58">
        <f t="shared" si="17"/>
        <v>0</v>
      </c>
      <c r="K36" s="58">
        <f t="shared" si="18"/>
        <v>0</v>
      </c>
      <c r="L36" s="58">
        <f t="shared" ca="1" si="19"/>
        <v>0</v>
      </c>
      <c r="M36" s="58">
        <f t="shared" ca="1" si="20"/>
        <v>0</v>
      </c>
      <c r="N36" s="58">
        <f t="shared" ca="1" si="21"/>
        <v>0</v>
      </c>
      <c r="O36" s="58">
        <f t="shared" ca="1" si="22"/>
        <v>0</v>
      </c>
      <c r="P36" s="58">
        <f t="shared" ca="1" si="23"/>
        <v>0</v>
      </c>
      <c r="Q36" s="58">
        <f t="shared" ca="1" si="24"/>
        <v>0</v>
      </c>
      <c r="R36" s="58">
        <f t="shared" ca="1" si="25"/>
        <v>0</v>
      </c>
      <c r="S36" s="58">
        <f t="shared" ca="1" si="26"/>
        <v>0</v>
      </c>
      <c r="T36" s="58">
        <f t="shared" ca="1" si="27"/>
        <v>0</v>
      </c>
      <c r="U36" s="58">
        <f t="shared" ca="1" si="28"/>
        <v>0</v>
      </c>
      <c r="V36" s="58">
        <f t="shared" ca="1" si="29"/>
        <v>0</v>
      </c>
      <c r="W36" s="58">
        <f t="shared" ca="1" si="30"/>
        <v>0</v>
      </c>
      <c r="X36" s="58">
        <f t="shared" ca="1" si="31"/>
        <v>0</v>
      </c>
      <c r="Y36" s="58">
        <f t="shared" ca="1" si="32"/>
        <v>0</v>
      </c>
      <c r="Z36" s="58">
        <f t="shared" ca="1" si="33"/>
        <v>0</v>
      </c>
      <c r="AA36" s="58">
        <f t="shared" ca="1" si="34"/>
        <v>0</v>
      </c>
      <c r="AB36" s="58">
        <f t="shared" ca="1" si="35"/>
        <v>0</v>
      </c>
      <c r="AC36" s="58">
        <f t="shared" ca="1" si="36"/>
        <v>0</v>
      </c>
      <c r="AD36" s="58">
        <f t="shared" ca="1" si="37"/>
        <v>0</v>
      </c>
      <c r="AE36" s="58">
        <f t="shared" ca="1" si="38"/>
        <v>0</v>
      </c>
      <c r="AF36" s="58">
        <f t="shared" ca="1" si="39"/>
        <v>0</v>
      </c>
      <c r="AG36" s="58">
        <f t="shared" ca="1" si="40"/>
        <v>0</v>
      </c>
      <c r="AH36" s="873"/>
      <c r="AI36" s="874"/>
      <c r="AJ36" s="874"/>
      <c r="AK36" s="627">
        <v>34</v>
      </c>
      <c r="AL36" s="629">
        <f t="shared" si="6"/>
        <v>0.72684523672313128</v>
      </c>
      <c r="AM36" s="629">
        <f t="shared" si="1"/>
        <v>0.57395203125670391</v>
      </c>
      <c r="AN36" s="626" t="str">
        <f t="shared" si="2"/>
        <v>Success</v>
      </c>
      <c r="AO36" s="629" t="e">
        <f t="shared" si="4"/>
        <v>#N/A</v>
      </c>
      <c r="AP36" s="629">
        <v>0.57395203125670391</v>
      </c>
      <c r="AQ36" s="629">
        <f t="shared" ca="1" si="7"/>
        <v>0.2425375144036741</v>
      </c>
      <c r="AR36" s="326"/>
      <c r="AS36" s="326"/>
      <c r="AT36" s="326"/>
      <c r="AU36" s="326"/>
      <c r="AV36" s="326"/>
      <c r="AW36" s="326"/>
      <c r="AX36" s="326"/>
      <c r="AY36" s="326"/>
      <c r="AZ36" s="326"/>
      <c r="BA36" s="326"/>
      <c r="BB36" s="326"/>
    </row>
    <row r="37" spans="1:54">
      <c r="A37" s="19"/>
      <c r="B37" s="55" t="s">
        <v>813</v>
      </c>
      <c r="C37" s="58">
        <f t="shared" si="10"/>
        <v>0</v>
      </c>
      <c r="D37" s="58">
        <f t="shared" si="11"/>
        <v>0</v>
      </c>
      <c r="E37" s="58">
        <f t="shared" si="12"/>
        <v>0</v>
      </c>
      <c r="F37" s="58">
        <f t="shared" si="13"/>
        <v>0</v>
      </c>
      <c r="G37" s="58">
        <f t="shared" si="14"/>
        <v>0</v>
      </c>
      <c r="H37" s="58">
        <f t="shared" si="15"/>
        <v>0</v>
      </c>
      <c r="I37" s="58">
        <f t="shared" si="16"/>
        <v>0</v>
      </c>
      <c r="J37" s="58">
        <f t="shared" si="17"/>
        <v>0</v>
      </c>
      <c r="K37" s="58">
        <f t="shared" si="18"/>
        <v>0</v>
      </c>
      <c r="L37" s="58">
        <f t="shared" ca="1" si="19"/>
        <v>0</v>
      </c>
      <c r="M37" s="58">
        <f t="shared" ca="1" si="20"/>
        <v>0</v>
      </c>
      <c r="N37" s="58">
        <f t="shared" ca="1" si="21"/>
        <v>0</v>
      </c>
      <c r="O37" s="58">
        <f t="shared" ca="1" si="22"/>
        <v>0</v>
      </c>
      <c r="P37" s="58">
        <f t="shared" ca="1" si="23"/>
        <v>0</v>
      </c>
      <c r="Q37" s="58">
        <f t="shared" ca="1" si="24"/>
        <v>0</v>
      </c>
      <c r="R37" s="58">
        <f t="shared" ca="1" si="25"/>
        <v>0</v>
      </c>
      <c r="S37" s="58">
        <f t="shared" ca="1" si="26"/>
        <v>0</v>
      </c>
      <c r="T37" s="58">
        <f t="shared" ca="1" si="27"/>
        <v>0</v>
      </c>
      <c r="U37" s="58">
        <f t="shared" ca="1" si="28"/>
        <v>0</v>
      </c>
      <c r="V37" s="58">
        <f t="shared" ca="1" si="29"/>
        <v>0</v>
      </c>
      <c r="W37" s="58">
        <f t="shared" ca="1" si="30"/>
        <v>0</v>
      </c>
      <c r="X37" s="58">
        <f t="shared" ca="1" si="31"/>
        <v>0</v>
      </c>
      <c r="Y37" s="58">
        <f t="shared" ca="1" si="32"/>
        <v>0</v>
      </c>
      <c r="Z37" s="58">
        <f t="shared" ca="1" si="33"/>
        <v>0</v>
      </c>
      <c r="AA37" s="58">
        <f t="shared" ca="1" si="34"/>
        <v>0</v>
      </c>
      <c r="AB37" s="58">
        <f t="shared" ca="1" si="35"/>
        <v>0</v>
      </c>
      <c r="AC37" s="58">
        <f t="shared" ca="1" si="36"/>
        <v>0</v>
      </c>
      <c r="AD37" s="58">
        <f t="shared" ca="1" si="37"/>
        <v>0</v>
      </c>
      <c r="AE37" s="58">
        <f t="shared" ca="1" si="38"/>
        <v>0</v>
      </c>
      <c r="AF37" s="58">
        <f t="shared" ca="1" si="39"/>
        <v>0</v>
      </c>
      <c r="AG37" s="58">
        <f t="shared" ca="1" si="40"/>
        <v>0</v>
      </c>
      <c r="AH37" s="873"/>
      <c r="AI37" s="874"/>
      <c r="AJ37" s="874"/>
      <c r="AK37" s="627">
        <v>35</v>
      </c>
      <c r="AL37" s="629">
        <f t="shared" si="6"/>
        <v>0.728874364304259</v>
      </c>
      <c r="AM37" s="629">
        <f t="shared" si="1"/>
        <v>0.93429342942148219</v>
      </c>
      <c r="AN37" s="626" t="str">
        <f t="shared" si="2"/>
        <v>Failure</v>
      </c>
      <c r="AO37" s="629">
        <f t="shared" si="4"/>
        <v>0.728874364304259</v>
      </c>
      <c r="AP37" s="629">
        <v>0.93429342942148219</v>
      </c>
      <c r="AQ37" s="629">
        <f t="shared" ca="1" si="7"/>
        <v>5.2495592878395669E-2</v>
      </c>
      <c r="AR37" s="326"/>
      <c r="AS37" s="326"/>
      <c r="AT37" s="326"/>
      <c r="AU37" s="326"/>
      <c r="AV37" s="326"/>
      <c r="AW37" s="326"/>
      <c r="AX37" s="326"/>
      <c r="AY37" s="326"/>
      <c r="AZ37" s="326"/>
      <c r="BA37" s="326"/>
      <c r="BB37" s="326"/>
    </row>
    <row r="38" spans="1:54">
      <c r="A38" s="19"/>
      <c r="B38" s="55" t="s">
        <v>814</v>
      </c>
      <c r="C38" s="58">
        <f t="shared" si="10"/>
        <v>0</v>
      </c>
      <c r="D38" s="58">
        <f t="shared" si="11"/>
        <v>0</v>
      </c>
      <c r="E38" s="58">
        <f t="shared" si="12"/>
        <v>0</v>
      </c>
      <c r="F38" s="58">
        <f t="shared" si="13"/>
        <v>0</v>
      </c>
      <c r="G38" s="58">
        <f t="shared" si="14"/>
        <v>0</v>
      </c>
      <c r="H38" s="58">
        <f t="shared" si="15"/>
        <v>0</v>
      </c>
      <c r="I38" s="58">
        <f t="shared" si="16"/>
        <v>0</v>
      </c>
      <c r="J38" s="58">
        <f t="shared" si="17"/>
        <v>0</v>
      </c>
      <c r="K38" s="58">
        <f t="shared" si="18"/>
        <v>0</v>
      </c>
      <c r="L38" s="58">
        <f t="shared" ca="1" si="19"/>
        <v>0</v>
      </c>
      <c r="M38" s="58">
        <f t="shared" ca="1" si="20"/>
        <v>0</v>
      </c>
      <c r="N38" s="58">
        <f t="shared" ca="1" si="21"/>
        <v>0</v>
      </c>
      <c r="O38" s="58">
        <f t="shared" ca="1" si="22"/>
        <v>0</v>
      </c>
      <c r="P38" s="58">
        <f t="shared" ca="1" si="23"/>
        <v>0</v>
      </c>
      <c r="Q38" s="58">
        <f t="shared" ca="1" si="24"/>
        <v>0</v>
      </c>
      <c r="R38" s="58">
        <f t="shared" ca="1" si="25"/>
        <v>0</v>
      </c>
      <c r="S38" s="58">
        <f t="shared" ca="1" si="26"/>
        <v>0</v>
      </c>
      <c r="T38" s="58">
        <f t="shared" ca="1" si="27"/>
        <v>0</v>
      </c>
      <c r="U38" s="58">
        <f t="shared" ca="1" si="28"/>
        <v>0</v>
      </c>
      <c r="V38" s="58">
        <f t="shared" ca="1" si="29"/>
        <v>0</v>
      </c>
      <c r="W38" s="58">
        <f t="shared" ca="1" si="30"/>
        <v>0</v>
      </c>
      <c r="X38" s="58">
        <f t="shared" ca="1" si="31"/>
        <v>0</v>
      </c>
      <c r="Y38" s="58">
        <f t="shared" ca="1" si="32"/>
        <v>0</v>
      </c>
      <c r="Z38" s="58">
        <f t="shared" ca="1" si="33"/>
        <v>0</v>
      </c>
      <c r="AA38" s="58">
        <f t="shared" ca="1" si="34"/>
        <v>0</v>
      </c>
      <c r="AB38" s="58">
        <f t="shared" ca="1" si="35"/>
        <v>0</v>
      </c>
      <c r="AC38" s="58">
        <f t="shared" ca="1" si="36"/>
        <v>0</v>
      </c>
      <c r="AD38" s="58">
        <f t="shared" ca="1" si="37"/>
        <v>0</v>
      </c>
      <c r="AE38" s="58">
        <f t="shared" ca="1" si="38"/>
        <v>0</v>
      </c>
      <c r="AF38" s="58">
        <f t="shared" ca="1" si="39"/>
        <v>0</v>
      </c>
      <c r="AG38" s="58">
        <f t="shared" ca="1" si="40"/>
        <v>0</v>
      </c>
      <c r="AH38" s="873"/>
      <c r="AI38" s="874"/>
      <c r="AJ38" s="874"/>
      <c r="AK38" s="627">
        <v>36</v>
      </c>
      <c r="AL38" s="629">
        <f t="shared" si="6"/>
        <v>0.73084632569192776</v>
      </c>
      <c r="AM38" s="629">
        <f t="shared" si="1"/>
        <v>0.20204160079881872</v>
      </c>
      <c r="AN38" s="626" t="str">
        <f t="shared" si="2"/>
        <v>Success</v>
      </c>
      <c r="AO38" s="629" t="e">
        <f t="shared" si="4"/>
        <v>#N/A</v>
      </c>
      <c r="AP38" s="629">
        <v>0.20204160079881872</v>
      </c>
      <c r="AQ38" s="629">
        <f t="shared" ca="1" si="7"/>
        <v>5.8922036971932878E-2</v>
      </c>
      <c r="AR38" s="326"/>
      <c r="AS38" s="326"/>
      <c r="AT38" s="326"/>
      <c r="AU38" s="326"/>
      <c r="AV38" s="326"/>
      <c r="AW38" s="326"/>
      <c r="AX38" s="326"/>
      <c r="AY38" s="326"/>
      <c r="AZ38" s="326"/>
      <c r="BA38" s="326"/>
      <c r="BB38" s="326"/>
    </row>
    <row r="39" spans="1:54">
      <c r="A39" s="19"/>
      <c r="B39" s="55" t="s">
        <v>815</v>
      </c>
      <c r="C39" s="58">
        <f t="shared" si="10"/>
        <v>0</v>
      </c>
      <c r="D39" s="58">
        <f t="shared" si="11"/>
        <v>0</v>
      </c>
      <c r="E39" s="58">
        <f t="shared" si="12"/>
        <v>0</v>
      </c>
      <c r="F39" s="58">
        <f t="shared" si="13"/>
        <v>0</v>
      </c>
      <c r="G39" s="58">
        <f t="shared" si="14"/>
        <v>0</v>
      </c>
      <c r="H39" s="58">
        <f t="shared" si="15"/>
        <v>0</v>
      </c>
      <c r="I39" s="58">
        <f t="shared" si="16"/>
        <v>0</v>
      </c>
      <c r="J39" s="58">
        <f t="shared" si="17"/>
        <v>0</v>
      </c>
      <c r="K39" s="58">
        <f t="shared" si="18"/>
        <v>0</v>
      </c>
      <c r="L39" s="58">
        <f t="shared" ca="1" si="19"/>
        <v>0</v>
      </c>
      <c r="M39" s="58">
        <f t="shared" ca="1" si="20"/>
        <v>0</v>
      </c>
      <c r="N39" s="58">
        <f t="shared" ca="1" si="21"/>
        <v>0</v>
      </c>
      <c r="O39" s="58">
        <f t="shared" ca="1" si="22"/>
        <v>0</v>
      </c>
      <c r="P39" s="58">
        <f t="shared" ca="1" si="23"/>
        <v>0</v>
      </c>
      <c r="Q39" s="58">
        <f t="shared" ca="1" si="24"/>
        <v>0</v>
      </c>
      <c r="R39" s="58">
        <f t="shared" ca="1" si="25"/>
        <v>0</v>
      </c>
      <c r="S39" s="58">
        <f t="shared" ca="1" si="26"/>
        <v>0</v>
      </c>
      <c r="T39" s="58">
        <f t="shared" ca="1" si="27"/>
        <v>0</v>
      </c>
      <c r="U39" s="58">
        <f t="shared" ca="1" si="28"/>
        <v>0</v>
      </c>
      <c r="V39" s="58">
        <f t="shared" ca="1" si="29"/>
        <v>0</v>
      </c>
      <c r="W39" s="58">
        <f t="shared" ca="1" si="30"/>
        <v>0</v>
      </c>
      <c r="X39" s="58">
        <f t="shared" ca="1" si="31"/>
        <v>0</v>
      </c>
      <c r="Y39" s="58">
        <f t="shared" ca="1" si="32"/>
        <v>0</v>
      </c>
      <c r="Z39" s="58">
        <f t="shared" ca="1" si="33"/>
        <v>0</v>
      </c>
      <c r="AA39" s="58">
        <f t="shared" ca="1" si="34"/>
        <v>0</v>
      </c>
      <c r="AB39" s="58">
        <f t="shared" ca="1" si="35"/>
        <v>0</v>
      </c>
      <c r="AC39" s="58">
        <f t="shared" ca="1" si="36"/>
        <v>0</v>
      </c>
      <c r="AD39" s="58">
        <f t="shared" ca="1" si="37"/>
        <v>0</v>
      </c>
      <c r="AE39" s="58">
        <f t="shared" ca="1" si="38"/>
        <v>0</v>
      </c>
      <c r="AF39" s="58">
        <f t="shared" ca="1" si="39"/>
        <v>0</v>
      </c>
      <c r="AG39" s="58">
        <f t="shared" ca="1" si="40"/>
        <v>0</v>
      </c>
      <c r="AH39" s="873"/>
      <c r="AI39" s="874"/>
      <c r="AJ39" s="874"/>
      <c r="AK39" s="627">
        <v>37</v>
      </c>
      <c r="AL39" s="629">
        <f t="shared" si="6"/>
        <v>0.7327642538850957</v>
      </c>
      <c r="AM39" s="629">
        <f t="shared" si="1"/>
        <v>0.62955615523383046</v>
      </c>
      <c r="AN39" s="626" t="str">
        <f t="shared" si="2"/>
        <v>Success</v>
      </c>
      <c r="AO39" s="629" t="e">
        <f t="shared" si="4"/>
        <v>#N/A</v>
      </c>
      <c r="AP39" s="629">
        <v>0.62955615523383046</v>
      </c>
      <c r="AQ39" s="629">
        <f t="shared" ca="1" si="7"/>
        <v>0.87407459368254525</v>
      </c>
      <c r="AR39" s="326"/>
      <c r="AS39" s="326"/>
      <c r="AT39" s="326"/>
      <c r="AU39" s="326"/>
      <c r="AV39" s="326"/>
      <c r="AW39" s="326"/>
      <c r="AX39" s="326"/>
      <c r="AY39" s="326"/>
      <c r="AZ39" s="326"/>
      <c r="BA39" s="326"/>
      <c r="BB39" s="326"/>
    </row>
    <row r="40" spans="1:54">
      <c r="A40" s="19"/>
      <c r="B40" s="169"/>
      <c r="C40" s="19"/>
      <c r="D40" s="19"/>
      <c r="E40" s="19"/>
      <c r="F40" s="137"/>
      <c r="G40" s="132"/>
      <c r="H40" s="19"/>
      <c r="I40" s="19"/>
      <c r="J40" s="19"/>
      <c r="K40" s="137"/>
      <c r="L40" s="132"/>
      <c r="M40" s="137"/>
      <c r="N40" s="28"/>
      <c r="O40" s="28"/>
      <c r="P40" s="19"/>
      <c r="Q40" s="19"/>
      <c r="R40" s="19"/>
      <c r="S40" s="19"/>
      <c r="T40" s="19"/>
      <c r="U40" s="19"/>
      <c r="V40" s="19"/>
      <c r="W40" s="19"/>
      <c r="X40" s="19"/>
      <c r="Y40" s="19"/>
      <c r="Z40" s="19"/>
      <c r="AA40" s="19"/>
      <c r="AB40" s="19"/>
      <c r="AC40" s="19"/>
      <c r="AD40" s="19"/>
      <c r="AE40" s="19"/>
      <c r="AF40" s="19"/>
      <c r="AG40" s="19"/>
      <c r="AH40" s="873"/>
      <c r="AI40" s="874"/>
      <c r="AJ40" s="874"/>
      <c r="AK40" s="627">
        <v>38</v>
      </c>
      <c r="AL40" s="629">
        <f t="shared" si="6"/>
        <v>0.73463103118084705</v>
      </c>
      <c r="AM40" s="629">
        <f t="shared" si="1"/>
        <v>9.5386706324480097E-2</v>
      </c>
      <c r="AN40" s="626" t="str">
        <f t="shared" si="2"/>
        <v>Success</v>
      </c>
      <c r="AO40" s="629" t="e">
        <f t="shared" si="4"/>
        <v>#N/A</v>
      </c>
      <c r="AP40" s="629">
        <v>9.5386706324480097E-2</v>
      </c>
      <c r="AQ40" s="629">
        <f t="shared" ca="1" si="7"/>
        <v>0.43100024941158377</v>
      </c>
      <c r="AR40" s="326"/>
      <c r="AS40" s="326"/>
      <c r="AT40" s="326"/>
      <c r="AU40" s="326"/>
      <c r="AV40" s="326"/>
      <c r="AW40" s="326"/>
      <c r="AX40" s="326"/>
      <c r="AY40" s="326"/>
      <c r="AZ40" s="326"/>
      <c r="BA40" s="326"/>
      <c r="BB40" s="326"/>
    </row>
    <row r="41" spans="1:54" ht="15" thickBot="1">
      <c r="A41" s="19"/>
      <c r="B41" s="52" t="s">
        <v>1126</v>
      </c>
      <c r="C41" s="32">
        <f>Cashflow!C$30</f>
        <v>2017</v>
      </c>
      <c r="D41" s="32">
        <f>Cashflow!D$30</f>
        <v>2018</v>
      </c>
      <c r="E41" s="32">
        <f>Cashflow!E$30</f>
        <v>2019</v>
      </c>
      <c r="F41" s="32">
        <f>Cashflow!F$30</f>
        <v>2020</v>
      </c>
      <c r="G41" s="32">
        <f>Cashflow!G$30</f>
        <v>2021</v>
      </c>
      <c r="H41" s="32">
        <f>Cashflow!H$30</f>
        <v>2022</v>
      </c>
      <c r="I41" s="32">
        <f>Cashflow!I$30</f>
        <v>2023</v>
      </c>
      <c r="J41" s="32">
        <f>Cashflow!J$30</f>
        <v>2024</v>
      </c>
      <c r="K41" s="32">
        <f>Cashflow!K$30</f>
        <v>2025</v>
      </c>
      <c r="L41" s="32">
        <f>Cashflow!L$30</f>
        <v>2026</v>
      </c>
      <c r="M41" s="32">
        <f>Cashflow!M$30</f>
        <v>2027</v>
      </c>
      <c r="N41" s="32">
        <f>Cashflow!N$30</f>
        <v>2028</v>
      </c>
      <c r="O41" s="32">
        <f>Cashflow!O$30</f>
        <v>2029</v>
      </c>
      <c r="P41" s="32">
        <f>Cashflow!P$30</f>
        <v>2030</v>
      </c>
      <c r="Q41" s="32">
        <f>Cashflow!Q$30</f>
        <v>2031</v>
      </c>
      <c r="R41" s="32">
        <f>Cashflow!R$30</f>
        <v>2032</v>
      </c>
      <c r="S41" s="32">
        <f>Cashflow!S$30</f>
        <v>2033</v>
      </c>
      <c r="T41" s="32">
        <f>Cashflow!T$30</f>
        <v>2034</v>
      </c>
      <c r="U41" s="32">
        <f>Cashflow!U$30</f>
        <v>2035</v>
      </c>
      <c r="V41" s="32">
        <f>Cashflow!V$30</f>
        <v>2036</v>
      </c>
      <c r="W41" s="32">
        <f>Cashflow!W$30</f>
        <v>2037</v>
      </c>
      <c r="X41" s="32">
        <f>Cashflow!X$30</f>
        <v>2038</v>
      </c>
      <c r="Y41" s="32">
        <f>Cashflow!Y$30</f>
        <v>2039</v>
      </c>
      <c r="Z41" s="32">
        <f>Cashflow!Z$30</f>
        <v>2040</v>
      </c>
      <c r="AA41" s="32">
        <f>Cashflow!AA$30</f>
        <v>2041</v>
      </c>
      <c r="AB41" s="32">
        <f>Cashflow!AB$30</f>
        <v>2042</v>
      </c>
      <c r="AC41" s="32">
        <f>Cashflow!AC$30</f>
        <v>2043</v>
      </c>
      <c r="AD41" s="32">
        <f>Cashflow!AD$30</f>
        <v>2044</v>
      </c>
      <c r="AE41" s="32">
        <f>Cashflow!AE$30</f>
        <v>2045</v>
      </c>
      <c r="AF41" s="32">
        <f>Cashflow!AF$30</f>
        <v>2046</v>
      </c>
      <c r="AG41" s="32">
        <f>Cashflow!AG$30</f>
        <v>2047</v>
      </c>
      <c r="AH41" s="873"/>
      <c r="AI41" s="874"/>
      <c r="AJ41" s="874"/>
      <c r="AK41" s="627">
        <v>39</v>
      </c>
      <c r="AL41" s="629">
        <f t="shared" si="6"/>
        <v>0.7364493152290752</v>
      </c>
      <c r="AM41" s="629">
        <f t="shared" si="1"/>
        <v>0.6739110429292583</v>
      </c>
      <c r="AN41" s="626" t="str">
        <f t="shared" si="2"/>
        <v>Success</v>
      </c>
      <c r="AO41" s="629" t="e">
        <f t="shared" si="4"/>
        <v>#N/A</v>
      </c>
      <c r="AP41" s="629">
        <v>0.6739110429292583</v>
      </c>
      <c r="AQ41" s="629">
        <f t="shared" ca="1" si="7"/>
        <v>0.42676049519307935</v>
      </c>
      <c r="AR41" s="326"/>
      <c r="AS41" s="326"/>
      <c r="AT41" s="326"/>
      <c r="AU41" s="326"/>
      <c r="AV41" s="326"/>
      <c r="AW41" s="326"/>
      <c r="AX41" s="326"/>
      <c r="AY41" s="326"/>
      <c r="AZ41" s="326"/>
      <c r="BA41" s="326"/>
      <c r="BB41" s="326"/>
    </row>
    <row r="42" spans="1:54" ht="15" thickTop="1">
      <c r="A42" s="19"/>
      <c r="B42" s="42" t="s">
        <v>816</v>
      </c>
      <c r="C42" s="58">
        <f t="shared" ref="C42:AG42" si="41">IF(C20=0,0,IF(C$10=0,0,(VLOOKUP(C20,$AK$3:$AN$102,4,FALSE))))</f>
        <v>0</v>
      </c>
      <c r="D42" s="58">
        <f t="shared" si="41"/>
        <v>0</v>
      </c>
      <c r="E42" s="58">
        <f t="shared" si="41"/>
        <v>0</v>
      </c>
      <c r="F42" s="58" t="str">
        <f t="shared" si="41"/>
        <v>Failure</v>
      </c>
      <c r="G42" s="58">
        <f t="shared" si="41"/>
        <v>0</v>
      </c>
      <c r="H42" s="58">
        <f t="shared" si="41"/>
        <v>0</v>
      </c>
      <c r="I42" s="58">
        <f t="shared" si="41"/>
        <v>0</v>
      </c>
      <c r="J42" s="58">
        <f t="shared" si="41"/>
        <v>0</v>
      </c>
      <c r="K42" s="58">
        <f t="shared" si="41"/>
        <v>0</v>
      </c>
      <c r="L42" s="58">
        <f t="shared" ca="1" si="41"/>
        <v>0</v>
      </c>
      <c r="M42" s="58">
        <f t="shared" ca="1" si="41"/>
        <v>0</v>
      </c>
      <c r="N42" s="58">
        <f t="shared" ca="1" si="41"/>
        <v>0</v>
      </c>
      <c r="O42" s="58">
        <f t="shared" ca="1" si="41"/>
        <v>0</v>
      </c>
      <c r="P42" s="58">
        <f t="shared" ca="1" si="41"/>
        <v>0</v>
      </c>
      <c r="Q42" s="58">
        <f t="shared" ca="1" si="41"/>
        <v>0</v>
      </c>
      <c r="R42" s="58">
        <f t="shared" ca="1" si="41"/>
        <v>0</v>
      </c>
      <c r="S42" s="58">
        <f t="shared" ca="1" si="41"/>
        <v>0</v>
      </c>
      <c r="T42" s="58">
        <f t="shared" ca="1" si="41"/>
        <v>0</v>
      </c>
      <c r="U42" s="58">
        <f t="shared" ca="1" si="41"/>
        <v>0</v>
      </c>
      <c r="V42" s="58">
        <f t="shared" ca="1" si="41"/>
        <v>0</v>
      </c>
      <c r="W42" s="58">
        <f t="shared" ca="1" si="41"/>
        <v>0</v>
      </c>
      <c r="X42" s="58">
        <f t="shared" ca="1" si="41"/>
        <v>0</v>
      </c>
      <c r="Y42" s="58">
        <f t="shared" ca="1" si="41"/>
        <v>0</v>
      </c>
      <c r="Z42" s="58">
        <f t="shared" ca="1" si="41"/>
        <v>0</v>
      </c>
      <c r="AA42" s="58">
        <f t="shared" ca="1" si="41"/>
        <v>0</v>
      </c>
      <c r="AB42" s="58">
        <f t="shared" ca="1" si="41"/>
        <v>0</v>
      </c>
      <c r="AC42" s="58">
        <f t="shared" ca="1" si="41"/>
        <v>0</v>
      </c>
      <c r="AD42" s="58">
        <f t="shared" ca="1" si="41"/>
        <v>0</v>
      </c>
      <c r="AE42" s="58">
        <f t="shared" ca="1" si="41"/>
        <v>0</v>
      </c>
      <c r="AF42" s="58">
        <f t="shared" ca="1" si="41"/>
        <v>0</v>
      </c>
      <c r="AG42" s="58">
        <f t="shared" ca="1" si="41"/>
        <v>0</v>
      </c>
      <c r="AH42" s="874"/>
      <c r="AI42" s="874"/>
      <c r="AJ42" s="874"/>
      <c r="AK42" s="627">
        <v>40</v>
      </c>
      <c r="AL42" s="629">
        <f t="shared" si="6"/>
        <v>0.73822156178797549</v>
      </c>
      <c r="AM42" s="629">
        <f t="shared" si="1"/>
        <v>0.62055282183146876</v>
      </c>
      <c r="AN42" s="626" t="str">
        <f t="shared" si="2"/>
        <v>Success</v>
      </c>
      <c r="AO42" s="629" t="e">
        <f t="shared" si="4"/>
        <v>#N/A</v>
      </c>
      <c r="AP42" s="629">
        <v>0.62055282183146876</v>
      </c>
      <c r="AQ42" s="629">
        <f t="shared" ca="1" si="7"/>
        <v>0.63232566031713089</v>
      </c>
      <c r="AR42" s="326"/>
      <c r="AS42" s="326"/>
      <c r="AT42" s="326"/>
      <c r="AU42" s="326"/>
      <c r="AV42" s="326"/>
      <c r="AW42" s="326"/>
      <c r="AX42" s="326"/>
      <c r="AY42" s="326"/>
      <c r="AZ42" s="326"/>
      <c r="BA42" s="326"/>
      <c r="BB42" s="326"/>
    </row>
    <row r="43" spans="1:54">
      <c r="A43" s="19"/>
      <c r="B43" s="55" t="s">
        <v>817</v>
      </c>
      <c r="C43" s="58">
        <f t="shared" ref="C43:AG43" si="42">IF(C21=0,0,IF(C$10=0,0,(VLOOKUP(C21,$AK$3:$AN$102,4,FALSE))))</f>
        <v>0</v>
      </c>
      <c r="D43" s="58">
        <f t="shared" si="42"/>
        <v>0</v>
      </c>
      <c r="E43" s="58">
        <f t="shared" si="42"/>
        <v>0</v>
      </c>
      <c r="F43" s="58" t="str">
        <f t="shared" si="42"/>
        <v>Success</v>
      </c>
      <c r="G43" s="58">
        <f t="shared" si="42"/>
        <v>0</v>
      </c>
      <c r="H43" s="58">
        <f t="shared" si="42"/>
        <v>0</v>
      </c>
      <c r="I43" s="58">
        <f t="shared" si="42"/>
        <v>0</v>
      </c>
      <c r="J43" s="58">
        <f t="shared" si="42"/>
        <v>0</v>
      </c>
      <c r="K43" s="58">
        <f t="shared" si="42"/>
        <v>0</v>
      </c>
      <c r="L43" s="58">
        <f t="shared" ca="1" si="42"/>
        <v>0</v>
      </c>
      <c r="M43" s="58">
        <f t="shared" ca="1" si="42"/>
        <v>0</v>
      </c>
      <c r="N43" s="58">
        <f t="shared" ca="1" si="42"/>
        <v>0</v>
      </c>
      <c r="O43" s="58">
        <f t="shared" ca="1" si="42"/>
        <v>0</v>
      </c>
      <c r="P43" s="58">
        <f t="shared" ca="1" si="42"/>
        <v>0</v>
      </c>
      <c r="Q43" s="58">
        <f t="shared" ca="1" si="42"/>
        <v>0</v>
      </c>
      <c r="R43" s="58">
        <f t="shared" ca="1" si="42"/>
        <v>0</v>
      </c>
      <c r="S43" s="58">
        <f t="shared" ca="1" si="42"/>
        <v>0</v>
      </c>
      <c r="T43" s="58">
        <f t="shared" ca="1" si="42"/>
        <v>0</v>
      </c>
      <c r="U43" s="58">
        <f t="shared" ca="1" si="42"/>
        <v>0</v>
      </c>
      <c r="V43" s="58">
        <f t="shared" ca="1" si="42"/>
        <v>0</v>
      </c>
      <c r="W43" s="58">
        <f t="shared" ca="1" si="42"/>
        <v>0</v>
      </c>
      <c r="X43" s="58">
        <f t="shared" ca="1" si="42"/>
        <v>0</v>
      </c>
      <c r="Y43" s="58">
        <f t="shared" ca="1" si="42"/>
        <v>0</v>
      </c>
      <c r="Z43" s="58">
        <f t="shared" ca="1" si="42"/>
        <v>0</v>
      </c>
      <c r="AA43" s="58">
        <f t="shared" ca="1" si="42"/>
        <v>0</v>
      </c>
      <c r="AB43" s="58">
        <f t="shared" ca="1" si="42"/>
        <v>0</v>
      </c>
      <c r="AC43" s="58">
        <f t="shared" ca="1" si="42"/>
        <v>0</v>
      </c>
      <c r="AD43" s="58">
        <f t="shared" ca="1" si="42"/>
        <v>0</v>
      </c>
      <c r="AE43" s="58">
        <f t="shared" ca="1" si="42"/>
        <v>0</v>
      </c>
      <c r="AF43" s="58">
        <f t="shared" ca="1" si="42"/>
        <v>0</v>
      </c>
      <c r="AG43" s="58">
        <f t="shared" ca="1" si="42"/>
        <v>0</v>
      </c>
      <c r="AH43" s="874"/>
      <c r="AI43" s="874"/>
      <c r="AJ43" s="874"/>
      <c r="AK43" s="627">
        <v>41</v>
      </c>
      <c r="AL43" s="629">
        <f t="shared" si="6"/>
        <v>0.73995004466930159</v>
      </c>
      <c r="AM43" s="629">
        <f t="shared" si="1"/>
        <v>0.69870626682868964</v>
      </c>
      <c r="AN43" s="626" t="str">
        <f t="shared" si="2"/>
        <v>Success</v>
      </c>
      <c r="AO43" s="629" t="e">
        <f t="shared" si="4"/>
        <v>#N/A</v>
      </c>
      <c r="AP43" s="629">
        <v>0.69870626682868964</v>
      </c>
      <c r="AQ43" s="629">
        <f t="shared" ca="1" si="7"/>
        <v>0.95854413036399666</v>
      </c>
      <c r="AR43" s="326"/>
      <c r="AS43" s="326"/>
      <c r="AT43" s="326"/>
      <c r="AU43" s="326"/>
      <c r="AV43" s="326"/>
      <c r="AW43" s="326"/>
      <c r="AX43" s="326"/>
      <c r="AY43" s="326"/>
      <c r="AZ43" s="326"/>
      <c r="BA43" s="326"/>
      <c r="BB43" s="326"/>
    </row>
    <row r="44" spans="1:54">
      <c r="A44" s="19"/>
      <c r="B44" s="55" t="s">
        <v>818</v>
      </c>
      <c r="C44" s="58">
        <f t="shared" ref="C44:AG44" si="43">IF(C22=0,0,IF(C$10=0,0,(VLOOKUP(C22,$AK$3:$AN$102,4,FALSE))))</f>
        <v>0</v>
      </c>
      <c r="D44" s="58">
        <f t="shared" si="43"/>
        <v>0</v>
      </c>
      <c r="E44" s="58">
        <f t="shared" si="43"/>
        <v>0</v>
      </c>
      <c r="F44" s="58">
        <f t="shared" si="43"/>
        <v>0</v>
      </c>
      <c r="G44" s="58">
        <f t="shared" si="43"/>
        <v>0</v>
      </c>
      <c r="H44" s="58">
        <f t="shared" si="43"/>
        <v>0</v>
      </c>
      <c r="I44" s="58">
        <f t="shared" si="43"/>
        <v>0</v>
      </c>
      <c r="J44" s="58">
        <f t="shared" si="43"/>
        <v>0</v>
      </c>
      <c r="K44" s="58">
        <f t="shared" si="43"/>
        <v>0</v>
      </c>
      <c r="L44" s="58">
        <f t="shared" ca="1" si="43"/>
        <v>0</v>
      </c>
      <c r="M44" s="58">
        <f t="shared" ca="1" si="43"/>
        <v>0</v>
      </c>
      <c r="N44" s="58">
        <f t="shared" ca="1" si="43"/>
        <v>0</v>
      </c>
      <c r="O44" s="58">
        <f t="shared" ca="1" si="43"/>
        <v>0</v>
      </c>
      <c r="P44" s="58">
        <f t="shared" ca="1" si="43"/>
        <v>0</v>
      </c>
      <c r="Q44" s="58">
        <f t="shared" ca="1" si="43"/>
        <v>0</v>
      </c>
      <c r="R44" s="58">
        <f t="shared" ca="1" si="43"/>
        <v>0</v>
      </c>
      <c r="S44" s="58">
        <f t="shared" ca="1" si="43"/>
        <v>0</v>
      </c>
      <c r="T44" s="58">
        <f t="shared" ca="1" si="43"/>
        <v>0</v>
      </c>
      <c r="U44" s="58">
        <f t="shared" ca="1" si="43"/>
        <v>0</v>
      </c>
      <c r="V44" s="58">
        <f t="shared" ca="1" si="43"/>
        <v>0</v>
      </c>
      <c r="W44" s="58">
        <f t="shared" ca="1" si="43"/>
        <v>0</v>
      </c>
      <c r="X44" s="58">
        <f t="shared" ca="1" si="43"/>
        <v>0</v>
      </c>
      <c r="Y44" s="58">
        <f t="shared" ca="1" si="43"/>
        <v>0</v>
      </c>
      <c r="Z44" s="58">
        <f t="shared" ca="1" si="43"/>
        <v>0</v>
      </c>
      <c r="AA44" s="58">
        <f t="shared" ca="1" si="43"/>
        <v>0</v>
      </c>
      <c r="AB44" s="58">
        <f t="shared" ca="1" si="43"/>
        <v>0</v>
      </c>
      <c r="AC44" s="58">
        <f t="shared" ca="1" si="43"/>
        <v>0</v>
      </c>
      <c r="AD44" s="58">
        <f t="shared" ca="1" si="43"/>
        <v>0</v>
      </c>
      <c r="AE44" s="58">
        <f t="shared" ca="1" si="43"/>
        <v>0</v>
      </c>
      <c r="AF44" s="58">
        <f t="shared" ca="1" si="43"/>
        <v>0</v>
      </c>
      <c r="AG44" s="58">
        <f t="shared" ca="1" si="43"/>
        <v>0</v>
      </c>
      <c r="AH44" s="873"/>
      <c r="AI44" s="874"/>
      <c r="AJ44" s="874"/>
      <c r="AK44" s="627">
        <v>42</v>
      </c>
      <c r="AL44" s="629">
        <f t="shared" si="6"/>
        <v>0.74163687327983574</v>
      </c>
      <c r="AM44" s="629">
        <f t="shared" si="1"/>
        <v>0.79786218508026574</v>
      </c>
      <c r="AN44" s="626" t="str">
        <f t="shared" si="2"/>
        <v>Failure</v>
      </c>
      <c r="AO44" s="629">
        <f t="shared" si="4"/>
        <v>0.74163687327983574</v>
      </c>
      <c r="AP44" s="629">
        <v>0.79786218508026574</v>
      </c>
      <c r="AQ44" s="629">
        <f t="shared" ca="1" si="7"/>
        <v>0.65915312674748561</v>
      </c>
      <c r="AR44" s="326"/>
      <c r="AS44" s="326"/>
      <c r="AT44" s="326"/>
      <c r="AU44" s="326"/>
      <c r="AV44" s="326"/>
      <c r="AW44" s="326"/>
      <c r="AX44" s="326"/>
      <c r="AY44" s="326"/>
      <c r="AZ44" s="326"/>
      <c r="BA44" s="326"/>
      <c r="BB44" s="326"/>
    </row>
    <row r="45" spans="1:54">
      <c r="A45" s="19"/>
      <c r="B45" s="55" t="s">
        <v>819</v>
      </c>
      <c r="C45" s="58">
        <f t="shared" ref="C45:AG45" si="44">IF(C23=0,0,IF(C$10=0,0,(VLOOKUP(C23,$AK$3:$AN$102,4,FALSE))))</f>
        <v>0</v>
      </c>
      <c r="D45" s="58">
        <f t="shared" si="44"/>
        <v>0</v>
      </c>
      <c r="E45" s="58">
        <f t="shared" si="44"/>
        <v>0</v>
      </c>
      <c r="F45" s="58">
        <f t="shared" si="44"/>
        <v>0</v>
      </c>
      <c r="G45" s="58">
        <f t="shared" si="44"/>
        <v>0</v>
      </c>
      <c r="H45" s="58">
        <f t="shared" si="44"/>
        <v>0</v>
      </c>
      <c r="I45" s="58">
        <f t="shared" si="44"/>
        <v>0</v>
      </c>
      <c r="J45" s="58">
        <f t="shared" si="44"/>
        <v>0</v>
      </c>
      <c r="K45" s="58">
        <f t="shared" si="44"/>
        <v>0</v>
      </c>
      <c r="L45" s="58">
        <f t="shared" ca="1" si="44"/>
        <v>0</v>
      </c>
      <c r="M45" s="58">
        <f t="shared" ca="1" si="44"/>
        <v>0</v>
      </c>
      <c r="N45" s="58">
        <f t="shared" ca="1" si="44"/>
        <v>0</v>
      </c>
      <c r="O45" s="58">
        <f t="shared" ca="1" si="44"/>
        <v>0</v>
      </c>
      <c r="P45" s="58">
        <f t="shared" ca="1" si="44"/>
        <v>0</v>
      </c>
      <c r="Q45" s="58">
        <f t="shared" ca="1" si="44"/>
        <v>0</v>
      </c>
      <c r="R45" s="58">
        <f t="shared" ca="1" si="44"/>
        <v>0</v>
      </c>
      <c r="S45" s="58">
        <f t="shared" ca="1" si="44"/>
        <v>0</v>
      </c>
      <c r="T45" s="58">
        <f t="shared" ca="1" si="44"/>
        <v>0</v>
      </c>
      <c r="U45" s="58">
        <f t="shared" ca="1" si="44"/>
        <v>0</v>
      </c>
      <c r="V45" s="58">
        <f t="shared" ca="1" si="44"/>
        <v>0</v>
      </c>
      <c r="W45" s="58">
        <f t="shared" ca="1" si="44"/>
        <v>0</v>
      </c>
      <c r="X45" s="58">
        <f t="shared" ca="1" si="44"/>
        <v>0</v>
      </c>
      <c r="Y45" s="58">
        <f t="shared" ca="1" si="44"/>
        <v>0</v>
      </c>
      <c r="Z45" s="58">
        <f t="shared" ca="1" si="44"/>
        <v>0</v>
      </c>
      <c r="AA45" s="58">
        <f t="shared" ca="1" si="44"/>
        <v>0</v>
      </c>
      <c r="AB45" s="58">
        <f t="shared" ca="1" si="44"/>
        <v>0</v>
      </c>
      <c r="AC45" s="58">
        <f t="shared" ca="1" si="44"/>
        <v>0</v>
      </c>
      <c r="AD45" s="58">
        <f t="shared" ca="1" si="44"/>
        <v>0</v>
      </c>
      <c r="AE45" s="58">
        <f t="shared" ca="1" si="44"/>
        <v>0</v>
      </c>
      <c r="AF45" s="58">
        <f t="shared" ca="1" si="44"/>
        <v>0</v>
      </c>
      <c r="AG45" s="58">
        <f t="shared" ca="1" si="44"/>
        <v>0</v>
      </c>
      <c r="AH45" s="873"/>
      <c r="AI45" s="874"/>
      <c r="AJ45" s="874"/>
      <c r="AK45" s="627">
        <v>43</v>
      </c>
      <c r="AL45" s="629">
        <f t="shared" si="6"/>
        <v>0.74328400809854944</v>
      </c>
      <c r="AM45" s="629">
        <f t="shared" si="1"/>
        <v>0.55565312260201016</v>
      </c>
      <c r="AN45" s="626" t="str">
        <f t="shared" si="2"/>
        <v>Success</v>
      </c>
      <c r="AO45" s="629" t="e">
        <f t="shared" si="4"/>
        <v>#N/A</v>
      </c>
      <c r="AP45" s="629">
        <v>0.55565312260201016</v>
      </c>
      <c r="AQ45" s="629">
        <f t="shared" ca="1" si="7"/>
        <v>0.43774333569231494</v>
      </c>
    </row>
    <row r="46" spans="1:54">
      <c r="A46" s="19"/>
      <c r="B46" s="55" t="s">
        <v>820</v>
      </c>
      <c r="C46" s="58">
        <f t="shared" ref="C46:AG46" si="45">IF(C24=0,0,IF(C$10=0,0,(VLOOKUP(C24,$AK$3:$AN$102,4,FALSE))))</f>
        <v>0</v>
      </c>
      <c r="D46" s="58">
        <f t="shared" si="45"/>
        <v>0</v>
      </c>
      <c r="E46" s="58">
        <f t="shared" si="45"/>
        <v>0</v>
      </c>
      <c r="F46" s="58">
        <f t="shared" si="45"/>
        <v>0</v>
      </c>
      <c r="G46" s="58">
        <f t="shared" si="45"/>
        <v>0</v>
      </c>
      <c r="H46" s="58">
        <f t="shared" si="45"/>
        <v>0</v>
      </c>
      <c r="I46" s="58">
        <f t="shared" si="45"/>
        <v>0</v>
      </c>
      <c r="J46" s="58">
        <f t="shared" si="45"/>
        <v>0</v>
      </c>
      <c r="K46" s="58">
        <f t="shared" si="45"/>
        <v>0</v>
      </c>
      <c r="L46" s="58">
        <f t="shared" ca="1" si="45"/>
        <v>0</v>
      </c>
      <c r="M46" s="58">
        <f t="shared" ca="1" si="45"/>
        <v>0</v>
      </c>
      <c r="N46" s="58">
        <f t="shared" ca="1" si="45"/>
        <v>0</v>
      </c>
      <c r="O46" s="58">
        <f t="shared" ca="1" si="45"/>
        <v>0</v>
      </c>
      <c r="P46" s="58">
        <f t="shared" ca="1" si="45"/>
        <v>0</v>
      </c>
      <c r="Q46" s="58">
        <f t="shared" ca="1" si="45"/>
        <v>0</v>
      </c>
      <c r="R46" s="58">
        <f t="shared" ca="1" si="45"/>
        <v>0</v>
      </c>
      <c r="S46" s="58">
        <f t="shared" ca="1" si="45"/>
        <v>0</v>
      </c>
      <c r="T46" s="58">
        <f t="shared" ca="1" si="45"/>
        <v>0</v>
      </c>
      <c r="U46" s="58">
        <f t="shared" ca="1" si="45"/>
        <v>0</v>
      </c>
      <c r="V46" s="58">
        <f t="shared" ca="1" si="45"/>
        <v>0</v>
      </c>
      <c r="W46" s="58">
        <f t="shared" ca="1" si="45"/>
        <v>0</v>
      </c>
      <c r="X46" s="58">
        <f t="shared" ca="1" si="45"/>
        <v>0</v>
      </c>
      <c r="Y46" s="58">
        <f t="shared" ca="1" si="45"/>
        <v>0</v>
      </c>
      <c r="Z46" s="58">
        <f t="shared" ca="1" si="45"/>
        <v>0</v>
      </c>
      <c r="AA46" s="58">
        <f t="shared" ca="1" si="45"/>
        <v>0</v>
      </c>
      <c r="AB46" s="58">
        <f t="shared" ca="1" si="45"/>
        <v>0</v>
      </c>
      <c r="AC46" s="58">
        <f t="shared" ca="1" si="45"/>
        <v>0</v>
      </c>
      <c r="AD46" s="58">
        <f t="shared" ca="1" si="45"/>
        <v>0</v>
      </c>
      <c r="AE46" s="58">
        <f t="shared" ca="1" si="45"/>
        <v>0</v>
      </c>
      <c r="AF46" s="58">
        <f t="shared" ca="1" si="45"/>
        <v>0</v>
      </c>
      <c r="AG46" s="58">
        <f t="shared" ca="1" si="45"/>
        <v>0</v>
      </c>
      <c r="AH46" s="873"/>
      <c r="AI46" s="874"/>
      <c r="AJ46" s="874"/>
      <c r="AK46" s="627">
        <v>44</v>
      </c>
      <c r="AL46" s="629">
        <f t="shared" si="6"/>
        <v>0.74489327437427821</v>
      </c>
      <c r="AM46" s="629">
        <f t="shared" si="1"/>
        <v>3.6604334137197769E-2</v>
      </c>
      <c r="AN46" s="626" t="str">
        <f t="shared" si="2"/>
        <v>Success</v>
      </c>
      <c r="AO46" s="629" t="e">
        <f t="shared" si="4"/>
        <v>#N/A</v>
      </c>
      <c r="AP46" s="629">
        <v>3.6604334137197769E-2</v>
      </c>
      <c r="AQ46" s="629">
        <f t="shared" ca="1" si="7"/>
        <v>8.891423678056265E-2</v>
      </c>
    </row>
    <row r="47" spans="1:54">
      <c r="A47" s="19"/>
      <c r="B47" s="55" t="s">
        <v>821</v>
      </c>
      <c r="C47" s="58">
        <f t="shared" ref="C47:AG47" si="46">IF(C25=0,0,IF(C$10=0,0,(VLOOKUP(C25,$AK$3:$AN$102,4,FALSE))))</f>
        <v>0</v>
      </c>
      <c r="D47" s="58">
        <f t="shared" si="46"/>
        <v>0</v>
      </c>
      <c r="E47" s="58">
        <f t="shared" si="46"/>
        <v>0</v>
      </c>
      <c r="F47" s="58">
        <f t="shared" si="46"/>
        <v>0</v>
      </c>
      <c r="G47" s="58">
        <f t="shared" si="46"/>
        <v>0</v>
      </c>
      <c r="H47" s="58">
        <f t="shared" si="46"/>
        <v>0</v>
      </c>
      <c r="I47" s="58">
        <f t="shared" si="46"/>
        <v>0</v>
      </c>
      <c r="J47" s="58">
        <f t="shared" si="46"/>
        <v>0</v>
      </c>
      <c r="K47" s="58">
        <f t="shared" si="46"/>
        <v>0</v>
      </c>
      <c r="L47" s="58">
        <f t="shared" ca="1" si="46"/>
        <v>0</v>
      </c>
      <c r="M47" s="58">
        <f t="shared" ca="1" si="46"/>
        <v>0</v>
      </c>
      <c r="N47" s="58">
        <f t="shared" ca="1" si="46"/>
        <v>0</v>
      </c>
      <c r="O47" s="58">
        <f t="shared" ca="1" si="46"/>
        <v>0</v>
      </c>
      <c r="P47" s="58">
        <f t="shared" ca="1" si="46"/>
        <v>0</v>
      </c>
      <c r="Q47" s="58">
        <f t="shared" ca="1" si="46"/>
        <v>0</v>
      </c>
      <c r="R47" s="58">
        <f t="shared" ca="1" si="46"/>
        <v>0</v>
      </c>
      <c r="S47" s="58">
        <f t="shared" ca="1" si="46"/>
        <v>0</v>
      </c>
      <c r="T47" s="58">
        <f t="shared" ca="1" si="46"/>
        <v>0</v>
      </c>
      <c r="U47" s="58">
        <f t="shared" ca="1" si="46"/>
        <v>0</v>
      </c>
      <c r="V47" s="58">
        <f t="shared" ca="1" si="46"/>
        <v>0</v>
      </c>
      <c r="W47" s="58">
        <f t="shared" ca="1" si="46"/>
        <v>0</v>
      </c>
      <c r="X47" s="58">
        <f t="shared" ca="1" si="46"/>
        <v>0</v>
      </c>
      <c r="Y47" s="58">
        <f t="shared" ca="1" si="46"/>
        <v>0</v>
      </c>
      <c r="Z47" s="58">
        <f t="shared" ca="1" si="46"/>
        <v>0</v>
      </c>
      <c r="AA47" s="58">
        <f t="shared" ca="1" si="46"/>
        <v>0</v>
      </c>
      <c r="AB47" s="58">
        <f t="shared" ca="1" si="46"/>
        <v>0</v>
      </c>
      <c r="AC47" s="58">
        <f t="shared" ca="1" si="46"/>
        <v>0</v>
      </c>
      <c r="AD47" s="58">
        <f t="shared" ca="1" si="46"/>
        <v>0</v>
      </c>
      <c r="AE47" s="58">
        <f t="shared" ca="1" si="46"/>
        <v>0</v>
      </c>
      <c r="AF47" s="58">
        <f t="shared" ca="1" si="46"/>
        <v>0</v>
      </c>
      <c r="AG47" s="58">
        <f t="shared" ca="1" si="46"/>
        <v>0</v>
      </c>
      <c r="AH47" s="873"/>
      <c r="AI47" s="874"/>
      <c r="AJ47" s="874"/>
      <c r="AK47" s="627">
        <v>45</v>
      </c>
      <c r="AL47" s="629">
        <f t="shared" si="6"/>
        <v>0.74646637428392237</v>
      </c>
      <c r="AM47" s="629">
        <f t="shared" si="1"/>
        <v>0.95959089084008797</v>
      </c>
      <c r="AN47" s="626" t="str">
        <f t="shared" si="2"/>
        <v>Failure</v>
      </c>
      <c r="AO47" s="629">
        <f t="shared" si="4"/>
        <v>0.74646637428392237</v>
      </c>
      <c r="AP47" s="629">
        <v>0.95959089084008797</v>
      </c>
      <c r="AQ47" s="629">
        <f t="shared" ca="1" si="7"/>
        <v>0.47756137018271128</v>
      </c>
    </row>
    <row r="48" spans="1:54">
      <c r="A48" s="19"/>
      <c r="B48" s="55" t="s">
        <v>822</v>
      </c>
      <c r="C48" s="58">
        <f t="shared" ref="C48:AG48" si="47">IF(C26=0,0,IF(C$10=0,0,(VLOOKUP(C26,$AK$3:$AN$102,4,FALSE))))</f>
        <v>0</v>
      </c>
      <c r="D48" s="58">
        <f t="shared" si="47"/>
        <v>0</v>
      </c>
      <c r="E48" s="58">
        <f t="shared" si="47"/>
        <v>0</v>
      </c>
      <c r="F48" s="58">
        <f t="shared" si="47"/>
        <v>0</v>
      </c>
      <c r="G48" s="58">
        <f t="shared" si="47"/>
        <v>0</v>
      </c>
      <c r="H48" s="58">
        <f t="shared" si="47"/>
        <v>0</v>
      </c>
      <c r="I48" s="58">
        <f t="shared" si="47"/>
        <v>0</v>
      </c>
      <c r="J48" s="58">
        <f t="shared" si="47"/>
        <v>0</v>
      </c>
      <c r="K48" s="58">
        <f t="shared" si="47"/>
        <v>0</v>
      </c>
      <c r="L48" s="58">
        <f t="shared" ca="1" si="47"/>
        <v>0</v>
      </c>
      <c r="M48" s="58">
        <f t="shared" ca="1" si="47"/>
        <v>0</v>
      </c>
      <c r="N48" s="58">
        <f t="shared" ca="1" si="47"/>
        <v>0</v>
      </c>
      <c r="O48" s="58">
        <f t="shared" ca="1" si="47"/>
        <v>0</v>
      </c>
      <c r="P48" s="58">
        <f t="shared" ca="1" si="47"/>
        <v>0</v>
      </c>
      <c r="Q48" s="58">
        <f t="shared" ca="1" si="47"/>
        <v>0</v>
      </c>
      <c r="R48" s="58">
        <f t="shared" ca="1" si="47"/>
        <v>0</v>
      </c>
      <c r="S48" s="58">
        <f t="shared" ca="1" si="47"/>
        <v>0</v>
      </c>
      <c r="T48" s="58">
        <f t="shared" ca="1" si="47"/>
        <v>0</v>
      </c>
      <c r="U48" s="58">
        <f t="shared" ca="1" si="47"/>
        <v>0</v>
      </c>
      <c r="V48" s="58">
        <f t="shared" ca="1" si="47"/>
        <v>0</v>
      </c>
      <c r="W48" s="58">
        <f t="shared" ca="1" si="47"/>
        <v>0</v>
      </c>
      <c r="X48" s="58">
        <f t="shared" ca="1" si="47"/>
        <v>0</v>
      </c>
      <c r="Y48" s="58">
        <f t="shared" ca="1" si="47"/>
        <v>0</v>
      </c>
      <c r="Z48" s="58">
        <f t="shared" ca="1" si="47"/>
        <v>0</v>
      </c>
      <c r="AA48" s="58">
        <f t="shared" ca="1" si="47"/>
        <v>0</v>
      </c>
      <c r="AB48" s="58">
        <f t="shared" ca="1" si="47"/>
        <v>0</v>
      </c>
      <c r="AC48" s="58">
        <f t="shared" ca="1" si="47"/>
        <v>0</v>
      </c>
      <c r="AD48" s="58">
        <f t="shared" ca="1" si="47"/>
        <v>0</v>
      </c>
      <c r="AE48" s="58">
        <f t="shared" ca="1" si="47"/>
        <v>0</v>
      </c>
      <c r="AF48" s="58">
        <f t="shared" ca="1" si="47"/>
        <v>0</v>
      </c>
      <c r="AG48" s="58">
        <f t="shared" ca="1" si="47"/>
        <v>0</v>
      </c>
      <c r="AH48" s="873"/>
      <c r="AI48" s="874"/>
      <c r="AJ48" s="874"/>
      <c r="AK48" s="627">
        <v>46</v>
      </c>
      <c r="AL48" s="629">
        <f t="shared" ref="AL48:AL67" si="48">IF($I$4="y=m*x+b",IF($I$6*AK48+$I$5&gt;1,1,$I$6*AK48+$I$5),IF($I$6*LN(AK48)+$I$5&gt;1,1,$I$6*LN(AK48)+$I$5))</f>
        <v>0.74800489775423662</v>
      </c>
      <c r="AM48" s="629">
        <f t="shared" si="1"/>
        <v>0.84504804109646547</v>
      </c>
      <c r="AN48" s="626" t="str">
        <f t="shared" si="2"/>
        <v>Failure</v>
      </c>
      <c r="AO48" s="629">
        <f t="shared" si="4"/>
        <v>0.74800489775423662</v>
      </c>
      <c r="AP48" s="629">
        <v>0.84504804109646547</v>
      </c>
      <c r="AQ48" s="629">
        <f t="shared" ref="AQ48:AQ67" ca="1" si="49">RAND()</f>
        <v>5.7836321243696642E-2</v>
      </c>
    </row>
    <row r="49" spans="1:43">
      <c r="A49" s="19"/>
      <c r="B49" s="55" t="s">
        <v>823</v>
      </c>
      <c r="C49" s="58">
        <f t="shared" ref="C49:AG49" si="50">IF(C27=0,0,IF(C$10=0,0,(VLOOKUP(C27,$AK$3:$AN$102,4,FALSE))))</f>
        <v>0</v>
      </c>
      <c r="D49" s="58">
        <f t="shared" si="50"/>
        <v>0</v>
      </c>
      <c r="E49" s="58">
        <f t="shared" si="50"/>
        <v>0</v>
      </c>
      <c r="F49" s="58">
        <f t="shared" si="50"/>
        <v>0</v>
      </c>
      <c r="G49" s="58">
        <f t="shared" si="50"/>
        <v>0</v>
      </c>
      <c r="H49" s="58">
        <f t="shared" si="50"/>
        <v>0</v>
      </c>
      <c r="I49" s="58">
        <f t="shared" si="50"/>
        <v>0</v>
      </c>
      <c r="J49" s="58">
        <f t="shared" si="50"/>
        <v>0</v>
      </c>
      <c r="K49" s="58">
        <f t="shared" si="50"/>
        <v>0</v>
      </c>
      <c r="L49" s="58">
        <f t="shared" ca="1" si="50"/>
        <v>0</v>
      </c>
      <c r="M49" s="58">
        <f t="shared" ca="1" si="50"/>
        <v>0</v>
      </c>
      <c r="N49" s="58">
        <f t="shared" ca="1" si="50"/>
        <v>0</v>
      </c>
      <c r="O49" s="58">
        <f t="shared" ca="1" si="50"/>
        <v>0</v>
      </c>
      <c r="P49" s="58">
        <f t="shared" ca="1" si="50"/>
        <v>0</v>
      </c>
      <c r="Q49" s="58">
        <f t="shared" ca="1" si="50"/>
        <v>0</v>
      </c>
      <c r="R49" s="58">
        <f t="shared" ca="1" si="50"/>
        <v>0</v>
      </c>
      <c r="S49" s="58">
        <f t="shared" ca="1" si="50"/>
        <v>0</v>
      </c>
      <c r="T49" s="58">
        <f t="shared" ca="1" si="50"/>
        <v>0</v>
      </c>
      <c r="U49" s="58">
        <f t="shared" ca="1" si="50"/>
        <v>0</v>
      </c>
      <c r="V49" s="58">
        <f t="shared" ca="1" si="50"/>
        <v>0</v>
      </c>
      <c r="W49" s="58">
        <f t="shared" ca="1" si="50"/>
        <v>0</v>
      </c>
      <c r="X49" s="58">
        <f t="shared" ca="1" si="50"/>
        <v>0</v>
      </c>
      <c r="Y49" s="58">
        <f t="shared" ca="1" si="50"/>
        <v>0</v>
      </c>
      <c r="Z49" s="58">
        <f t="shared" ca="1" si="50"/>
        <v>0</v>
      </c>
      <c r="AA49" s="58">
        <f t="shared" ca="1" si="50"/>
        <v>0</v>
      </c>
      <c r="AB49" s="58">
        <f t="shared" ca="1" si="50"/>
        <v>0</v>
      </c>
      <c r="AC49" s="58">
        <f t="shared" ca="1" si="50"/>
        <v>0</v>
      </c>
      <c r="AD49" s="58">
        <f t="shared" ca="1" si="50"/>
        <v>0</v>
      </c>
      <c r="AE49" s="58">
        <f t="shared" ca="1" si="50"/>
        <v>0</v>
      </c>
      <c r="AF49" s="58">
        <f t="shared" ca="1" si="50"/>
        <v>0</v>
      </c>
      <c r="AG49" s="58">
        <f t="shared" ca="1" si="50"/>
        <v>0</v>
      </c>
      <c r="AH49" s="873"/>
      <c r="AI49" s="874"/>
      <c r="AJ49" s="874"/>
      <c r="AK49" s="627">
        <v>47</v>
      </c>
      <c r="AL49" s="629">
        <f t="shared" si="48"/>
        <v>0.74951033211970408</v>
      </c>
      <c r="AM49" s="629">
        <f t="shared" si="1"/>
        <v>0.54947540967230113</v>
      </c>
      <c r="AN49" s="626" t="str">
        <f t="shared" si="2"/>
        <v>Success</v>
      </c>
      <c r="AO49" s="629" t="e">
        <f t="shared" si="4"/>
        <v>#N/A</v>
      </c>
      <c r="AP49" s="629">
        <v>0.54947540967230113</v>
      </c>
      <c r="AQ49" s="629">
        <f t="shared" ca="1" si="49"/>
        <v>0.71096009644721148</v>
      </c>
    </row>
    <row r="50" spans="1:43">
      <c r="A50" s="19"/>
      <c r="B50" s="55" t="s">
        <v>824</v>
      </c>
      <c r="C50" s="58">
        <f t="shared" ref="C50:AG50" si="51">IF(C28=0,0,IF(C$10=0,0,(VLOOKUP(C28,$AK$3:$AN$102,4,FALSE))))</f>
        <v>0</v>
      </c>
      <c r="D50" s="58">
        <f t="shared" si="51"/>
        <v>0</v>
      </c>
      <c r="E50" s="58">
        <f t="shared" si="51"/>
        <v>0</v>
      </c>
      <c r="F50" s="58">
        <f t="shared" si="51"/>
        <v>0</v>
      </c>
      <c r="G50" s="58">
        <f t="shared" si="51"/>
        <v>0</v>
      </c>
      <c r="H50" s="58">
        <f t="shared" si="51"/>
        <v>0</v>
      </c>
      <c r="I50" s="58">
        <f t="shared" si="51"/>
        <v>0</v>
      </c>
      <c r="J50" s="58">
        <f t="shared" si="51"/>
        <v>0</v>
      </c>
      <c r="K50" s="58">
        <f t="shared" si="51"/>
        <v>0</v>
      </c>
      <c r="L50" s="58">
        <f t="shared" ca="1" si="51"/>
        <v>0</v>
      </c>
      <c r="M50" s="58">
        <f t="shared" ca="1" si="51"/>
        <v>0</v>
      </c>
      <c r="N50" s="58">
        <f t="shared" ca="1" si="51"/>
        <v>0</v>
      </c>
      <c r="O50" s="58">
        <f t="shared" ca="1" si="51"/>
        <v>0</v>
      </c>
      <c r="P50" s="58">
        <f t="shared" ca="1" si="51"/>
        <v>0</v>
      </c>
      <c r="Q50" s="58">
        <f t="shared" ca="1" si="51"/>
        <v>0</v>
      </c>
      <c r="R50" s="58">
        <f t="shared" ca="1" si="51"/>
        <v>0</v>
      </c>
      <c r="S50" s="58">
        <f t="shared" ca="1" si="51"/>
        <v>0</v>
      </c>
      <c r="T50" s="58">
        <f t="shared" ca="1" si="51"/>
        <v>0</v>
      </c>
      <c r="U50" s="58">
        <f t="shared" ca="1" si="51"/>
        <v>0</v>
      </c>
      <c r="V50" s="58">
        <f t="shared" ca="1" si="51"/>
        <v>0</v>
      </c>
      <c r="W50" s="58">
        <f t="shared" ca="1" si="51"/>
        <v>0</v>
      </c>
      <c r="X50" s="58">
        <f t="shared" ca="1" si="51"/>
        <v>0</v>
      </c>
      <c r="Y50" s="58">
        <f t="shared" ca="1" si="51"/>
        <v>0</v>
      </c>
      <c r="Z50" s="58">
        <f t="shared" ca="1" si="51"/>
        <v>0</v>
      </c>
      <c r="AA50" s="58">
        <f t="shared" ca="1" si="51"/>
        <v>0</v>
      </c>
      <c r="AB50" s="58">
        <f t="shared" ca="1" si="51"/>
        <v>0</v>
      </c>
      <c r="AC50" s="58">
        <f t="shared" ca="1" si="51"/>
        <v>0</v>
      </c>
      <c r="AD50" s="58">
        <f t="shared" ca="1" si="51"/>
        <v>0</v>
      </c>
      <c r="AE50" s="58">
        <f t="shared" ca="1" si="51"/>
        <v>0</v>
      </c>
      <c r="AF50" s="58">
        <f t="shared" ca="1" si="51"/>
        <v>0</v>
      </c>
      <c r="AG50" s="58">
        <f t="shared" ca="1" si="51"/>
        <v>0</v>
      </c>
      <c r="AH50" s="873"/>
      <c r="AI50" s="874"/>
      <c r="AJ50" s="874"/>
      <c r="AK50" s="627">
        <v>48</v>
      </c>
      <c r="AL50" s="629">
        <f t="shared" si="48"/>
        <v>0.75098407076355245</v>
      </c>
      <c r="AM50" s="629">
        <f t="shared" si="1"/>
        <v>0.64636512182560435</v>
      </c>
      <c r="AN50" s="626" t="str">
        <f t="shared" si="2"/>
        <v>Success</v>
      </c>
      <c r="AO50" s="629" t="e">
        <f t="shared" si="4"/>
        <v>#N/A</v>
      </c>
      <c r="AP50" s="629">
        <v>0.64636512182560435</v>
      </c>
      <c r="AQ50" s="629">
        <f t="shared" ca="1" si="49"/>
        <v>0.3128131182080145</v>
      </c>
    </row>
    <row r="51" spans="1:43">
      <c r="A51" s="19"/>
      <c r="B51" s="55" t="s">
        <v>825</v>
      </c>
      <c r="C51" s="58">
        <f t="shared" ref="C51:AG51" si="52">IF(C29=0,0,IF(C$10=0,0,(VLOOKUP(C29,$AK$3:$AN$102,4,FALSE))))</f>
        <v>0</v>
      </c>
      <c r="D51" s="58">
        <f t="shared" si="52"/>
        <v>0</v>
      </c>
      <c r="E51" s="58">
        <f t="shared" si="52"/>
        <v>0</v>
      </c>
      <c r="F51" s="58">
        <f t="shared" si="52"/>
        <v>0</v>
      </c>
      <c r="G51" s="58">
        <f t="shared" si="52"/>
        <v>0</v>
      </c>
      <c r="H51" s="58">
        <f t="shared" si="52"/>
        <v>0</v>
      </c>
      <c r="I51" s="58">
        <f t="shared" si="52"/>
        <v>0</v>
      </c>
      <c r="J51" s="58">
        <f t="shared" si="52"/>
        <v>0</v>
      </c>
      <c r="K51" s="58">
        <f t="shared" si="52"/>
        <v>0</v>
      </c>
      <c r="L51" s="58">
        <f t="shared" ca="1" si="52"/>
        <v>0</v>
      </c>
      <c r="M51" s="58">
        <f t="shared" ca="1" si="52"/>
        <v>0</v>
      </c>
      <c r="N51" s="58">
        <f t="shared" ca="1" si="52"/>
        <v>0</v>
      </c>
      <c r="O51" s="58">
        <f t="shared" ca="1" si="52"/>
        <v>0</v>
      </c>
      <c r="P51" s="58">
        <f t="shared" ca="1" si="52"/>
        <v>0</v>
      </c>
      <c r="Q51" s="58">
        <f t="shared" ca="1" si="52"/>
        <v>0</v>
      </c>
      <c r="R51" s="58">
        <f t="shared" ca="1" si="52"/>
        <v>0</v>
      </c>
      <c r="S51" s="58">
        <f t="shared" ca="1" si="52"/>
        <v>0</v>
      </c>
      <c r="T51" s="58">
        <f t="shared" ca="1" si="52"/>
        <v>0</v>
      </c>
      <c r="U51" s="58">
        <f t="shared" ca="1" si="52"/>
        <v>0</v>
      </c>
      <c r="V51" s="58">
        <f t="shared" ca="1" si="52"/>
        <v>0</v>
      </c>
      <c r="W51" s="58">
        <f t="shared" ca="1" si="52"/>
        <v>0</v>
      </c>
      <c r="X51" s="58">
        <f t="shared" ca="1" si="52"/>
        <v>0</v>
      </c>
      <c r="Y51" s="58">
        <f t="shared" ca="1" si="52"/>
        <v>0</v>
      </c>
      <c r="Z51" s="58">
        <f t="shared" ca="1" si="52"/>
        <v>0</v>
      </c>
      <c r="AA51" s="58">
        <f t="shared" ca="1" si="52"/>
        <v>0</v>
      </c>
      <c r="AB51" s="58">
        <f t="shared" ca="1" si="52"/>
        <v>0</v>
      </c>
      <c r="AC51" s="58">
        <f t="shared" ca="1" si="52"/>
        <v>0</v>
      </c>
      <c r="AD51" s="58">
        <f t="shared" ca="1" si="52"/>
        <v>0</v>
      </c>
      <c r="AE51" s="58">
        <f t="shared" ca="1" si="52"/>
        <v>0</v>
      </c>
      <c r="AF51" s="58">
        <f t="shared" ca="1" si="52"/>
        <v>0</v>
      </c>
      <c r="AG51" s="58">
        <f t="shared" ca="1" si="52"/>
        <v>0</v>
      </c>
      <c r="AH51" s="873"/>
      <c r="AI51" s="874"/>
      <c r="AJ51" s="874"/>
      <c r="AK51" s="627">
        <v>49</v>
      </c>
      <c r="AL51" s="629">
        <f t="shared" si="48"/>
        <v>0.75242742086774383</v>
      </c>
      <c r="AM51" s="629">
        <f t="shared" si="1"/>
        <v>0.36804122671097494</v>
      </c>
      <c r="AN51" s="626" t="str">
        <f t="shared" si="2"/>
        <v>Success</v>
      </c>
      <c r="AO51" s="629" t="e">
        <f t="shared" si="4"/>
        <v>#N/A</v>
      </c>
      <c r="AP51" s="629">
        <v>0.36804122671097494</v>
      </c>
      <c r="AQ51" s="629">
        <f t="shared" ca="1" si="49"/>
        <v>0.27638549086630815</v>
      </c>
    </row>
    <row r="52" spans="1:43">
      <c r="A52" s="19"/>
      <c r="B52" s="55" t="s">
        <v>826</v>
      </c>
      <c r="C52" s="58">
        <f t="shared" ref="C52:AG52" si="53">IF(C30=0,0,IF(C$10=0,0,(VLOOKUP(C30,$AK$3:$AN$102,4,FALSE))))</f>
        <v>0</v>
      </c>
      <c r="D52" s="58">
        <f t="shared" si="53"/>
        <v>0</v>
      </c>
      <c r="E52" s="58">
        <f t="shared" si="53"/>
        <v>0</v>
      </c>
      <c r="F52" s="58">
        <f t="shared" si="53"/>
        <v>0</v>
      </c>
      <c r="G52" s="58">
        <f t="shared" si="53"/>
        <v>0</v>
      </c>
      <c r="H52" s="58">
        <f t="shared" si="53"/>
        <v>0</v>
      </c>
      <c r="I52" s="58">
        <f t="shared" si="53"/>
        <v>0</v>
      </c>
      <c r="J52" s="58">
        <f t="shared" si="53"/>
        <v>0</v>
      </c>
      <c r="K52" s="58">
        <f t="shared" si="53"/>
        <v>0</v>
      </c>
      <c r="L52" s="58">
        <f t="shared" ca="1" si="53"/>
        <v>0</v>
      </c>
      <c r="M52" s="58">
        <f t="shared" ca="1" si="53"/>
        <v>0</v>
      </c>
      <c r="N52" s="58">
        <f t="shared" ca="1" si="53"/>
        <v>0</v>
      </c>
      <c r="O52" s="58">
        <f t="shared" ca="1" si="53"/>
        <v>0</v>
      </c>
      <c r="P52" s="58">
        <f t="shared" ca="1" si="53"/>
        <v>0</v>
      </c>
      <c r="Q52" s="58">
        <f t="shared" ca="1" si="53"/>
        <v>0</v>
      </c>
      <c r="R52" s="58">
        <f t="shared" ca="1" si="53"/>
        <v>0</v>
      </c>
      <c r="S52" s="58">
        <f t="shared" ca="1" si="53"/>
        <v>0</v>
      </c>
      <c r="T52" s="58">
        <f t="shared" ca="1" si="53"/>
        <v>0</v>
      </c>
      <c r="U52" s="58">
        <f t="shared" ca="1" si="53"/>
        <v>0</v>
      </c>
      <c r="V52" s="58">
        <f t="shared" ca="1" si="53"/>
        <v>0</v>
      </c>
      <c r="W52" s="58">
        <f t="shared" ca="1" si="53"/>
        <v>0</v>
      </c>
      <c r="X52" s="58">
        <f t="shared" ca="1" si="53"/>
        <v>0</v>
      </c>
      <c r="Y52" s="58">
        <f t="shared" ca="1" si="53"/>
        <v>0</v>
      </c>
      <c r="Z52" s="58">
        <f t="shared" ca="1" si="53"/>
        <v>0</v>
      </c>
      <c r="AA52" s="58">
        <f t="shared" ca="1" si="53"/>
        <v>0</v>
      </c>
      <c r="AB52" s="58">
        <f t="shared" ca="1" si="53"/>
        <v>0</v>
      </c>
      <c r="AC52" s="58">
        <f t="shared" ca="1" si="53"/>
        <v>0</v>
      </c>
      <c r="AD52" s="58">
        <f t="shared" ca="1" si="53"/>
        <v>0</v>
      </c>
      <c r="AE52" s="58">
        <f t="shared" ca="1" si="53"/>
        <v>0</v>
      </c>
      <c r="AF52" s="58">
        <f t="shared" ca="1" si="53"/>
        <v>0</v>
      </c>
      <c r="AG52" s="58">
        <f t="shared" ca="1" si="53"/>
        <v>0</v>
      </c>
      <c r="AH52" s="874"/>
      <c r="AI52" s="874"/>
      <c r="AJ52" s="874"/>
      <c r="AK52" s="627">
        <v>50</v>
      </c>
      <c r="AL52" s="629">
        <f t="shared" si="48"/>
        <v>0.75384161037997022</v>
      </c>
      <c r="AM52" s="629">
        <f t="shared" si="1"/>
        <v>0.81133775227591853</v>
      </c>
      <c r="AN52" s="626" t="str">
        <f t="shared" si="2"/>
        <v>Failure</v>
      </c>
      <c r="AO52" s="629">
        <f t="shared" si="4"/>
        <v>0.75384161037997022</v>
      </c>
      <c r="AP52" s="629">
        <v>0.81133775227591853</v>
      </c>
      <c r="AQ52" s="629">
        <f t="shared" ca="1" si="49"/>
        <v>0.67254728943250297</v>
      </c>
    </row>
    <row r="53" spans="1:43">
      <c r="A53" s="19"/>
      <c r="B53" s="55" t="s">
        <v>827</v>
      </c>
      <c r="C53" s="58">
        <f t="shared" ref="C53:AG53" si="54">IF(C31=0,0,IF(C$10=0,0,(VLOOKUP(C31,$AK$3:$AN$102,4,FALSE))))</f>
        <v>0</v>
      </c>
      <c r="D53" s="58">
        <f t="shared" si="54"/>
        <v>0</v>
      </c>
      <c r="E53" s="58">
        <f t="shared" si="54"/>
        <v>0</v>
      </c>
      <c r="F53" s="58">
        <f t="shared" si="54"/>
        <v>0</v>
      </c>
      <c r="G53" s="58">
        <f t="shared" si="54"/>
        <v>0</v>
      </c>
      <c r="H53" s="58">
        <f t="shared" si="54"/>
        <v>0</v>
      </c>
      <c r="I53" s="58">
        <f t="shared" si="54"/>
        <v>0</v>
      </c>
      <c r="J53" s="58">
        <f t="shared" si="54"/>
        <v>0</v>
      </c>
      <c r="K53" s="58">
        <f t="shared" si="54"/>
        <v>0</v>
      </c>
      <c r="L53" s="58">
        <f t="shared" ca="1" si="54"/>
        <v>0</v>
      </c>
      <c r="M53" s="58">
        <f t="shared" ca="1" si="54"/>
        <v>0</v>
      </c>
      <c r="N53" s="58">
        <f t="shared" ca="1" si="54"/>
        <v>0</v>
      </c>
      <c r="O53" s="58">
        <f t="shared" ca="1" si="54"/>
        <v>0</v>
      </c>
      <c r="P53" s="58">
        <f t="shared" ca="1" si="54"/>
        <v>0</v>
      </c>
      <c r="Q53" s="58">
        <f t="shared" ca="1" si="54"/>
        <v>0</v>
      </c>
      <c r="R53" s="58">
        <f t="shared" ca="1" si="54"/>
        <v>0</v>
      </c>
      <c r="S53" s="58">
        <f t="shared" ca="1" si="54"/>
        <v>0</v>
      </c>
      <c r="T53" s="58">
        <f t="shared" ca="1" si="54"/>
        <v>0</v>
      </c>
      <c r="U53" s="58">
        <f t="shared" ca="1" si="54"/>
        <v>0</v>
      </c>
      <c r="V53" s="58">
        <f t="shared" ca="1" si="54"/>
        <v>0</v>
      </c>
      <c r="W53" s="58">
        <f t="shared" ca="1" si="54"/>
        <v>0</v>
      </c>
      <c r="X53" s="58">
        <f t="shared" ca="1" si="54"/>
        <v>0</v>
      </c>
      <c r="Y53" s="58">
        <f t="shared" ca="1" si="54"/>
        <v>0</v>
      </c>
      <c r="Z53" s="58">
        <f t="shared" ca="1" si="54"/>
        <v>0</v>
      </c>
      <c r="AA53" s="58">
        <f t="shared" ca="1" si="54"/>
        <v>0</v>
      </c>
      <c r="AB53" s="58">
        <f t="shared" ca="1" si="54"/>
        <v>0</v>
      </c>
      <c r="AC53" s="58">
        <f t="shared" ca="1" si="54"/>
        <v>0</v>
      </c>
      <c r="AD53" s="58">
        <f t="shared" ca="1" si="54"/>
        <v>0</v>
      </c>
      <c r="AE53" s="58">
        <f t="shared" ca="1" si="54"/>
        <v>0</v>
      </c>
      <c r="AF53" s="58">
        <f t="shared" ca="1" si="54"/>
        <v>0</v>
      </c>
      <c r="AG53" s="58">
        <f t="shared" ca="1" si="54"/>
        <v>0</v>
      </c>
      <c r="AH53" s="874"/>
      <c r="AI53" s="874"/>
      <c r="AJ53" s="874"/>
      <c r="AK53" s="627">
        <v>51</v>
      </c>
      <c r="AL53" s="629">
        <f t="shared" si="48"/>
        <v>0.75522779429070286</v>
      </c>
      <c r="AM53" s="629">
        <f t="shared" si="1"/>
        <v>0.54232169295808197</v>
      </c>
      <c r="AN53" s="626" t="str">
        <f t="shared" si="2"/>
        <v>Success</v>
      </c>
      <c r="AO53" s="629" t="e">
        <f t="shared" si="4"/>
        <v>#N/A</v>
      </c>
      <c r="AP53" s="629">
        <v>0.54232169295808197</v>
      </c>
      <c r="AQ53" s="629">
        <f t="shared" ca="1" si="49"/>
        <v>0.265774384177211</v>
      </c>
    </row>
    <row r="54" spans="1:43">
      <c r="A54" s="19"/>
      <c r="B54" s="55" t="s">
        <v>828</v>
      </c>
      <c r="C54" s="58">
        <f t="shared" ref="C54:AG54" si="55">IF(C32=0,0,IF(C$10=0,0,(VLOOKUP(C32,$AK$3:$AN$102,4,FALSE))))</f>
        <v>0</v>
      </c>
      <c r="D54" s="58">
        <f t="shared" si="55"/>
        <v>0</v>
      </c>
      <c r="E54" s="58">
        <f t="shared" si="55"/>
        <v>0</v>
      </c>
      <c r="F54" s="58">
        <f t="shared" si="55"/>
        <v>0</v>
      </c>
      <c r="G54" s="58">
        <f t="shared" si="55"/>
        <v>0</v>
      </c>
      <c r="H54" s="58">
        <f t="shared" si="55"/>
        <v>0</v>
      </c>
      <c r="I54" s="58">
        <f t="shared" si="55"/>
        <v>0</v>
      </c>
      <c r="J54" s="58">
        <f t="shared" si="55"/>
        <v>0</v>
      </c>
      <c r="K54" s="58">
        <f t="shared" si="55"/>
        <v>0</v>
      </c>
      <c r="L54" s="58">
        <f t="shared" ca="1" si="55"/>
        <v>0</v>
      </c>
      <c r="M54" s="58">
        <f t="shared" ca="1" si="55"/>
        <v>0</v>
      </c>
      <c r="N54" s="58">
        <f t="shared" ca="1" si="55"/>
        <v>0</v>
      </c>
      <c r="O54" s="58">
        <f t="shared" ca="1" si="55"/>
        <v>0</v>
      </c>
      <c r="P54" s="58">
        <f t="shared" ca="1" si="55"/>
        <v>0</v>
      </c>
      <c r="Q54" s="58">
        <f t="shared" ca="1" si="55"/>
        <v>0</v>
      </c>
      <c r="R54" s="58">
        <f t="shared" ca="1" si="55"/>
        <v>0</v>
      </c>
      <c r="S54" s="58">
        <f t="shared" ca="1" si="55"/>
        <v>0</v>
      </c>
      <c r="T54" s="58">
        <f t="shared" ca="1" si="55"/>
        <v>0</v>
      </c>
      <c r="U54" s="58">
        <f t="shared" ca="1" si="55"/>
        <v>0</v>
      </c>
      <c r="V54" s="58">
        <f t="shared" ca="1" si="55"/>
        <v>0</v>
      </c>
      <c r="W54" s="58">
        <f t="shared" ca="1" si="55"/>
        <v>0</v>
      </c>
      <c r="X54" s="58">
        <f t="shared" ca="1" si="55"/>
        <v>0</v>
      </c>
      <c r="Y54" s="58">
        <f t="shared" ca="1" si="55"/>
        <v>0</v>
      </c>
      <c r="Z54" s="58">
        <f t="shared" ca="1" si="55"/>
        <v>0</v>
      </c>
      <c r="AA54" s="58">
        <f t="shared" ca="1" si="55"/>
        <v>0</v>
      </c>
      <c r="AB54" s="58">
        <f t="shared" ca="1" si="55"/>
        <v>0</v>
      </c>
      <c r="AC54" s="58">
        <f t="shared" ca="1" si="55"/>
        <v>0</v>
      </c>
      <c r="AD54" s="58">
        <f t="shared" ca="1" si="55"/>
        <v>0</v>
      </c>
      <c r="AE54" s="58">
        <f t="shared" ca="1" si="55"/>
        <v>0</v>
      </c>
      <c r="AF54" s="58">
        <f t="shared" ca="1" si="55"/>
        <v>0</v>
      </c>
      <c r="AG54" s="58">
        <f t="shared" ca="1" si="55"/>
        <v>0</v>
      </c>
      <c r="AH54" s="873"/>
      <c r="AI54" s="874"/>
      <c r="AJ54" s="874"/>
      <c r="AK54" s="627">
        <v>52</v>
      </c>
      <c r="AL54" s="629">
        <f t="shared" si="48"/>
        <v>0.75658706030069989</v>
      </c>
      <c r="AM54" s="629">
        <f t="shared" si="1"/>
        <v>0.976426135923811</v>
      </c>
      <c r="AN54" s="626" t="str">
        <f t="shared" si="2"/>
        <v>Failure</v>
      </c>
      <c r="AO54" s="629">
        <f t="shared" si="4"/>
        <v>0.75658706030069989</v>
      </c>
      <c r="AP54" s="629">
        <v>0.976426135923811</v>
      </c>
      <c r="AQ54" s="629">
        <f t="shared" ca="1" si="49"/>
        <v>0.10505139811658581</v>
      </c>
    </row>
    <row r="55" spans="1:43">
      <c r="A55" s="19"/>
      <c r="B55" s="55" t="s">
        <v>829</v>
      </c>
      <c r="C55" s="58">
        <f t="shared" ref="C55:AG55" si="56">IF(C33=0,0,IF(C$10=0,0,(VLOOKUP(C33,$AK$3:$AN$102,4,FALSE))))</f>
        <v>0</v>
      </c>
      <c r="D55" s="58">
        <f t="shared" si="56"/>
        <v>0</v>
      </c>
      <c r="E55" s="58">
        <f t="shared" si="56"/>
        <v>0</v>
      </c>
      <c r="F55" s="58">
        <f t="shared" si="56"/>
        <v>0</v>
      </c>
      <c r="G55" s="58">
        <f t="shared" si="56"/>
        <v>0</v>
      </c>
      <c r="H55" s="58">
        <f t="shared" si="56"/>
        <v>0</v>
      </c>
      <c r="I55" s="58">
        <f t="shared" si="56"/>
        <v>0</v>
      </c>
      <c r="J55" s="58">
        <f t="shared" si="56"/>
        <v>0</v>
      </c>
      <c r="K55" s="58">
        <f t="shared" si="56"/>
        <v>0</v>
      </c>
      <c r="L55" s="58">
        <f t="shared" ca="1" si="56"/>
        <v>0</v>
      </c>
      <c r="M55" s="58">
        <f t="shared" ca="1" si="56"/>
        <v>0</v>
      </c>
      <c r="N55" s="58">
        <f t="shared" ca="1" si="56"/>
        <v>0</v>
      </c>
      <c r="O55" s="58">
        <f t="shared" ca="1" si="56"/>
        <v>0</v>
      </c>
      <c r="P55" s="58">
        <f t="shared" ca="1" si="56"/>
        <v>0</v>
      </c>
      <c r="Q55" s="58">
        <f t="shared" ca="1" si="56"/>
        <v>0</v>
      </c>
      <c r="R55" s="58">
        <f t="shared" ca="1" si="56"/>
        <v>0</v>
      </c>
      <c r="S55" s="58">
        <f t="shared" ca="1" si="56"/>
        <v>0</v>
      </c>
      <c r="T55" s="58">
        <f t="shared" ca="1" si="56"/>
        <v>0</v>
      </c>
      <c r="U55" s="58">
        <f t="shared" ca="1" si="56"/>
        <v>0</v>
      </c>
      <c r="V55" s="58">
        <f t="shared" ca="1" si="56"/>
        <v>0</v>
      </c>
      <c r="W55" s="58">
        <f t="shared" ca="1" si="56"/>
        <v>0</v>
      </c>
      <c r="X55" s="58">
        <f t="shared" ca="1" si="56"/>
        <v>0</v>
      </c>
      <c r="Y55" s="58">
        <f t="shared" ca="1" si="56"/>
        <v>0</v>
      </c>
      <c r="Z55" s="58">
        <f t="shared" ca="1" si="56"/>
        <v>0</v>
      </c>
      <c r="AA55" s="58">
        <f t="shared" ca="1" si="56"/>
        <v>0</v>
      </c>
      <c r="AB55" s="58">
        <f t="shared" ca="1" si="56"/>
        <v>0</v>
      </c>
      <c r="AC55" s="58">
        <f t="shared" ca="1" si="56"/>
        <v>0</v>
      </c>
      <c r="AD55" s="58">
        <f t="shared" ca="1" si="56"/>
        <v>0</v>
      </c>
      <c r="AE55" s="58">
        <f t="shared" ca="1" si="56"/>
        <v>0</v>
      </c>
      <c r="AF55" s="58">
        <f t="shared" ca="1" si="56"/>
        <v>0</v>
      </c>
      <c r="AG55" s="58">
        <f t="shared" ca="1" si="56"/>
        <v>0</v>
      </c>
      <c r="AH55" s="873"/>
      <c r="AI55" s="874"/>
      <c r="AJ55" s="874"/>
      <c r="AK55" s="627">
        <v>53</v>
      </c>
      <c r="AL55" s="629">
        <f t="shared" si="48"/>
        <v>0.7579204339486485</v>
      </c>
      <c r="AM55" s="629">
        <f t="shared" si="1"/>
        <v>0.9889008347855236</v>
      </c>
      <c r="AN55" s="626" t="str">
        <f t="shared" si="2"/>
        <v>Failure</v>
      </c>
      <c r="AO55" s="629">
        <f t="shared" si="4"/>
        <v>0.7579204339486485</v>
      </c>
      <c r="AP55" s="629">
        <v>0.9889008347855236</v>
      </c>
      <c r="AQ55" s="629">
        <f t="shared" ca="1" si="49"/>
        <v>0.4131902324975556</v>
      </c>
    </row>
    <row r="56" spans="1:43">
      <c r="A56" s="19"/>
      <c r="B56" s="55" t="s">
        <v>830</v>
      </c>
      <c r="C56" s="58">
        <f t="shared" ref="C56:AG56" si="57">IF(C34=0,0,IF(C$10=0,0,(VLOOKUP(C34,$AK$3:$AN$102,4,FALSE))))</f>
        <v>0</v>
      </c>
      <c r="D56" s="58">
        <f t="shared" si="57"/>
        <v>0</v>
      </c>
      <c r="E56" s="58">
        <f t="shared" si="57"/>
        <v>0</v>
      </c>
      <c r="F56" s="58">
        <f t="shared" si="57"/>
        <v>0</v>
      </c>
      <c r="G56" s="58">
        <f t="shared" si="57"/>
        <v>0</v>
      </c>
      <c r="H56" s="58">
        <f t="shared" si="57"/>
        <v>0</v>
      </c>
      <c r="I56" s="58">
        <f t="shared" si="57"/>
        <v>0</v>
      </c>
      <c r="J56" s="58">
        <f t="shared" si="57"/>
        <v>0</v>
      </c>
      <c r="K56" s="58">
        <f t="shared" si="57"/>
        <v>0</v>
      </c>
      <c r="L56" s="58">
        <f t="shared" ca="1" si="57"/>
        <v>0</v>
      </c>
      <c r="M56" s="58">
        <f t="shared" ca="1" si="57"/>
        <v>0</v>
      </c>
      <c r="N56" s="58">
        <f t="shared" ca="1" si="57"/>
        <v>0</v>
      </c>
      <c r="O56" s="58">
        <f t="shared" ca="1" si="57"/>
        <v>0</v>
      </c>
      <c r="P56" s="58">
        <f t="shared" ca="1" si="57"/>
        <v>0</v>
      </c>
      <c r="Q56" s="58">
        <f t="shared" ca="1" si="57"/>
        <v>0</v>
      </c>
      <c r="R56" s="58">
        <f t="shared" ca="1" si="57"/>
        <v>0</v>
      </c>
      <c r="S56" s="58">
        <f t="shared" ca="1" si="57"/>
        <v>0</v>
      </c>
      <c r="T56" s="58">
        <f t="shared" ca="1" si="57"/>
        <v>0</v>
      </c>
      <c r="U56" s="58">
        <f t="shared" ca="1" si="57"/>
        <v>0</v>
      </c>
      <c r="V56" s="58">
        <f t="shared" ca="1" si="57"/>
        <v>0</v>
      </c>
      <c r="W56" s="58">
        <f t="shared" ca="1" si="57"/>
        <v>0</v>
      </c>
      <c r="X56" s="58">
        <f t="shared" ca="1" si="57"/>
        <v>0</v>
      </c>
      <c r="Y56" s="58">
        <f t="shared" ca="1" si="57"/>
        <v>0</v>
      </c>
      <c r="Z56" s="58">
        <f t="shared" ca="1" si="57"/>
        <v>0</v>
      </c>
      <c r="AA56" s="58">
        <f t="shared" ca="1" si="57"/>
        <v>0</v>
      </c>
      <c r="AB56" s="58">
        <f t="shared" ca="1" si="57"/>
        <v>0</v>
      </c>
      <c r="AC56" s="58">
        <f t="shared" ca="1" si="57"/>
        <v>0</v>
      </c>
      <c r="AD56" s="58">
        <f t="shared" ca="1" si="57"/>
        <v>0</v>
      </c>
      <c r="AE56" s="58">
        <f t="shared" ca="1" si="57"/>
        <v>0</v>
      </c>
      <c r="AF56" s="58">
        <f t="shared" ca="1" si="57"/>
        <v>0</v>
      </c>
      <c r="AG56" s="58">
        <f t="shared" ca="1" si="57"/>
        <v>0</v>
      </c>
      <c r="AH56" s="873"/>
      <c r="AI56" s="874"/>
      <c r="AJ56" s="874"/>
      <c r="AK56" s="627">
        <v>54</v>
      </c>
      <c r="AL56" s="629">
        <f t="shared" si="48"/>
        <v>0.75922888325949922</v>
      </c>
      <c r="AM56" s="629">
        <f t="shared" si="1"/>
        <v>0.79769722150255518</v>
      </c>
      <c r="AN56" s="626" t="str">
        <f t="shared" si="2"/>
        <v>Failure</v>
      </c>
      <c r="AO56" s="629">
        <f t="shared" si="4"/>
        <v>0.75922888325949922</v>
      </c>
      <c r="AP56" s="629">
        <v>0.79769722150255518</v>
      </c>
      <c r="AQ56" s="629">
        <f t="shared" ca="1" si="49"/>
        <v>0.43456422080031376</v>
      </c>
    </row>
    <row r="57" spans="1:43">
      <c r="A57" s="19"/>
      <c r="B57" s="55" t="s">
        <v>831</v>
      </c>
      <c r="C57" s="58">
        <f t="shared" ref="C57:AG57" si="58">IF(C35=0,0,IF(C$10=0,0,(VLOOKUP(C35,$AK$3:$AN$102,4,FALSE))))</f>
        <v>0</v>
      </c>
      <c r="D57" s="58">
        <f t="shared" si="58"/>
        <v>0</v>
      </c>
      <c r="E57" s="58">
        <f t="shared" si="58"/>
        <v>0</v>
      </c>
      <c r="F57" s="58">
        <f t="shared" si="58"/>
        <v>0</v>
      </c>
      <c r="G57" s="58">
        <f t="shared" si="58"/>
        <v>0</v>
      </c>
      <c r="H57" s="58">
        <f t="shared" si="58"/>
        <v>0</v>
      </c>
      <c r="I57" s="58">
        <f t="shared" si="58"/>
        <v>0</v>
      </c>
      <c r="J57" s="58">
        <f t="shared" si="58"/>
        <v>0</v>
      </c>
      <c r="K57" s="58">
        <f t="shared" si="58"/>
        <v>0</v>
      </c>
      <c r="L57" s="58">
        <f t="shared" ca="1" si="58"/>
        <v>0</v>
      </c>
      <c r="M57" s="58">
        <f t="shared" ca="1" si="58"/>
        <v>0</v>
      </c>
      <c r="N57" s="58">
        <f t="shared" ca="1" si="58"/>
        <v>0</v>
      </c>
      <c r="O57" s="58">
        <f t="shared" ca="1" si="58"/>
        <v>0</v>
      </c>
      <c r="P57" s="58">
        <f t="shared" ca="1" si="58"/>
        <v>0</v>
      </c>
      <c r="Q57" s="58">
        <f t="shared" ca="1" si="58"/>
        <v>0</v>
      </c>
      <c r="R57" s="58">
        <f t="shared" ca="1" si="58"/>
        <v>0</v>
      </c>
      <c r="S57" s="58">
        <f t="shared" ca="1" si="58"/>
        <v>0</v>
      </c>
      <c r="T57" s="58">
        <f t="shared" ca="1" si="58"/>
        <v>0</v>
      </c>
      <c r="U57" s="58">
        <f t="shared" ca="1" si="58"/>
        <v>0</v>
      </c>
      <c r="V57" s="58">
        <f t="shared" ca="1" si="58"/>
        <v>0</v>
      </c>
      <c r="W57" s="58">
        <f t="shared" ca="1" si="58"/>
        <v>0</v>
      </c>
      <c r="X57" s="58">
        <f t="shared" ca="1" si="58"/>
        <v>0</v>
      </c>
      <c r="Y57" s="58">
        <f t="shared" ca="1" si="58"/>
        <v>0</v>
      </c>
      <c r="Z57" s="58">
        <f t="shared" ca="1" si="58"/>
        <v>0</v>
      </c>
      <c r="AA57" s="58">
        <f t="shared" ca="1" si="58"/>
        <v>0</v>
      </c>
      <c r="AB57" s="58">
        <f t="shared" ca="1" si="58"/>
        <v>0</v>
      </c>
      <c r="AC57" s="58">
        <f t="shared" ca="1" si="58"/>
        <v>0</v>
      </c>
      <c r="AD57" s="58">
        <f t="shared" ca="1" si="58"/>
        <v>0</v>
      </c>
      <c r="AE57" s="58">
        <f t="shared" ca="1" si="58"/>
        <v>0</v>
      </c>
      <c r="AF57" s="58">
        <f t="shared" ca="1" si="58"/>
        <v>0</v>
      </c>
      <c r="AG57" s="58">
        <f t="shared" ca="1" si="58"/>
        <v>0</v>
      </c>
      <c r="AH57" s="873"/>
      <c r="AI57" s="874"/>
      <c r="AJ57" s="874"/>
      <c r="AK57" s="627">
        <v>55</v>
      </c>
      <c r="AL57" s="629">
        <f t="shared" si="48"/>
        <v>0.76051332296627305</v>
      </c>
      <c r="AM57" s="629">
        <f t="shared" si="1"/>
        <v>0.99638511116647688</v>
      </c>
      <c r="AN57" s="626" t="str">
        <f t="shared" si="2"/>
        <v>Failure</v>
      </c>
      <c r="AO57" s="629">
        <f t="shared" si="4"/>
        <v>0.76051332296627305</v>
      </c>
      <c r="AP57" s="629">
        <v>0.99638511116647688</v>
      </c>
      <c r="AQ57" s="629">
        <f t="shared" ca="1" si="49"/>
        <v>4.9810598114106708E-2</v>
      </c>
    </row>
    <row r="58" spans="1:43">
      <c r="A58" s="19"/>
      <c r="B58" s="55" t="s">
        <v>832</v>
      </c>
      <c r="C58" s="58">
        <f t="shared" ref="C58:AG58" si="59">IF(C36=0,0,IF(C$10=0,0,(VLOOKUP(C36,$AK$3:$AN$102,4,FALSE))))</f>
        <v>0</v>
      </c>
      <c r="D58" s="58">
        <f t="shared" si="59"/>
        <v>0</v>
      </c>
      <c r="E58" s="58">
        <f t="shared" si="59"/>
        <v>0</v>
      </c>
      <c r="F58" s="58">
        <f t="shared" si="59"/>
        <v>0</v>
      </c>
      <c r="G58" s="58">
        <f t="shared" si="59"/>
        <v>0</v>
      </c>
      <c r="H58" s="58">
        <f t="shared" si="59"/>
        <v>0</v>
      </c>
      <c r="I58" s="58">
        <f t="shared" si="59"/>
        <v>0</v>
      </c>
      <c r="J58" s="58">
        <f t="shared" si="59"/>
        <v>0</v>
      </c>
      <c r="K58" s="58">
        <f t="shared" si="59"/>
        <v>0</v>
      </c>
      <c r="L58" s="58">
        <f t="shared" ca="1" si="59"/>
        <v>0</v>
      </c>
      <c r="M58" s="58">
        <f t="shared" ca="1" si="59"/>
        <v>0</v>
      </c>
      <c r="N58" s="58">
        <f t="shared" ca="1" si="59"/>
        <v>0</v>
      </c>
      <c r="O58" s="58">
        <f t="shared" ca="1" si="59"/>
        <v>0</v>
      </c>
      <c r="P58" s="58">
        <f t="shared" ca="1" si="59"/>
        <v>0</v>
      </c>
      <c r="Q58" s="58">
        <f t="shared" ca="1" si="59"/>
        <v>0</v>
      </c>
      <c r="R58" s="58">
        <f t="shared" ca="1" si="59"/>
        <v>0</v>
      </c>
      <c r="S58" s="58">
        <f t="shared" ca="1" si="59"/>
        <v>0</v>
      </c>
      <c r="T58" s="58">
        <f t="shared" ca="1" si="59"/>
        <v>0</v>
      </c>
      <c r="U58" s="58">
        <f t="shared" ca="1" si="59"/>
        <v>0</v>
      </c>
      <c r="V58" s="58">
        <f t="shared" ca="1" si="59"/>
        <v>0</v>
      </c>
      <c r="W58" s="58">
        <f t="shared" ca="1" si="59"/>
        <v>0</v>
      </c>
      <c r="X58" s="58">
        <f t="shared" ca="1" si="59"/>
        <v>0</v>
      </c>
      <c r="Y58" s="58">
        <f t="shared" ca="1" si="59"/>
        <v>0</v>
      </c>
      <c r="Z58" s="58">
        <f t="shared" ca="1" si="59"/>
        <v>0</v>
      </c>
      <c r="AA58" s="58">
        <f t="shared" ca="1" si="59"/>
        <v>0</v>
      </c>
      <c r="AB58" s="58">
        <f t="shared" ca="1" si="59"/>
        <v>0</v>
      </c>
      <c r="AC58" s="58">
        <f t="shared" ca="1" si="59"/>
        <v>0</v>
      </c>
      <c r="AD58" s="58">
        <f t="shared" ca="1" si="59"/>
        <v>0</v>
      </c>
      <c r="AE58" s="58">
        <f t="shared" ca="1" si="59"/>
        <v>0</v>
      </c>
      <c r="AF58" s="58">
        <f t="shared" ca="1" si="59"/>
        <v>0</v>
      </c>
      <c r="AG58" s="58">
        <f t="shared" ca="1" si="59"/>
        <v>0</v>
      </c>
      <c r="AH58" s="873"/>
      <c r="AI58" s="874"/>
      <c r="AJ58" s="874"/>
      <c r="AK58" s="627">
        <v>56</v>
      </c>
      <c r="AL58" s="629">
        <f t="shared" si="48"/>
        <v>0.76177461835146043</v>
      </c>
      <c r="AM58" s="629">
        <f t="shared" si="1"/>
        <v>8.4089873337875098E-2</v>
      </c>
      <c r="AN58" s="626" t="str">
        <f t="shared" si="2"/>
        <v>Success</v>
      </c>
      <c r="AO58" s="629" t="e">
        <f t="shared" si="4"/>
        <v>#N/A</v>
      </c>
      <c r="AP58" s="629">
        <v>8.4089873337875098E-2</v>
      </c>
      <c r="AQ58" s="629">
        <f t="shared" ca="1" si="49"/>
        <v>8.320931595200054E-2</v>
      </c>
    </row>
    <row r="59" spans="1:43">
      <c r="A59" s="19"/>
      <c r="B59" s="55" t="s">
        <v>833</v>
      </c>
      <c r="C59" s="58">
        <f t="shared" ref="C59:AG59" si="60">IF(C37=0,0,IF(C$10=0,0,(VLOOKUP(C37,$AK$3:$AN$102,4,FALSE))))</f>
        <v>0</v>
      </c>
      <c r="D59" s="58">
        <f t="shared" si="60"/>
        <v>0</v>
      </c>
      <c r="E59" s="58">
        <f t="shared" si="60"/>
        <v>0</v>
      </c>
      <c r="F59" s="58">
        <f t="shared" si="60"/>
        <v>0</v>
      </c>
      <c r="G59" s="58">
        <f t="shared" si="60"/>
        <v>0</v>
      </c>
      <c r="H59" s="58">
        <f t="shared" si="60"/>
        <v>0</v>
      </c>
      <c r="I59" s="58">
        <f t="shared" si="60"/>
        <v>0</v>
      </c>
      <c r="J59" s="58">
        <f t="shared" si="60"/>
        <v>0</v>
      </c>
      <c r="K59" s="58">
        <f t="shared" si="60"/>
        <v>0</v>
      </c>
      <c r="L59" s="58">
        <f t="shared" ca="1" si="60"/>
        <v>0</v>
      </c>
      <c r="M59" s="58">
        <f t="shared" ca="1" si="60"/>
        <v>0</v>
      </c>
      <c r="N59" s="58">
        <f t="shared" ca="1" si="60"/>
        <v>0</v>
      </c>
      <c r="O59" s="58">
        <f t="shared" ca="1" si="60"/>
        <v>0</v>
      </c>
      <c r="P59" s="58">
        <f t="shared" ca="1" si="60"/>
        <v>0</v>
      </c>
      <c r="Q59" s="58">
        <f t="shared" ca="1" si="60"/>
        <v>0</v>
      </c>
      <c r="R59" s="58">
        <f t="shared" ca="1" si="60"/>
        <v>0</v>
      </c>
      <c r="S59" s="58">
        <f t="shared" ca="1" si="60"/>
        <v>0</v>
      </c>
      <c r="T59" s="58">
        <f t="shared" ca="1" si="60"/>
        <v>0</v>
      </c>
      <c r="U59" s="58">
        <f t="shared" ca="1" si="60"/>
        <v>0</v>
      </c>
      <c r="V59" s="58">
        <f t="shared" ca="1" si="60"/>
        <v>0</v>
      </c>
      <c r="W59" s="58">
        <f t="shared" ca="1" si="60"/>
        <v>0</v>
      </c>
      <c r="X59" s="58">
        <f t="shared" ca="1" si="60"/>
        <v>0</v>
      </c>
      <c r="Y59" s="58">
        <f t="shared" ca="1" si="60"/>
        <v>0</v>
      </c>
      <c r="Z59" s="58">
        <f t="shared" ca="1" si="60"/>
        <v>0</v>
      </c>
      <c r="AA59" s="58">
        <f t="shared" ca="1" si="60"/>
        <v>0</v>
      </c>
      <c r="AB59" s="58">
        <f t="shared" ca="1" si="60"/>
        <v>0</v>
      </c>
      <c r="AC59" s="58">
        <f t="shared" ca="1" si="60"/>
        <v>0</v>
      </c>
      <c r="AD59" s="58">
        <f t="shared" ca="1" si="60"/>
        <v>0</v>
      </c>
      <c r="AE59" s="58">
        <f t="shared" ca="1" si="60"/>
        <v>0</v>
      </c>
      <c r="AF59" s="58">
        <f t="shared" ca="1" si="60"/>
        <v>0</v>
      </c>
      <c r="AG59" s="58">
        <f t="shared" ca="1" si="60"/>
        <v>0</v>
      </c>
      <c r="AH59" s="873"/>
      <c r="AI59" s="874"/>
      <c r="AJ59" s="874"/>
      <c r="AK59" s="627">
        <v>57</v>
      </c>
      <c r="AL59" s="629">
        <f t="shared" si="48"/>
        <v>0.76301358874841851</v>
      </c>
      <c r="AM59" s="629">
        <f t="shared" si="1"/>
        <v>0.1528927616607082</v>
      </c>
      <c r="AN59" s="626" t="str">
        <f t="shared" si="2"/>
        <v>Success</v>
      </c>
      <c r="AO59" s="629" t="e">
        <f t="shared" si="4"/>
        <v>#N/A</v>
      </c>
      <c r="AP59" s="629">
        <v>0.1528927616607082</v>
      </c>
      <c r="AQ59" s="629">
        <f t="shared" ca="1" si="49"/>
        <v>0.26316668358422113</v>
      </c>
    </row>
    <row r="60" spans="1:43">
      <c r="A60" s="19"/>
      <c r="B60" s="55" t="s">
        <v>834</v>
      </c>
      <c r="C60" s="58">
        <f t="shared" ref="C60:AG60" si="61">IF(C38=0,0,IF(C$10=0,0,(VLOOKUP(C38,$AK$3:$AN$102,4,FALSE))))</f>
        <v>0</v>
      </c>
      <c r="D60" s="58">
        <f t="shared" si="61"/>
        <v>0</v>
      </c>
      <c r="E60" s="58">
        <f t="shared" si="61"/>
        <v>0</v>
      </c>
      <c r="F60" s="58">
        <f t="shared" si="61"/>
        <v>0</v>
      </c>
      <c r="G60" s="58">
        <f t="shared" si="61"/>
        <v>0</v>
      </c>
      <c r="H60" s="58">
        <f t="shared" si="61"/>
        <v>0</v>
      </c>
      <c r="I60" s="58">
        <f t="shared" si="61"/>
        <v>0</v>
      </c>
      <c r="J60" s="58">
        <f t="shared" si="61"/>
        <v>0</v>
      </c>
      <c r="K60" s="58">
        <f t="shared" si="61"/>
        <v>0</v>
      </c>
      <c r="L60" s="58">
        <f t="shared" ca="1" si="61"/>
        <v>0</v>
      </c>
      <c r="M60" s="58">
        <f t="shared" ca="1" si="61"/>
        <v>0</v>
      </c>
      <c r="N60" s="58">
        <f t="shared" ca="1" si="61"/>
        <v>0</v>
      </c>
      <c r="O60" s="58">
        <f t="shared" ca="1" si="61"/>
        <v>0</v>
      </c>
      <c r="P60" s="58">
        <f t="shared" ca="1" si="61"/>
        <v>0</v>
      </c>
      <c r="Q60" s="58">
        <f t="shared" ca="1" si="61"/>
        <v>0</v>
      </c>
      <c r="R60" s="58">
        <f t="shared" ca="1" si="61"/>
        <v>0</v>
      </c>
      <c r="S60" s="58">
        <f t="shared" ca="1" si="61"/>
        <v>0</v>
      </c>
      <c r="T60" s="58">
        <f t="shared" ca="1" si="61"/>
        <v>0</v>
      </c>
      <c r="U60" s="58">
        <f t="shared" ca="1" si="61"/>
        <v>0</v>
      </c>
      <c r="V60" s="58">
        <f t="shared" ca="1" si="61"/>
        <v>0</v>
      </c>
      <c r="W60" s="58">
        <f t="shared" ca="1" si="61"/>
        <v>0</v>
      </c>
      <c r="X60" s="58">
        <f t="shared" ca="1" si="61"/>
        <v>0</v>
      </c>
      <c r="Y60" s="58">
        <f t="shared" ca="1" si="61"/>
        <v>0</v>
      </c>
      <c r="Z60" s="58">
        <f t="shared" ca="1" si="61"/>
        <v>0</v>
      </c>
      <c r="AA60" s="58">
        <f t="shared" ca="1" si="61"/>
        <v>0</v>
      </c>
      <c r="AB60" s="58">
        <f t="shared" ca="1" si="61"/>
        <v>0</v>
      </c>
      <c r="AC60" s="58">
        <f t="shared" ca="1" si="61"/>
        <v>0</v>
      </c>
      <c r="AD60" s="58">
        <f t="shared" ca="1" si="61"/>
        <v>0</v>
      </c>
      <c r="AE60" s="58">
        <f t="shared" ca="1" si="61"/>
        <v>0</v>
      </c>
      <c r="AF60" s="58">
        <f t="shared" ca="1" si="61"/>
        <v>0</v>
      </c>
      <c r="AG60" s="58">
        <f t="shared" ca="1" si="61"/>
        <v>0</v>
      </c>
      <c r="AH60" s="873"/>
      <c r="AI60" s="874"/>
      <c r="AJ60" s="874"/>
      <c r="AK60" s="627">
        <v>58</v>
      </c>
      <c r="AL60" s="629">
        <f t="shared" si="48"/>
        <v>0.76423101073824928</v>
      </c>
      <c r="AM60" s="629">
        <f t="shared" si="1"/>
        <v>0.86421127214698301</v>
      </c>
      <c r="AN60" s="626" t="str">
        <f t="shared" si="2"/>
        <v>Failure</v>
      </c>
      <c r="AO60" s="629">
        <f t="shared" si="4"/>
        <v>0.76423101073824928</v>
      </c>
      <c r="AP60" s="629">
        <v>0.86421127214698301</v>
      </c>
      <c r="AQ60" s="629">
        <f t="shared" ca="1" si="49"/>
        <v>0.19725233387803209</v>
      </c>
    </row>
    <row r="61" spans="1:43" ht="15" thickBot="1">
      <c r="A61" s="19"/>
      <c r="B61" s="57" t="s">
        <v>835</v>
      </c>
      <c r="C61" s="717">
        <f t="shared" ref="C61:AG61" si="62">IF(C39=0,0,IF(C$10=0,0,(VLOOKUP(C39,$AK$3:$AN$102,4,FALSE))))</f>
        <v>0</v>
      </c>
      <c r="D61" s="717">
        <f t="shared" si="62"/>
        <v>0</v>
      </c>
      <c r="E61" s="717">
        <f t="shared" si="62"/>
        <v>0</v>
      </c>
      <c r="F61" s="717">
        <f t="shared" si="62"/>
        <v>0</v>
      </c>
      <c r="G61" s="717">
        <f t="shared" si="62"/>
        <v>0</v>
      </c>
      <c r="H61" s="717">
        <f t="shared" si="62"/>
        <v>0</v>
      </c>
      <c r="I61" s="717">
        <f t="shared" si="62"/>
        <v>0</v>
      </c>
      <c r="J61" s="717">
        <f t="shared" si="62"/>
        <v>0</v>
      </c>
      <c r="K61" s="717">
        <f t="shared" si="62"/>
        <v>0</v>
      </c>
      <c r="L61" s="717">
        <f t="shared" ca="1" si="62"/>
        <v>0</v>
      </c>
      <c r="M61" s="717">
        <f t="shared" ca="1" si="62"/>
        <v>0</v>
      </c>
      <c r="N61" s="717">
        <f t="shared" ca="1" si="62"/>
        <v>0</v>
      </c>
      <c r="O61" s="717">
        <f t="shared" ca="1" si="62"/>
        <v>0</v>
      </c>
      <c r="P61" s="717">
        <f t="shared" ca="1" si="62"/>
        <v>0</v>
      </c>
      <c r="Q61" s="717">
        <f t="shared" ca="1" si="62"/>
        <v>0</v>
      </c>
      <c r="R61" s="717">
        <f t="shared" ca="1" si="62"/>
        <v>0</v>
      </c>
      <c r="S61" s="717">
        <f t="shared" ca="1" si="62"/>
        <v>0</v>
      </c>
      <c r="T61" s="717">
        <f t="shared" ca="1" si="62"/>
        <v>0</v>
      </c>
      <c r="U61" s="717">
        <f t="shared" ca="1" si="62"/>
        <v>0</v>
      </c>
      <c r="V61" s="717">
        <f t="shared" ca="1" si="62"/>
        <v>0</v>
      </c>
      <c r="W61" s="717">
        <f t="shared" ca="1" si="62"/>
        <v>0</v>
      </c>
      <c r="X61" s="717">
        <f t="shared" ca="1" si="62"/>
        <v>0</v>
      </c>
      <c r="Y61" s="717">
        <f t="shared" ca="1" si="62"/>
        <v>0</v>
      </c>
      <c r="Z61" s="717">
        <f t="shared" ca="1" si="62"/>
        <v>0</v>
      </c>
      <c r="AA61" s="717">
        <f t="shared" ca="1" si="62"/>
        <v>0</v>
      </c>
      <c r="AB61" s="717">
        <f t="shared" ca="1" si="62"/>
        <v>0</v>
      </c>
      <c r="AC61" s="717">
        <f t="shared" ca="1" si="62"/>
        <v>0</v>
      </c>
      <c r="AD61" s="717">
        <f t="shared" ca="1" si="62"/>
        <v>0</v>
      </c>
      <c r="AE61" s="717">
        <f t="shared" ca="1" si="62"/>
        <v>0</v>
      </c>
      <c r="AF61" s="717">
        <f t="shared" ca="1" si="62"/>
        <v>0</v>
      </c>
      <c r="AG61" s="717">
        <f t="shared" ca="1" si="62"/>
        <v>0</v>
      </c>
      <c r="AH61" s="873"/>
      <c r="AI61" s="874"/>
      <c r="AJ61" s="874"/>
      <c r="AK61" s="627">
        <v>59</v>
      </c>
      <c r="AL61" s="629">
        <f t="shared" si="48"/>
        <v>0.76542762107340034</v>
      </c>
      <c r="AM61" s="629">
        <f t="shared" si="1"/>
        <v>0.29070980082514264</v>
      </c>
      <c r="AN61" s="626" t="str">
        <f t="shared" si="2"/>
        <v>Success</v>
      </c>
      <c r="AO61" s="629" t="e">
        <f t="shared" si="4"/>
        <v>#N/A</v>
      </c>
      <c r="AP61" s="629">
        <v>0.29070980082514264</v>
      </c>
      <c r="AQ61" s="629">
        <f t="shared" ca="1" si="49"/>
        <v>0.77676360032960523</v>
      </c>
    </row>
    <row r="62" spans="1:43" ht="15" thickTop="1">
      <c r="A62" s="19"/>
      <c r="B62" s="619" t="s">
        <v>1376</v>
      </c>
      <c r="C62" s="716">
        <f>COUNTIF(C42:C61,"Failure")</f>
        <v>0</v>
      </c>
      <c r="D62" s="716">
        <f t="shared" ref="D62:AG62" si="63">COUNTIF(D42:D61,"Failure")</f>
        <v>0</v>
      </c>
      <c r="E62" s="716">
        <f t="shared" si="63"/>
        <v>0</v>
      </c>
      <c r="F62" s="716">
        <f t="shared" si="63"/>
        <v>1</v>
      </c>
      <c r="G62" s="716">
        <f t="shared" si="63"/>
        <v>0</v>
      </c>
      <c r="H62" s="716">
        <f t="shared" si="63"/>
        <v>0</v>
      </c>
      <c r="I62" s="716">
        <f t="shared" si="63"/>
        <v>0</v>
      </c>
      <c r="J62" s="716">
        <f t="shared" si="63"/>
        <v>0</v>
      </c>
      <c r="K62" s="716">
        <f t="shared" si="63"/>
        <v>0</v>
      </c>
      <c r="L62" s="716">
        <f t="shared" ca="1" si="63"/>
        <v>0</v>
      </c>
      <c r="M62" s="716">
        <f t="shared" ca="1" si="63"/>
        <v>0</v>
      </c>
      <c r="N62" s="716">
        <f t="shared" ca="1" si="63"/>
        <v>0</v>
      </c>
      <c r="O62" s="716">
        <f t="shared" ca="1" si="63"/>
        <v>0</v>
      </c>
      <c r="P62" s="716">
        <f t="shared" ca="1" si="63"/>
        <v>0</v>
      </c>
      <c r="Q62" s="716">
        <f t="shared" ca="1" si="63"/>
        <v>0</v>
      </c>
      <c r="R62" s="716">
        <f t="shared" ca="1" si="63"/>
        <v>0</v>
      </c>
      <c r="S62" s="716">
        <f t="shared" ca="1" si="63"/>
        <v>0</v>
      </c>
      <c r="T62" s="716">
        <f t="shared" ca="1" si="63"/>
        <v>0</v>
      </c>
      <c r="U62" s="716">
        <f t="shared" ca="1" si="63"/>
        <v>0</v>
      </c>
      <c r="V62" s="716">
        <f t="shared" ca="1" si="63"/>
        <v>0</v>
      </c>
      <c r="W62" s="716">
        <f t="shared" ca="1" si="63"/>
        <v>0</v>
      </c>
      <c r="X62" s="716">
        <f t="shared" ca="1" si="63"/>
        <v>0</v>
      </c>
      <c r="Y62" s="716">
        <f t="shared" ca="1" si="63"/>
        <v>0</v>
      </c>
      <c r="Z62" s="716">
        <f t="shared" ca="1" si="63"/>
        <v>0</v>
      </c>
      <c r="AA62" s="716">
        <f t="shared" ca="1" si="63"/>
        <v>0</v>
      </c>
      <c r="AB62" s="716">
        <f t="shared" ca="1" si="63"/>
        <v>0</v>
      </c>
      <c r="AC62" s="716">
        <f t="shared" ca="1" si="63"/>
        <v>0</v>
      </c>
      <c r="AD62" s="716">
        <f t="shared" ca="1" si="63"/>
        <v>0</v>
      </c>
      <c r="AE62" s="716">
        <f t="shared" ca="1" si="63"/>
        <v>0</v>
      </c>
      <c r="AF62" s="716">
        <f t="shared" ca="1" si="63"/>
        <v>0</v>
      </c>
      <c r="AG62" s="716">
        <f t="shared" ca="1" si="63"/>
        <v>0</v>
      </c>
      <c r="AH62" s="874">
        <f ca="1">SUM(C62:AG62)</f>
        <v>1</v>
      </c>
      <c r="AI62" s="875" t="s">
        <v>1378</v>
      </c>
      <c r="AJ62" s="874"/>
      <c r="AK62" s="627">
        <v>60</v>
      </c>
      <c r="AL62" s="629">
        <f t="shared" si="48"/>
        <v>0.76660411935554706</v>
      </c>
      <c r="AM62" s="629">
        <f t="shared" si="1"/>
        <v>0.8017772777333434</v>
      </c>
      <c r="AN62" s="626" t="str">
        <f t="shared" si="2"/>
        <v>Failure</v>
      </c>
      <c r="AO62" s="629">
        <f t="shared" si="4"/>
        <v>0.76660411935554706</v>
      </c>
      <c r="AP62" s="629">
        <v>0.8017772777333434</v>
      </c>
      <c r="AQ62" s="629">
        <f t="shared" ca="1" si="49"/>
        <v>0.13216189399438205</v>
      </c>
    </row>
    <row r="63" spans="1:43">
      <c r="A63" s="19"/>
      <c r="B63" s="715" t="s">
        <v>1377</v>
      </c>
      <c r="C63" s="716">
        <f t="shared" ref="C63:AG63" si="64">COUNTIF(C42:C61,"Success")</f>
        <v>0</v>
      </c>
      <c r="D63" s="716">
        <f t="shared" si="64"/>
        <v>0</v>
      </c>
      <c r="E63" s="716">
        <f t="shared" si="64"/>
        <v>0</v>
      </c>
      <c r="F63" s="716">
        <f t="shared" si="64"/>
        <v>1</v>
      </c>
      <c r="G63" s="716">
        <f t="shared" si="64"/>
        <v>0</v>
      </c>
      <c r="H63" s="716">
        <f t="shared" si="64"/>
        <v>0</v>
      </c>
      <c r="I63" s="716">
        <f t="shared" si="64"/>
        <v>0</v>
      </c>
      <c r="J63" s="716">
        <f t="shared" si="64"/>
        <v>0</v>
      </c>
      <c r="K63" s="716">
        <f t="shared" si="64"/>
        <v>0</v>
      </c>
      <c r="L63" s="716">
        <f t="shared" ca="1" si="64"/>
        <v>0</v>
      </c>
      <c r="M63" s="716">
        <f t="shared" ca="1" si="64"/>
        <v>0</v>
      </c>
      <c r="N63" s="716">
        <f t="shared" ca="1" si="64"/>
        <v>0</v>
      </c>
      <c r="O63" s="716">
        <f t="shared" ca="1" si="64"/>
        <v>0</v>
      </c>
      <c r="P63" s="716">
        <f t="shared" ca="1" si="64"/>
        <v>0</v>
      </c>
      <c r="Q63" s="716">
        <f t="shared" ca="1" si="64"/>
        <v>0</v>
      </c>
      <c r="R63" s="716">
        <f t="shared" ca="1" si="64"/>
        <v>0</v>
      </c>
      <c r="S63" s="716">
        <f t="shared" ca="1" si="64"/>
        <v>0</v>
      </c>
      <c r="T63" s="716">
        <f t="shared" ca="1" si="64"/>
        <v>0</v>
      </c>
      <c r="U63" s="716">
        <f t="shared" ca="1" si="64"/>
        <v>0</v>
      </c>
      <c r="V63" s="716">
        <f t="shared" ca="1" si="64"/>
        <v>0</v>
      </c>
      <c r="W63" s="716">
        <f t="shared" ca="1" si="64"/>
        <v>0</v>
      </c>
      <c r="X63" s="716">
        <f t="shared" ca="1" si="64"/>
        <v>0</v>
      </c>
      <c r="Y63" s="716">
        <f t="shared" ca="1" si="64"/>
        <v>0</v>
      </c>
      <c r="Z63" s="716">
        <f t="shared" ca="1" si="64"/>
        <v>0</v>
      </c>
      <c r="AA63" s="716">
        <f t="shared" ca="1" si="64"/>
        <v>0</v>
      </c>
      <c r="AB63" s="716">
        <f t="shared" ca="1" si="64"/>
        <v>0</v>
      </c>
      <c r="AC63" s="716">
        <f t="shared" ca="1" si="64"/>
        <v>0</v>
      </c>
      <c r="AD63" s="716">
        <f t="shared" ca="1" si="64"/>
        <v>0</v>
      </c>
      <c r="AE63" s="716">
        <f t="shared" ca="1" si="64"/>
        <v>0</v>
      </c>
      <c r="AF63" s="716">
        <f t="shared" ca="1" si="64"/>
        <v>0</v>
      </c>
      <c r="AG63" s="716">
        <f t="shared" ca="1" si="64"/>
        <v>0</v>
      </c>
      <c r="AH63" s="874">
        <f ca="1">SUM(C63:AG63)</f>
        <v>1</v>
      </c>
      <c r="AI63" s="875" t="s">
        <v>1379</v>
      </c>
      <c r="AJ63" s="874"/>
      <c r="AK63" s="627">
        <v>61</v>
      </c>
      <c r="AL63" s="629">
        <f t="shared" si="48"/>
        <v>0.76776117049213188</v>
      </c>
      <c r="AM63" s="629">
        <f t="shared" si="1"/>
        <v>0.19522854411829604</v>
      </c>
      <c r="AN63" s="626" t="str">
        <f t="shared" si="2"/>
        <v>Success</v>
      </c>
      <c r="AO63" s="629" t="e">
        <f t="shared" si="4"/>
        <v>#N/A</v>
      </c>
      <c r="AP63" s="629">
        <v>0.19522854411829604</v>
      </c>
      <c r="AQ63" s="629">
        <f t="shared" ca="1" si="49"/>
        <v>0.43398497994471696</v>
      </c>
    </row>
    <row r="64" spans="1:43">
      <c r="A64" s="19"/>
      <c r="B64" s="169"/>
      <c r="C64" s="19"/>
      <c r="D64" s="19"/>
      <c r="E64" s="19"/>
      <c r="F64" s="137"/>
      <c r="G64" s="132"/>
      <c r="H64" s="19"/>
      <c r="I64" s="19"/>
      <c r="J64" s="19"/>
      <c r="K64" s="137"/>
      <c r="L64" s="132"/>
      <c r="M64" s="137"/>
      <c r="N64" s="28"/>
      <c r="O64" s="28"/>
      <c r="P64" s="19"/>
      <c r="Q64" s="19"/>
      <c r="R64" s="19"/>
      <c r="S64" s="19"/>
      <c r="T64" s="19"/>
      <c r="U64" s="19"/>
      <c r="V64" s="19"/>
      <c r="W64" s="19"/>
      <c r="X64" s="19"/>
      <c r="Y64" s="19"/>
      <c r="Z64" s="19"/>
      <c r="AA64" s="19"/>
      <c r="AB64" s="19"/>
      <c r="AC64" s="19"/>
      <c r="AD64" s="19"/>
      <c r="AE64" s="19"/>
      <c r="AF64" s="19"/>
      <c r="AG64" s="19"/>
      <c r="AH64" s="873"/>
      <c r="AI64" s="874"/>
      <c r="AJ64" s="874"/>
      <c r="AK64" s="627">
        <v>62</v>
      </c>
      <c r="AL64" s="629">
        <f t="shared" si="48"/>
        <v>0.76889940695315651</v>
      </c>
      <c r="AM64" s="629">
        <f t="shared" si="1"/>
        <v>0.55204589635879597</v>
      </c>
      <c r="AN64" s="626" t="str">
        <f t="shared" si="2"/>
        <v>Success</v>
      </c>
      <c r="AO64" s="629" t="e">
        <f t="shared" si="4"/>
        <v>#N/A</v>
      </c>
      <c r="AP64" s="629">
        <v>0.55204589635879597</v>
      </c>
      <c r="AQ64" s="629">
        <f t="shared" ca="1" si="49"/>
        <v>0.98211755384587696</v>
      </c>
    </row>
    <row r="65" spans="1:43" ht="15" thickBot="1">
      <c r="A65" s="19"/>
      <c r="B65" s="52" t="s">
        <v>1125</v>
      </c>
      <c r="C65" s="32">
        <f>Cashflow!C$30</f>
        <v>2017</v>
      </c>
      <c r="D65" s="32">
        <f>Cashflow!D$30</f>
        <v>2018</v>
      </c>
      <c r="E65" s="32">
        <f>Cashflow!E$30</f>
        <v>2019</v>
      </c>
      <c r="F65" s="32">
        <f>Cashflow!F$30</f>
        <v>2020</v>
      </c>
      <c r="G65" s="32">
        <f>Cashflow!G$30</f>
        <v>2021</v>
      </c>
      <c r="H65" s="32">
        <f>Cashflow!H$30</f>
        <v>2022</v>
      </c>
      <c r="I65" s="32">
        <f>Cashflow!I$30</f>
        <v>2023</v>
      </c>
      <c r="J65" s="32">
        <f>Cashflow!J$30</f>
        <v>2024</v>
      </c>
      <c r="K65" s="32">
        <f>Cashflow!K$30</f>
        <v>2025</v>
      </c>
      <c r="L65" s="32">
        <f>Cashflow!L$30</f>
        <v>2026</v>
      </c>
      <c r="M65" s="32">
        <f>Cashflow!M$30</f>
        <v>2027</v>
      </c>
      <c r="N65" s="32">
        <f>Cashflow!N$30</f>
        <v>2028</v>
      </c>
      <c r="O65" s="32">
        <f>Cashflow!O$30</f>
        <v>2029</v>
      </c>
      <c r="P65" s="32">
        <f>Cashflow!P$30</f>
        <v>2030</v>
      </c>
      <c r="Q65" s="32">
        <f>Cashflow!Q$30</f>
        <v>2031</v>
      </c>
      <c r="R65" s="32">
        <f>Cashflow!R$30</f>
        <v>2032</v>
      </c>
      <c r="S65" s="32">
        <f>Cashflow!S$30</f>
        <v>2033</v>
      </c>
      <c r="T65" s="32">
        <f>Cashflow!T$30</f>
        <v>2034</v>
      </c>
      <c r="U65" s="32">
        <f>Cashflow!U$30</f>
        <v>2035</v>
      </c>
      <c r="V65" s="32">
        <f>Cashflow!V$30</f>
        <v>2036</v>
      </c>
      <c r="W65" s="32">
        <f>Cashflow!W$30</f>
        <v>2037</v>
      </c>
      <c r="X65" s="32">
        <f>Cashflow!X$30</f>
        <v>2038</v>
      </c>
      <c r="Y65" s="32">
        <f>Cashflow!Y$30</f>
        <v>2039</v>
      </c>
      <c r="Z65" s="32">
        <f>Cashflow!Z$30</f>
        <v>2040</v>
      </c>
      <c r="AA65" s="32">
        <f>Cashflow!AA$30</f>
        <v>2041</v>
      </c>
      <c r="AB65" s="32">
        <f>Cashflow!AB$30</f>
        <v>2042</v>
      </c>
      <c r="AC65" s="32">
        <f>Cashflow!AC$30</f>
        <v>2043</v>
      </c>
      <c r="AD65" s="32">
        <f>Cashflow!AD$30</f>
        <v>2044</v>
      </c>
      <c r="AE65" s="32">
        <f>Cashflow!AE$30</f>
        <v>2045</v>
      </c>
      <c r="AF65" s="32">
        <f>Cashflow!AF$30</f>
        <v>2046</v>
      </c>
      <c r="AG65" s="32">
        <f>Cashflow!AG$30</f>
        <v>2047</v>
      </c>
      <c r="AH65" s="873"/>
      <c r="AI65" s="874"/>
      <c r="AJ65" s="874"/>
      <c r="AK65" s="627">
        <v>63</v>
      </c>
      <c r="AL65" s="629">
        <f t="shared" si="48"/>
        <v>0.77001943084740732</v>
      </c>
      <c r="AM65" s="629">
        <f t="shared" si="1"/>
        <v>0.91144525993848557</v>
      </c>
      <c r="AN65" s="626" t="str">
        <f t="shared" si="2"/>
        <v>Failure</v>
      </c>
      <c r="AO65" s="629">
        <f t="shared" si="4"/>
        <v>0.77001943084740732</v>
      </c>
      <c r="AP65" s="629">
        <v>0.91144525993848557</v>
      </c>
      <c r="AQ65" s="629">
        <f t="shared" ca="1" si="49"/>
        <v>0.6736021742914261</v>
      </c>
    </row>
    <row r="66" spans="1:43" ht="15" thickTop="1">
      <c r="A66" s="19"/>
      <c r="B66" s="42" t="s">
        <v>816</v>
      </c>
      <c r="C66" s="58">
        <f t="shared" ref="C66:AG66" si="65">IF(C20=0,0,IF(C$12=0,0,(VLOOKUP(C20,$AK$3:$AN$102,4,FALSE))))</f>
        <v>0</v>
      </c>
      <c r="D66" s="58">
        <f t="shared" si="65"/>
        <v>0</v>
      </c>
      <c r="E66" s="58">
        <f t="shared" si="65"/>
        <v>0</v>
      </c>
      <c r="F66" s="58">
        <f t="shared" si="65"/>
        <v>0</v>
      </c>
      <c r="G66" s="58" t="str">
        <f t="shared" si="65"/>
        <v>Failure</v>
      </c>
      <c r="H66" s="58">
        <f t="shared" si="65"/>
        <v>0</v>
      </c>
      <c r="I66" s="58">
        <f t="shared" si="65"/>
        <v>0</v>
      </c>
      <c r="J66" s="58">
        <f t="shared" si="65"/>
        <v>0</v>
      </c>
      <c r="K66" s="58">
        <f t="shared" si="65"/>
        <v>0</v>
      </c>
      <c r="L66" s="58">
        <f t="shared" ca="1" si="65"/>
        <v>0</v>
      </c>
      <c r="M66" s="58">
        <f t="shared" ca="1" si="65"/>
        <v>0</v>
      </c>
      <c r="N66" s="58">
        <f t="shared" ca="1" si="65"/>
        <v>0</v>
      </c>
      <c r="O66" s="58">
        <f t="shared" ca="1" si="65"/>
        <v>0</v>
      </c>
      <c r="P66" s="58">
        <f t="shared" ca="1" si="65"/>
        <v>0</v>
      </c>
      <c r="Q66" s="58">
        <f t="shared" ca="1" si="65"/>
        <v>0</v>
      </c>
      <c r="R66" s="58">
        <f t="shared" ca="1" si="65"/>
        <v>0</v>
      </c>
      <c r="S66" s="58">
        <f t="shared" ca="1" si="65"/>
        <v>0</v>
      </c>
      <c r="T66" s="58">
        <f t="shared" ca="1" si="65"/>
        <v>0</v>
      </c>
      <c r="U66" s="58">
        <f t="shared" ca="1" si="65"/>
        <v>0</v>
      </c>
      <c r="V66" s="58">
        <f t="shared" ca="1" si="65"/>
        <v>0</v>
      </c>
      <c r="W66" s="58">
        <f t="shared" ca="1" si="65"/>
        <v>0</v>
      </c>
      <c r="X66" s="58">
        <f t="shared" ca="1" si="65"/>
        <v>0</v>
      </c>
      <c r="Y66" s="58">
        <f t="shared" ca="1" si="65"/>
        <v>0</v>
      </c>
      <c r="Z66" s="58">
        <f t="shared" ca="1" si="65"/>
        <v>0</v>
      </c>
      <c r="AA66" s="58">
        <f t="shared" ca="1" si="65"/>
        <v>0</v>
      </c>
      <c r="AB66" s="58">
        <f t="shared" ca="1" si="65"/>
        <v>0</v>
      </c>
      <c r="AC66" s="58">
        <f t="shared" ca="1" si="65"/>
        <v>0</v>
      </c>
      <c r="AD66" s="58">
        <f t="shared" ca="1" si="65"/>
        <v>0</v>
      </c>
      <c r="AE66" s="58">
        <f t="shared" ca="1" si="65"/>
        <v>0</v>
      </c>
      <c r="AF66" s="58">
        <f t="shared" ca="1" si="65"/>
        <v>0</v>
      </c>
      <c r="AG66" s="58">
        <f t="shared" ca="1" si="65"/>
        <v>0</v>
      </c>
      <c r="AH66" s="873"/>
      <c r="AI66" s="874"/>
      <c r="AJ66" s="874"/>
      <c r="AK66" s="627">
        <v>64</v>
      </c>
      <c r="AL66" s="629">
        <f t="shared" si="48"/>
        <v>0.77112181583517703</v>
      </c>
      <c r="AM66" s="629">
        <f t="shared" si="1"/>
        <v>0.6898297040923187</v>
      </c>
      <c r="AN66" s="626" t="str">
        <f t="shared" si="2"/>
        <v>Success</v>
      </c>
      <c r="AO66" s="629" t="e">
        <f t="shared" si="4"/>
        <v>#N/A</v>
      </c>
      <c r="AP66" s="629">
        <v>0.6898297040923187</v>
      </c>
      <c r="AQ66" s="629">
        <f t="shared" ca="1" si="49"/>
        <v>0.96723029208031341</v>
      </c>
    </row>
    <row r="67" spans="1:43">
      <c r="A67" s="19"/>
      <c r="B67" s="55" t="s">
        <v>817</v>
      </c>
      <c r="C67" s="58">
        <f t="shared" ref="C67:AG67" si="66">IF(C21=0,0,IF(C$12=0,0,(VLOOKUP(C21,$AK$3:$AN$102,4,FALSE))))</f>
        <v>0</v>
      </c>
      <c r="D67" s="58">
        <f t="shared" si="66"/>
        <v>0</v>
      </c>
      <c r="E67" s="58">
        <f t="shared" si="66"/>
        <v>0</v>
      </c>
      <c r="F67" s="58">
        <f t="shared" si="66"/>
        <v>0</v>
      </c>
      <c r="G67" s="58" t="str">
        <f t="shared" si="66"/>
        <v>Success</v>
      </c>
      <c r="H67" s="58">
        <f t="shared" si="66"/>
        <v>0</v>
      </c>
      <c r="I67" s="58">
        <f t="shared" si="66"/>
        <v>0</v>
      </c>
      <c r="J67" s="58">
        <f t="shared" si="66"/>
        <v>0</v>
      </c>
      <c r="K67" s="58">
        <f t="shared" si="66"/>
        <v>0</v>
      </c>
      <c r="L67" s="58">
        <f t="shared" ca="1" si="66"/>
        <v>0</v>
      </c>
      <c r="M67" s="58">
        <f t="shared" ca="1" si="66"/>
        <v>0</v>
      </c>
      <c r="N67" s="58">
        <f t="shared" ca="1" si="66"/>
        <v>0</v>
      </c>
      <c r="O67" s="58">
        <f t="shared" ca="1" si="66"/>
        <v>0</v>
      </c>
      <c r="P67" s="58">
        <f t="shared" ca="1" si="66"/>
        <v>0</v>
      </c>
      <c r="Q67" s="58">
        <f t="shared" ca="1" si="66"/>
        <v>0</v>
      </c>
      <c r="R67" s="58">
        <f t="shared" ca="1" si="66"/>
        <v>0</v>
      </c>
      <c r="S67" s="58">
        <f t="shared" ca="1" si="66"/>
        <v>0</v>
      </c>
      <c r="T67" s="58">
        <f t="shared" ca="1" si="66"/>
        <v>0</v>
      </c>
      <c r="U67" s="58">
        <f t="shared" ca="1" si="66"/>
        <v>0</v>
      </c>
      <c r="V67" s="58">
        <f t="shared" ca="1" si="66"/>
        <v>0</v>
      </c>
      <c r="W67" s="58">
        <f t="shared" ca="1" si="66"/>
        <v>0</v>
      </c>
      <c r="X67" s="58">
        <f t="shared" ca="1" si="66"/>
        <v>0</v>
      </c>
      <c r="Y67" s="58">
        <f t="shared" ca="1" si="66"/>
        <v>0</v>
      </c>
      <c r="Z67" s="58">
        <f t="shared" ca="1" si="66"/>
        <v>0</v>
      </c>
      <c r="AA67" s="58">
        <f t="shared" ca="1" si="66"/>
        <v>0</v>
      </c>
      <c r="AB67" s="58">
        <f t="shared" ca="1" si="66"/>
        <v>0</v>
      </c>
      <c r="AC67" s="58">
        <f t="shared" ca="1" si="66"/>
        <v>0</v>
      </c>
      <c r="AD67" s="58">
        <f t="shared" ca="1" si="66"/>
        <v>0</v>
      </c>
      <c r="AE67" s="58">
        <f t="shared" ca="1" si="66"/>
        <v>0</v>
      </c>
      <c r="AF67" s="58">
        <f t="shared" ca="1" si="66"/>
        <v>0</v>
      </c>
      <c r="AG67" s="58">
        <f t="shared" ca="1" si="66"/>
        <v>0</v>
      </c>
      <c r="AH67" s="873"/>
      <c r="AI67" s="874"/>
      <c r="AJ67" s="874"/>
      <c r="AK67" s="627">
        <v>65</v>
      </c>
      <c r="AL67" s="629">
        <f t="shared" si="48"/>
        <v>0.7722071088926945</v>
      </c>
      <c r="AM67" s="629">
        <f t="shared" si="1"/>
        <v>0.73803405287341528</v>
      </c>
      <c r="AN67" s="626" t="str">
        <f t="shared" si="2"/>
        <v>Success</v>
      </c>
      <c r="AO67" s="629" t="e">
        <f t="shared" si="4"/>
        <v>#N/A</v>
      </c>
      <c r="AP67" s="629">
        <v>0.73803405287341528</v>
      </c>
      <c r="AQ67" s="629">
        <f t="shared" ca="1" si="49"/>
        <v>0.92980214234009417</v>
      </c>
    </row>
    <row r="68" spans="1:43">
      <c r="A68" s="19"/>
      <c r="B68" s="55" t="s">
        <v>818</v>
      </c>
      <c r="C68" s="58">
        <f t="shared" ref="C68:AG68" si="67">IF(C22=0,0,IF(C$12=0,0,(VLOOKUP(C22,$AK$3:$AN$102,4,FALSE))))</f>
        <v>0</v>
      </c>
      <c r="D68" s="58">
        <f t="shared" si="67"/>
        <v>0</v>
      </c>
      <c r="E68" s="58">
        <f t="shared" si="67"/>
        <v>0</v>
      </c>
      <c r="F68" s="58">
        <f t="shared" si="67"/>
        <v>0</v>
      </c>
      <c r="G68" s="58">
        <f t="shared" si="67"/>
        <v>0</v>
      </c>
      <c r="H68" s="58">
        <f t="shared" si="67"/>
        <v>0</v>
      </c>
      <c r="I68" s="58">
        <f t="shared" si="67"/>
        <v>0</v>
      </c>
      <c r="J68" s="58">
        <f t="shared" si="67"/>
        <v>0</v>
      </c>
      <c r="K68" s="58">
        <f t="shared" si="67"/>
        <v>0</v>
      </c>
      <c r="L68" s="58">
        <f t="shared" ca="1" si="67"/>
        <v>0</v>
      </c>
      <c r="M68" s="58">
        <f t="shared" ca="1" si="67"/>
        <v>0</v>
      </c>
      <c r="N68" s="58">
        <f t="shared" ca="1" si="67"/>
        <v>0</v>
      </c>
      <c r="O68" s="58">
        <f t="shared" ca="1" si="67"/>
        <v>0</v>
      </c>
      <c r="P68" s="58">
        <f t="shared" ca="1" si="67"/>
        <v>0</v>
      </c>
      <c r="Q68" s="58">
        <f t="shared" ca="1" si="67"/>
        <v>0</v>
      </c>
      <c r="R68" s="58">
        <f t="shared" ca="1" si="67"/>
        <v>0</v>
      </c>
      <c r="S68" s="58">
        <f t="shared" ca="1" si="67"/>
        <v>0</v>
      </c>
      <c r="T68" s="58">
        <f t="shared" ca="1" si="67"/>
        <v>0</v>
      </c>
      <c r="U68" s="58">
        <f t="shared" ca="1" si="67"/>
        <v>0</v>
      </c>
      <c r="V68" s="58">
        <f t="shared" ca="1" si="67"/>
        <v>0</v>
      </c>
      <c r="W68" s="58">
        <f t="shared" ca="1" si="67"/>
        <v>0</v>
      </c>
      <c r="X68" s="58">
        <f t="shared" ca="1" si="67"/>
        <v>0</v>
      </c>
      <c r="Y68" s="58">
        <f t="shared" ca="1" si="67"/>
        <v>0</v>
      </c>
      <c r="Z68" s="58">
        <f t="shared" ca="1" si="67"/>
        <v>0</v>
      </c>
      <c r="AA68" s="58">
        <f t="shared" ca="1" si="67"/>
        <v>0</v>
      </c>
      <c r="AB68" s="58">
        <f t="shared" ca="1" si="67"/>
        <v>0</v>
      </c>
      <c r="AC68" s="58">
        <f t="shared" ca="1" si="67"/>
        <v>0</v>
      </c>
      <c r="AD68" s="58">
        <f t="shared" ca="1" si="67"/>
        <v>0</v>
      </c>
      <c r="AE68" s="58">
        <f t="shared" ca="1" si="67"/>
        <v>0</v>
      </c>
      <c r="AF68" s="58">
        <f t="shared" ca="1" si="67"/>
        <v>0</v>
      </c>
      <c r="AG68" s="58">
        <f t="shared" ca="1" si="67"/>
        <v>0</v>
      </c>
      <c r="AH68" s="873"/>
      <c r="AI68" s="874"/>
      <c r="AJ68" s="874"/>
      <c r="AK68" s="627">
        <v>66</v>
      </c>
      <c r="AL68" s="629">
        <f t="shared" ref="AL68:AL102" si="68">IF($I$4="y=m*x+b",IF($I$6*AK68+$I$5&gt;1,1,$I$6*AK68+$I$5),IF($I$6*LN(AK68)+$I$5&gt;1,1,$I$6*LN(AK68)+$I$5))</f>
        <v>0.77327583194184979</v>
      </c>
      <c r="AM68" s="629">
        <f t="shared" ref="AM68:AM102" si="69">IF($I$7="Fixed",AP68,AQ68)</f>
        <v>0.69433205715012625</v>
      </c>
      <c r="AN68" s="626" t="str">
        <f t="shared" ref="AN68:AN102" si="70">IF(AM68&lt;AL68,"Success","Failure")</f>
        <v>Success</v>
      </c>
      <c r="AO68" s="629" t="e">
        <f t="shared" si="4"/>
        <v>#N/A</v>
      </c>
      <c r="AP68" s="629">
        <v>0.69433205715012625</v>
      </c>
      <c r="AQ68" s="629">
        <f t="shared" ref="AQ68:AQ102" ca="1" si="71">RAND()</f>
        <v>0.83743593602761157</v>
      </c>
    </row>
    <row r="69" spans="1:43">
      <c r="A69" s="19"/>
      <c r="B69" s="55" t="s">
        <v>819</v>
      </c>
      <c r="C69" s="58">
        <f t="shared" ref="C69:AG69" si="72">IF(C23=0,0,IF(C$12=0,0,(VLOOKUP(C23,$AK$3:$AN$102,4,FALSE))))</f>
        <v>0</v>
      </c>
      <c r="D69" s="58">
        <f t="shared" si="72"/>
        <v>0</v>
      </c>
      <c r="E69" s="58">
        <f t="shared" si="72"/>
        <v>0</v>
      </c>
      <c r="F69" s="58">
        <f t="shared" si="72"/>
        <v>0</v>
      </c>
      <c r="G69" s="58">
        <f t="shared" si="72"/>
        <v>0</v>
      </c>
      <c r="H69" s="58">
        <f t="shared" si="72"/>
        <v>0</v>
      </c>
      <c r="I69" s="58">
        <f t="shared" si="72"/>
        <v>0</v>
      </c>
      <c r="J69" s="58">
        <f t="shared" si="72"/>
        <v>0</v>
      </c>
      <c r="K69" s="58">
        <f t="shared" si="72"/>
        <v>0</v>
      </c>
      <c r="L69" s="58">
        <f t="shared" ca="1" si="72"/>
        <v>0</v>
      </c>
      <c r="M69" s="58">
        <f t="shared" ca="1" si="72"/>
        <v>0</v>
      </c>
      <c r="N69" s="58">
        <f t="shared" ca="1" si="72"/>
        <v>0</v>
      </c>
      <c r="O69" s="58">
        <f t="shared" ca="1" si="72"/>
        <v>0</v>
      </c>
      <c r="P69" s="58">
        <f t="shared" ca="1" si="72"/>
        <v>0</v>
      </c>
      <c r="Q69" s="58">
        <f t="shared" ca="1" si="72"/>
        <v>0</v>
      </c>
      <c r="R69" s="58">
        <f t="shared" ca="1" si="72"/>
        <v>0</v>
      </c>
      <c r="S69" s="58">
        <f t="shared" ca="1" si="72"/>
        <v>0</v>
      </c>
      <c r="T69" s="58">
        <f t="shared" ca="1" si="72"/>
        <v>0</v>
      </c>
      <c r="U69" s="58">
        <f t="shared" ca="1" si="72"/>
        <v>0</v>
      </c>
      <c r="V69" s="58">
        <f t="shared" ca="1" si="72"/>
        <v>0</v>
      </c>
      <c r="W69" s="58">
        <f t="shared" ca="1" si="72"/>
        <v>0</v>
      </c>
      <c r="X69" s="58">
        <f t="shared" ca="1" si="72"/>
        <v>0</v>
      </c>
      <c r="Y69" s="58">
        <f t="shared" ca="1" si="72"/>
        <v>0</v>
      </c>
      <c r="Z69" s="58">
        <f t="shared" ca="1" si="72"/>
        <v>0</v>
      </c>
      <c r="AA69" s="58">
        <f t="shared" ca="1" si="72"/>
        <v>0</v>
      </c>
      <c r="AB69" s="58">
        <f t="shared" ca="1" si="72"/>
        <v>0</v>
      </c>
      <c r="AC69" s="58">
        <f t="shared" ca="1" si="72"/>
        <v>0</v>
      </c>
      <c r="AD69" s="58">
        <f t="shared" ca="1" si="72"/>
        <v>0</v>
      </c>
      <c r="AE69" s="58">
        <f t="shared" ca="1" si="72"/>
        <v>0</v>
      </c>
      <c r="AF69" s="58">
        <f t="shared" ca="1" si="72"/>
        <v>0</v>
      </c>
      <c r="AG69" s="58">
        <f t="shared" ca="1" si="72"/>
        <v>0</v>
      </c>
      <c r="AH69" s="873"/>
      <c r="AI69" s="874"/>
      <c r="AJ69" s="874"/>
      <c r="AK69" s="627">
        <v>67</v>
      </c>
      <c r="AL69" s="629">
        <f t="shared" si="68"/>
        <v>0.77432848335736759</v>
      </c>
      <c r="AM69" s="629">
        <f t="shared" si="69"/>
        <v>0.46094428205458648</v>
      </c>
      <c r="AN69" s="626" t="str">
        <f t="shared" si="70"/>
        <v>Success</v>
      </c>
      <c r="AO69" s="629" t="e">
        <f t="shared" ref="AO69:AO102" si="73">IF(AM69&lt;AL69,NA(),AL69)</f>
        <v>#N/A</v>
      </c>
      <c r="AP69" s="629">
        <v>0.46094428205458648</v>
      </c>
      <c r="AQ69" s="629">
        <f t="shared" ca="1" si="71"/>
        <v>0.93129903600922437</v>
      </c>
    </row>
    <row r="70" spans="1:43">
      <c r="A70" s="19"/>
      <c r="B70" s="55" t="s">
        <v>820</v>
      </c>
      <c r="C70" s="58">
        <f t="shared" ref="C70:AG70" si="74">IF(C24=0,0,IF(C$12=0,0,(VLOOKUP(C24,$AK$3:$AN$102,4,FALSE))))</f>
        <v>0</v>
      </c>
      <c r="D70" s="58">
        <f t="shared" si="74"/>
        <v>0</v>
      </c>
      <c r="E70" s="58">
        <f t="shared" si="74"/>
        <v>0</v>
      </c>
      <c r="F70" s="58">
        <f t="shared" si="74"/>
        <v>0</v>
      </c>
      <c r="G70" s="58">
        <f t="shared" si="74"/>
        <v>0</v>
      </c>
      <c r="H70" s="58">
        <f t="shared" si="74"/>
        <v>0</v>
      </c>
      <c r="I70" s="58">
        <f t="shared" si="74"/>
        <v>0</v>
      </c>
      <c r="J70" s="58">
        <f t="shared" si="74"/>
        <v>0</v>
      </c>
      <c r="K70" s="58">
        <f t="shared" si="74"/>
        <v>0</v>
      </c>
      <c r="L70" s="58">
        <f t="shared" ca="1" si="74"/>
        <v>0</v>
      </c>
      <c r="M70" s="58">
        <f t="shared" ca="1" si="74"/>
        <v>0</v>
      </c>
      <c r="N70" s="58">
        <f t="shared" ca="1" si="74"/>
        <v>0</v>
      </c>
      <c r="O70" s="58">
        <f t="shared" ca="1" si="74"/>
        <v>0</v>
      </c>
      <c r="P70" s="58">
        <f t="shared" ca="1" si="74"/>
        <v>0</v>
      </c>
      <c r="Q70" s="58">
        <f t="shared" ca="1" si="74"/>
        <v>0</v>
      </c>
      <c r="R70" s="58">
        <f t="shared" ca="1" si="74"/>
        <v>0</v>
      </c>
      <c r="S70" s="58">
        <f t="shared" ca="1" si="74"/>
        <v>0</v>
      </c>
      <c r="T70" s="58">
        <f t="shared" ca="1" si="74"/>
        <v>0</v>
      </c>
      <c r="U70" s="58">
        <f t="shared" ca="1" si="74"/>
        <v>0</v>
      </c>
      <c r="V70" s="58">
        <f t="shared" ca="1" si="74"/>
        <v>0</v>
      </c>
      <c r="W70" s="58">
        <f t="shared" ca="1" si="74"/>
        <v>0</v>
      </c>
      <c r="X70" s="58">
        <f t="shared" ca="1" si="74"/>
        <v>0</v>
      </c>
      <c r="Y70" s="58">
        <f t="shared" ca="1" si="74"/>
        <v>0</v>
      </c>
      <c r="Z70" s="58">
        <f t="shared" ca="1" si="74"/>
        <v>0</v>
      </c>
      <c r="AA70" s="58">
        <f t="shared" ca="1" si="74"/>
        <v>0</v>
      </c>
      <c r="AB70" s="58">
        <f t="shared" ca="1" si="74"/>
        <v>0</v>
      </c>
      <c r="AC70" s="58">
        <f t="shared" ca="1" si="74"/>
        <v>0</v>
      </c>
      <c r="AD70" s="58">
        <f t="shared" ca="1" si="74"/>
        <v>0</v>
      </c>
      <c r="AE70" s="58">
        <f t="shared" ca="1" si="74"/>
        <v>0</v>
      </c>
      <c r="AF70" s="58">
        <f t="shared" ca="1" si="74"/>
        <v>0</v>
      </c>
      <c r="AG70" s="58">
        <f t="shared" ca="1" si="74"/>
        <v>0</v>
      </c>
      <c r="AH70" s="873"/>
      <c r="AI70" s="874"/>
      <c r="AJ70" s="874"/>
      <c r="AK70" s="627">
        <v>68</v>
      </c>
      <c r="AL70" s="629">
        <f t="shared" si="68"/>
        <v>0.77536553936232755</v>
      </c>
      <c r="AM70" s="629">
        <f t="shared" si="69"/>
        <v>0.78796229364477954</v>
      </c>
      <c r="AN70" s="626" t="str">
        <f t="shared" si="70"/>
        <v>Failure</v>
      </c>
      <c r="AO70" s="629">
        <f t="shared" si="73"/>
        <v>0.77536553936232755</v>
      </c>
      <c r="AP70" s="629">
        <v>0.78796229364477954</v>
      </c>
      <c r="AQ70" s="629">
        <f t="shared" ca="1" si="71"/>
        <v>9.1691359538050632E-2</v>
      </c>
    </row>
    <row r="71" spans="1:43">
      <c r="A71" s="19"/>
      <c r="B71" s="55" t="s">
        <v>821</v>
      </c>
      <c r="C71" s="58">
        <f t="shared" ref="C71:AG71" si="75">IF(C25=0,0,IF(C$12=0,0,(VLOOKUP(C25,$AK$3:$AN$102,4,FALSE))))</f>
        <v>0</v>
      </c>
      <c r="D71" s="58">
        <f t="shared" si="75"/>
        <v>0</v>
      </c>
      <c r="E71" s="58">
        <f t="shared" si="75"/>
        <v>0</v>
      </c>
      <c r="F71" s="58">
        <f t="shared" si="75"/>
        <v>0</v>
      </c>
      <c r="G71" s="58">
        <f t="shared" si="75"/>
        <v>0</v>
      </c>
      <c r="H71" s="58">
        <f t="shared" si="75"/>
        <v>0</v>
      </c>
      <c r="I71" s="58">
        <f t="shared" si="75"/>
        <v>0</v>
      </c>
      <c r="J71" s="58">
        <f t="shared" si="75"/>
        <v>0</v>
      </c>
      <c r="K71" s="58">
        <f t="shared" si="75"/>
        <v>0</v>
      </c>
      <c r="L71" s="58">
        <f t="shared" ca="1" si="75"/>
        <v>0</v>
      </c>
      <c r="M71" s="58">
        <f t="shared" ca="1" si="75"/>
        <v>0</v>
      </c>
      <c r="N71" s="58">
        <f t="shared" ca="1" si="75"/>
        <v>0</v>
      </c>
      <c r="O71" s="58">
        <f t="shared" ca="1" si="75"/>
        <v>0</v>
      </c>
      <c r="P71" s="58">
        <f t="shared" ca="1" si="75"/>
        <v>0</v>
      </c>
      <c r="Q71" s="58">
        <f t="shared" ca="1" si="75"/>
        <v>0</v>
      </c>
      <c r="R71" s="58">
        <f t="shared" ca="1" si="75"/>
        <v>0</v>
      </c>
      <c r="S71" s="58">
        <f t="shared" ca="1" si="75"/>
        <v>0</v>
      </c>
      <c r="T71" s="58">
        <f t="shared" ca="1" si="75"/>
        <v>0</v>
      </c>
      <c r="U71" s="58">
        <f t="shared" ca="1" si="75"/>
        <v>0</v>
      </c>
      <c r="V71" s="58">
        <f t="shared" ca="1" si="75"/>
        <v>0</v>
      </c>
      <c r="W71" s="58">
        <f t="shared" ca="1" si="75"/>
        <v>0</v>
      </c>
      <c r="X71" s="58">
        <f t="shared" ca="1" si="75"/>
        <v>0</v>
      </c>
      <c r="Y71" s="58">
        <f t="shared" ca="1" si="75"/>
        <v>0</v>
      </c>
      <c r="Z71" s="58">
        <f t="shared" ca="1" si="75"/>
        <v>0</v>
      </c>
      <c r="AA71" s="58">
        <f t="shared" ca="1" si="75"/>
        <v>0</v>
      </c>
      <c r="AB71" s="58">
        <f t="shared" ca="1" si="75"/>
        <v>0</v>
      </c>
      <c r="AC71" s="58">
        <f t="shared" ca="1" si="75"/>
        <v>0</v>
      </c>
      <c r="AD71" s="58">
        <f t="shared" ca="1" si="75"/>
        <v>0</v>
      </c>
      <c r="AE71" s="58">
        <f t="shared" ca="1" si="75"/>
        <v>0</v>
      </c>
      <c r="AF71" s="58">
        <f t="shared" ca="1" si="75"/>
        <v>0</v>
      </c>
      <c r="AG71" s="58">
        <f t="shared" ca="1" si="75"/>
        <v>0</v>
      </c>
      <c r="AH71" s="873"/>
      <c r="AI71" s="874"/>
      <c r="AJ71" s="874"/>
      <c r="AK71" s="627">
        <v>69</v>
      </c>
      <c r="AL71" s="629">
        <f t="shared" si="68"/>
        <v>0.7763874553218082</v>
      </c>
      <c r="AM71" s="629">
        <f t="shared" si="69"/>
        <v>0.85689311221402087</v>
      </c>
      <c r="AN71" s="626" t="str">
        <f t="shared" si="70"/>
        <v>Failure</v>
      </c>
      <c r="AO71" s="629">
        <f t="shared" si="73"/>
        <v>0.7763874553218082</v>
      </c>
      <c r="AP71" s="629">
        <v>0.85689311221402087</v>
      </c>
      <c r="AQ71" s="629">
        <f t="shared" ca="1" si="71"/>
        <v>0.86435341460064397</v>
      </c>
    </row>
    <row r="72" spans="1:43">
      <c r="A72" s="19"/>
      <c r="B72" s="55" t="s">
        <v>822</v>
      </c>
      <c r="C72" s="58">
        <f t="shared" ref="C72:AG72" si="76">IF(C26=0,0,IF(C$12=0,0,(VLOOKUP(C26,$AK$3:$AN$102,4,FALSE))))</f>
        <v>0</v>
      </c>
      <c r="D72" s="58">
        <f t="shared" si="76"/>
        <v>0</v>
      </c>
      <c r="E72" s="58">
        <f t="shared" si="76"/>
        <v>0</v>
      </c>
      <c r="F72" s="58">
        <f t="shared" si="76"/>
        <v>0</v>
      </c>
      <c r="G72" s="58">
        <f t="shared" si="76"/>
        <v>0</v>
      </c>
      <c r="H72" s="58">
        <f t="shared" si="76"/>
        <v>0</v>
      </c>
      <c r="I72" s="58">
        <f t="shared" si="76"/>
        <v>0</v>
      </c>
      <c r="J72" s="58">
        <f t="shared" si="76"/>
        <v>0</v>
      </c>
      <c r="K72" s="58">
        <f t="shared" si="76"/>
        <v>0</v>
      </c>
      <c r="L72" s="58">
        <f t="shared" ca="1" si="76"/>
        <v>0</v>
      </c>
      <c r="M72" s="58">
        <f t="shared" ca="1" si="76"/>
        <v>0</v>
      </c>
      <c r="N72" s="58">
        <f t="shared" ca="1" si="76"/>
        <v>0</v>
      </c>
      <c r="O72" s="58">
        <f t="shared" ca="1" si="76"/>
        <v>0</v>
      </c>
      <c r="P72" s="58">
        <f t="shared" ca="1" si="76"/>
        <v>0</v>
      </c>
      <c r="Q72" s="58">
        <f t="shared" ca="1" si="76"/>
        <v>0</v>
      </c>
      <c r="R72" s="58">
        <f t="shared" ca="1" si="76"/>
        <v>0</v>
      </c>
      <c r="S72" s="58">
        <f t="shared" ca="1" si="76"/>
        <v>0</v>
      </c>
      <c r="T72" s="58">
        <f t="shared" ca="1" si="76"/>
        <v>0</v>
      </c>
      <c r="U72" s="58">
        <f t="shared" ca="1" si="76"/>
        <v>0</v>
      </c>
      <c r="V72" s="58">
        <f t="shared" ca="1" si="76"/>
        <v>0</v>
      </c>
      <c r="W72" s="58">
        <f t="shared" ca="1" si="76"/>
        <v>0</v>
      </c>
      <c r="X72" s="58">
        <f t="shared" ca="1" si="76"/>
        <v>0</v>
      </c>
      <c r="Y72" s="58">
        <f t="shared" ca="1" si="76"/>
        <v>0</v>
      </c>
      <c r="Z72" s="58">
        <f t="shared" ca="1" si="76"/>
        <v>0</v>
      </c>
      <c r="AA72" s="58">
        <f t="shared" ca="1" si="76"/>
        <v>0</v>
      </c>
      <c r="AB72" s="58">
        <f t="shared" ca="1" si="76"/>
        <v>0</v>
      </c>
      <c r="AC72" s="58">
        <f t="shared" ca="1" si="76"/>
        <v>0</v>
      </c>
      <c r="AD72" s="58">
        <f t="shared" ca="1" si="76"/>
        <v>0</v>
      </c>
      <c r="AE72" s="58">
        <f t="shared" ca="1" si="76"/>
        <v>0</v>
      </c>
      <c r="AF72" s="58">
        <f t="shared" ca="1" si="76"/>
        <v>0</v>
      </c>
      <c r="AG72" s="58">
        <f t="shared" ca="1" si="76"/>
        <v>0</v>
      </c>
      <c r="AH72" s="874"/>
      <c r="AI72" s="874"/>
      <c r="AJ72" s="874"/>
      <c r="AK72" s="627">
        <v>70</v>
      </c>
      <c r="AL72" s="629">
        <f t="shared" si="68"/>
        <v>0.77739466694345516</v>
      </c>
      <c r="AM72" s="629">
        <f t="shared" si="69"/>
        <v>0.17487278534574857</v>
      </c>
      <c r="AN72" s="626" t="str">
        <f t="shared" si="70"/>
        <v>Success</v>
      </c>
      <c r="AO72" s="629" t="e">
        <f t="shared" si="73"/>
        <v>#N/A</v>
      </c>
      <c r="AP72" s="629">
        <v>0.17487278534574857</v>
      </c>
      <c r="AQ72" s="629">
        <f t="shared" ca="1" si="71"/>
        <v>0.18644746643707344</v>
      </c>
    </row>
    <row r="73" spans="1:43">
      <c r="A73" s="19"/>
      <c r="B73" s="55" t="s">
        <v>823</v>
      </c>
      <c r="C73" s="58">
        <f t="shared" ref="C73:AG73" si="77">IF(C27=0,0,IF(C$12=0,0,(VLOOKUP(C27,$AK$3:$AN$102,4,FALSE))))</f>
        <v>0</v>
      </c>
      <c r="D73" s="58">
        <f t="shared" si="77"/>
        <v>0</v>
      </c>
      <c r="E73" s="58">
        <f t="shared" si="77"/>
        <v>0</v>
      </c>
      <c r="F73" s="58">
        <f t="shared" si="77"/>
        <v>0</v>
      </c>
      <c r="G73" s="58">
        <f t="shared" si="77"/>
        <v>0</v>
      </c>
      <c r="H73" s="58">
        <f t="shared" si="77"/>
        <v>0</v>
      </c>
      <c r="I73" s="58">
        <f t="shared" si="77"/>
        <v>0</v>
      </c>
      <c r="J73" s="58">
        <f t="shared" si="77"/>
        <v>0</v>
      </c>
      <c r="K73" s="58">
        <f t="shared" si="77"/>
        <v>0</v>
      </c>
      <c r="L73" s="58">
        <f t="shared" ca="1" si="77"/>
        <v>0</v>
      </c>
      <c r="M73" s="58">
        <f t="shared" ca="1" si="77"/>
        <v>0</v>
      </c>
      <c r="N73" s="58">
        <f t="shared" ca="1" si="77"/>
        <v>0</v>
      </c>
      <c r="O73" s="58">
        <f t="shared" ca="1" si="77"/>
        <v>0</v>
      </c>
      <c r="P73" s="58">
        <f t="shared" ca="1" si="77"/>
        <v>0</v>
      </c>
      <c r="Q73" s="58">
        <f t="shared" ca="1" si="77"/>
        <v>0</v>
      </c>
      <c r="R73" s="58">
        <f t="shared" ca="1" si="77"/>
        <v>0</v>
      </c>
      <c r="S73" s="58">
        <f t="shared" ca="1" si="77"/>
        <v>0</v>
      </c>
      <c r="T73" s="58">
        <f t="shared" ca="1" si="77"/>
        <v>0</v>
      </c>
      <c r="U73" s="58">
        <f t="shared" ca="1" si="77"/>
        <v>0</v>
      </c>
      <c r="V73" s="58">
        <f t="shared" ca="1" si="77"/>
        <v>0</v>
      </c>
      <c r="W73" s="58">
        <f t="shared" ca="1" si="77"/>
        <v>0</v>
      </c>
      <c r="X73" s="58">
        <f t="shared" ca="1" si="77"/>
        <v>0</v>
      </c>
      <c r="Y73" s="58">
        <f t="shared" ca="1" si="77"/>
        <v>0</v>
      </c>
      <c r="Z73" s="58">
        <f t="shared" ca="1" si="77"/>
        <v>0</v>
      </c>
      <c r="AA73" s="58">
        <f t="shared" ca="1" si="77"/>
        <v>0</v>
      </c>
      <c r="AB73" s="58">
        <f t="shared" ca="1" si="77"/>
        <v>0</v>
      </c>
      <c r="AC73" s="58">
        <f t="shared" ca="1" si="77"/>
        <v>0</v>
      </c>
      <c r="AD73" s="58">
        <f t="shared" ca="1" si="77"/>
        <v>0</v>
      </c>
      <c r="AE73" s="58">
        <f t="shared" ca="1" si="77"/>
        <v>0</v>
      </c>
      <c r="AF73" s="58">
        <f t="shared" ca="1" si="77"/>
        <v>0</v>
      </c>
      <c r="AG73" s="58">
        <f t="shared" ca="1" si="77"/>
        <v>0</v>
      </c>
      <c r="AH73" s="874"/>
      <c r="AI73" s="874"/>
      <c r="AJ73" s="874"/>
      <c r="AK73" s="627">
        <v>71</v>
      </c>
      <c r="AL73" s="629">
        <f t="shared" si="68"/>
        <v>0.77838759139289215</v>
      </c>
      <c r="AM73" s="629">
        <f t="shared" si="69"/>
        <v>0.9847254853769507</v>
      </c>
      <c r="AN73" s="626" t="str">
        <f t="shared" si="70"/>
        <v>Failure</v>
      </c>
      <c r="AO73" s="629">
        <f t="shared" si="73"/>
        <v>0.77838759139289215</v>
      </c>
      <c r="AP73" s="629">
        <v>0.9847254853769507</v>
      </c>
      <c r="AQ73" s="629">
        <f t="shared" ca="1" si="71"/>
        <v>0.57461424376595915</v>
      </c>
    </row>
    <row r="74" spans="1:43">
      <c r="A74" s="19"/>
      <c r="B74" s="55" t="s">
        <v>824</v>
      </c>
      <c r="C74" s="58">
        <f t="shared" ref="C74:AG74" si="78">IF(C28=0,0,IF(C$12=0,0,(VLOOKUP(C28,$AK$3:$AN$102,4,FALSE))))</f>
        <v>0</v>
      </c>
      <c r="D74" s="58">
        <f t="shared" si="78"/>
        <v>0</v>
      </c>
      <c r="E74" s="58">
        <f t="shared" si="78"/>
        <v>0</v>
      </c>
      <c r="F74" s="58">
        <f t="shared" si="78"/>
        <v>0</v>
      </c>
      <c r="G74" s="58">
        <f t="shared" si="78"/>
        <v>0</v>
      </c>
      <c r="H74" s="58">
        <f t="shared" si="78"/>
        <v>0</v>
      </c>
      <c r="I74" s="58">
        <f t="shared" si="78"/>
        <v>0</v>
      </c>
      <c r="J74" s="58">
        <f t="shared" si="78"/>
        <v>0</v>
      </c>
      <c r="K74" s="58">
        <f t="shared" si="78"/>
        <v>0</v>
      </c>
      <c r="L74" s="58">
        <f t="shared" ca="1" si="78"/>
        <v>0</v>
      </c>
      <c r="M74" s="58">
        <f t="shared" ca="1" si="78"/>
        <v>0</v>
      </c>
      <c r="N74" s="58">
        <f t="shared" ca="1" si="78"/>
        <v>0</v>
      </c>
      <c r="O74" s="58">
        <f t="shared" ca="1" si="78"/>
        <v>0</v>
      </c>
      <c r="P74" s="58">
        <f t="shared" ca="1" si="78"/>
        <v>0</v>
      </c>
      <c r="Q74" s="58">
        <f t="shared" ca="1" si="78"/>
        <v>0</v>
      </c>
      <c r="R74" s="58">
        <f t="shared" ca="1" si="78"/>
        <v>0</v>
      </c>
      <c r="S74" s="58">
        <f t="shared" ca="1" si="78"/>
        <v>0</v>
      </c>
      <c r="T74" s="58">
        <f t="shared" ca="1" si="78"/>
        <v>0</v>
      </c>
      <c r="U74" s="58">
        <f t="shared" ca="1" si="78"/>
        <v>0</v>
      </c>
      <c r="V74" s="58">
        <f t="shared" ca="1" si="78"/>
        <v>0</v>
      </c>
      <c r="W74" s="58">
        <f t="shared" ca="1" si="78"/>
        <v>0</v>
      </c>
      <c r="X74" s="58">
        <f t="shared" ca="1" si="78"/>
        <v>0</v>
      </c>
      <c r="Y74" s="58">
        <f t="shared" ca="1" si="78"/>
        <v>0</v>
      </c>
      <c r="Z74" s="58">
        <f t="shared" ca="1" si="78"/>
        <v>0</v>
      </c>
      <c r="AA74" s="58">
        <f t="shared" ca="1" si="78"/>
        <v>0</v>
      </c>
      <c r="AB74" s="58">
        <f t="shared" ca="1" si="78"/>
        <v>0</v>
      </c>
      <c r="AC74" s="58">
        <f t="shared" ca="1" si="78"/>
        <v>0</v>
      </c>
      <c r="AD74" s="58">
        <f t="shared" ca="1" si="78"/>
        <v>0</v>
      </c>
      <c r="AE74" s="58">
        <f t="shared" ca="1" si="78"/>
        <v>0</v>
      </c>
      <c r="AF74" s="58">
        <f t="shared" ca="1" si="78"/>
        <v>0</v>
      </c>
      <c r="AG74" s="58">
        <f t="shared" ca="1" si="78"/>
        <v>0</v>
      </c>
      <c r="AH74" s="873"/>
      <c r="AI74" s="874"/>
      <c r="AJ74" s="874"/>
      <c r="AK74" s="627">
        <v>72</v>
      </c>
      <c r="AL74" s="629">
        <f t="shared" si="68"/>
        <v>0.7793666283311238</v>
      </c>
      <c r="AM74" s="629">
        <f t="shared" si="69"/>
        <v>0.16290703106477533</v>
      </c>
      <c r="AN74" s="626" t="str">
        <f t="shared" si="70"/>
        <v>Success</v>
      </c>
      <c r="AO74" s="629" t="e">
        <f t="shared" si="73"/>
        <v>#N/A</v>
      </c>
      <c r="AP74" s="629">
        <v>0.16290703106477533</v>
      </c>
      <c r="AQ74" s="629">
        <f t="shared" ca="1" si="71"/>
        <v>0.18044024224265309</v>
      </c>
    </row>
    <row r="75" spans="1:43">
      <c r="A75" s="19"/>
      <c r="B75" s="55" t="s">
        <v>825</v>
      </c>
      <c r="C75" s="58">
        <f t="shared" ref="C75:AG75" si="79">IF(C29=0,0,IF(C$12=0,0,(VLOOKUP(C29,$AK$3:$AN$102,4,FALSE))))</f>
        <v>0</v>
      </c>
      <c r="D75" s="58">
        <f t="shared" si="79"/>
        <v>0</v>
      </c>
      <c r="E75" s="58">
        <f t="shared" si="79"/>
        <v>0</v>
      </c>
      <c r="F75" s="58">
        <f t="shared" si="79"/>
        <v>0</v>
      </c>
      <c r="G75" s="58">
        <f t="shared" si="79"/>
        <v>0</v>
      </c>
      <c r="H75" s="58">
        <f t="shared" si="79"/>
        <v>0</v>
      </c>
      <c r="I75" s="58">
        <f t="shared" si="79"/>
        <v>0</v>
      </c>
      <c r="J75" s="58">
        <f t="shared" si="79"/>
        <v>0</v>
      </c>
      <c r="K75" s="58">
        <f t="shared" si="79"/>
        <v>0</v>
      </c>
      <c r="L75" s="58">
        <f t="shared" ca="1" si="79"/>
        <v>0</v>
      </c>
      <c r="M75" s="58">
        <f t="shared" ca="1" si="79"/>
        <v>0</v>
      </c>
      <c r="N75" s="58">
        <f t="shared" ca="1" si="79"/>
        <v>0</v>
      </c>
      <c r="O75" s="58">
        <f t="shared" ca="1" si="79"/>
        <v>0</v>
      </c>
      <c r="P75" s="58">
        <f t="shared" ca="1" si="79"/>
        <v>0</v>
      </c>
      <c r="Q75" s="58">
        <f t="shared" ca="1" si="79"/>
        <v>0</v>
      </c>
      <c r="R75" s="58">
        <f t="shared" ca="1" si="79"/>
        <v>0</v>
      </c>
      <c r="S75" s="58">
        <f t="shared" ca="1" si="79"/>
        <v>0</v>
      </c>
      <c r="T75" s="58">
        <f t="shared" ca="1" si="79"/>
        <v>0</v>
      </c>
      <c r="U75" s="58">
        <f t="shared" ca="1" si="79"/>
        <v>0</v>
      </c>
      <c r="V75" s="58">
        <f t="shared" ca="1" si="79"/>
        <v>0</v>
      </c>
      <c r="W75" s="58">
        <f t="shared" ca="1" si="79"/>
        <v>0</v>
      </c>
      <c r="X75" s="58">
        <f t="shared" ca="1" si="79"/>
        <v>0</v>
      </c>
      <c r="Y75" s="58">
        <f t="shared" ca="1" si="79"/>
        <v>0</v>
      </c>
      <c r="Z75" s="58">
        <f t="shared" ca="1" si="79"/>
        <v>0</v>
      </c>
      <c r="AA75" s="58">
        <f t="shared" ca="1" si="79"/>
        <v>0</v>
      </c>
      <c r="AB75" s="58">
        <f t="shared" ca="1" si="79"/>
        <v>0</v>
      </c>
      <c r="AC75" s="58">
        <f t="shared" ca="1" si="79"/>
        <v>0</v>
      </c>
      <c r="AD75" s="58">
        <f t="shared" ca="1" si="79"/>
        <v>0</v>
      </c>
      <c r="AE75" s="58">
        <f t="shared" ca="1" si="79"/>
        <v>0</v>
      </c>
      <c r="AF75" s="58">
        <f t="shared" ca="1" si="79"/>
        <v>0</v>
      </c>
      <c r="AG75" s="58">
        <f t="shared" ca="1" si="79"/>
        <v>0</v>
      </c>
      <c r="AH75" s="873"/>
      <c r="AI75" s="874"/>
      <c r="AJ75" s="874"/>
      <c r="AK75" s="627">
        <v>73</v>
      </c>
      <c r="AL75" s="629">
        <f t="shared" si="68"/>
        <v>0.78033216088038737</v>
      </c>
      <c r="AM75" s="629">
        <f t="shared" si="69"/>
        <v>3.1437591789260644E-2</v>
      </c>
      <c r="AN75" s="626" t="str">
        <f t="shared" si="70"/>
        <v>Success</v>
      </c>
      <c r="AO75" s="629" t="e">
        <f t="shared" si="73"/>
        <v>#N/A</v>
      </c>
      <c r="AP75" s="629">
        <v>3.1437591789260644E-2</v>
      </c>
      <c r="AQ75" s="629">
        <f t="shared" ca="1" si="71"/>
        <v>0.7913932416211501</v>
      </c>
    </row>
    <row r="76" spans="1:43">
      <c r="A76" s="326"/>
      <c r="B76" s="55" t="s">
        <v>826</v>
      </c>
      <c r="C76" s="58">
        <f t="shared" ref="C76:AG76" si="80">IF(C30=0,0,IF(C$12=0,0,(VLOOKUP(C30,$AK$3:$AN$102,4,FALSE))))</f>
        <v>0</v>
      </c>
      <c r="D76" s="58">
        <f t="shared" si="80"/>
        <v>0</v>
      </c>
      <c r="E76" s="58">
        <f t="shared" si="80"/>
        <v>0</v>
      </c>
      <c r="F76" s="58">
        <f t="shared" si="80"/>
        <v>0</v>
      </c>
      <c r="G76" s="58">
        <f t="shared" si="80"/>
        <v>0</v>
      </c>
      <c r="H76" s="58">
        <f t="shared" si="80"/>
        <v>0</v>
      </c>
      <c r="I76" s="58">
        <f t="shared" si="80"/>
        <v>0</v>
      </c>
      <c r="J76" s="58">
        <f t="shared" si="80"/>
        <v>0</v>
      </c>
      <c r="K76" s="58">
        <f t="shared" si="80"/>
        <v>0</v>
      </c>
      <c r="L76" s="58">
        <f t="shared" ca="1" si="80"/>
        <v>0</v>
      </c>
      <c r="M76" s="58">
        <f t="shared" ca="1" si="80"/>
        <v>0</v>
      </c>
      <c r="N76" s="58">
        <f t="shared" ca="1" si="80"/>
        <v>0</v>
      </c>
      <c r="O76" s="58">
        <f t="shared" ca="1" si="80"/>
        <v>0</v>
      </c>
      <c r="P76" s="58">
        <f t="shared" ca="1" si="80"/>
        <v>0</v>
      </c>
      <c r="Q76" s="58">
        <f t="shared" ca="1" si="80"/>
        <v>0</v>
      </c>
      <c r="R76" s="58">
        <f t="shared" ca="1" si="80"/>
        <v>0</v>
      </c>
      <c r="S76" s="58">
        <f t="shared" ca="1" si="80"/>
        <v>0</v>
      </c>
      <c r="T76" s="58">
        <f t="shared" ca="1" si="80"/>
        <v>0</v>
      </c>
      <c r="U76" s="58">
        <f t="shared" ca="1" si="80"/>
        <v>0</v>
      </c>
      <c r="V76" s="58">
        <f t="shared" ca="1" si="80"/>
        <v>0</v>
      </c>
      <c r="W76" s="58">
        <f t="shared" ca="1" si="80"/>
        <v>0</v>
      </c>
      <c r="X76" s="58">
        <f t="shared" ca="1" si="80"/>
        <v>0</v>
      </c>
      <c r="Y76" s="58">
        <f t="shared" ca="1" si="80"/>
        <v>0</v>
      </c>
      <c r="Z76" s="58">
        <f t="shared" ca="1" si="80"/>
        <v>0</v>
      </c>
      <c r="AA76" s="58">
        <f t="shared" ca="1" si="80"/>
        <v>0</v>
      </c>
      <c r="AB76" s="58">
        <f t="shared" ca="1" si="80"/>
        <v>0</v>
      </c>
      <c r="AC76" s="58">
        <f t="shared" ca="1" si="80"/>
        <v>0</v>
      </c>
      <c r="AD76" s="58">
        <f t="shared" ca="1" si="80"/>
        <v>0</v>
      </c>
      <c r="AE76" s="58">
        <f t="shared" ca="1" si="80"/>
        <v>0</v>
      </c>
      <c r="AF76" s="58">
        <f t="shared" ca="1" si="80"/>
        <v>0</v>
      </c>
      <c r="AG76" s="58">
        <f t="shared" ca="1" si="80"/>
        <v>0</v>
      </c>
      <c r="AH76" s="873"/>
      <c r="AI76" s="874"/>
      <c r="AJ76" s="874"/>
      <c r="AK76" s="627">
        <v>74</v>
      </c>
      <c r="AL76" s="629">
        <f t="shared" si="68"/>
        <v>0.78128455652429185</v>
      </c>
      <c r="AM76" s="629">
        <f t="shared" si="69"/>
        <v>0.26026023270665632</v>
      </c>
      <c r="AN76" s="626" t="str">
        <f t="shared" si="70"/>
        <v>Success</v>
      </c>
      <c r="AO76" s="629" t="e">
        <f t="shared" si="73"/>
        <v>#N/A</v>
      </c>
      <c r="AP76" s="629">
        <v>0.26026023270665632</v>
      </c>
      <c r="AQ76" s="629">
        <f t="shared" ca="1" si="71"/>
        <v>0.88561094369852611</v>
      </c>
    </row>
    <row r="77" spans="1:43">
      <c r="A77" s="19"/>
      <c r="B77" s="55" t="s">
        <v>827</v>
      </c>
      <c r="C77" s="58">
        <f t="shared" ref="C77:AG77" si="81">IF(C31=0,0,IF(C$12=0,0,(VLOOKUP(C31,$AK$3:$AN$102,4,FALSE))))</f>
        <v>0</v>
      </c>
      <c r="D77" s="58">
        <f t="shared" si="81"/>
        <v>0</v>
      </c>
      <c r="E77" s="58">
        <f t="shared" si="81"/>
        <v>0</v>
      </c>
      <c r="F77" s="58">
        <f t="shared" si="81"/>
        <v>0</v>
      </c>
      <c r="G77" s="58">
        <f t="shared" si="81"/>
        <v>0</v>
      </c>
      <c r="H77" s="58">
        <f t="shared" si="81"/>
        <v>0</v>
      </c>
      <c r="I77" s="58">
        <f t="shared" si="81"/>
        <v>0</v>
      </c>
      <c r="J77" s="58">
        <f t="shared" si="81"/>
        <v>0</v>
      </c>
      <c r="K77" s="58">
        <f t="shared" si="81"/>
        <v>0</v>
      </c>
      <c r="L77" s="58">
        <f t="shared" ca="1" si="81"/>
        <v>0</v>
      </c>
      <c r="M77" s="58">
        <f t="shared" ca="1" si="81"/>
        <v>0</v>
      </c>
      <c r="N77" s="58">
        <f t="shared" ca="1" si="81"/>
        <v>0</v>
      </c>
      <c r="O77" s="58">
        <f t="shared" ca="1" si="81"/>
        <v>0</v>
      </c>
      <c r="P77" s="58">
        <f t="shared" ca="1" si="81"/>
        <v>0</v>
      </c>
      <c r="Q77" s="58">
        <f t="shared" ca="1" si="81"/>
        <v>0</v>
      </c>
      <c r="R77" s="58">
        <f t="shared" ca="1" si="81"/>
        <v>0</v>
      </c>
      <c r="S77" s="58">
        <f t="shared" ca="1" si="81"/>
        <v>0</v>
      </c>
      <c r="T77" s="58">
        <f t="shared" ca="1" si="81"/>
        <v>0</v>
      </c>
      <c r="U77" s="58">
        <f t="shared" ca="1" si="81"/>
        <v>0</v>
      </c>
      <c r="V77" s="58">
        <f t="shared" ca="1" si="81"/>
        <v>0</v>
      </c>
      <c r="W77" s="58">
        <f t="shared" ca="1" si="81"/>
        <v>0</v>
      </c>
      <c r="X77" s="58">
        <f t="shared" ca="1" si="81"/>
        <v>0</v>
      </c>
      <c r="Y77" s="58">
        <f t="shared" ca="1" si="81"/>
        <v>0</v>
      </c>
      <c r="Z77" s="58">
        <f t="shared" ca="1" si="81"/>
        <v>0</v>
      </c>
      <c r="AA77" s="58">
        <f t="shared" ca="1" si="81"/>
        <v>0</v>
      </c>
      <c r="AB77" s="58">
        <f t="shared" ca="1" si="81"/>
        <v>0</v>
      </c>
      <c r="AC77" s="58">
        <f t="shared" ca="1" si="81"/>
        <v>0</v>
      </c>
      <c r="AD77" s="58">
        <f t="shared" ca="1" si="81"/>
        <v>0</v>
      </c>
      <c r="AE77" s="58">
        <f t="shared" ca="1" si="81"/>
        <v>0</v>
      </c>
      <c r="AF77" s="58">
        <f t="shared" ca="1" si="81"/>
        <v>0</v>
      </c>
      <c r="AG77" s="58">
        <f t="shared" ca="1" si="81"/>
        <v>0</v>
      </c>
      <c r="AH77" s="873"/>
      <c r="AI77" s="874"/>
      <c r="AJ77" s="874"/>
      <c r="AK77" s="627">
        <v>75</v>
      </c>
      <c r="AL77" s="629">
        <f t="shared" si="68"/>
        <v>0.78222416794754168</v>
      </c>
      <c r="AM77" s="629">
        <f t="shared" si="69"/>
        <v>0.7251457169263773</v>
      </c>
      <c r="AN77" s="626" t="str">
        <f t="shared" si="70"/>
        <v>Success</v>
      </c>
      <c r="AO77" s="629" t="e">
        <f t="shared" si="73"/>
        <v>#N/A</v>
      </c>
      <c r="AP77" s="629">
        <v>0.7251457169263773</v>
      </c>
      <c r="AQ77" s="629">
        <f t="shared" ca="1" si="71"/>
        <v>0.37616884179249677</v>
      </c>
    </row>
    <row r="78" spans="1:43">
      <c r="A78" s="19"/>
      <c r="B78" s="55" t="s">
        <v>828</v>
      </c>
      <c r="C78" s="58">
        <f t="shared" ref="C78:AG78" si="82">IF(C32=0,0,IF(C$12=0,0,(VLOOKUP(C32,$AK$3:$AN$102,4,FALSE))))</f>
        <v>0</v>
      </c>
      <c r="D78" s="58">
        <f t="shared" si="82"/>
        <v>0</v>
      </c>
      <c r="E78" s="58">
        <f t="shared" si="82"/>
        <v>0</v>
      </c>
      <c r="F78" s="58">
        <f t="shared" si="82"/>
        <v>0</v>
      </c>
      <c r="G78" s="58">
        <f t="shared" si="82"/>
        <v>0</v>
      </c>
      <c r="H78" s="58">
        <f t="shared" si="82"/>
        <v>0</v>
      </c>
      <c r="I78" s="58">
        <f t="shared" si="82"/>
        <v>0</v>
      </c>
      <c r="J78" s="58">
        <f t="shared" si="82"/>
        <v>0</v>
      </c>
      <c r="K78" s="58">
        <f t="shared" si="82"/>
        <v>0</v>
      </c>
      <c r="L78" s="58">
        <f t="shared" ca="1" si="82"/>
        <v>0</v>
      </c>
      <c r="M78" s="58">
        <f t="shared" ca="1" si="82"/>
        <v>0</v>
      </c>
      <c r="N78" s="58">
        <f t="shared" ca="1" si="82"/>
        <v>0</v>
      </c>
      <c r="O78" s="58">
        <f t="shared" ca="1" si="82"/>
        <v>0</v>
      </c>
      <c r="P78" s="58">
        <f t="shared" ca="1" si="82"/>
        <v>0</v>
      </c>
      <c r="Q78" s="58">
        <f t="shared" ca="1" si="82"/>
        <v>0</v>
      </c>
      <c r="R78" s="58">
        <f t="shared" ca="1" si="82"/>
        <v>0</v>
      </c>
      <c r="S78" s="58">
        <f t="shared" ca="1" si="82"/>
        <v>0</v>
      </c>
      <c r="T78" s="58">
        <f t="shared" ca="1" si="82"/>
        <v>0</v>
      </c>
      <c r="U78" s="58">
        <f t="shared" ca="1" si="82"/>
        <v>0</v>
      </c>
      <c r="V78" s="58">
        <f t="shared" ca="1" si="82"/>
        <v>0</v>
      </c>
      <c r="W78" s="58">
        <f t="shared" ca="1" si="82"/>
        <v>0</v>
      </c>
      <c r="X78" s="58">
        <f t="shared" ca="1" si="82"/>
        <v>0</v>
      </c>
      <c r="Y78" s="58">
        <f t="shared" ca="1" si="82"/>
        <v>0</v>
      </c>
      <c r="Z78" s="58">
        <f t="shared" ca="1" si="82"/>
        <v>0</v>
      </c>
      <c r="AA78" s="58">
        <f t="shared" ca="1" si="82"/>
        <v>0</v>
      </c>
      <c r="AB78" s="58">
        <f t="shared" ca="1" si="82"/>
        <v>0</v>
      </c>
      <c r="AC78" s="58">
        <f t="shared" ca="1" si="82"/>
        <v>0</v>
      </c>
      <c r="AD78" s="58">
        <f t="shared" ca="1" si="82"/>
        <v>0</v>
      </c>
      <c r="AE78" s="58">
        <f t="shared" ca="1" si="82"/>
        <v>0</v>
      </c>
      <c r="AF78" s="58">
        <f t="shared" ca="1" si="82"/>
        <v>0</v>
      </c>
      <c r="AG78" s="58">
        <f t="shared" ca="1" si="82"/>
        <v>0</v>
      </c>
      <c r="AH78" s="873"/>
      <c r="AI78" s="874"/>
      <c r="AJ78" s="874"/>
      <c r="AK78" s="627">
        <v>76</v>
      </c>
      <c r="AL78" s="629">
        <f t="shared" si="68"/>
        <v>0.78315133382004321</v>
      </c>
      <c r="AM78" s="629">
        <f t="shared" si="69"/>
        <v>0.3949759246092811</v>
      </c>
      <c r="AN78" s="626" t="str">
        <f t="shared" si="70"/>
        <v>Success</v>
      </c>
      <c r="AO78" s="629" t="e">
        <f t="shared" si="73"/>
        <v>#N/A</v>
      </c>
      <c r="AP78" s="629">
        <v>0.3949759246092811</v>
      </c>
      <c r="AQ78" s="629">
        <f t="shared" ca="1" si="71"/>
        <v>0.58753110308305068</v>
      </c>
    </row>
    <row r="79" spans="1:43">
      <c r="A79" s="19"/>
      <c r="B79" s="55" t="s">
        <v>829</v>
      </c>
      <c r="C79" s="58">
        <f t="shared" ref="C79:AG79" si="83">IF(C33=0,0,IF(C$12=0,0,(VLOOKUP(C33,$AK$3:$AN$102,4,FALSE))))</f>
        <v>0</v>
      </c>
      <c r="D79" s="58">
        <f t="shared" si="83"/>
        <v>0</v>
      </c>
      <c r="E79" s="58">
        <f t="shared" si="83"/>
        <v>0</v>
      </c>
      <c r="F79" s="58">
        <f t="shared" si="83"/>
        <v>0</v>
      </c>
      <c r="G79" s="58">
        <f t="shared" si="83"/>
        <v>0</v>
      </c>
      <c r="H79" s="58">
        <f t="shared" si="83"/>
        <v>0</v>
      </c>
      <c r="I79" s="58">
        <f t="shared" si="83"/>
        <v>0</v>
      </c>
      <c r="J79" s="58">
        <f t="shared" si="83"/>
        <v>0</v>
      </c>
      <c r="K79" s="58">
        <f t="shared" si="83"/>
        <v>0</v>
      </c>
      <c r="L79" s="58">
        <f t="shared" ca="1" si="83"/>
        <v>0</v>
      </c>
      <c r="M79" s="58">
        <f t="shared" ca="1" si="83"/>
        <v>0</v>
      </c>
      <c r="N79" s="58">
        <f t="shared" ca="1" si="83"/>
        <v>0</v>
      </c>
      <c r="O79" s="58">
        <f t="shared" ca="1" si="83"/>
        <v>0</v>
      </c>
      <c r="P79" s="58">
        <f t="shared" ca="1" si="83"/>
        <v>0</v>
      </c>
      <c r="Q79" s="58">
        <f t="shared" ca="1" si="83"/>
        <v>0</v>
      </c>
      <c r="R79" s="58">
        <f t="shared" ca="1" si="83"/>
        <v>0</v>
      </c>
      <c r="S79" s="58">
        <f t="shared" ca="1" si="83"/>
        <v>0</v>
      </c>
      <c r="T79" s="58">
        <f t="shared" ca="1" si="83"/>
        <v>0</v>
      </c>
      <c r="U79" s="58">
        <f t="shared" ca="1" si="83"/>
        <v>0</v>
      </c>
      <c r="V79" s="58">
        <f t="shared" ca="1" si="83"/>
        <v>0</v>
      </c>
      <c r="W79" s="58">
        <f t="shared" ca="1" si="83"/>
        <v>0</v>
      </c>
      <c r="X79" s="58">
        <f t="shared" ca="1" si="83"/>
        <v>0</v>
      </c>
      <c r="Y79" s="58">
        <f t="shared" ca="1" si="83"/>
        <v>0</v>
      </c>
      <c r="Z79" s="58">
        <f t="shared" ca="1" si="83"/>
        <v>0</v>
      </c>
      <c r="AA79" s="58">
        <f t="shared" ca="1" si="83"/>
        <v>0</v>
      </c>
      <c r="AB79" s="58">
        <f t="shared" ca="1" si="83"/>
        <v>0</v>
      </c>
      <c r="AC79" s="58">
        <f t="shared" ca="1" si="83"/>
        <v>0</v>
      </c>
      <c r="AD79" s="58">
        <f t="shared" ca="1" si="83"/>
        <v>0</v>
      </c>
      <c r="AE79" s="58">
        <f t="shared" ca="1" si="83"/>
        <v>0</v>
      </c>
      <c r="AF79" s="58">
        <f t="shared" ca="1" si="83"/>
        <v>0</v>
      </c>
      <c r="AG79" s="58">
        <f t="shared" ca="1" si="83"/>
        <v>0</v>
      </c>
      <c r="AH79" s="873"/>
      <c r="AI79" s="874"/>
      <c r="AJ79" s="874"/>
      <c r="AK79" s="627">
        <v>77</v>
      </c>
      <c r="AL79" s="629">
        <f t="shared" si="68"/>
        <v>0.78406637952975788</v>
      </c>
      <c r="AM79" s="629">
        <f t="shared" si="69"/>
        <v>8.7212234380892317E-2</v>
      </c>
      <c r="AN79" s="626" t="str">
        <f t="shared" si="70"/>
        <v>Success</v>
      </c>
      <c r="AO79" s="629" t="e">
        <f t="shared" si="73"/>
        <v>#N/A</v>
      </c>
      <c r="AP79" s="629">
        <v>8.7212234380892317E-2</v>
      </c>
      <c r="AQ79" s="629">
        <f t="shared" ca="1" si="71"/>
        <v>0.74216743453749368</v>
      </c>
    </row>
    <row r="80" spans="1:43">
      <c r="A80" s="19"/>
      <c r="B80" s="55" t="s">
        <v>830</v>
      </c>
      <c r="C80" s="58">
        <f t="shared" ref="C80:AG80" si="84">IF(C34=0,0,IF(C$12=0,0,(VLOOKUP(C34,$AK$3:$AN$102,4,FALSE))))</f>
        <v>0</v>
      </c>
      <c r="D80" s="58">
        <f t="shared" si="84"/>
        <v>0</v>
      </c>
      <c r="E80" s="58">
        <f t="shared" si="84"/>
        <v>0</v>
      </c>
      <c r="F80" s="58">
        <f t="shared" si="84"/>
        <v>0</v>
      </c>
      <c r="G80" s="58">
        <f t="shared" si="84"/>
        <v>0</v>
      </c>
      <c r="H80" s="58">
        <f t="shared" si="84"/>
        <v>0</v>
      </c>
      <c r="I80" s="58">
        <f t="shared" si="84"/>
        <v>0</v>
      </c>
      <c r="J80" s="58">
        <f t="shared" si="84"/>
        <v>0</v>
      </c>
      <c r="K80" s="58">
        <f t="shared" si="84"/>
        <v>0</v>
      </c>
      <c r="L80" s="58">
        <f t="shared" ca="1" si="84"/>
        <v>0</v>
      </c>
      <c r="M80" s="58">
        <f t="shared" ca="1" si="84"/>
        <v>0</v>
      </c>
      <c r="N80" s="58">
        <f t="shared" ca="1" si="84"/>
        <v>0</v>
      </c>
      <c r="O80" s="58">
        <f t="shared" ca="1" si="84"/>
        <v>0</v>
      </c>
      <c r="P80" s="58">
        <f t="shared" ca="1" si="84"/>
        <v>0</v>
      </c>
      <c r="Q80" s="58">
        <f t="shared" ca="1" si="84"/>
        <v>0</v>
      </c>
      <c r="R80" s="58">
        <f t="shared" ca="1" si="84"/>
        <v>0</v>
      </c>
      <c r="S80" s="58">
        <f t="shared" ca="1" si="84"/>
        <v>0</v>
      </c>
      <c r="T80" s="58">
        <f t="shared" ca="1" si="84"/>
        <v>0</v>
      </c>
      <c r="U80" s="58">
        <f t="shared" ca="1" si="84"/>
        <v>0</v>
      </c>
      <c r="V80" s="58">
        <f t="shared" ca="1" si="84"/>
        <v>0</v>
      </c>
      <c r="W80" s="58">
        <f t="shared" ca="1" si="84"/>
        <v>0</v>
      </c>
      <c r="X80" s="58">
        <f t="shared" ca="1" si="84"/>
        <v>0</v>
      </c>
      <c r="Y80" s="58">
        <f t="shared" ca="1" si="84"/>
        <v>0</v>
      </c>
      <c r="Z80" s="58">
        <f t="shared" ca="1" si="84"/>
        <v>0</v>
      </c>
      <c r="AA80" s="58">
        <f t="shared" ca="1" si="84"/>
        <v>0</v>
      </c>
      <c r="AB80" s="58">
        <f t="shared" ca="1" si="84"/>
        <v>0</v>
      </c>
      <c r="AC80" s="58">
        <f t="shared" ca="1" si="84"/>
        <v>0</v>
      </c>
      <c r="AD80" s="58">
        <f t="shared" ca="1" si="84"/>
        <v>0</v>
      </c>
      <c r="AE80" s="58">
        <f t="shared" ca="1" si="84"/>
        <v>0</v>
      </c>
      <c r="AF80" s="58">
        <f t="shared" ca="1" si="84"/>
        <v>0</v>
      </c>
      <c r="AG80" s="58">
        <f t="shared" ca="1" si="84"/>
        <v>0</v>
      </c>
      <c r="AH80" s="873"/>
      <c r="AI80" s="874"/>
      <c r="AJ80" s="874"/>
      <c r="AK80" s="627">
        <v>78</v>
      </c>
      <c r="AL80" s="629">
        <f t="shared" si="68"/>
        <v>0.78496961786827146</v>
      </c>
      <c r="AM80" s="629">
        <f t="shared" si="69"/>
        <v>0.74590741293414564</v>
      </c>
      <c r="AN80" s="626" t="str">
        <f t="shared" si="70"/>
        <v>Success</v>
      </c>
      <c r="AO80" s="629" t="e">
        <f t="shared" si="73"/>
        <v>#N/A</v>
      </c>
      <c r="AP80" s="629">
        <v>0.74590741293414564</v>
      </c>
      <c r="AQ80" s="629">
        <f t="shared" ca="1" si="71"/>
        <v>4.9441454867144574E-2</v>
      </c>
    </row>
    <row r="81" spans="1:43">
      <c r="A81" s="19"/>
      <c r="B81" s="55" t="s">
        <v>831</v>
      </c>
      <c r="C81" s="58">
        <f t="shared" ref="C81:AG81" si="85">IF(C35=0,0,IF(C$12=0,0,(VLOOKUP(C35,$AK$3:$AN$102,4,FALSE))))</f>
        <v>0</v>
      </c>
      <c r="D81" s="58">
        <f t="shared" si="85"/>
        <v>0</v>
      </c>
      <c r="E81" s="58">
        <f t="shared" si="85"/>
        <v>0</v>
      </c>
      <c r="F81" s="58">
        <f t="shared" si="85"/>
        <v>0</v>
      </c>
      <c r="G81" s="58">
        <f t="shared" si="85"/>
        <v>0</v>
      </c>
      <c r="H81" s="58">
        <f t="shared" si="85"/>
        <v>0</v>
      </c>
      <c r="I81" s="58">
        <f t="shared" si="85"/>
        <v>0</v>
      </c>
      <c r="J81" s="58">
        <f t="shared" si="85"/>
        <v>0</v>
      </c>
      <c r="K81" s="58">
        <f t="shared" si="85"/>
        <v>0</v>
      </c>
      <c r="L81" s="58">
        <f t="shared" ca="1" si="85"/>
        <v>0</v>
      </c>
      <c r="M81" s="58">
        <f t="shared" ca="1" si="85"/>
        <v>0</v>
      </c>
      <c r="N81" s="58">
        <f t="shared" ca="1" si="85"/>
        <v>0</v>
      </c>
      <c r="O81" s="58">
        <f t="shared" ca="1" si="85"/>
        <v>0</v>
      </c>
      <c r="P81" s="58">
        <f t="shared" ca="1" si="85"/>
        <v>0</v>
      </c>
      <c r="Q81" s="58">
        <f t="shared" ca="1" si="85"/>
        <v>0</v>
      </c>
      <c r="R81" s="58">
        <f t="shared" ca="1" si="85"/>
        <v>0</v>
      </c>
      <c r="S81" s="58">
        <f t="shared" ca="1" si="85"/>
        <v>0</v>
      </c>
      <c r="T81" s="58">
        <f t="shared" ca="1" si="85"/>
        <v>0</v>
      </c>
      <c r="U81" s="58">
        <f t="shared" ca="1" si="85"/>
        <v>0</v>
      </c>
      <c r="V81" s="58">
        <f t="shared" ca="1" si="85"/>
        <v>0</v>
      </c>
      <c r="W81" s="58">
        <f t="shared" ca="1" si="85"/>
        <v>0</v>
      </c>
      <c r="X81" s="58">
        <f t="shared" ca="1" si="85"/>
        <v>0</v>
      </c>
      <c r="Y81" s="58">
        <f t="shared" ca="1" si="85"/>
        <v>0</v>
      </c>
      <c r="Z81" s="58">
        <f t="shared" ca="1" si="85"/>
        <v>0</v>
      </c>
      <c r="AA81" s="58">
        <f t="shared" ca="1" si="85"/>
        <v>0</v>
      </c>
      <c r="AB81" s="58">
        <f t="shared" ca="1" si="85"/>
        <v>0</v>
      </c>
      <c r="AC81" s="58">
        <f t="shared" ca="1" si="85"/>
        <v>0</v>
      </c>
      <c r="AD81" s="58">
        <f t="shared" ca="1" si="85"/>
        <v>0</v>
      </c>
      <c r="AE81" s="58">
        <f t="shared" ca="1" si="85"/>
        <v>0</v>
      </c>
      <c r="AF81" s="58">
        <f t="shared" ca="1" si="85"/>
        <v>0</v>
      </c>
      <c r="AG81" s="58">
        <f t="shared" ca="1" si="85"/>
        <v>0</v>
      </c>
      <c r="AH81" s="873"/>
      <c r="AI81" s="874"/>
      <c r="AJ81" s="874"/>
      <c r="AK81" s="627">
        <v>79</v>
      </c>
      <c r="AL81" s="629">
        <f t="shared" si="68"/>
        <v>0.7858613496726915</v>
      </c>
      <c r="AM81" s="629">
        <f t="shared" si="69"/>
        <v>0.89956096985409395</v>
      </c>
      <c r="AN81" s="626" t="str">
        <f t="shared" si="70"/>
        <v>Failure</v>
      </c>
      <c r="AO81" s="629">
        <f t="shared" si="73"/>
        <v>0.7858613496726915</v>
      </c>
      <c r="AP81" s="629">
        <v>0.89956096985409395</v>
      </c>
      <c r="AQ81" s="629">
        <f t="shared" ca="1" si="71"/>
        <v>0.26184634867730228</v>
      </c>
    </row>
    <row r="82" spans="1:43">
      <c r="A82" s="19"/>
      <c r="B82" s="55" t="s">
        <v>832</v>
      </c>
      <c r="C82" s="58">
        <f t="shared" ref="C82:AG82" si="86">IF(C36=0,0,IF(C$12=0,0,(VLOOKUP(C36,$AK$3:$AN$102,4,FALSE))))</f>
        <v>0</v>
      </c>
      <c r="D82" s="58">
        <f t="shared" si="86"/>
        <v>0</v>
      </c>
      <c r="E82" s="58">
        <f t="shared" si="86"/>
        <v>0</v>
      </c>
      <c r="F82" s="58">
        <f t="shared" si="86"/>
        <v>0</v>
      </c>
      <c r="G82" s="58">
        <f t="shared" si="86"/>
        <v>0</v>
      </c>
      <c r="H82" s="58">
        <f t="shared" si="86"/>
        <v>0</v>
      </c>
      <c r="I82" s="58">
        <f t="shared" si="86"/>
        <v>0</v>
      </c>
      <c r="J82" s="58">
        <f t="shared" si="86"/>
        <v>0</v>
      </c>
      <c r="K82" s="58">
        <f t="shared" si="86"/>
        <v>0</v>
      </c>
      <c r="L82" s="58">
        <f t="shared" ca="1" si="86"/>
        <v>0</v>
      </c>
      <c r="M82" s="58">
        <f t="shared" ca="1" si="86"/>
        <v>0</v>
      </c>
      <c r="N82" s="58">
        <f t="shared" ca="1" si="86"/>
        <v>0</v>
      </c>
      <c r="O82" s="58">
        <f t="shared" ca="1" si="86"/>
        <v>0</v>
      </c>
      <c r="P82" s="58">
        <f t="shared" ca="1" si="86"/>
        <v>0</v>
      </c>
      <c r="Q82" s="58">
        <f t="shared" ca="1" si="86"/>
        <v>0</v>
      </c>
      <c r="R82" s="58">
        <f t="shared" ca="1" si="86"/>
        <v>0</v>
      </c>
      <c r="S82" s="58">
        <f t="shared" ca="1" si="86"/>
        <v>0</v>
      </c>
      <c r="T82" s="58">
        <f t="shared" ca="1" si="86"/>
        <v>0</v>
      </c>
      <c r="U82" s="58">
        <f t="shared" ca="1" si="86"/>
        <v>0</v>
      </c>
      <c r="V82" s="58">
        <f t="shared" ca="1" si="86"/>
        <v>0</v>
      </c>
      <c r="W82" s="58">
        <f t="shared" ca="1" si="86"/>
        <v>0</v>
      </c>
      <c r="X82" s="58">
        <f t="shared" ca="1" si="86"/>
        <v>0</v>
      </c>
      <c r="Y82" s="58">
        <f t="shared" ca="1" si="86"/>
        <v>0</v>
      </c>
      <c r="Z82" s="58">
        <f t="shared" ca="1" si="86"/>
        <v>0</v>
      </c>
      <c r="AA82" s="58">
        <f t="shared" ca="1" si="86"/>
        <v>0</v>
      </c>
      <c r="AB82" s="58">
        <f t="shared" ca="1" si="86"/>
        <v>0</v>
      </c>
      <c r="AC82" s="58">
        <f t="shared" ca="1" si="86"/>
        <v>0</v>
      </c>
      <c r="AD82" s="58">
        <f t="shared" ca="1" si="86"/>
        <v>0</v>
      </c>
      <c r="AE82" s="58">
        <f t="shared" ca="1" si="86"/>
        <v>0</v>
      </c>
      <c r="AF82" s="58">
        <f t="shared" ca="1" si="86"/>
        <v>0</v>
      </c>
      <c r="AG82" s="58">
        <f t="shared" ca="1" si="86"/>
        <v>0</v>
      </c>
      <c r="AH82" s="874"/>
      <c r="AI82" s="874"/>
      <c r="AJ82" s="874"/>
      <c r="AK82" s="627">
        <v>80</v>
      </c>
      <c r="AL82" s="629">
        <f t="shared" si="68"/>
        <v>0.78674186442717176</v>
      </c>
      <c r="AM82" s="629">
        <f t="shared" si="69"/>
        <v>0.30887732139762125</v>
      </c>
      <c r="AN82" s="626" t="str">
        <f t="shared" si="70"/>
        <v>Success</v>
      </c>
      <c r="AO82" s="629" t="e">
        <f t="shared" si="73"/>
        <v>#N/A</v>
      </c>
      <c r="AP82" s="629">
        <v>0.30887732139762125</v>
      </c>
      <c r="AQ82" s="629">
        <f t="shared" ca="1" si="71"/>
        <v>0.55841185525024706</v>
      </c>
    </row>
    <row r="83" spans="1:43">
      <c r="A83" s="19"/>
      <c r="B83" s="55" t="s">
        <v>833</v>
      </c>
      <c r="C83" s="58">
        <f t="shared" ref="C83:AG83" si="87">IF(C37=0,0,IF(C$12=0,0,(VLOOKUP(C37,$AK$3:$AN$102,4,FALSE))))</f>
        <v>0</v>
      </c>
      <c r="D83" s="58">
        <f t="shared" si="87"/>
        <v>0</v>
      </c>
      <c r="E83" s="58">
        <f t="shared" si="87"/>
        <v>0</v>
      </c>
      <c r="F83" s="58">
        <f t="shared" si="87"/>
        <v>0</v>
      </c>
      <c r="G83" s="58">
        <f t="shared" si="87"/>
        <v>0</v>
      </c>
      <c r="H83" s="58">
        <f t="shared" si="87"/>
        <v>0</v>
      </c>
      <c r="I83" s="58">
        <f t="shared" si="87"/>
        <v>0</v>
      </c>
      <c r="J83" s="58">
        <f t="shared" si="87"/>
        <v>0</v>
      </c>
      <c r="K83" s="58">
        <f t="shared" si="87"/>
        <v>0</v>
      </c>
      <c r="L83" s="58">
        <f t="shared" ca="1" si="87"/>
        <v>0</v>
      </c>
      <c r="M83" s="58">
        <f t="shared" ca="1" si="87"/>
        <v>0</v>
      </c>
      <c r="N83" s="58">
        <f t="shared" ca="1" si="87"/>
        <v>0</v>
      </c>
      <c r="O83" s="58">
        <f t="shared" ca="1" si="87"/>
        <v>0</v>
      </c>
      <c r="P83" s="58">
        <f t="shared" ca="1" si="87"/>
        <v>0</v>
      </c>
      <c r="Q83" s="58">
        <f t="shared" ca="1" si="87"/>
        <v>0</v>
      </c>
      <c r="R83" s="58">
        <f t="shared" ca="1" si="87"/>
        <v>0</v>
      </c>
      <c r="S83" s="58">
        <f t="shared" ca="1" si="87"/>
        <v>0</v>
      </c>
      <c r="T83" s="58">
        <f t="shared" ca="1" si="87"/>
        <v>0</v>
      </c>
      <c r="U83" s="58">
        <f t="shared" ca="1" si="87"/>
        <v>0</v>
      </c>
      <c r="V83" s="58">
        <f t="shared" ca="1" si="87"/>
        <v>0</v>
      </c>
      <c r="W83" s="58">
        <f t="shared" ca="1" si="87"/>
        <v>0</v>
      </c>
      <c r="X83" s="58">
        <f t="shared" ca="1" si="87"/>
        <v>0</v>
      </c>
      <c r="Y83" s="58">
        <f t="shared" ca="1" si="87"/>
        <v>0</v>
      </c>
      <c r="Z83" s="58">
        <f t="shared" ca="1" si="87"/>
        <v>0</v>
      </c>
      <c r="AA83" s="58">
        <f t="shared" ca="1" si="87"/>
        <v>0</v>
      </c>
      <c r="AB83" s="58">
        <f t="shared" ca="1" si="87"/>
        <v>0</v>
      </c>
      <c r="AC83" s="58">
        <f t="shared" ca="1" si="87"/>
        <v>0</v>
      </c>
      <c r="AD83" s="58">
        <f t="shared" ca="1" si="87"/>
        <v>0</v>
      </c>
      <c r="AE83" s="58">
        <f t="shared" ca="1" si="87"/>
        <v>0</v>
      </c>
      <c r="AF83" s="58">
        <f t="shared" ca="1" si="87"/>
        <v>0</v>
      </c>
      <c r="AG83" s="58">
        <f t="shared" ca="1" si="87"/>
        <v>0</v>
      </c>
      <c r="AH83" s="874"/>
      <c r="AI83" s="874"/>
      <c r="AJ83" s="874"/>
      <c r="AK83" s="627">
        <v>81</v>
      </c>
      <c r="AL83" s="629">
        <f t="shared" si="68"/>
        <v>0.78761144082707069</v>
      </c>
      <c r="AM83" s="629">
        <f t="shared" si="69"/>
        <v>0.11246615324692544</v>
      </c>
      <c r="AN83" s="626" t="str">
        <f t="shared" si="70"/>
        <v>Success</v>
      </c>
      <c r="AO83" s="629" t="e">
        <f t="shared" si="73"/>
        <v>#N/A</v>
      </c>
      <c r="AP83" s="629">
        <v>0.11246615324692544</v>
      </c>
      <c r="AQ83" s="629">
        <f t="shared" ca="1" si="71"/>
        <v>0.5550205884246483</v>
      </c>
    </row>
    <row r="84" spans="1:43">
      <c r="A84" s="19"/>
      <c r="B84" s="55" t="s">
        <v>834</v>
      </c>
      <c r="C84" s="58">
        <f t="shared" ref="C84:AG84" si="88">IF(C38=0,0,IF(C$12=0,0,(VLOOKUP(C38,$AK$3:$AN$102,4,FALSE))))</f>
        <v>0</v>
      </c>
      <c r="D84" s="58">
        <f t="shared" si="88"/>
        <v>0</v>
      </c>
      <c r="E84" s="58">
        <f t="shared" si="88"/>
        <v>0</v>
      </c>
      <c r="F84" s="58">
        <f t="shared" si="88"/>
        <v>0</v>
      </c>
      <c r="G84" s="58">
        <f t="shared" si="88"/>
        <v>0</v>
      </c>
      <c r="H84" s="58">
        <f t="shared" si="88"/>
        <v>0</v>
      </c>
      <c r="I84" s="58">
        <f t="shared" si="88"/>
        <v>0</v>
      </c>
      <c r="J84" s="58">
        <f t="shared" si="88"/>
        <v>0</v>
      </c>
      <c r="K84" s="58">
        <f t="shared" si="88"/>
        <v>0</v>
      </c>
      <c r="L84" s="58">
        <f t="shared" ca="1" si="88"/>
        <v>0</v>
      </c>
      <c r="M84" s="58">
        <f t="shared" ca="1" si="88"/>
        <v>0</v>
      </c>
      <c r="N84" s="58">
        <f t="shared" ca="1" si="88"/>
        <v>0</v>
      </c>
      <c r="O84" s="58">
        <f t="shared" ca="1" si="88"/>
        <v>0</v>
      </c>
      <c r="P84" s="58">
        <f t="shared" ca="1" si="88"/>
        <v>0</v>
      </c>
      <c r="Q84" s="58">
        <f t="shared" ca="1" si="88"/>
        <v>0</v>
      </c>
      <c r="R84" s="58">
        <f t="shared" ca="1" si="88"/>
        <v>0</v>
      </c>
      <c r="S84" s="58">
        <f t="shared" ca="1" si="88"/>
        <v>0</v>
      </c>
      <c r="T84" s="58">
        <f t="shared" ca="1" si="88"/>
        <v>0</v>
      </c>
      <c r="U84" s="58">
        <f t="shared" ca="1" si="88"/>
        <v>0</v>
      </c>
      <c r="V84" s="58">
        <f t="shared" ca="1" si="88"/>
        <v>0</v>
      </c>
      <c r="W84" s="58">
        <f t="shared" ca="1" si="88"/>
        <v>0</v>
      </c>
      <c r="X84" s="58">
        <f t="shared" ca="1" si="88"/>
        <v>0</v>
      </c>
      <c r="Y84" s="58">
        <f t="shared" ca="1" si="88"/>
        <v>0</v>
      </c>
      <c r="Z84" s="58">
        <f t="shared" ca="1" si="88"/>
        <v>0</v>
      </c>
      <c r="AA84" s="58">
        <f t="shared" ca="1" si="88"/>
        <v>0</v>
      </c>
      <c r="AB84" s="58">
        <f t="shared" ca="1" si="88"/>
        <v>0</v>
      </c>
      <c r="AC84" s="58">
        <f t="shared" ca="1" si="88"/>
        <v>0</v>
      </c>
      <c r="AD84" s="58">
        <f t="shared" ca="1" si="88"/>
        <v>0</v>
      </c>
      <c r="AE84" s="58">
        <f t="shared" ca="1" si="88"/>
        <v>0</v>
      </c>
      <c r="AF84" s="58">
        <f t="shared" ca="1" si="88"/>
        <v>0</v>
      </c>
      <c r="AG84" s="58">
        <f t="shared" ca="1" si="88"/>
        <v>0</v>
      </c>
      <c r="AH84" s="873"/>
      <c r="AI84" s="874"/>
      <c r="AJ84" s="874"/>
      <c r="AK84" s="627">
        <v>82</v>
      </c>
      <c r="AL84" s="629">
        <f t="shared" si="68"/>
        <v>0.78847034730849774</v>
      </c>
      <c r="AM84" s="629">
        <f t="shared" si="69"/>
        <v>0.71131405127876401</v>
      </c>
      <c r="AN84" s="626" t="str">
        <f t="shared" si="70"/>
        <v>Success</v>
      </c>
      <c r="AO84" s="629" t="e">
        <f t="shared" si="73"/>
        <v>#N/A</v>
      </c>
      <c r="AP84" s="629">
        <v>0.71131405127876401</v>
      </c>
      <c r="AQ84" s="629">
        <f t="shared" ca="1" si="71"/>
        <v>0.18631517811699738</v>
      </c>
    </row>
    <row r="85" spans="1:43" ht="15" thickBot="1">
      <c r="A85" s="19"/>
      <c r="B85" s="57" t="s">
        <v>835</v>
      </c>
      <c r="C85" s="717">
        <f t="shared" ref="C85:AG85" si="89">IF(C39=0,0,IF(C$12=0,0,(VLOOKUP(C39,$AK$3:$AN$102,4,FALSE))))</f>
        <v>0</v>
      </c>
      <c r="D85" s="717">
        <f t="shared" si="89"/>
        <v>0</v>
      </c>
      <c r="E85" s="717">
        <f t="shared" si="89"/>
        <v>0</v>
      </c>
      <c r="F85" s="717">
        <f t="shared" si="89"/>
        <v>0</v>
      </c>
      <c r="G85" s="717">
        <f t="shared" si="89"/>
        <v>0</v>
      </c>
      <c r="H85" s="717">
        <f t="shared" si="89"/>
        <v>0</v>
      </c>
      <c r="I85" s="717">
        <f t="shared" si="89"/>
        <v>0</v>
      </c>
      <c r="J85" s="717">
        <f t="shared" si="89"/>
        <v>0</v>
      </c>
      <c r="K85" s="717">
        <f t="shared" si="89"/>
        <v>0</v>
      </c>
      <c r="L85" s="717">
        <f t="shared" ca="1" si="89"/>
        <v>0</v>
      </c>
      <c r="M85" s="717">
        <f t="shared" ca="1" si="89"/>
        <v>0</v>
      </c>
      <c r="N85" s="717">
        <f t="shared" ca="1" si="89"/>
        <v>0</v>
      </c>
      <c r="O85" s="717">
        <f t="shared" ca="1" si="89"/>
        <v>0</v>
      </c>
      <c r="P85" s="717">
        <f t="shared" ca="1" si="89"/>
        <v>0</v>
      </c>
      <c r="Q85" s="717">
        <f t="shared" ca="1" si="89"/>
        <v>0</v>
      </c>
      <c r="R85" s="717">
        <f t="shared" ca="1" si="89"/>
        <v>0</v>
      </c>
      <c r="S85" s="717">
        <f t="shared" ca="1" si="89"/>
        <v>0</v>
      </c>
      <c r="T85" s="717">
        <f t="shared" ca="1" si="89"/>
        <v>0</v>
      </c>
      <c r="U85" s="717">
        <f t="shared" ca="1" si="89"/>
        <v>0</v>
      </c>
      <c r="V85" s="717">
        <f t="shared" ca="1" si="89"/>
        <v>0</v>
      </c>
      <c r="W85" s="717">
        <f t="shared" ca="1" si="89"/>
        <v>0</v>
      </c>
      <c r="X85" s="717">
        <f t="shared" ca="1" si="89"/>
        <v>0</v>
      </c>
      <c r="Y85" s="717">
        <f t="shared" ca="1" si="89"/>
        <v>0</v>
      </c>
      <c r="Z85" s="717">
        <f t="shared" ca="1" si="89"/>
        <v>0</v>
      </c>
      <c r="AA85" s="717">
        <f t="shared" ca="1" si="89"/>
        <v>0</v>
      </c>
      <c r="AB85" s="717">
        <f t="shared" ca="1" si="89"/>
        <v>0</v>
      </c>
      <c r="AC85" s="717">
        <f t="shared" ca="1" si="89"/>
        <v>0</v>
      </c>
      <c r="AD85" s="717">
        <f t="shared" ca="1" si="89"/>
        <v>0</v>
      </c>
      <c r="AE85" s="717">
        <f t="shared" ca="1" si="89"/>
        <v>0</v>
      </c>
      <c r="AF85" s="717">
        <f t="shared" ca="1" si="89"/>
        <v>0</v>
      </c>
      <c r="AG85" s="717">
        <f t="shared" ca="1" si="89"/>
        <v>0</v>
      </c>
      <c r="AH85" s="873"/>
      <c r="AI85" s="874"/>
      <c r="AJ85" s="874"/>
      <c r="AK85" s="627">
        <v>83</v>
      </c>
      <c r="AL85" s="629">
        <f t="shared" si="68"/>
        <v>0.7893188425457619</v>
      </c>
      <c r="AM85" s="629">
        <f t="shared" si="69"/>
        <v>0.63252495495169014</v>
      </c>
      <c r="AN85" s="626" t="str">
        <f t="shared" si="70"/>
        <v>Success</v>
      </c>
      <c r="AO85" s="629" t="e">
        <f t="shared" si="73"/>
        <v>#N/A</v>
      </c>
      <c r="AP85" s="629">
        <v>0.63252495495169014</v>
      </c>
      <c r="AQ85" s="629">
        <f t="shared" ca="1" si="71"/>
        <v>0.88391078479115859</v>
      </c>
    </row>
    <row r="86" spans="1:43" ht="15" thickTop="1">
      <c r="A86" s="19"/>
      <c r="B86" s="619" t="s">
        <v>1376</v>
      </c>
      <c r="C86" s="716">
        <f t="shared" ref="C86:AG86" si="90">COUNTIF(C66:C85,"Failure")</f>
        <v>0</v>
      </c>
      <c r="D86" s="716">
        <f t="shared" si="90"/>
        <v>0</v>
      </c>
      <c r="E86" s="716">
        <f t="shared" si="90"/>
        <v>0</v>
      </c>
      <c r="F86" s="716">
        <f t="shared" si="90"/>
        <v>0</v>
      </c>
      <c r="G86" s="716">
        <f t="shared" si="90"/>
        <v>1</v>
      </c>
      <c r="H86" s="716">
        <f t="shared" si="90"/>
        <v>0</v>
      </c>
      <c r="I86" s="716">
        <f t="shared" si="90"/>
        <v>0</v>
      </c>
      <c r="J86" s="716">
        <f t="shared" si="90"/>
        <v>0</v>
      </c>
      <c r="K86" s="716">
        <f t="shared" si="90"/>
        <v>0</v>
      </c>
      <c r="L86" s="716">
        <f t="shared" ca="1" si="90"/>
        <v>0</v>
      </c>
      <c r="M86" s="716">
        <f t="shared" ca="1" si="90"/>
        <v>0</v>
      </c>
      <c r="N86" s="716">
        <f t="shared" ca="1" si="90"/>
        <v>0</v>
      </c>
      <c r="O86" s="716">
        <f t="shared" ca="1" si="90"/>
        <v>0</v>
      </c>
      <c r="P86" s="716">
        <f t="shared" ca="1" si="90"/>
        <v>0</v>
      </c>
      <c r="Q86" s="716">
        <f t="shared" ca="1" si="90"/>
        <v>0</v>
      </c>
      <c r="R86" s="716">
        <f t="shared" ca="1" si="90"/>
        <v>0</v>
      </c>
      <c r="S86" s="716">
        <f t="shared" ca="1" si="90"/>
        <v>0</v>
      </c>
      <c r="T86" s="716">
        <f t="shared" ca="1" si="90"/>
        <v>0</v>
      </c>
      <c r="U86" s="716">
        <f t="shared" ca="1" si="90"/>
        <v>0</v>
      </c>
      <c r="V86" s="716">
        <f t="shared" ca="1" si="90"/>
        <v>0</v>
      </c>
      <c r="W86" s="716">
        <f t="shared" ca="1" si="90"/>
        <v>0</v>
      </c>
      <c r="X86" s="716">
        <f t="shared" ca="1" si="90"/>
        <v>0</v>
      </c>
      <c r="Y86" s="716">
        <f t="shared" ca="1" si="90"/>
        <v>0</v>
      </c>
      <c r="Z86" s="716">
        <f t="shared" ca="1" si="90"/>
        <v>0</v>
      </c>
      <c r="AA86" s="716">
        <f t="shared" ca="1" si="90"/>
        <v>0</v>
      </c>
      <c r="AB86" s="716">
        <f t="shared" ca="1" si="90"/>
        <v>0</v>
      </c>
      <c r="AC86" s="716">
        <f t="shared" ca="1" si="90"/>
        <v>0</v>
      </c>
      <c r="AD86" s="716">
        <f t="shared" ca="1" si="90"/>
        <v>0</v>
      </c>
      <c r="AE86" s="716">
        <f t="shared" ca="1" si="90"/>
        <v>0</v>
      </c>
      <c r="AF86" s="716">
        <f t="shared" ca="1" si="90"/>
        <v>0</v>
      </c>
      <c r="AG86" s="716">
        <f t="shared" ca="1" si="90"/>
        <v>0</v>
      </c>
      <c r="AH86" s="874">
        <f ca="1">SUM(C86:AG86)</f>
        <v>1</v>
      </c>
      <c r="AI86" s="875" t="s">
        <v>1378</v>
      </c>
      <c r="AJ86" s="874"/>
      <c r="AK86" s="627">
        <v>84</v>
      </c>
      <c r="AL86" s="629">
        <f t="shared" si="68"/>
        <v>0.79015717591903201</v>
      </c>
      <c r="AM86" s="629">
        <f t="shared" si="69"/>
        <v>0.90697525455993111</v>
      </c>
      <c r="AN86" s="626" t="str">
        <f t="shared" si="70"/>
        <v>Failure</v>
      </c>
      <c r="AO86" s="629">
        <f t="shared" si="73"/>
        <v>0.79015717591903201</v>
      </c>
      <c r="AP86" s="629">
        <v>0.90697525455993111</v>
      </c>
      <c r="AQ86" s="629">
        <f t="shared" ca="1" si="71"/>
        <v>0.89367707033811683</v>
      </c>
    </row>
    <row r="87" spans="1:43">
      <c r="A87" s="19"/>
      <c r="B87" s="715" t="s">
        <v>1377</v>
      </c>
      <c r="C87" s="716">
        <f t="shared" ref="C87:AG87" si="91">COUNTIF(C66:C85,"Success")</f>
        <v>0</v>
      </c>
      <c r="D87" s="716">
        <f t="shared" si="91"/>
        <v>0</v>
      </c>
      <c r="E87" s="716">
        <f t="shared" si="91"/>
        <v>0</v>
      </c>
      <c r="F87" s="716">
        <f t="shared" si="91"/>
        <v>0</v>
      </c>
      <c r="G87" s="716">
        <f t="shared" si="91"/>
        <v>1</v>
      </c>
      <c r="H87" s="716">
        <f t="shared" si="91"/>
        <v>0</v>
      </c>
      <c r="I87" s="716">
        <f t="shared" si="91"/>
        <v>0</v>
      </c>
      <c r="J87" s="716">
        <f t="shared" si="91"/>
        <v>0</v>
      </c>
      <c r="K87" s="716">
        <f t="shared" si="91"/>
        <v>0</v>
      </c>
      <c r="L87" s="716">
        <f t="shared" ca="1" si="91"/>
        <v>0</v>
      </c>
      <c r="M87" s="716">
        <f t="shared" ca="1" si="91"/>
        <v>0</v>
      </c>
      <c r="N87" s="716">
        <f t="shared" ca="1" si="91"/>
        <v>0</v>
      </c>
      <c r="O87" s="716">
        <f t="shared" ca="1" si="91"/>
        <v>0</v>
      </c>
      <c r="P87" s="716">
        <f t="shared" ca="1" si="91"/>
        <v>0</v>
      </c>
      <c r="Q87" s="716">
        <f t="shared" ca="1" si="91"/>
        <v>0</v>
      </c>
      <c r="R87" s="716">
        <f t="shared" ca="1" si="91"/>
        <v>0</v>
      </c>
      <c r="S87" s="716">
        <f t="shared" ca="1" si="91"/>
        <v>0</v>
      </c>
      <c r="T87" s="716">
        <f t="shared" ca="1" si="91"/>
        <v>0</v>
      </c>
      <c r="U87" s="716">
        <f t="shared" ca="1" si="91"/>
        <v>0</v>
      </c>
      <c r="V87" s="716">
        <f t="shared" ca="1" si="91"/>
        <v>0</v>
      </c>
      <c r="W87" s="716">
        <f t="shared" ca="1" si="91"/>
        <v>0</v>
      </c>
      <c r="X87" s="716">
        <f t="shared" ca="1" si="91"/>
        <v>0</v>
      </c>
      <c r="Y87" s="716">
        <f t="shared" ca="1" si="91"/>
        <v>0</v>
      </c>
      <c r="Z87" s="716">
        <f t="shared" ca="1" si="91"/>
        <v>0</v>
      </c>
      <c r="AA87" s="716">
        <f t="shared" ca="1" si="91"/>
        <v>0</v>
      </c>
      <c r="AB87" s="716">
        <f t="shared" ca="1" si="91"/>
        <v>0</v>
      </c>
      <c r="AC87" s="716">
        <f t="shared" ca="1" si="91"/>
        <v>0</v>
      </c>
      <c r="AD87" s="716">
        <f t="shared" ca="1" si="91"/>
        <v>0</v>
      </c>
      <c r="AE87" s="716">
        <f t="shared" ca="1" si="91"/>
        <v>0</v>
      </c>
      <c r="AF87" s="716">
        <f t="shared" ca="1" si="91"/>
        <v>0</v>
      </c>
      <c r="AG87" s="716">
        <f t="shared" ca="1" si="91"/>
        <v>0</v>
      </c>
      <c r="AH87" s="874">
        <f ca="1">SUM(C87:AG87)</f>
        <v>1</v>
      </c>
      <c r="AI87" s="875" t="s">
        <v>1379</v>
      </c>
      <c r="AJ87" s="874"/>
      <c r="AK87" s="627">
        <v>85</v>
      </c>
      <c r="AL87" s="629">
        <f t="shared" si="68"/>
        <v>0.79098558795432217</v>
      </c>
      <c r="AM87" s="629">
        <f t="shared" si="69"/>
        <v>0.17523138140955963</v>
      </c>
      <c r="AN87" s="626" t="str">
        <f t="shared" si="70"/>
        <v>Success</v>
      </c>
      <c r="AO87" s="629" t="e">
        <f t="shared" si="73"/>
        <v>#N/A</v>
      </c>
      <c r="AP87" s="629">
        <v>0.17523138140955963</v>
      </c>
      <c r="AQ87" s="629">
        <f t="shared" ca="1" si="71"/>
        <v>0.44185212368707805</v>
      </c>
    </row>
    <row r="88" spans="1:43">
      <c r="A88" s="19"/>
      <c r="B88" s="169"/>
      <c r="C88" s="19"/>
      <c r="D88" s="19"/>
      <c r="E88" s="19"/>
      <c r="F88" s="19"/>
      <c r="G88" s="137"/>
      <c r="H88" s="19"/>
      <c r="I88" s="19"/>
      <c r="J88" s="19"/>
      <c r="K88" s="137"/>
      <c r="L88" s="132"/>
      <c r="M88" s="137"/>
      <c r="N88" s="28"/>
      <c r="O88" s="28"/>
      <c r="P88" s="19"/>
      <c r="Q88" s="19"/>
      <c r="R88" s="19"/>
      <c r="S88" s="19"/>
      <c r="T88" s="19"/>
      <c r="U88" s="19"/>
      <c r="V88" s="19"/>
      <c r="W88" s="19"/>
      <c r="X88" s="19"/>
      <c r="Y88" s="19"/>
      <c r="Z88" s="19"/>
      <c r="AA88" s="19"/>
      <c r="AB88" s="19"/>
      <c r="AC88" s="19"/>
      <c r="AD88" s="19"/>
      <c r="AE88" s="19"/>
      <c r="AF88" s="19"/>
      <c r="AG88" s="19"/>
      <c r="AH88" s="873"/>
      <c r="AI88" s="874"/>
      <c r="AJ88" s="874"/>
      <c r="AK88" s="627">
        <v>86</v>
      </c>
      <c r="AL88" s="629">
        <f t="shared" si="68"/>
        <v>0.79180431073774549</v>
      </c>
      <c r="AM88" s="629">
        <f t="shared" si="69"/>
        <v>0.67176734515945857</v>
      </c>
      <c r="AN88" s="626" t="str">
        <f t="shared" si="70"/>
        <v>Success</v>
      </c>
      <c r="AO88" s="629" t="e">
        <f t="shared" si="73"/>
        <v>#N/A</v>
      </c>
      <c r="AP88" s="629">
        <v>0.67176734515945857</v>
      </c>
      <c r="AQ88" s="629">
        <f t="shared" ca="1" si="71"/>
        <v>0.51734309034397319</v>
      </c>
    </row>
    <row r="89" spans="1:43" ht="15" thickBot="1">
      <c r="A89" s="19"/>
      <c r="B89" s="52" t="s">
        <v>1127</v>
      </c>
      <c r="C89" s="32">
        <f>Cashflow!C$30</f>
        <v>2017</v>
      </c>
      <c r="D89" s="32">
        <f>Cashflow!D$30</f>
        <v>2018</v>
      </c>
      <c r="E89" s="32">
        <f>Cashflow!E$30</f>
        <v>2019</v>
      </c>
      <c r="F89" s="32">
        <f>Cashflow!F$30</f>
        <v>2020</v>
      </c>
      <c r="G89" s="32">
        <f>Cashflow!G$30</f>
        <v>2021</v>
      </c>
      <c r="H89" s="32">
        <f>Cashflow!H$30</f>
        <v>2022</v>
      </c>
      <c r="I89" s="32">
        <f>Cashflow!I$30</f>
        <v>2023</v>
      </c>
      <c r="J89" s="32">
        <f>Cashflow!J$30</f>
        <v>2024</v>
      </c>
      <c r="K89" s="32">
        <f>Cashflow!K$30</f>
        <v>2025</v>
      </c>
      <c r="L89" s="32">
        <f>Cashflow!L$30</f>
        <v>2026</v>
      </c>
      <c r="M89" s="32">
        <f>Cashflow!M$30</f>
        <v>2027</v>
      </c>
      <c r="N89" s="32">
        <f>Cashflow!N$30</f>
        <v>2028</v>
      </c>
      <c r="O89" s="32">
        <f>Cashflow!O$30</f>
        <v>2029</v>
      </c>
      <c r="P89" s="32">
        <f>Cashflow!P$30</f>
        <v>2030</v>
      </c>
      <c r="Q89" s="32">
        <f>Cashflow!Q$30</f>
        <v>2031</v>
      </c>
      <c r="R89" s="32">
        <f>Cashflow!R$30</f>
        <v>2032</v>
      </c>
      <c r="S89" s="32">
        <f>Cashflow!S$30</f>
        <v>2033</v>
      </c>
      <c r="T89" s="32">
        <f>Cashflow!T$30</f>
        <v>2034</v>
      </c>
      <c r="U89" s="32">
        <f>Cashflow!U$30</f>
        <v>2035</v>
      </c>
      <c r="V89" s="32">
        <f>Cashflow!V$30</f>
        <v>2036</v>
      </c>
      <c r="W89" s="32">
        <f>Cashflow!W$30</f>
        <v>2037</v>
      </c>
      <c r="X89" s="32">
        <f>Cashflow!X$30</f>
        <v>2038</v>
      </c>
      <c r="Y89" s="32">
        <f>Cashflow!Y$30</f>
        <v>2039</v>
      </c>
      <c r="Z89" s="32">
        <f>Cashflow!Z$30</f>
        <v>2040</v>
      </c>
      <c r="AA89" s="32">
        <f>Cashflow!AA$30</f>
        <v>2041</v>
      </c>
      <c r="AB89" s="32">
        <f>Cashflow!AB$30</f>
        <v>2042</v>
      </c>
      <c r="AC89" s="32">
        <f>Cashflow!AC$30</f>
        <v>2043</v>
      </c>
      <c r="AD89" s="32">
        <f>Cashflow!AD$30</f>
        <v>2044</v>
      </c>
      <c r="AE89" s="32">
        <f>Cashflow!AE$30</f>
        <v>2045</v>
      </c>
      <c r="AF89" s="32">
        <f>Cashflow!AF$30</f>
        <v>2046</v>
      </c>
      <c r="AG89" s="32">
        <f>Cashflow!AG$30</f>
        <v>2047</v>
      </c>
      <c r="AH89" s="873"/>
      <c r="AI89" s="874"/>
      <c r="AJ89" s="874"/>
      <c r="AK89" s="627">
        <v>87</v>
      </c>
      <c r="AL89" s="629">
        <f t="shared" si="68"/>
        <v>0.79261356830582086</v>
      </c>
      <c r="AM89" s="629">
        <f t="shared" si="69"/>
        <v>0.73241773530327337</v>
      </c>
      <c r="AN89" s="626" t="str">
        <f t="shared" si="70"/>
        <v>Success</v>
      </c>
      <c r="AO89" s="629" t="e">
        <f t="shared" si="73"/>
        <v>#N/A</v>
      </c>
      <c r="AP89" s="629">
        <v>0.73241773530327337</v>
      </c>
      <c r="AQ89" s="629">
        <f t="shared" ca="1" si="71"/>
        <v>0.60760165866957605</v>
      </c>
    </row>
    <row r="90" spans="1:43" ht="15" thickTop="1">
      <c r="A90" s="19"/>
      <c r="B90" s="42" t="s">
        <v>816</v>
      </c>
      <c r="C90" s="58">
        <f t="shared" ref="C90:AG90" si="92">IF(C20=0,0,IF(C$14=0,0,(VLOOKUP(C20,$AK$3:$AN$102,4,FALSE))))</f>
        <v>0</v>
      </c>
      <c r="D90" s="58">
        <f t="shared" si="92"/>
        <v>0</v>
      </c>
      <c r="E90" s="58">
        <f t="shared" si="92"/>
        <v>0</v>
      </c>
      <c r="F90" s="58">
        <f t="shared" si="92"/>
        <v>0</v>
      </c>
      <c r="G90" s="58">
        <f t="shared" si="92"/>
        <v>0</v>
      </c>
      <c r="H90" s="58">
        <f t="shared" si="92"/>
        <v>0</v>
      </c>
      <c r="I90" s="58" t="str">
        <f t="shared" si="92"/>
        <v>Success</v>
      </c>
      <c r="J90" s="58" t="str">
        <f t="shared" si="92"/>
        <v>Success</v>
      </c>
      <c r="K90" s="58" t="str">
        <f t="shared" si="92"/>
        <v>Success</v>
      </c>
      <c r="L90" s="58" t="str">
        <f t="shared" ca="1" si="92"/>
        <v>Success</v>
      </c>
      <c r="M90" s="58" t="str">
        <f t="shared" ca="1" si="92"/>
        <v>Success</v>
      </c>
      <c r="N90" s="58" t="str">
        <f t="shared" ca="1" si="92"/>
        <v>Success</v>
      </c>
      <c r="O90" s="58">
        <f t="shared" ca="1" si="92"/>
        <v>0</v>
      </c>
      <c r="P90" s="58">
        <f t="shared" ca="1" si="92"/>
        <v>0</v>
      </c>
      <c r="Q90" s="58">
        <f t="shared" ca="1" si="92"/>
        <v>0</v>
      </c>
      <c r="R90" s="58">
        <f t="shared" ca="1" si="92"/>
        <v>0</v>
      </c>
      <c r="S90" s="58">
        <f t="shared" ca="1" si="92"/>
        <v>0</v>
      </c>
      <c r="T90" s="58">
        <f t="shared" ca="1" si="92"/>
        <v>0</v>
      </c>
      <c r="U90" s="58">
        <f t="shared" ca="1" si="92"/>
        <v>0</v>
      </c>
      <c r="V90" s="58">
        <f t="shared" ca="1" si="92"/>
        <v>0</v>
      </c>
      <c r="W90" s="58">
        <f t="shared" ca="1" si="92"/>
        <v>0</v>
      </c>
      <c r="X90" s="58">
        <f t="shared" ca="1" si="92"/>
        <v>0</v>
      </c>
      <c r="Y90" s="58">
        <f t="shared" ca="1" si="92"/>
        <v>0</v>
      </c>
      <c r="Z90" s="58">
        <f t="shared" ca="1" si="92"/>
        <v>0</v>
      </c>
      <c r="AA90" s="58">
        <f t="shared" ca="1" si="92"/>
        <v>0</v>
      </c>
      <c r="AB90" s="58">
        <f t="shared" ca="1" si="92"/>
        <v>0</v>
      </c>
      <c r="AC90" s="58">
        <f t="shared" ca="1" si="92"/>
        <v>0</v>
      </c>
      <c r="AD90" s="58">
        <f t="shared" ca="1" si="92"/>
        <v>0</v>
      </c>
      <c r="AE90" s="58">
        <f t="shared" ca="1" si="92"/>
        <v>0</v>
      </c>
      <c r="AF90" s="58">
        <f t="shared" ca="1" si="92"/>
        <v>0</v>
      </c>
      <c r="AG90" s="58">
        <f t="shared" ca="1" si="92"/>
        <v>0</v>
      </c>
      <c r="AH90" s="873"/>
      <c r="AI90" s="874"/>
      <c r="AJ90" s="874"/>
      <c r="AK90" s="627">
        <v>88</v>
      </c>
      <c r="AL90" s="629">
        <f t="shared" si="68"/>
        <v>0.79341357701347448</v>
      </c>
      <c r="AM90" s="629">
        <f t="shared" si="69"/>
        <v>0.54106968506542674</v>
      </c>
      <c r="AN90" s="626" t="str">
        <f t="shared" si="70"/>
        <v>Success</v>
      </c>
      <c r="AO90" s="629" t="e">
        <f t="shared" si="73"/>
        <v>#N/A</v>
      </c>
      <c r="AP90" s="629">
        <v>0.54106968506542674</v>
      </c>
      <c r="AQ90" s="629">
        <f t="shared" ca="1" si="71"/>
        <v>0.60431318101274123</v>
      </c>
    </row>
    <row r="91" spans="1:43">
      <c r="A91" s="19"/>
      <c r="B91" s="55" t="s">
        <v>817</v>
      </c>
      <c r="C91" s="58">
        <f t="shared" ref="C91:AG91" si="93">IF(C21=0,0,IF(C$14=0,0,(VLOOKUP(C21,$AK$3:$AN$102,4,FALSE))))</f>
        <v>0</v>
      </c>
      <c r="D91" s="58">
        <f t="shared" si="93"/>
        <v>0</v>
      </c>
      <c r="E91" s="58">
        <f t="shared" si="93"/>
        <v>0</v>
      </c>
      <c r="F91" s="58">
        <f t="shared" si="93"/>
        <v>0</v>
      </c>
      <c r="G91" s="58">
        <f t="shared" si="93"/>
        <v>0</v>
      </c>
      <c r="H91" s="58">
        <f t="shared" si="93"/>
        <v>0</v>
      </c>
      <c r="I91" s="58">
        <f t="shared" si="93"/>
        <v>0</v>
      </c>
      <c r="J91" s="58" t="str">
        <f t="shared" si="93"/>
        <v>Success</v>
      </c>
      <c r="K91" s="58" t="str">
        <f t="shared" si="93"/>
        <v>Failure</v>
      </c>
      <c r="L91" s="58" t="str">
        <f t="shared" ca="1" si="93"/>
        <v>Success</v>
      </c>
      <c r="M91" s="58" t="str">
        <f t="shared" ca="1" si="93"/>
        <v>Failure</v>
      </c>
      <c r="N91" s="58" t="str">
        <f t="shared" ca="1" si="93"/>
        <v>Success</v>
      </c>
      <c r="O91" s="58">
        <f t="shared" ca="1" si="93"/>
        <v>0</v>
      </c>
      <c r="P91" s="58">
        <f t="shared" ca="1" si="93"/>
        <v>0</v>
      </c>
      <c r="Q91" s="58">
        <f t="shared" ca="1" si="93"/>
        <v>0</v>
      </c>
      <c r="R91" s="58">
        <f t="shared" ca="1" si="93"/>
        <v>0</v>
      </c>
      <c r="S91" s="58">
        <f t="shared" ca="1" si="93"/>
        <v>0</v>
      </c>
      <c r="T91" s="58">
        <f t="shared" ca="1" si="93"/>
        <v>0</v>
      </c>
      <c r="U91" s="58">
        <f t="shared" ca="1" si="93"/>
        <v>0</v>
      </c>
      <c r="V91" s="58">
        <f t="shared" ca="1" si="93"/>
        <v>0</v>
      </c>
      <c r="W91" s="58">
        <f t="shared" ca="1" si="93"/>
        <v>0</v>
      </c>
      <c r="X91" s="58">
        <f t="shared" ca="1" si="93"/>
        <v>0</v>
      </c>
      <c r="Y91" s="58">
        <f t="shared" ca="1" si="93"/>
        <v>0</v>
      </c>
      <c r="Z91" s="58">
        <f t="shared" ca="1" si="93"/>
        <v>0</v>
      </c>
      <c r="AA91" s="58">
        <f t="shared" ca="1" si="93"/>
        <v>0</v>
      </c>
      <c r="AB91" s="58">
        <f t="shared" ca="1" si="93"/>
        <v>0</v>
      </c>
      <c r="AC91" s="58">
        <f t="shared" ca="1" si="93"/>
        <v>0</v>
      </c>
      <c r="AD91" s="58">
        <f t="shared" ca="1" si="93"/>
        <v>0</v>
      </c>
      <c r="AE91" s="58">
        <f t="shared" ca="1" si="93"/>
        <v>0</v>
      </c>
      <c r="AF91" s="58">
        <f t="shared" ca="1" si="93"/>
        <v>0</v>
      </c>
      <c r="AG91" s="58">
        <f t="shared" ca="1" si="93"/>
        <v>0</v>
      </c>
      <c r="AH91" s="873"/>
      <c r="AI91" s="874"/>
      <c r="AJ91" s="874"/>
      <c r="AK91" s="627">
        <v>89</v>
      </c>
      <c r="AL91" s="629">
        <f t="shared" si="68"/>
        <v>0.79420454588124978</v>
      </c>
      <c r="AM91" s="629">
        <f t="shared" si="69"/>
        <v>0.19760782251584752</v>
      </c>
      <c r="AN91" s="626" t="str">
        <f t="shared" si="70"/>
        <v>Success</v>
      </c>
      <c r="AO91" s="629" t="e">
        <f t="shared" si="73"/>
        <v>#N/A</v>
      </c>
      <c r="AP91" s="629">
        <v>0.19760782251584752</v>
      </c>
      <c r="AQ91" s="629">
        <f t="shared" ca="1" si="71"/>
        <v>0.39948869426675959</v>
      </c>
    </row>
    <row r="92" spans="1:43">
      <c r="A92" s="19"/>
      <c r="B92" s="55" t="s">
        <v>818</v>
      </c>
      <c r="C92" s="58">
        <f t="shared" ref="C92:AG92" si="94">IF(C22=0,0,IF(C$14=0,0,(VLOOKUP(C22,$AK$3:$AN$102,4,FALSE))))</f>
        <v>0</v>
      </c>
      <c r="D92" s="58">
        <f t="shared" si="94"/>
        <v>0</v>
      </c>
      <c r="E92" s="58">
        <f t="shared" si="94"/>
        <v>0</v>
      </c>
      <c r="F92" s="58">
        <f t="shared" si="94"/>
        <v>0</v>
      </c>
      <c r="G92" s="58">
        <f t="shared" si="94"/>
        <v>0</v>
      </c>
      <c r="H92" s="58">
        <f t="shared" si="94"/>
        <v>0</v>
      </c>
      <c r="I92" s="58">
        <f t="shared" si="94"/>
        <v>0</v>
      </c>
      <c r="J92" s="58">
        <f t="shared" si="94"/>
        <v>0</v>
      </c>
      <c r="K92" s="58">
        <f t="shared" si="94"/>
        <v>0</v>
      </c>
      <c r="L92" s="58">
        <f t="shared" ca="1" si="94"/>
        <v>0</v>
      </c>
      <c r="M92" s="58">
        <f t="shared" ca="1" si="94"/>
        <v>0</v>
      </c>
      <c r="N92" s="58">
        <f t="shared" ca="1" si="94"/>
        <v>0</v>
      </c>
      <c r="O92" s="58">
        <f t="shared" ca="1" si="94"/>
        <v>0</v>
      </c>
      <c r="P92" s="58">
        <f t="shared" ca="1" si="94"/>
        <v>0</v>
      </c>
      <c r="Q92" s="58">
        <f t="shared" ca="1" si="94"/>
        <v>0</v>
      </c>
      <c r="R92" s="58">
        <f t="shared" ca="1" si="94"/>
        <v>0</v>
      </c>
      <c r="S92" s="58">
        <f t="shared" ca="1" si="94"/>
        <v>0</v>
      </c>
      <c r="T92" s="58">
        <f t="shared" ca="1" si="94"/>
        <v>0</v>
      </c>
      <c r="U92" s="58">
        <f t="shared" ca="1" si="94"/>
        <v>0</v>
      </c>
      <c r="V92" s="58">
        <f t="shared" ca="1" si="94"/>
        <v>0</v>
      </c>
      <c r="W92" s="58">
        <f t="shared" ca="1" si="94"/>
        <v>0</v>
      </c>
      <c r="X92" s="58">
        <f t="shared" ca="1" si="94"/>
        <v>0</v>
      </c>
      <c r="Y92" s="58">
        <f t="shared" ca="1" si="94"/>
        <v>0</v>
      </c>
      <c r="Z92" s="58">
        <f t="shared" ca="1" si="94"/>
        <v>0</v>
      </c>
      <c r="AA92" s="58">
        <f t="shared" ca="1" si="94"/>
        <v>0</v>
      </c>
      <c r="AB92" s="58">
        <f t="shared" ca="1" si="94"/>
        <v>0</v>
      </c>
      <c r="AC92" s="58">
        <f t="shared" ca="1" si="94"/>
        <v>0</v>
      </c>
      <c r="AD92" s="58">
        <f t="shared" ca="1" si="94"/>
        <v>0</v>
      </c>
      <c r="AE92" s="58">
        <f t="shared" ca="1" si="94"/>
        <v>0</v>
      </c>
      <c r="AF92" s="58">
        <f t="shared" ca="1" si="94"/>
        <v>0</v>
      </c>
      <c r="AG92" s="58">
        <f t="shared" ca="1" si="94"/>
        <v>0</v>
      </c>
      <c r="AH92" s="874"/>
      <c r="AI92" s="874"/>
      <c r="AJ92" s="874"/>
      <c r="AK92" s="627">
        <v>90</v>
      </c>
      <c r="AL92" s="629">
        <f t="shared" si="68"/>
        <v>0.79498667692311864</v>
      </c>
      <c r="AM92" s="629">
        <f t="shared" si="69"/>
        <v>0.80021763388234879</v>
      </c>
      <c r="AN92" s="626" t="str">
        <f t="shared" si="70"/>
        <v>Failure</v>
      </c>
      <c r="AO92" s="629">
        <f t="shared" si="73"/>
        <v>0.79498667692311864</v>
      </c>
      <c r="AP92" s="629">
        <v>0.80021763388234879</v>
      </c>
      <c r="AQ92" s="629">
        <f t="shared" ca="1" si="71"/>
        <v>0.91458943499341105</v>
      </c>
    </row>
    <row r="93" spans="1:43">
      <c r="A93" s="19"/>
      <c r="B93" s="55" t="s">
        <v>819</v>
      </c>
      <c r="C93" s="58">
        <f t="shared" ref="C93:AG93" si="95">IF(C23=0,0,IF(C$14=0,0,(VLOOKUP(C23,$AK$3:$AN$102,4,FALSE))))</f>
        <v>0</v>
      </c>
      <c r="D93" s="58">
        <f t="shared" si="95"/>
        <v>0</v>
      </c>
      <c r="E93" s="58">
        <f t="shared" si="95"/>
        <v>0</v>
      </c>
      <c r="F93" s="58">
        <f t="shared" si="95"/>
        <v>0</v>
      </c>
      <c r="G93" s="58">
        <f t="shared" si="95"/>
        <v>0</v>
      </c>
      <c r="H93" s="58">
        <f t="shared" si="95"/>
        <v>0</v>
      </c>
      <c r="I93" s="58">
        <f t="shared" si="95"/>
        <v>0</v>
      </c>
      <c r="J93" s="58">
        <f t="shared" si="95"/>
        <v>0</v>
      </c>
      <c r="K93" s="58">
        <f t="shared" si="95"/>
        <v>0</v>
      </c>
      <c r="L93" s="58">
        <f t="shared" ca="1" si="95"/>
        <v>0</v>
      </c>
      <c r="M93" s="58">
        <f t="shared" ca="1" si="95"/>
        <v>0</v>
      </c>
      <c r="N93" s="58">
        <f t="shared" ca="1" si="95"/>
        <v>0</v>
      </c>
      <c r="O93" s="58">
        <f t="shared" ca="1" si="95"/>
        <v>0</v>
      </c>
      <c r="P93" s="58">
        <f t="shared" ca="1" si="95"/>
        <v>0</v>
      </c>
      <c r="Q93" s="58">
        <f t="shared" ca="1" si="95"/>
        <v>0</v>
      </c>
      <c r="R93" s="58">
        <f t="shared" ca="1" si="95"/>
        <v>0</v>
      </c>
      <c r="S93" s="58">
        <f t="shared" ca="1" si="95"/>
        <v>0</v>
      </c>
      <c r="T93" s="58">
        <f t="shared" ca="1" si="95"/>
        <v>0</v>
      </c>
      <c r="U93" s="58">
        <f t="shared" ca="1" si="95"/>
        <v>0</v>
      </c>
      <c r="V93" s="58">
        <f t="shared" ca="1" si="95"/>
        <v>0</v>
      </c>
      <c r="W93" s="58">
        <f t="shared" ca="1" si="95"/>
        <v>0</v>
      </c>
      <c r="X93" s="58">
        <f t="shared" ca="1" si="95"/>
        <v>0</v>
      </c>
      <c r="Y93" s="58">
        <f t="shared" ca="1" si="95"/>
        <v>0</v>
      </c>
      <c r="Z93" s="58">
        <f t="shared" ca="1" si="95"/>
        <v>0</v>
      </c>
      <c r="AA93" s="58">
        <f t="shared" ca="1" si="95"/>
        <v>0</v>
      </c>
      <c r="AB93" s="58">
        <f t="shared" ca="1" si="95"/>
        <v>0</v>
      </c>
      <c r="AC93" s="58">
        <f t="shared" ca="1" si="95"/>
        <v>0</v>
      </c>
      <c r="AD93" s="58">
        <f t="shared" ca="1" si="95"/>
        <v>0</v>
      </c>
      <c r="AE93" s="58">
        <f t="shared" ca="1" si="95"/>
        <v>0</v>
      </c>
      <c r="AF93" s="58">
        <f t="shared" ca="1" si="95"/>
        <v>0</v>
      </c>
      <c r="AG93" s="58">
        <f t="shared" ca="1" si="95"/>
        <v>0</v>
      </c>
      <c r="AH93" s="874"/>
      <c r="AI93" s="874"/>
      <c r="AJ93" s="874"/>
      <c r="AK93" s="627">
        <v>91</v>
      </c>
      <c r="AL93" s="629">
        <f t="shared" si="68"/>
        <v>0.79576016545617945</v>
      </c>
      <c r="AM93" s="629">
        <f t="shared" si="69"/>
        <v>0.82103397871707884</v>
      </c>
      <c r="AN93" s="626" t="str">
        <f t="shared" si="70"/>
        <v>Failure</v>
      </c>
      <c r="AO93" s="629">
        <f t="shared" si="73"/>
        <v>0.79576016545617945</v>
      </c>
      <c r="AP93" s="629">
        <v>0.82103397871707884</v>
      </c>
      <c r="AQ93" s="629">
        <f t="shared" ca="1" si="71"/>
        <v>0.47216387994841824</v>
      </c>
    </row>
    <row r="94" spans="1:43">
      <c r="A94" s="19"/>
      <c r="B94" s="55" t="s">
        <v>820</v>
      </c>
      <c r="C94" s="58">
        <f t="shared" ref="C94:AG94" si="96">IF(C24=0,0,IF(C$14=0,0,(VLOOKUP(C24,$AK$3:$AN$102,4,FALSE))))</f>
        <v>0</v>
      </c>
      <c r="D94" s="58">
        <f t="shared" si="96"/>
        <v>0</v>
      </c>
      <c r="E94" s="58">
        <f t="shared" si="96"/>
        <v>0</v>
      </c>
      <c r="F94" s="58">
        <f t="shared" si="96"/>
        <v>0</v>
      </c>
      <c r="G94" s="58">
        <f t="shared" si="96"/>
        <v>0</v>
      </c>
      <c r="H94" s="58">
        <f t="shared" si="96"/>
        <v>0</v>
      </c>
      <c r="I94" s="58">
        <f t="shared" si="96"/>
        <v>0</v>
      </c>
      <c r="J94" s="58">
        <f t="shared" si="96"/>
        <v>0</v>
      </c>
      <c r="K94" s="58">
        <f t="shared" si="96"/>
        <v>0</v>
      </c>
      <c r="L94" s="58">
        <f t="shared" ca="1" si="96"/>
        <v>0</v>
      </c>
      <c r="M94" s="58">
        <f t="shared" ca="1" si="96"/>
        <v>0</v>
      </c>
      <c r="N94" s="58">
        <f t="shared" ca="1" si="96"/>
        <v>0</v>
      </c>
      <c r="O94" s="58">
        <f t="shared" ca="1" si="96"/>
        <v>0</v>
      </c>
      <c r="P94" s="58">
        <f t="shared" ca="1" si="96"/>
        <v>0</v>
      </c>
      <c r="Q94" s="58">
        <f t="shared" ca="1" si="96"/>
        <v>0</v>
      </c>
      <c r="R94" s="58">
        <f t="shared" ca="1" si="96"/>
        <v>0</v>
      </c>
      <c r="S94" s="58">
        <f t="shared" ca="1" si="96"/>
        <v>0</v>
      </c>
      <c r="T94" s="58">
        <f t="shared" ca="1" si="96"/>
        <v>0</v>
      </c>
      <c r="U94" s="58">
        <f t="shared" ca="1" si="96"/>
        <v>0</v>
      </c>
      <c r="V94" s="58">
        <f t="shared" ca="1" si="96"/>
        <v>0</v>
      </c>
      <c r="W94" s="58">
        <f t="shared" ca="1" si="96"/>
        <v>0</v>
      </c>
      <c r="X94" s="58">
        <f t="shared" ca="1" si="96"/>
        <v>0</v>
      </c>
      <c r="Y94" s="58">
        <f t="shared" ca="1" si="96"/>
        <v>0</v>
      </c>
      <c r="Z94" s="58">
        <f t="shared" ca="1" si="96"/>
        <v>0</v>
      </c>
      <c r="AA94" s="58">
        <f t="shared" ca="1" si="96"/>
        <v>0</v>
      </c>
      <c r="AB94" s="58">
        <f t="shared" ca="1" si="96"/>
        <v>0</v>
      </c>
      <c r="AC94" s="58">
        <f t="shared" ca="1" si="96"/>
        <v>0</v>
      </c>
      <c r="AD94" s="58">
        <f t="shared" ca="1" si="96"/>
        <v>0</v>
      </c>
      <c r="AE94" s="58">
        <f t="shared" ca="1" si="96"/>
        <v>0</v>
      </c>
      <c r="AF94" s="58">
        <f t="shared" ca="1" si="96"/>
        <v>0</v>
      </c>
      <c r="AG94" s="58">
        <f t="shared" ca="1" si="96"/>
        <v>0</v>
      </c>
      <c r="AH94" s="873"/>
      <c r="AI94" s="874"/>
      <c r="AJ94" s="874"/>
      <c r="AK94" s="627">
        <v>92</v>
      </c>
      <c r="AL94" s="629">
        <f t="shared" si="68"/>
        <v>0.79652520039343289</v>
      </c>
      <c r="AM94" s="629">
        <f t="shared" si="69"/>
        <v>0.24819341931075212</v>
      </c>
      <c r="AN94" s="626" t="str">
        <f t="shared" si="70"/>
        <v>Success</v>
      </c>
      <c r="AO94" s="629" t="e">
        <f t="shared" si="73"/>
        <v>#N/A</v>
      </c>
      <c r="AP94" s="629">
        <v>0.24819341931075212</v>
      </c>
      <c r="AQ94" s="629">
        <f t="shared" ca="1" si="71"/>
        <v>0.92338181209438586</v>
      </c>
    </row>
    <row r="95" spans="1:43">
      <c r="A95" s="19"/>
      <c r="B95" s="55" t="s">
        <v>821</v>
      </c>
      <c r="C95" s="58">
        <f t="shared" ref="C95:AG95" si="97">IF(C25=0,0,IF(C$14=0,0,(VLOOKUP(C25,$AK$3:$AN$102,4,FALSE))))</f>
        <v>0</v>
      </c>
      <c r="D95" s="58">
        <f t="shared" si="97"/>
        <v>0</v>
      </c>
      <c r="E95" s="58">
        <f t="shared" si="97"/>
        <v>0</v>
      </c>
      <c r="F95" s="58">
        <f t="shared" si="97"/>
        <v>0</v>
      </c>
      <c r="G95" s="58">
        <f t="shared" si="97"/>
        <v>0</v>
      </c>
      <c r="H95" s="58">
        <f t="shared" si="97"/>
        <v>0</v>
      </c>
      <c r="I95" s="58">
        <f t="shared" si="97"/>
        <v>0</v>
      </c>
      <c r="J95" s="58">
        <f t="shared" si="97"/>
        <v>0</v>
      </c>
      <c r="K95" s="58">
        <f t="shared" si="97"/>
        <v>0</v>
      </c>
      <c r="L95" s="58">
        <f t="shared" ca="1" si="97"/>
        <v>0</v>
      </c>
      <c r="M95" s="58">
        <f t="shared" ca="1" si="97"/>
        <v>0</v>
      </c>
      <c r="N95" s="58">
        <f t="shared" ca="1" si="97"/>
        <v>0</v>
      </c>
      <c r="O95" s="58">
        <f t="shared" ca="1" si="97"/>
        <v>0</v>
      </c>
      <c r="P95" s="58">
        <f t="shared" ca="1" si="97"/>
        <v>0</v>
      </c>
      <c r="Q95" s="58">
        <f t="shared" ca="1" si="97"/>
        <v>0</v>
      </c>
      <c r="R95" s="58">
        <f t="shared" ca="1" si="97"/>
        <v>0</v>
      </c>
      <c r="S95" s="58">
        <f t="shared" ca="1" si="97"/>
        <v>0</v>
      </c>
      <c r="T95" s="58">
        <f t="shared" ca="1" si="97"/>
        <v>0</v>
      </c>
      <c r="U95" s="58">
        <f t="shared" ca="1" si="97"/>
        <v>0</v>
      </c>
      <c r="V95" s="58">
        <f t="shared" ca="1" si="97"/>
        <v>0</v>
      </c>
      <c r="W95" s="58">
        <f t="shared" ca="1" si="97"/>
        <v>0</v>
      </c>
      <c r="X95" s="58">
        <f t="shared" ca="1" si="97"/>
        <v>0</v>
      </c>
      <c r="Y95" s="58">
        <f t="shared" ca="1" si="97"/>
        <v>0</v>
      </c>
      <c r="Z95" s="58">
        <f t="shared" ca="1" si="97"/>
        <v>0</v>
      </c>
      <c r="AA95" s="58">
        <f t="shared" ca="1" si="97"/>
        <v>0</v>
      </c>
      <c r="AB95" s="58">
        <f t="shared" ca="1" si="97"/>
        <v>0</v>
      </c>
      <c r="AC95" s="58">
        <f t="shared" ca="1" si="97"/>
        <v>0</v>
      </c>
      <c r="AD95" s="58">
        <f t="shared" ca="1" si="97"/>
        <v>0</v>
      </c>
      <c r="AE95" s="58">
        <f t="shared" ca="1" si="97"/>
        <v>0</v>
      </c>
      <c r="AF95" s="58">
        <f t="shared" ca="1" si="97"/>
        <v>0</v>
      </c>
      <c r="AG95" s="58">
        <f t="shared" ca="1" si="97"/>
        <v>0</v>
      </c>
      <c r="AH95" s="873"/>
      <c r="AI95" s="874"/>
      <c r="AJ95" s="874"/>
      <c r="AK95" s="627">
        <v>93</v>
      </c>
      <c r="AL95" s="629">
        <f t="shared" si="68"/>
        <v>0.79728196452072797</v>
      </c>
      <c r="AM95" s="629">
        <f t="shared" si="69"/>
        <v>1.6922063505588669E-2</v>
      </c>
      <c r="AN95" s="626" t="str">
        <f t="shared" si="70"/>
        <v>Success</v>
      </c>
      <c r="AO95" s="629" t="e">
        <f t="shared" si="73"/>
        <v>#N/A</v>
      </c>
      <c r="AP95" s="629">
        <v>1.6922063505588669E-2</v>
      </c>
      <c r="AQ95" s="629">
        <f t="shared" ca="1" si="71"/>
        <v>0.9400613517859211</v>
      </c>
    </row>
    <row r="96" spans="1:43">
      <c r="A96" s="19"/>
      <c r="B96" s="55" t="s">
        <v>822</v>
      </c>
      <c r="C96" s="58">
        <f t="shared" ref="C96:AG96" si="98">IF(C26=0,0,IF(C$14=0,0,(VLOOKUP(C26,$AK$3:$AN$102,4,FALSE))))</f>
        <v>0</v>
      </c>
      <c r="D96" s="58">
        <f t="shared" si="98"/>
        <v>0</v>
      </c>
      <c r="E96" s="58">
        <f t="shared" si="98"/>
        <v>0</v>
      </c>
      <c r="F96" s="58">
        <f t="shared" si="98"/>
        <v>0</v>
      </c>
      <c r="G96" s="58">
        <f t="shared" si="98"/>
        <v>0</v>
      </c>
      <c r="H96" s="58">
        <f t="shared" si="98"/>
        <v>0</v>
      </c>
      <c r="I96" s="58">
        <f t="shared" si="98"/>
        <v>0</v>
      </c>
      <c r="J96" s="58">
        <f t="shared" si="98"/>
        <v>0</v>
      </c>
      <c r="K96" s="58">
        <f t="shared" si="98"/>
        <v>0</v>
      </c>
      <c r="L96" s="58">
        <f t="shared" ca="1" si="98"/>
        <v>0</v>
      </c>
      <c r="M96" s="58">
        <f t="shared" ca="1" si="98"/>
        <v>0</v>
      </c>
      <c r="N96" s="58">
        <f t="shared" ca="1" si="98"/>
        <v>0</v>
      </c>
      <c r="O96" s="58">
        <f t="shared" ca="1" si="98"/>
        <v>0</v>
      </c>
      <c r="P96" s="58">
        <f t="shared" ca="1" si="98"/>
        <v>0</v>
      </c>
      <c r="Q96" s="58">
        <f t="shared" ca="1" si="98"/>
        <v>0</v>
      </c>
      <c r="R96" s="58">
        <f t="shared" ca="1" si="98"/>
        <v>0</v>
      </c>
      <c r="S96" s="58">
        <f t="shared" ca="1" si="98"/>
        <v>0</v>
      </c>
      <c r="T96" s="58">
        <f t="shared" ca="1" si="98"/>
        <v>0</v>
      </c>
      <c r="U96" s="58">
        <f t="shared" ca="1" si="98"/>
        <v>0</v>
      </c>
      <c r="V96" s="58">
        <f t="shared" ca="1" si="98"/>
        <v>0</v>
      </c>
      <c r="W96" s="58">
        <f t="shared" ca="1" si="98"/>
        <v>0</v>
      </c>
      <c r="X96" s="58">
        <f t="shared" ca="1" si="98"/>
        <v>0</v>
      </c>
      <c r="Y96" s="58">
        <f t="shared" ca="1" si="98"/>
        <v>0</v>
      </c>
      <c r="Z96" s="58">
        <f t="shared" ca="1" si="98"/>
        <v>0</v>
      </c>
      <c r="AA96" s="58">
        <f t="shared" ca="1" si="98"/>
        <v>0</v>
      </c>
      <c r="AB96" s="58">
        <f t="shared" ca="1" si="98"/>
        <v>0</v>
      </c>
      <c r="AC96" s="58">
        <f t="shared" ca="1" si="98"/>
        <v>0</v>
      </c>
      <c r="AD96" s="58">
        <f t="shared" ca="1" si="98"/>
        <v>0</v>
      </c>
      <c r="AE96" s="58">
        <f t="shared" ca="1" si="98"/>
        <v>0</v>
      </c>
      <c r="AF96" s="58">
        <f t="shared" ca="1" si="98"/>
        <v>0</v>
      </c>
      <c r="AG96" s="58">
        <f t="shared" ca="1" si="98"/>
        <v>0</v>
      </c>
      <c r="AH96" s="873"/>
      <c r="AI96" s="874"/>
      <c r="AJ96" s="874"/>
      <c r="AK96" s="627">
        <v>94</v>
      </c>
      <c r="AL96" s="629">
        <f t="shared" si="68"/>
        <v>0.79803063475890035</v>
      </c>
      <c r="AM96" s="629">
        <f t="shared" si="69"/>
        <v>0.80355895487032702</v>
      </c>
      <c r="AN96" s="626" t="str">
        <f t="shared" si="70"/>
        <v>Failure</v>
      </c>
      <c r="AO96" s="629">
        <f t="shared" si="73"/>
        <v>0.79803063475890035</v>
      </c>
      <c r="AP96" s="629">
        <v>0.80355895487032702</v>
      </c>
      <c r="AQ96" s="629">
        <f t="shared" ca="1" si="71"/>
        <v>0.6650023299983524</v>
      </c>
    </row>
    <row r="97" spans="1:43">
      <c r="A97" s="19"/>
      <c r="B97" s="55" t="s">
        <v>823</v>
      </c>
      <c r="C97" s="58">
        <f t="shared" ref="C97:AG97" si="99">IF(C27=0,0,IF(C$14=0,0,(VLOOKUP(C27,$AK$3:$AN$102,4,FALSE))))</f>
        <v>0</v>
      </c>
      <c r="D97" s="58">
        <f t="shared" si="99"/>
        <v>0</v>
      </c>
      <c r="E97" s="58">
        <f t="shared" si="99"/>
        <v>0</v>
      </c>
      <c r="F97" s="58">
        <f t="shared" si="99"/>
        <v>0</v>
      </c>
      <c r="G97" s="58">
        <f t="shared" si="99"/>
        <v>0</v>
      </c>
      <c r="H97" s="58">
        <f t="shared" si="99"/>
        <v>0</v>
      </c>
      <c r="I97" s="58">
        <f t="shared" si="99"/>
        <v>0</v>
      </c>
      <c r="J97" s="58">
        <f t="shared" si="99"/>
        <v>0</v>
      </c>
      <c r="K97" s="58">
        <f t="shared" si="99"/>
        <v>0</v>
      </c>
      <c r="L97" s="58">
        <f t="shared" ca="1" si="99"/>
        <v>0</v>
      </c>
      <c r="M97" s="58">
        <f t="shared" ca="1" si="99"/>
        <v>0</v>
      </c>
      <c r="N97" s="58">
        <f t="shared" ca="1" si="99"/>
        <v>0</v>
      </c>
      <c r="O97" s="58">
        <f t="shared" ca="1" si="99"/>
        <v>0</v>
      </c>
      <c r="P97" s="58">
        <f t="shared" ca="1" si="99"/>
        <v>0</v>
      </c>
      <c r="Q97" s="58">
        <f t="shared" ca="1" si="99"/>
        <v>0</v>
      </c>
      <c r="R97" s="58">
        <f t="shared" ca="1" si="99"/>
        <v>0</v>
      </c>
      <c r="S97" s="58">
        <f t="shared" ca="1" si="99"/>
        <v>0</v>
      </c>
      <c r="T97" s="58">
        <f t="shared" ca="1" si="99"/>
        <v>0</v>
      </c>
      <c r="U97" s="58">
        <f t="shared" ca="1" si="99"/>
        <v>0</v>
      </c>
      <c r="V97" s="58">
        <f t="shared" ca="1" si="99"/>
        <v>0</v>
      </c>
      <c r="W97" s="58">
        <f t="shared" ca="1" si="99"/>
        <v>0</v>
      </c>
      <c r="X97" s="58">
        <f t="shared" ca="1" si="99"/>
        <v>0</v>
      </c>
      <c r="Y97" s="58">
        <f t="shared" ca="1" si="99"/>
        <v>0</v>
      </c>
      <c r="Z97" s="58">
        <f t="shared" ca="1" si="99"/>
        <v>0</v>
      </c>
      <c r="AA97" s="58">
        <f t="shared" ca="1" si="99"/>
        <v>0</v>
      </c>
      <c r="AB97" s="58">
        <f t="shared" ca="1" si="99"/>
        <v>0</v>
      </c>
      <c r="AC97" s="58">
        <f t="shared" ca="1" si="99"/>
        <v>0</v>
      </c>
      <c r="AD97" s="58">
        <f t="shared" ca="1" si="99"/>
        <v>0</v>
      </c>
      <c r="AE97" s="58">
        <f t="shared" ca="1" si="99"/>
        <v>0</v>
      </c>
      <c r="AF97" s="58">
        <f t="shared" ca="1" si="99"/>
        <v>0</v>
      </c>
      <c r="AG97" s="58">
        <f t="shared" ca="1" si="99"/>
        <v>0</v>
      </c>
      <c r="AH97" s="873"/>
      <c r="AI97" s="874"/>
      <c r="AJ97" s="874"/>
      <c r="AK97" s="627">
        <v>95</v>
      </c>
      <c r="AL97" s="629">
        <f t="shared" si="68"/>
        <v>0.79877138241203793</v>
      </c>
      <c r="AM97" s="629">
        <f t="shared" si="69"/>
        <v>0.19764582683893506</v>
      </c>
      <c r="AN97" s="626" t="str">
        <f t="shared" si="70"/>
        <v>Success</v>
      </c>
      <c r="AO97" s="629" t="e">
        <f t="shared" si="73"/>
        <v>#N/A</v>
      </c>
      <c r="AP97" s="629">
        <v>0.19764582683893506</v>
      </c>
      <c r="AQ97" s="629">
        <f t="shared" ca="1" si="71"/>
        <v>0.37438606005877451</v>
      </c>
    </row>
    <row r="98" spans="1:43">
      <c r="A98" s="19"/>
      <c r="B98" s="55" t="s">
        <v>824</v>
      </c>
      <c r="C98" s="58">
        <f t="shared" ref="C98:AG98" si="100">IF(C28=0,0,IF(C$14=0,0,(VLOOKUP(C28,$AK$3:$AN$102,4,FALSE))))</f>
        <v>0</v>
      </c>
      <c r="D98" s="58">
        <f t="shared" si="100"/>
        <v>0</v>
      </c>
      <c r="E98" s="58">
        <f t="shared" si="100"/>
        <v>0</v>
      </c>
      <c r="F98" s="58">
        <f t="shared" si="100"/>
        <v>0</v>
      </c>
      <c r="G98" s="58">
        <f t="shared" si="100"/>
        <v>0</v>
      </c>
      <c r="H98" s="58">
        <f t="shared" si="100"/>
        <v>0</v>
      </c>
      <c r="I98" s="58">
        <f t="shared" si="100"/>
        <v>0</v>
      </c>
      <c r="J98" s="58">
        <f t="shared" si="100"/>
        <v>0</v>
      </c>
      <c r="K98" s="58">
        <f t="shared" si="100"/>
        <v>0</v>
      </c>
      <c r="L98" s="58">
        <f t="shared" ca="1" si="100"/>
        <v>0</v>
      </c>
      <c r="M98" s="58">
        <f t="shared" ca="1" si="100"/>
        <v>0</v>
      </c>
      <c r="N98" s="58">
        <f t="shared" ca="1" si="100"/>
        <v>0</v>
      </c>
      <c r="O98" s="58">
        <f t="shared" ca="1" si="100"/>
        <v>0</v>
      </c>
      <c r="P98" s="58">
        <f t="shared" ca="1" si="100"/>
        <v>0</v>
      </c>
      <c r="Q98" s="58">
        <f t="shared" ca="1" si="100"/>
        <v>0</v>
      </c>
      <c r="R98" s="58">
        <f t="shared" ca="1" si="100"/>
        <v>0</v>
      </c>
      <c r="S98" s="58">
        <f t="shared" ca="1" si="100"/>
        <v>0</v>
      </c>
      <c r="T98" s="58">
        <f t="shared" ca="1" si="100"/>
        <v>0</v>
      </c>
      <c r="U98" s="58">
        <f t="shared" ca="1" si="100"/>
        <v>0</v>
      </c>
      <c r="V98" s="58">
        <f t="shared" ca="1" si="100"/>
        <v>0</v>
      </c>
      <c r="W98" s="58">
        <f t="shared" ca="1" si="100"/>
        <v>0</v>
      </c>
      <c r="X98" s="58">
        <f t="shared" ca="1" si="100"/>
        <v>0</v>
      </c>
      <c r="Y98" s="58">
        <f t="shared" ca="1" si="100"/>
        <v>0</v>
      </c>
      <c r="Z98" s="58">
        <f t="shared" ca="1" si="100"/>
        <v>0</v>
      </c>
      <c r="AA98" s="58">
        <f t="shared" ca="1" si="100"/>
        <v>0</v>
      </c>
      <c r="AB98" s="58">
        <f t="shared" ca="1" si="100"/>
        <v>0</v>
      </c>
      <c r="AC98" s="58">
        <f t="shared" ca="1" si="100"/>
        <v>0</v>
      </c>
      <c r="AD98" s="58">
        <f t="shared" ca="1" si="100"/>
        <v>0</v>
      </c>
      <c r="AE98" s="58">
        <f t="shared" ca="1" si="100"/>
        <v>0</v>
      </c>
      <c r="AF98" s="58">
        <f t="shared" ca="1" si="100"/>
        <v>0</v>
      </c>
      <c r="AG98" s="58">
        <f t="shared" ca="1" si="100"/>
        <v>0</v>
      </c>
      <c r="AH98" s="873"/>
      <c r="AI98" s="874"/>
      <c r="AJ98" s="874"/>
      <c r="AK98" s="627">
        <v>96</v>
      </c>
      <c r="AL98" s="629">
        <f t="shared" si="68"/>
        <v>0.79950437340274849</v>
      </c>
      <c r="AM98" s="629">
        <f t="shared" si="69"/>
        <v>0.57558203335950797</v>
      </c>
      <c r="AN98" s="626" t="str">
        <f t="shared" si="70"/>
        <v>Success</v>
      </c>
      <c r="AO98" s="629" t="e">
        <f t="shared" si="73"/>
        <v>#N/A</v>
      </c>
      <c r="AP98" s="629">
        <v>0.57558203335950797</v>
      </c>
      <c r="AQ98" s="629">
        <f t="shared" ca="1" si="71"/>
        <v>0.67665468960181885</v>
      </c>
    </row>
    <row r="99" spans="1:43">
      <c r="A99" s="19"/>
      <c r="B99" s="55" t="s">
        <v>825</v>
      </c>
      <c r="C99" s="58">
        <f t="shared" ref="C99:AG99" si="101">IF(C29=0,0,IF(C$14=0,0,(VLOOKUP(C29,$AK$3:$AN$102,4,FALSE))))</f>
        <v>0</v>
      </c>
      <c r="D99" s="58">
        <f t="shared" si="101"/>
        <v>0</v>
      </c>
      <c r="E99" s="58">
        <f t="shared" si="101"/>
        <v>0</v>
      </c>
      <c r="F99" s="58">
        <f t="shared" si="101"/>
        <v>0</v>
      </c>
      <c r="G99" s="58">
        <f t="shared" si="101"/>
        <v>0</v>
      </c>
      <c r="H99" s="58">
        <f t="shared" si="101"/>
        <v>0</v>
      </c>
      <c r="I99" s="58">
        <f t="shared" si="101"/>
        <v>0</v>
      </c>
      <c r="J99" s="58">
        <f t="shared" si="101"/>
        <v>0</v>
      </c>
      <c r="K99" s="58">
        <f t="shared" si="101"/>
        <v>0</v>
      </c>
      <c r="L99" s="58">
        <f t="shared" ca="1" si="101"/>
        <v>0</v>
      </c>
      <c r="M99" s="58">
        <f t="shared" ca="1" si="101"/>
        <v>0</v>
      </c>
      <c r="N99" s="58">
        <f t="shared" ca="1" si="101"/>
        <v>0</v>
      </c>
      <c r="O99" s="58">
        <f t="shared" ca="1" si="101"/>
        <v>0</v>
      </c>
      <c r="P99" s="58">
        <f t="shared" ca="1" si="101"/>
        <v>0</v>
      </c>
      <c r="Q99" s="58">
        <f t="shared" ca="1" si="101"/>
        <v>0</v>
      </c>
      <c r="R99" s="58">
        <f t="shared" ca="1" si="101"/>
        <v>0</v>
      </c>
      <c r="S99" s="58">
        <f t="shared" ca="1" si="101"/>
        <v>0</v>
      </c>
      <c r="T99" s="58">
        <f t="shared" ca="1" si="101"/>
        <v>0</v>
      </c>
      <c r="U99" s="58">
        <f t="shared" ca="1" si="101"/>
        <v>0</v>
      </c>
      <c r="V99" s="58">
        <f t="shared" ca="1" si="101"/>
        <v>0</v>
      </c>
      <c r="W99" s="58">
        <f t="shared" ca="1" si="101"/>
        <v>0</v>
      </c>
      <c r="X99" s="58">
        <f t="shared" ca="1" si="101"/>
        <v>0</v>
      </c>
      <c r="Y99" s="58">
        <f t="shared" ca="1" si="101"/>
        <v>0</v>
      </c>
      <c r="Z99" s="58">
        <f t="shared" ca="1" si="101"/>
        <v>0</v>
      </c>
      <c r="AA99" s="58">
        <f t="shared" ca="1" si="101"/>
        <v>0</v>
      </c>
      <c r="AB99" s="58">
        <f t="shared" ca="1" si="101"/>
        <v>0</v>
      </c>
      <c r="AC99" s="58">
        <f t="shared" ca="1" si="101"/>
        <v>0</v>
      </c>
      <c r="AD99" s="58">
        <f t="shared" ca="1" si="101"/>
        <v>0</v>
      </c>
      <c r="AE99" s="58">
        <f t="shared" ca="1" si="101"/>
        <v>0</v>
      </c>
      <c r="AF99" s="58">
        <f t="shared" ca="1" si="101"/>
        <v>0</v>
      </c>
      <c r="AG99" s="58">
        <f t="shared" ca="1" si="101"/>
        <v>0</v>
      </c>
      <c r="AH99" s="873"/>
      <c r="AI99" s="874"/>
      <c r="AJ99" s="874"/>
      <c r="AK99" s="627">
        <v>97</v>
      </c>
      <c r="AL99" s="629">
        <f t="shared" si="68"/>
        <v>0.80022976849523686</v>
      </c>
      <c r="AM99" s="629">
        <f t="shared" si="69"/>
        <v>0.67790653343639673</v>
      </c>
      <c r="AN99" s="626" t="str">
        <f t="shared" si="70"/>
        <v>Success</v>
      </c>
      <c r="AO99" s="629" t="e">
        <f t="shared" si="73"/>
        <v>#N/A</v>
      </c>
      <c r="AP99" s="629">
        <v>0.67790653343639673</v>
      </c>
      <c r="AQ99" s="629">
        <f t="shared" ca="1" si="71"/>
        <v>0.67276426836016956</v>
      </c>
    </row>
    <row r="100" spans="1:43">
      <c r="A100" s="19"/>
      <c r="B100" s="55" t="s">
        <v>826</v>
      </c>
      <c r="C100" s="58">
        <f t="shared" ref="C100:AG100" si="102">IF(C30=0,0,IF(C$14=0,0,(VLOOKUP(C30,$AK$3:$AN$102,4,FALSE))))</f>
        <v>0</v>
      </c>
      <c r="D100" s="58">
        <f t="shared" si="102"/>
        <v>0</v>
      </c>
      <c r="E100" s="58">
        <f t="shared" si="102"/>
        <v>0</v>
      </c>
      <c r="F100" s="58">
        <f t="shared" si="102"/>
        <v>0</v>
      </c>
      <c r="G100" s="58">
        <f t="shared" si="102"/>
        <v>0</v>
      </c>
      <c r="H100" s="58">
        <f t="shared" si="102"/>
        <v>0</v>
      </c>
      <c r="I100" s="58">
        <f t="shared" si="102"/>
        <v>0</v>
      </c>
      <c r="J100" s="58">
        <f t="shared" si="102"/>
        <v>0</v>
      </c>
      <c r="K100" s="58">
        <f t="shared" si="102"/>
        <v>0</v>
      </c>
      <c r="L100" s="58">
        <f t="shared" ca="1" si="102"/>
        <v>0</v>
      </c>
      <c r="M100" s="58">
        <f t="shared" ca="1" si="102"/>
        <v>0</v>
      </c>
      <c r="N100" s="58">
        <f t="shared" ca="1" si="102"/>
        <v>0</v>
      </c>
      <c r="O100" s="58">
        <f t="shared" ca="1" si="102"/>
        <v>0</v>
      </c>
      <c r="P100" s="58">
        <f t="shared" ca="1" si="102"/>
        <v>0</v>
      </c>
      <c r="Q100" s="58">
        <f t="shared" ca="1" si="102"/>
        <v>0</v>
      </c>
      <c r="R100" s="58">
        <f t="shared" ca="1" si="102"/>
        <v>0</v>
      </c>
      <c r="S100" s="58">
        <f t="shared" ca="1" si="102"/>
        <v>0</v>
      </c>
      <c r="T100" s="58">
        <f t="shared" ca="1" si="102"/>
        <v>0</v>
      </c>
      <c r="U100" s="58">
        <f t="shared" ca="1" si="102"/>
        <v>0</v>
      </c>
      <c r="V100" s="58">
        <f t="shared" ca="1" si="102"/>
        <v>0</v>
      </c>
      <c r="W100" s="58">
        <f t="shared" ca="1" si="102"/>
        <v>0</v>
      </c>
      <c r="X100" s="58">
        <f t="shared" ca="1" si="102"/>
        <v>0</v>
      </c>
      <c r="Y100" s="58">
        <f t="shared" ca="1" si="102"/>
        <v>0</v>
      </c>
      <c r="Z100" s="58">
        <f t="shared" ca="1" si="102"/>
        <v>0</v>
      </c>
      <c r="AA100" s="58">
        <f t="shared" ca="1" si="102"/>
        <v>0</v>
      </c>
      <c r="AB100" s="58">
        <f t="shared" ca="1" si="102"/>
        <v>0</v>
      </c>
      <c r="AC100" s="58">
        <f t="shared" ca="1" si="102"/>
        <v>0</v>
      </c>
      <c r="AD100" s="58">
        <f t="shared" ca="1" si="102"/>
        <v>0</v>
      </c>
      <c r="AE100" s="58">
        <f t="shared" ca="1" si="102"/>
        <v>0</v>
      </c>
      <c r="AF100" s="58">
        <f t="shared" ca="1" si="102"/>
        <v>0</v>
      </c>
      <c r="AG100" s="58">
        <f t="shared" ca="1" si="102"/>
        <v>0</v>
      </c>
      <c r="AH100" s="873"/>
      <c r="AI100" s="874"/>
      <c r="AJ100" s="874"/>
      <c r="AK100" s="627">
        <v>98</v>
      </c>
      <c r="AL100" s="629">
        <f t="shared" si="68"/>
        <v>0.8009477235069401</v>
      </c>
      <c r="AM100" s="629">
        <f t="shared" si="69"/>
        <v>0.26531165577191251</v>
      </c>
      <c r="AN100" s="626" t="str">
        <f t="shared" si="70"/>
        <v>Success</v>
      </c>
      <c r="AO100" s="629" t="e">
        <f t="shared" si="73"/>
        <v>#N/A</v>
      </c>
      <c r="AP100" s="629">
        <v>0.26531165577191251</v>
      </c>
      <c r="AQ100" s="629">
        <f t="shared" ca="1" si="71"/>
        <v>0.15986024618917305</v>
      </c>
    </row>
    <row r="101" spans="1:43">
      <c r="A101" s="19"/>
      <c r="B101" s="55" t="s">
        <v>827</v>
      </c>
      <c r="C101" s="58">
        <f t="shared" ref="C101:AG101" si="103">IF(C31=0,0,IF(C$14=0,0,(VLOOKUP(C31,$AK$3:$AN$102,4,FALSE))))</f>
        <v>0</v>
      </c>
      <c r="D101" s="58">
        <f t="shared" si="103"/>
        <v>0</v>
      </c>
      <c r="E101" s="58">
        <f t="shared" si="103"/>
        <v>0</v>
      </c>
      <c r="F101" s="58">
        <f t="shared" si="103"/>
        <v>0</v>
      </c>
      <c r="G101" s="58">
        <f t="shared" si="103"/>
        <v>0</v>
      </c>
      <c r="H101" s="58">
        <f t="shared" si="103"/>
        <v>0</v>
      </c>
      <c r="I101" s="58">
        <f t="shared" si="103"/>
        <v>0</v>
      </c>
      <c r="J101" s="58">
        <f t="shared" si="103"/>
        <v>0</v>
      </c>
      <c r="K101" s="58">
        <f t="shared" si="103"/>
        <v>0</v>
      </c>
      <c r="L101" s="58">
        <f t="shared" ca="1" si="103"/>
        <v>0</v>
      </c>
      <c r="M101" s="58">
        <f t="shared" ca="1" si="103"/>
        <v>0</v>
      </c>
      <c r="N101" s="58">
        <f t="shared" ca="1" si="103"/>
        <v>0</v>
      </c>
      <c r="O101" s="58">
        <f t="shared" ca="1" si="103"/>
        <v>0</v>
      </c>
      <c r="P101" s="58">
        <f t="shared" ca="1" si="103"/>
        <v>0</v>
      </c>
      <c r="Q101" s="58">
        <f t="shared" ca="1" si="103"/>
        <v>0</v>
      </c>
      <c r="R101" s="58">
        <f t="shared" ca="1" si="103"/>
        <v>0</v>
      </c>
      <c r="S101" s="58">
        <f t="shared" ca="1" si="103"/>
        <v>0</v>
      </c>
      <c r="T101" s="58">
        <f t="shared" ca="1" si="103"/>
        <v>0</v>
      </c>
      <c r="U101" s="58">
        <f t="shared" ca="1" si="103"/>
        <v>0</v>
      </c>
      <c r="V101" s="58">
        <f t="shared" ca="1" si="103"/>
        <v>0</v>
      </c>
      <c r="W101" s="58">
        <f t="shared" ca="1" si="103"/>
        <v>0</v>
      </c>
      <c r="X101" s="58">
        <f t="shared" ca="1" si="103"/>
        <v>0</v>
      </c>
      <c r="Y101" s="58">
        <f t="shared" ca="1" si="103"/>
        <v>0</v>
      </c>
      <c r="Z101" s="58">
        <f t="shared" ca="1" si="103"/>
        <v>0</v>
      </c>
      <c r="AA101" s="58">
        <f t="shared" ca="1" si="103"/>
        <v>0</v>
      </c>
      <c r="AB101" s="58">
        <f t="shared" ca="1" si="103"/>
        <v>0</v>
      </c>
      <c r="AC101" s="58">
        <f t="shared" ca="1" si="103"/>
        <v>0</v>
      </c>
      <c r="AD101" s="58">
        <f t="shared" ca="1" si="103"/>
        <v>0</v>
      </c>
      <c r="AE101" s="58">
        <f t="shared" ca="1" si="103"/>
        <v>0</v>
      </c>
      <c r="AF101" s="58">
        <f t="shared" ca="1" si="103"/>
        <v>0</v>
      </c>
      <c r="AG101" s="58">
        <f t="shared" ca="1" si="103"/>
        <v>0</v>
      </c>
      <c r="AH101" s="873"/>
      <c r="AI101" s="874"/>
      <c r="AJ101" s="874"/>
      <c r="AK101" s="627">
        <v>99</v>
      </c>
      <c r="AL101" s="629">
        <f t="shared" si="68"/>
        <v>0.80165838950942137</v>
      </c>
      <c r="AM101" s="629">
        <f t="shared" si="69"/>
        <v>0.5186007573469158</v>
      </c>
      <c r="AN101" s="626" t="str">
        <f t="shared" si="70"/>
        <v>Success</v>
      </c>
      <c r="AO101" s="629" t="e">
        <f t="shared" si="73"/>
        <v>#N/A</v>
      </c>
      <c r="AP101" s="629">
        <v>0.5186007573469158</v>
      </c>
      <c r="AQ101" s="629">
        <f t="shared" ca="1" si="71"/>
        <v>0.4773107439666342</v>
      </c>
    </row>
    <row r="102" spans="1:43">
      <c r="A102" s="19"/>
      <c r="B102" s="55" t="s">
        <v>828</v>
      </c>
      <c r="C102" s="58">
        <f t="shared" ref="C102:AG102" si="104">IF(C32=0,0,IF(C$14=0,0,(VLOOKUP(C32,$AK$3:$AN$102,4,FALSE))))</f>
        <v>0</v>
      </c>
      <c r="D102" s="58">
        <f t="shared" si="104"/>
        <v>0</v>
      </c>
      <c r="E102" s="58">
        <f t="shared" si="104"/>
        <v>0</v>
      </c>
      <c r="F102" s="58">
        <f t="shared" si="104"/>
        <v>0</v>
      </c>
      <c r="G102" s="58">
        <f t="shared" si="104"/>
        <v>0</v>
      </c>
      <c r="H102" s="58">
        <f t="shared" si="104"/>
        <v>0</v>
      </c>
      <c r="I102" s="58">
        <f t="shared" si="104"/>
        <v>0</v>
      </c>
      <c r="J102" s="58">
        <f t="shared" si="104"/>
        <v>0</v>
      </c>
      <c r="K102" s="58">
        <f t="shared" si="104"/>
        <v>0</v>
      </c>
      <c r="L102" s="58">
        <f t="shared" ca="1" si="104"/>
        <v>0</v>
      </c>
      <c r="M102" s="58">
        <f t="shared" ca="1" si="104"/>
        <v>0</v>
      </c>
      <c r="N102" s="58">
        <f t="shared" ca="1" si="104"/>
        <v>0</v>
      </c>
      <c r="O102" s="58">
        <f t="shared" ca="1" si="104"/>
        <v>0</v>
      </c>
      <c r="P102" s="58">
        <f t="shared" ca="1" si="104"/>
        <v>0</v>
      </c>
      <c r="Q102" s="58">
        <f t="shared" ca="1" si="104"/>
        <v>0</v>
      </c>
      <c r="R102" s="58">
        <f t="shared" ca="1" si="104"/>
        <v>0</v>
      </c>
      <c r="S102" s="58">
        <f t="shared" ca="1" si="104"/>
        <v>0</v>
      </c>
      <c r="T102" s="58">
        <f t="shared" ca="1" si="104"/>
        <v>0</v>
      </c>
      <c r="U102" s="58">
        <f t="shared" ca="1" si="104"/>
        <v>0</v>
      </c>
      <c r="V102" s="58">
        <f t="shared" ca="1" si="104"/>
        <v>0</v>
      </c>
      <c r="W102" s="58">
        <f t="shared" ca="1" si="104"/>
        <v>0</v>
      </c>
      <c r="X102" s="58">
        <f t="shared" ca="1" si="104"/>
        <v>0</v>
      </c>
      <c r="Y102" s="58">
        <f t="shared" ca="1" si="104"/>
        <v>0</v>
      </c>
      <c r="Z102" s="58">
        <f t="shared" ca="1" si="104"/>
        <v>0</v>
      </c>
      <c r="AA102" s="58">
        <f t="shared" ca="1" si="104"/>
        <v>0</v>
      </c>
      <c r="AB102" s="58">
        <f t="shared" ca="1" si="104"/>
        <v>0</v>
      </c>
      <c r="AC102" s="58">
        <f t="shared" ca="1" si="104"/>
        <v>0</v>
      </c>
      <c r="AD102" s="58">
        <f t="shared" ca="1" si="104"/>
        <v>0</v>
      </c>
      <c r="AE102" s="58">
        <f t="shared" ca="1" si="104"/>
        <v>0</v>
      </c>
      <c r="AF102" s="58">
        <f t="shared" ca="1" si="104"/>
        <v>0</v>
      </c>
      <c r="AG102" s="58">
        <f t="shared" ca="1" si="104"/>
        <v>0</v>
      </c>
      <c r="AH102" s="874"/>
      <c r="AI102" s="874"/>
      <c r="AJ102" s="874"/>
      <c r="AK102" s="627">
        <v>100</v>
      </c>
      <c r="AL102" s="629">
        <f t="shared" si="68"/>
        <v>0.80236191301916637</v>
      </c>
      <c r="AM102" s="629">
        <f t="shared" si="69"/>
        <v>0.97744989273689131</v>
      </c>
      <c r="AN102" s="626" t="str">
        <f t="shared" si="70"/>
        <v>Failure</v>
      </c>
      <c r="AO102" s="629">
        <f t="shared" si="73"/>
        <v>0.80236191301916637</v>
      </c>
      <c r="AP102" s="629">
        <v>0.97744989273689131</v>
      </c>
      <c r="AQ102" s="629">
        <f t="shared" ca="1" si="71"/>
        <v>0.47818006567538263</v>
      </c>
    </row>
    <row r="103" spans="1:43">
      <c r="A103" s="19"/>
      <c r="B103" s="55" t="s">
        <v>829</v>
      </c>
      <c r="C103" s="58">
        <f t="shared" ref="C103:AG103" si="105">IF(C33=0,0,IF(C$14=0,0,(VLOOKUP(C33,$AK$3:$AN$102,4,FALSE))))</f>
        <v>0</v>
      </c>
      <c r="D103" s="58">
        <f t="shared" si="105"/>
        <v>0</v>
      </c>
      <c r="E103" s="58">
        <f t="shared" si="105"/>
        <v>0</v>
      </c>
      <c r="F103" s="58">
        <f t="shared" si="105"/>
        <v>0</v>
      </c>
      <c r="G103" s="58">
        <f t="shared" si="105"/>
        <v>0</v>
      </c>
      <c r="H103" s="58">
        <f t="shared" si="105"/>
        <v>0</v>
      </c>
      <c r="I103" s="58">
        <f t="shared" si="105"/>
        <v>0</v>
      </c>
      <c r="J103" s="58">
        <f t="shared" si="105"/>
        <v>0</v>
      </c>
      <c r="K103" s="58">
        <f t="shared" si="105"/>
        <v>0</v>
      </c>
      <c r="L103" s="58">
        <f t="shared" ca="1" si="105"/>
        <v>0</v>
      </c>
      <c r="M103" s="58">
        <f t="shared" ca="1" si="105"/>
        <v>0</v>
      </c>
      <c r="N103" s="58">
        <f t="shared" ca="1" si="105"/>
        <v>0</v>
      </c>
      <c r="O103" s="58">
        <f t="shared" ca="1" si="105"/>
        <v>0</v>
      </c>
      <c r="P103" s="58">
        <f t="shared" ca="1" si="105"/>
        <v>0</v>
      </c>
      <c r="Q103" s="58">
        <f t="shared" ca="1" si="105"/>
        <v>0</v>
      </c>
      <c r="R103" s="58">
        <f t="shared" ca="1" si="105"/>
        <v>0</v>
      </c>
      <c r="S103" s="58">
        <f t="shared" ca="1" si="105"/>
        <v>0</v>
      </c>
      <c r="T103" s="58">
        <f t="shared" ca="1" si="105"/>
        <v>0</v>
      </c>
      <c r="U103" s="58">
        <f t="shared" ca="1" si="105"/>
        <v>0</v>
      </c>
      <c r="V103" s="58">
        <f t="shared" ca="1" si="105"/>
        <v>0</v>
      </c>
      <c r="W103" s="58">
        <f t="shared" ca="1" si="105"/>
        <v>0</v>
      </c>
      <c r="X103" s="58">
        <f t="shared" ca="1" si="105"/>
        <v>0</v>
      </c>
      <c r="Y103" s="58">
        <f t="shared" ca="1" si="105"/>
        <v>0</v>
      </c>
      <c r="Z103" s="58">
        <f t="shared" ca="1" si="105"/>
        <v>0</v>
      </c>
      <c r="AA103" s="58">
        <f t="shared" ca="1" si="105"/>
        <v>0</v>
      </c>
      <c r="AB103" s="58">
        <f t="shared" ca="1" si="105"/>
        <v>0</v>
      </c>
      <c r="AC103" s="58">
        <f t="shared" ca="1" si="105"/>
        <v>0</v>
      </c>
      <c r="AD103" s="58">
        <f t="shared" ca="1" si="105"/>
        <v>0</v>
      </c>
      <c r="AE103" s="58">
        <f t="shared" ca="1" si="105"/>
        <v>0</v>
      </c>
      <c r="AF103" s="58">
        <f t="shared" ca="1" si="105"/>
        <v>0</v>
      </c>
      <c r="AG103" s="58">
        <f t="shared" ca="1" si="105"/>
        <v>0</v>
      </c>
      <c r="AH103" s="874"/>
      <c r="AI103" s="874"/>
      <c r="AJ103" s="874"/>
      <c r="AK103" s="19"/>
      <c r="AL103" s="21"/>
      <c r="AM103" s="21"/>
      <c r="AN103" s="19"/>
      <c r="AO103" s="19"/>
      <c r="AP103" s="19"/>
      <c r="AQ103" s="19"/>
    </row>
    <row r="104" spans="1:43">
      <c r="A104" s="19"/>
      <c r="B104" s="55" t="s">
        <v>830</v>
      </c>
      <c r="C104" s="58">
        <f t="shared" ref="C104:AG104" si="106">IF(C34=0,0,IF(C$14=0,0,(VLOOKUP(C34,$AK$3:$AN$102,4,FALSE))))</f>
        <v>0</v>
      </c>
      <c r="D104" s="58">
        <f t="shared" si="106"/>
        <v>0</v>
      </c>
      <c r="E104" s="58">
        <f t="shared" si="106"/>
        <v>0</v>
      </c>
      <c r="F104" s="58">
        <f t="shared" si="106"/>
        <v>0</v>
      </c>
      <c r="G104" s="58">
        <f t="shared" si="106"/>
        <v>0</v>
      </c>
      <c r="H104" s="58">
        <f t="shared" si="106"/>
        <v>0</v>
      </c>
      <c r="I104" s="58">
        <f t="shared" si="106"/>
        <v>0</v>
      </c>
      <c r="J104" s="58">
        <f t="shared" si="106"/>
        <v>0</v>
      </c>
      <c r="K104" s="58">
        <f t="shared" si="106"/>
        <v>0</v>
      </c>
      <c r="L104" s="58">
        <f t="shared" ca="1" si="106"/>
        <v>0</v>
      </c>
      <c r="M104" s="58">
        <f t="shared" ca="1" si="106"/>
        <v>0</v>
      </c>
      <c r="N104" s="58">
        <f t="shared" ca="1" si="106"/>
        <v>0</v>
      </c>
      <c r="O104" s="58">
        <f t="shared" ca="1" si="106"/>
        <v>0</v>
      </c>
      <c r="P104" s="58">
        <f t="shared" ca="1" si="106"/>
        <v>0</v>
      </c>
      <c r="Q104" s="58">
        <f t="shared" ca="1" si="106"/>
        <v>0</v>
      </c>
      <c r="R104" s="58">
        <f t="shared" ca="1" si="106"/>
        <v>0</v>
      </c>
      <c r="S104" s="58">
        <f t="shared" ca="1" si="106"/>
        <v>0</v>
      </c>
      <c r="T104" s="58">
        <f t="shared" ca="1" si="106"/>
        <v>0</v>
      </c>
      <c r="U104" s="58">
        <f t="shared" ca="1" si="106"/>
        <v>0</v>
      </c>
      <c r="V104" s="58">
        <f t="shared" ca="1" si="106"/>
        <v>0</v>
      </c>
      <c r="W104" s="58">
        <f t="shared" ca="1" si="106"/>
        <v>0</v>
      </c>
      <c r="X104" s="58">
        <f t="shared" ca="1" si="106"/>
        <v>0</v>
      </c>
      <c r="Y104" s="58">
        <f t="shared" ca="1" si="106"/>
        <v>0</v>
      </c>
      <c r="Z104" s="58">
        <f t="shared" ca="1" si="106"/>
        <v>0</v>
      </c>
      <c r="AA104" s="58">
        <f t="shared" ca="1" si="106"/>
        <v>0</v>
      </c>
      <c r="AB104" s="58">
        <f t="shared" ca="1" si="106"/>
        <v>0</v>
      </c>
      <c r="AC104" s="58">
        <f t="shared" ca="1" si="106"/>
        <v>0</v>
      </c>
      <c r="AD104" s="58">
        <f t="shared" ca="1" si="106"/>
        <v>0</v>
      </c>
      <c r="AE104" s="58">
        <f t="shared" ca="1" si="106"/>
        <v>0</v>
      </c>
      <c r="AF104" s="58">
        <f t="shared" ca="1" si="106"/>
        <v>0</v>
      </c>
      <c r="AG104" s="58">
        <f t="shared" ca="1" si="106"/>
        <v>0</v>
      </c>
      <c r="AH104" s="873"/>
      <c r="AI104" s="874"/>
      <c r="AJ104" s="874"/>
      <c r="AK104" s="19"/>
      <c r="AL104" s="21"/>
      <c r="AM104" s="21"/>
      <c r="AN104" s="19"/>
      <c r="AO104" s="19"/>
      <c r="AP104" s="19"/>
      <c r="AQ104" s="19"/>
    </row>
    <row r="105" spans="1:43">
      <c r="A105" s="19"/>
      <c r="B105" s="55" t="s">
        <v>831</v>
      </c>
      <c r="C105" s="58">
        <f t="shared" ref="C105:AG105" si="107">IF(C35=0,0,IF(C$14=0,0,(VLOOKUP(C35,$AK$3:$AN$102,4,FALSE))))</f>
        <v>0</v>
      </c>
      <c r="D105" s="58">
        <f t="shared" si="107"/>
        <v>0</v>
      </c>
      <c r="E105" s="58">
        <f t="shared" si="107"/>
        <v>0</v>
      </c>
      <c r="F105" s="58">
        <f t="shared" si="107"/>
        <v>0</v>
      </c>
      <c r="G105" s="58">
        <f t="shared" si="107"/>
        <v>0</v>
      </c>
      <c r="H105" s="58">
        <f t="shared" si="107"/>
        <v>0</v>
      </c>
      <c r="I105" s="58">
        <f t="shared" si="107"/>
        <v>0</v>
      </c>
      <c r="J105" s="58">
        <f t="shared" si="107"/>
        <v>0</v>
      </c>
      <c r="K105" s="58">
        <f t="shared" si="107"/>
        <v>0</v>
      </c>
      <c r="L105" s="58">
        <f t="shared" ca="1" si="107"/>
        <v>0</v>
      </c>
      <c r="M105" s="58">
        <f t="shared" ca="1" si="107"/>
        <v>0</v>
      </c>
      <c r="N105" s="58">
        <f t="shared" ca="1" si="107"/>
        <v>0</v>
      </c>
      <c r="O105" s="58">
        <f t="shared" ca="1" si="107"/>
        <v>0</v>
      </c>
      <c r="P105" s="58">
        <f t="shared" ca="1" si="107"/>
        <v>0</v>
      </c>
      <c r="Q105" s="58">
        <f t="shared" ca="1" si="107"/>
        <v>0</v>
      </c>
      <c r="R105" s="58">
        <f t="shared" ca="1" si="107"/>
        <v>0</v>
      </c>
      <c r="S105" s="58">
        <f t="shared" ca="1" si="107"/>
        <v>0</v>
      </c>
      <c r="T105" s="58">
        <f t="shared" ca="1" si="107"/>
        <v>0</v>
      </c>
      <c r="U105" s="58">
        <f t="shared" ca="1" si="107"/>
        <v>0</v>
      </c>
      <c r="V105" s="58">
        <f t="shared" ca="1" si="107"/>
        <v>0</v>
      </c>
      <c r="W105" s="58">
        <f t="shared" ca="1" si="107"/>
        <v>0</v>
      </c>
      <c r="X105" s="58">
        <f t="shared" ca="1" si="107"/>
        <v>0</v>
      </c>
      <c r="Y105" s="58">
        <f t="shared" ca="1" si="107"/>
        <v>0</v>
      </c>
      <c r="Z105" s="58">
        <f t="shared" ca="1" si="107"/>
        <v>0</v>
      </c>
      <c r="AA105" s="58">
        <f t="shared" ca="1" si="107"/>
        <v>0</v>
      </c>
      <c r="AB105" s="58">
        <f t="shared" ca="1" si="107"/>
        <v>0</v>
      </c>
      <c r="AC105" s="58">
        <f t="shared" ca="1" si="107"/>
        <v>0</v>
      </c>
      <c r="AD105" s="58">
        <f t="shared" ca="1" si="107"/>
        <v>0</v>
      </c>
      <c r="AE105" s="58">
        <f t="shared" ca="1" si="107"/>
        <v>0</v>
      </c>
      <c r="AF105" s="58">
        <f t="shared" ca="1" si="107"/>
        <v>0</v>
      </c>
      <c r="AG105" s="58">
        <f t="shared" ca="1" si="107"/>
        <v>0</v>
      </c>
      <c r="AH105" s="873"/>
      <c r="AI105" s="874"/>
      <c r="AJ105" s="874"/>
      <c r="AK105" s="19"/>
      <c r="AL105" s="21"/>
      <c r="AM105" s="21"/>
      <c r="AN105" s="19"/>
      <c r="AO105" s="19"/>
      <c r="AP105" s="19"/>
      <c r="AQ105" s="19"/>
    </row>
    <row r="106" spans="1:43">
      <c r="A106" s="19"/>
      <c r="B106" s="55" t="s">
        <v>832</v>
      </c>
      <c r="C106" s="58">
        <f t="shared" ref="C106:AG106" si="108">IF(C36=0,0,IF(C$14=0,0,(VLOOKUP(C36,$AK$3:$AN$102,4,FALSE))))</f>
        <v>0</v>
      </c>
      <c r="D106" s="58">
        <f t="shared" si="108"/>
        <v>0</v>
      </c>
      <c r="E106" s="58">
        <f t="shared" si="108"/>
        <v>0</v>
      </c>
      <c r="F106" s="58">
        <f t="shared" si="108"/>
        <v>0</v>
      </c>
      <c r="G106" s="58">
        <f t="shared" si="108"/>
        <v>0</v>
      </c>
      <c r="H106" s="58">
        <f t="shared" si="108"/>
        <v>0</v>
      </c>
      <c r="I106" s="58">
        <f t="shared" si="108"/>
        <v>0</v>
      </c>
      <c r="J106" s="58">
        <f t="shared" si="108"/>
        <v>0</v>
      </c>
      <c r="K106" s="58">
        <f t="shared" si="108"/>
        <v>0</v>
      </c>
      <c r="L106" s="58">
        <f t="shared" ca="1" si="108"/>
        <v>0</v>
      </c>
      <c r="M106" s="58">
        <f t="shared" ca="1" si="108"/>
        <v>0</v>
      </c>
      <c r="N106" s="58">
        <f t="shared" ca="1" si="108"/>
        <v>0</v>
      </c>
      <c r="O106" s="58">
        <f t="shared" ca="1" si="108"/>
        <v>0</v>
      </c>
      <c r="P106" s="58">
        <f t="shared" ca="1" si="108"/>
        <v>0</v>
      </c>
      <c r="Q106" s="58">
        <f t="shared" ca="1" si="108"/>
        <v>0</v>
      </c>
      <c r="R106" s="58">
        <f t="shared" ca="1" si="108"/>
        <v>0</v>
      </c>
      <c r="S106" s="58">
        <f t="shared" ca="1" si="108"/>
        <v>0</v>
      </c>
      <c r="T106" s="58">
        <f t="shared" ca="1" si="108"/>
        <v>0</v>
      </c>
      <c r="U106" s="58">
        <f t="shared" ca="1" si="108"/>
        <v>0</v>
      </c>
      <c r="V106" s="58">
        <f t="shared" ca="1" si="108"/>
        <v>0</v>
      </c>
      <c r="W106" s="58">
        <f t="shared" ca="1" si="108"/>
        <v>0</v>
      </c>
      <c r="X106" s="58">
        <f t="shared" ca="1" si="108"/>
        <v>0</v>
      </c>
      <c r="Y106" s="58">
        <f t="shared" ca="1" si="108"/>
        <v>0</v>
      </c>
      <c r="Z106" s="58">
        <f t="shared" ca="1" si="108"/>
        <v>0</v>
      </c>
      <c r="AA106" s="58">
        <f t="shared" ca="1" si="108"/>
        <v>0</v>
      </c>
      <c r="AB106" s="58">
        <f t="shared" ca="1" si="108"/>
        <v>0</v>
      </c>
      <c r="AC106" s="58">
        <f t="shared" ca="1" si="108"/>
        <v>0</v>
      </c>
      <c r="AD106" s="58">
        <f t="shared" ca="1" si="108"/>
        <v>0</v>
      </c>
      <c r="AE106" s="58">
        <f t="shared" ca="1" si="108"/>
        <v>0</v>
      </c>
      <c r="AF106" s="58">
        <f t="shared" ca="1" si="108"/>
        <v>0</v>
      </c>
      <c r="AG106" s="58">
        <f t="shared" ca="1" si="108"/>
        <v>0</v>
      </c>
      <c r="AH106" s="873"/>
      <c r="AI106" s="874"/>
      <c r="AJ106" s="874"/>
      <c r="AK106" s="19"/>
      <c r="AL106" s="21"/>
      <c r="AM106" s="21"/>
      <c r="AN106" s="19"/>
      <c r="AO106" s="19"/>
      <c r="AP106" s="19"/>
      <c r="AQ106" s="19"/>
    </row>
    <row r="107" spans="1:43">
      <c r="A107" s="19"/>
      <c r="B107" s="55" t="s">
        <v>833</v>
      </c>
      <c r="C107" s="58">
        <f t="shared" ref="C107:AG107" si="109">IF(C37=0,0,IF(C$14=0,0,(VLOOKUP(C37,$AK$3:$AN$102,4,FALSE))))</f>
        <v>0</v>
      </c>
      <c r="D107" s="58">
        <f t="shared" si="109"/>
        <v>0</v>
      </c>
      <c r="E107" s="58">
        <f t="shared" si="109"/>
        <v>0</v>
      </c>
      <c r="F107" s="58">
        <f t="shared" si="109"/>
        <v>0</v>
      </c>
      <c r="G107" s="58">
        <f t="shared" si="109"/>
        <v>0</v>
      </c>
      <c r="H107" s="58">
        <f t="shared" si="109"/>
        <v>0</v>
      </c>
      <c r="I107" s="58">
        <f t="shared" si="109"/>
        <v>0</v>
      </c>
      <c r="J107" s="58">
        <f t="shared" si="109"/>
        <v>0</v>
      </c>
      <c r="K107" s="58">
        <f t="shared" si="109"/>
        <v>0</v>
      </c>
      <c r="L107" s="58">
        <f t="shared" ca="1" si="109"/>
        <v>0</v>
      </c>
      <c r="M107" s="58">
        <f t="shared" ca="1" si="109"/>
        <v>0</v>
      </c>
      <c r="N107" s="58">
        <f t="shared" ca="1" si="109"/>
        <v>0</v>
      </c>
      <c r="O107" s="58">
        <f t="shared" ca="1" si="109"/>
        <v>0</v>
      </c>
      <c r="P107" s="58">
        <f t="shared" ca="1" si="109"/>
        <v>0</v>
      </c>
      <c r="Q107" s="58">
        <f t="shared" ca="1" si="109"/>
        <v>0</v>
      </c>
      <c r="R107" s="58">
        <f t="shared" ca="1" si="109"/>
        <v>0</v>
      </c>
      <c r="S107" s="58">
        <f t="shared" ca="1" si="109"/>
        <v>0</v>
      </c>
      <c r="T107" s="58">
        <f t="shared" ca="1" si="109"/>
        <v>0</v>
      </c>
      <c r="U107" s="58">
        <f t="shared" ca="1" si="109"/>
        <v>0</v>
      </c>
      <c r="V107" s="58">
        <f t="shared" ca="1" si="109"/>
        <v>0</v>
      </c>
      <c r="W107" s="58">
        <f t="shared" ca="1" si="109"/>
        <v>0</v>
      </c>
      <c r="X107" s="58">
        <f t="shared" ca="1" si="109"/>
        <v>0</v>
      </c>
      <c r="Y107" s="58">
        <f t="shared" ca="1" si="109"/>
        <v>0</v>
      </c>
      <c r="Z107" s="58">
        <f t="shared" ca="1" si="109"/>
        <v>0</v>
      </c>
      <c r="AA107" s="58">
        <f t="shared" ca="1" si="109"/>
        <v>0</v>
      </c>
      <c r="AB107" s="58">
        <f t="shared" ca="1" si="109"/>
        <v>0</v>
      </c>
      <c r="AC107" s="58">
        <f t="shared" ca="1" si="109"/>
        <v>0</v>
      </c>
      <c r="AD107" s="58">
        <f t="shared" ca="1" si="109"/>
        <v>0</v>
      </c>
      <c r="AE107" s="58">
        <f t="shared" ca="1" si="109"/>
        <v>0</v>
      </c>
      <c r="AF107" s="58">
        <f t="shared" ca="1" si="109"/>
        <v>0</v>
      </c>
      <c r="AG107" s="58">
        <f t="shared" ca="1" si="109"/>
        <v>0</v>
      </c>
      <c r="AH107" s="873"/>
      <c r="AI107" s="874"/>
      <c r="AJ107" s="874"/>
      <c r="AK107" s="19"/>
      <c r="AL107" s="21"/>
      <c r="AM107" s="21"/>
      <c r="AN107" s="19"/>
      <c r="AO107" s="19"/>
      <c r="AP107" s="19"/>
      <c r="AQ107" s="19"/>
    </row>
    <row r="108" spans="1:43">
      <c r="A108" s="19"/>
      <c r="B108" s="55" t="s">
        <v>834</v>
      </c>
      <c r="C108" s="58">
        <f t="shared" ref="C108:AG108" si="110">IF(C38=0,0,IF(C$14=0,0,(VLOOKUP(C38,$AK$3:$AN$102,4,FALSE))))</f>
        <v>0</v>
      </c>
      <c r="D108" s="58">
        <f t="shared" si="110"/>
        <v>0</v>
      </c>
      <c r="E108" s="58">
        <f t="shared" si="110"/>
        <v>0</v>
      </c>
      <c r="F108" s="58">
        <f t="shared" si="110"/>
        <v>0</v>
      </c>
      <c r="G108" s="58">
        <f t="shared" si="110"/>
        <v>0</v>
      </c>
      <c r="H108" s="58">
        <f t="shared" si="110"/>
        <v>0</v>
      </c>
      <c r="I108" s="58">
        <f t="shared" si="110"/>
        <v>0</v>
      </c>
      <c r="J108" s="58">
        <f t="shared" si="110"/>
        <v>0</v>
      </c>
      <c r="K108" s="58">
        <f t="shared" si="110"/>
        <v>0</v>
      </c>
      <c r="L108" s="58">
        <f t="shared" ca="1" si="110"/>
        <v>0</v>
      </c>
      <c r="M108" s="58">
        <f t="shared" ca="1" si="110"/>
        <v>0</v>
      </c>
      <c r="N108" s="58">
        <f t="shared" ca="1" si="110"/>
        <v>0</v>
      </c>
      <c r="O108" s="58">
        <f t="shared" ca="1" si="110"/>
        <v>0</v>
      </c>
      <c r="P108" s="58">
        <f t="shared" ca="1" si="110"/>
        <v>0</v>
      </c>
      <c r="Q108" s="58">
        <f t="shared" ca="1" si="110"/>
        <v>0</v>
      </c>
      <c r="R108" s="58">
        <f t="shared" ca="1" si="110"/>
        <v>0</v>
      </c>
      <c r="S108" s="58">
        <f t="shared" ca="1" si="110"/>
        <v>0</v>
      </c>
      <c r="T108" s="58">
        <f t="shared" ca="1" si="110"/>
        <v>0</v>
      </c>
      <c r="U108" s="58">
        <f t="shared" ca="1" si="110"/>
        <v>0</v>
      </c>
      <c r="V108" s="58">
        <f t="shared" ca="1" si="110"/>
        <v>0</v>
      </c>
      <c r="W108" s="58">
        <f t="shared" ca="1" si="110"/>
        <v>0</v>
      </c>
      <c r="X108" s="58">
        <f t="shared" ca="1" si="110"/>
        <v>0</v>
      </c>
      <c r="Y108" s="58">
        <f t="shared" ca="1" si="110"/>
        <v>0</v>
      </c>
      <c r="Z108" s="58">
        <f t="shared" ca="1" si="110"/>
        <v>0</v>
      </c>
      <c r="AA108" s="58">
        <f t="shared" ca="1" si="110"/>
        <v>0</v>
      </c>
      <c r="AB108" s="58">
        <f t="shared" ca="1" si="110"/>
        <v>0</v>
      </c>
      <c r="AC108" s="58">
        <f t="shared" ca="1" si="110"/>
        <v>0</v>
      </c>
      <c r="AD108" s="58">
        <f t="shared" ca="1" si="110"/>
        <v>0</v>
      </c>
      <c r="AE108" s="58">
        <f t="shared" ca="1" si="110"/>
        <v>0</v>
      </c>
      <c r="AF108" s="58">
        <f t="shared" ca="1" si="110"/>
        <v>0</v>
      </c>
      <c r="AG108" s="58">
        <f t="shared" ca="1" si="110"/>
        <v>0</v>
      </c>
      <c r="AH108" s="873"/>
      <c r="AI108" s="874"/>
      <c r="AJ108" s="874"/>
      <c r="AK108" s="19"/>
      <c r="AL108" s="21"/>
      <c r="AM108" s="21"/>
      <c r="AN108" s="19"/>
      <c r="AO108" s="19"/>
      <c r="AP108" s="19"/>
      <c r="AQ108" s="19"/>
    </row>
    <row r="109" spans="1:43" ht="15" thickBot="1">
      <c r="A109" s="19"/>
      <c r="B109" s="57" t="s">
        <v>835</v>
      </c>
      <c r="C109" s="717">
        <f t="shared" ref="C109:AG109" si="111">IF(C39=0,0,IF(C$14=0,0,(VLOOKUP(C39,$AK$3:$AN$102,4,FALSE))))</f>
        <v>0</v>
      </c>
      <c r="D109" s="717">
        <f t="shared" si="111"/>
        <v>0</v>
      </c>
      <c r="E109" s="717">
        <f t="shared" si="111"/>
        <v>0</v>
      </c>
      <c r="F109" s="717">
        <f t="shared" si="111"/>
        <v>0</v>
      </c>
      <c r="G109" s="717">
        <f t="shared" si="111"/>
        <v>0</v>
      </c>
      <c r="H109" s="717">
        <f t="shared" si="111"/>
        <v>0</v>
      </c>
      <c r="I109" s="717">
        <f t="shared" si="111"/>
        <v>0</v>
      </c>
      <c r="J109" s="717">
        <f t="shared" si="111"/>
        <v>0</v>
      </c>
      <c r="K109" s="717">
        <f t="shared" si="111"/>
        <v>0</v>
      </c>
      <c r="L109" s="717">
        <f t="shared" ca="1" si="111"/>
        <v>0</v>
      </c>
      <c r="M109" s="717">
        <f t="shared" ca="1" si="111"/>
        <v>0</v>
      </c>
      <c r="N109" s="717">
        <f t="shared" ca="1" si="111"/>
        <v>0</v>
      </c>
      <c r="O109" s="717">
        <f t="shared" ca="1" si="111"/>
        <v>0</v>
      </c>
      <c r="P109" s="717">
        <f t="shared" ca="1" si="111"/>
        <v>0</v>
      </c>
      <c r="Q109" s="717">
        <f t="shared" ca="1" si="111"/>
        <v>0</v>
      </c>
      <c r="R109" s="717">
        <f t="shared" ca="1" si="111"/>
        <v>0</v>
      </c>
      <c r="S109" s="717">
        <f t="shared" ca="1" si="111"/>
        <v>0</v>
      </c>
      <c r="T109" s="717">
        <f t="shared" ca="1" si="111"/>
        <v>0</v>
      </c>
      <c r="U109" s="717">
        <f t="shared" ca="1" si="111"/>
        <v>0</v>
      </c>
      <c r="V109" s="717">
        <f t="shared" ca="1" si="111"/>
        <v>0</v>
      </c>
      <c r="W109" s="717">
        <f t="shared" ca="1" si="111"/>
        <v>0</v>
      </c>
      <c r="X109" s="717">
        <f t="shared" ca="1" si="111"/>
        <v>0</v>
      </c>
      <c r="Y109" s="717">
        <f t="shared" ca="1" si="111"/>
        <v>0</v>
      </c>
      <c r="Z109" s="717">
        <f t="shared" ca="1" si="111"/>
        <v>0</v>
      </c>
      <c r="AA109" s="717">
        <f t="shared" ca="1" si="111"/>
        <v>0</v>
      </c>
      <c r="AB109" s="717">
        <f t="shared" ca="1" si="111"/>
        <v>0</v>
      </c>
      <c r="AC109" s="717">
        <f t="shared" ca="1" si="111"/>
        <v>0</v>
      </c>
      <c r="AD109" s="717">
        <f t="shared" ca="1" si="111"/>
        <v>0</v>
      </c>
      <c r="AE109" s="717">
        <f t="shared" ca="1" si="111"/>
        <v>0</v>
      </c>
      <c r="AF109" s="717">
        <f t="shared" ca="1" si="111"/>
        <v>0</v>
      </c>
      <c r="AG109" s="717">
        <f t="shared" ca="1" si="111"/>
        <v>0</v>
      </c>
      <c r="AH109" s="873"/>
      <c r="AI109" s="874"/>
      <c r="AJ109" s="874"/>
      <c r="AK109" s="19"/>
      <c r="AL109" s="21"/>
      <c r="AM109" s="21"/>
      <c r="AN109" s="19"/>
      <c r="AO109" s="19"/>
      <c r="AP109" s="19"/>
      <c r="AQ109" s="19"/>
    </row>
    <row r="110" spans="1:43" ht="15" thickTop="1">
      <c r="A110" s="19"/>
      <c r="B110" s="619" t="s">
        <v>1376</v>
      </c>
      <c r="C110" s="716">
        <f t="shared" ref="C110:AG110" si="112">COUNTIF(C90:C109,"Failure")</f>
        <v>0</v>
      </c>
      <c r="D110" s="716">
        <f t="shared" si="112"/>
        <v>0</v>
      </c>
      <c r="E110" s="716">
        <f t="shared" si="112"/>
        <v>0</v>
      </c>
      <c r="F110" s="716">
        <f t="shared" si="112"/>
        <v>0</v>
      </c>
      <c r="G110" s="716">
        <f t="shared" si="112"/>
        <v>0</v>
      </c>
      <c r="H110" s="716">
        <f t="shared" si="112"/>
        <v>0</v>
      </c>
      <c r="I110" s="716">
        <f t="shared" si="112"/>
        <v>0</v>
      </c>
      <c r="J110" s="716">
        <f t="shared" si="112"/>
        <v>0</v>
      </c>
      <c r="K110" s="716">
        <f t="shared" si="112"/>
        <v>1</v>
      </c>
      <c r="L110" s="716">
        <f t="shared" ca="1" si="112"/>
        <v>0</v>
      </c>
      <c r="M110" s="716">
        <f t="shared" ca="1" si="112"/>
        <v>1</v>
      </c>
      <c r="N110" s="716">
        <f t="shared" ca="1" si="112"/>
        <v>0</v>
      </c>
      <c r="O110" s="716">
        <f t="shared" ca="1" si="112"/>
        <v>0</v>
      </c>
      <c r="P110" s="716">
        <f t="shared" ca="1" si="112"/>
        <v>0</v>
      </c>
      <c r="Q110" s="716">
        <f t="shared" ca="1" si="112"/>
        <v>0</v>
      </c>
      <c r="R110" s="716">
        <f t="shared" ca="1" si="112"/>
        <v>0</v>
      </c>
      <c r="S110" s="716">
        <f t="shared" ca="1" si="112"/>
        <v>0</v>
      </c>
      <c r="T110" s="716">
        <f t="shared" ca="1" si="112"/>
        <v>0</v>
      </c>
      <c r="U110" s="716">
        <f t="shared" ca="1" si="112"/>
        <v>0</v>
      </c>
      <c r="V110" s="716">
        <f t="shared" ca="1" si="112"/>
        <v>0</v>
      </c>
      <c r="W110" s="716">
        <f t="shared" ca="1" si="112"/>
        <v>0</v>
      </c>
      <c r="X110" s="716">
        <f t="shared" ca="1" si="112"/>
        <v>0</v>
      </c>
      <c r="Y110" s="716">
        <f t="shared" ca="1" si="112"/>
        <v>0</v>
      </c>
      <c r="Z110" s="716">
        <f t="shared" ca="1" si="112"/>
        <v>0</v>
      </c>
      <c r="AA110" s="716">
        <f t="shared" ca="1" si="112"/>
        <v>0</v>
      </c>
      <c r="AB110" s="716">
        <f t="shared" ca="1" si="112"/>
        <v>0</v>
      </c>
      <c r="AC110" s="716">
        <f t="shared" ca="1" si="112"/>
        <v>0</v>
      </c>
      <c r="AD110" s="716">
        <f t="shared" ca="1" si="112"/>
        <v>0</v>
      </c>
      <c r="AE110" s="716">
        <f t="shared" ca="1" si="112"/>
        <v>0</v>
      </c>
      <c r="AF110" s="716">
        <f t="shared" ca="1" si="112"/>
        <v>0</v>
      </c>
      <c r="AG110" s="716">
        <f t="shared" ca="1" si="112"/>
        <v>0</v>
      </c>
      <c r="AH110" s="874">
        <f ca="1">SUM(C110:AG110)</f>
        <v>2</v>
      </c>
      <c r="AI110" s="875" t="s">
        <v>1378</v>
      </c>
      <c r="AJ110" s="874"/>
      <c r="AK110" s="19"/>
      <c r="AL110" s="21"/>
      <c r="AM110" s="21"/>
      <c r="AN110" s="19"/>
      <c r="AO110" s="19"/>
      <c r="AP110" s="19"/>
      <c r="AQ110" s="19"/>
    </row>
    <row r="111" spans="1:43">
      <c r="A111" s="19"/>
      <c r="B111" s="715" t="s">
        <v>1377</v>
      </c>
      <c r="C111" s="716">
        <f t="shared" ref="C111:AG111" si="113">COUNTIF(C90:C109,"Success")</f>
        <v>0</v>
      </c>
      <c r="D111" s="716">
        <f t="shared" si="113"/>
        <v>0</v>
      </c>
      <c r="E111" s="716">
        <f t="shared" si="113"/>
        <v>0</v>
      </c>
      <c r="F111" s="716">
        <f t="shared" si="113"/>
        <v>0</v>
      </c>
      <c r="G111" s="716">
        <f t="shared" si="113"/>
        <v>0</v>
      </c>
      <c r="H111" s="716">
        <f t="shared" si="113"/>
        <v>0</v>
      </c>
      <c r="I111" s="716">
        <f t="shared" si="113"/>
        <v>1</v>
      </c>
      <c r="J111" s="716">
        <f t="shared" si="113"/>
        <v>2</v>
      </c>
      <c r="K111" s="716">
        <f t="shared" si="113"/>
        <v>1</v>
      </c>
      <c r="L111" s="716">
        <f t="shared" ca="1" si="113"/>
        <v>2</v>
      </c>
      <c r="M111" s="716">
        <f t="shared" ca="1" si="113"/>
        <v>1</v>
      </c>
      <c r="N111" s="716">
        <f t="shared" ca="1" si="113"/>
        <v>2</v>
      </c>
      <c r="O111" s="716">
        <f t="shared" ca="1" si="113"/>
        <v>0</v>
      </c>
      <c r="P111" s="716">
        <f t="shared" ca="1" si="113"/>
        <v>0</v>
      </c>
      <c r="Q111" s="716">
        <f t="shared" ca="1" si="113"/>
        <v>0</v>
      </c>
      <c r="R111" s="716">
        <f t="shared" ca="1" si="113"/>
        <v>0</v>
      </c>
      <c r="S111" s="716">
        <f t="shared" ca="1" si="113"/>
        <v>0</v>
      </c>
      <c r="T111" s="716">
        <f t="shared" ca="1" si="113"/>
        <v>0</v>
      </c>
      <c r="U111" s="716">
        <f t="shared" ca="1" si="113"/>
        <v>0</v>
      </c>
      <c r="V111" s="716">
        <f t="shared" ca="1" si="113"/>
        <v>0</v>
      </c>
      <c r="W111" s="716">
        <f t="shared" ca="1" si="113"/>
        <v>0</v>
      </c>
      <c r="X111" s="716">
        <f t="shared" ca="1" si="113"/>
        <v>0</v>
      </c>
      <c r="Y111" s="716">
        <f t="shared" ca="1" si="113"/>
        <v>0</v>
      </c>
      <c r="Z111" s="716">
        <f t="shared" ca="1" si="113"/>
        <v>0</v>
      </c>
      <c r="AA111" s="716">
        <f t="shared" ca="1" si="113"/>
        <v>0</v>
      </c>
      <c r="AB111" s="716">
        <f t="shared" ca="1" si="113"/>
        <v>0</v>
      </c>
      <c r="AC111" s="716">
        <f t="shared" ca="1" si="113"/>
        <v>0</v>
      </c>
      <c r="AD111" s="716">
        <f t="shared" ca="1" si="113"/>
        <v>0</v>
      </c>
      <c r="AE111" s="716">
        <f t="shared" ca="1" si="113"/>
        <v>0</v>
      </c>
      <c r="AF111" s="716">
        <f t="shared" ca="1" si="113"/>
        <v>0</v>
      </c>
      <c r="AG111" s="716">
        <f t="shared" ca="1" si="113"/>
        <v>0</v>
      </c>
      <c r="AH111" s="874">
        <f ca="1">SUM(C111:AG111)</f>
        <v>9</v>
      </c>
      <c r="AI111" s="875" t="s">
        <v>1379</v>
      </c>
      <c r="AJ111" s="874"/>
      <c r="AK111" s="19"/>
      <c r="AL111" s="21"/>
      <c r="AM111" s="21"/>
      <c r="AN111" s="19"/>
      <c r="AO111" s="19"/>
      <c r="AP111" s="19"/>
      <c r="AQ111" s="19"/>
    </row>
    <row r="112" spans="1:43">
      <c r="A112" s="19"/>
      <c r="B112" s="169"/>
      <c r="C112" s="555"/>
      <c r="D112" s="19"/>
      <c r="E112" s="19"/>
      <c r="F112" s="19"/>
      <c r="G112" s="19"/>
      <c r="H112" s="19"/>
      <c r="I112" s="19"/>
      <c r="J112" s="19"/>
      <c r="K112" s="137"/>
      <c r="L112" s="132"/>
      <c r="M112" s="137"/>
      <c r="N112" s="28"/>
      <c r="O112" s="28"/>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21"/>
      <c r="AM112" s="21"/>
      <c r="AN112" s="19"/>
      <c r="AO112" s="19"/>
      <c r="AP112" s="19"/>
      <c r="AQ112" s="19"/>
    </row>
    <row r="113" spans="1:43">
      <c r="A113" s="19"/>
      <c r="B113" s="169"/>
      <c r="C113" s="555"/>
      <c r="D113" s="19"/>
      <c r="E113" s="19"/>
      <c r="F113" s="19"/>
      <c r="G113" s="19"/>
      <c r="H113" s="19"/>
      <c r="I113" s="19"/>
      <c r="J113" s="19"/>
      <c r="K113" s="137"/>
      <c r="L113" s="132"/>
      <c r="M113" s="137"/>
      <c r="N113" s="28"/>
      <c r="O113" s="28"/>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21"/>
      <c r="AM113" s="21"/>
      <c r="AN113" s="19"/>
      <c r="AO113" s="19"/>
      <c r="AP113" s="19"/>
      <c r="AQ113" s="19"/>
    </row>
    <row r="114" spans="1:43">
      <c r="A114" s="19"/>
      <c r="B114" s="169"/>
      <c r="C114" s="555"/>
      <c r="D114" s="19"/>
      <c r="E114" s="19"/>
      <c r="F114" s="19"/>
      <c r="G114" s="19"/>
      <c r="H114" s="19"/>
      <c r="I114" s="19"/>
      <c r="J114" s="19"/>
      <c r="K114" s="137"/>
      <c r="L114" s="132"/>
      <c r="M114" s="137"/>
      <c r="N114" s="28"/>
      <c r="O114" s="28"/>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21"/>
      <c r="AM114" s="21"/>
      <c r="AN114" s="19"/>
      <c r="AO114" s="19"/>
      <c r="AP114" s="19"/>
      <c r="AQ114" s="19"/>
    </row>
    <row r="115" spans="1:43">
      <c r="A115" s="19"/>
      <c r="B115" s="169"/>
      <c r="C115" s="555"/>
      <c r="D115" s="19"/>
      <c r="E115" s="19"/>
      <c r="F115" s="19"/>
      <c r="G115" s="19"/>
      <c r="H115" s="19"/>
      <c r="I115" s="19"/>
      <c r="J115" s="19"/>
      <c r="K115" s="137"/>
      <c r="L115" s="132"/>
      <c r="M115" s="137"/>
      <c r="N115" s="28"/>
      <c r="O115" s="28"/>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21"/>
      <c r="AM115" s="21"/>
      <c r="AN115" s="19"/>
      <c r="AO115" s="19"/>
      <c r="AP115" s="19"/>
      <c r="AQ115" s="19"/>
    </row>
    <row r="116" spans="1:43">
      <c r="A116" s="19"/>
      <c r="B116" s="169"/>
      <c r="C116" s="555"/>
      <c r="D116" s="19"/>
      <c r="E116" s="19"/>
      <c r="F116" s="19"/>
      <c r="G116" s="19"/>
      <c r="H116" s="19"/>
      <c r="I116" s="19"/>
      <c r="J116" s="19"/>
      <c r="K116" s="137"/>
      <c r="L116" s="132"/>
      <c r="M116" s="137"/>
      <c r="N116" s="28"/>
      <c r="O116" s="28"/>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21"/>
      <c r="AM116" s="21"/>
      <c r="AN116" s="19"/>
      <c r="AO116" s="19"/>
      <c r="AP116" s="19"/>
      <c r="AQ116" s="19"/>
    </row>
    <row r="117" spans="1:43">
      <c r="A117" s="19"/>
      <c r="B117" s="169"/>
      <c r="C117" s="555"/>
      <c r="D117" s="19"/>
      <c r="E117" s="19"/>
      <c r="F117" s="19"/>
      <c r="G117" s="19"/>
      <c r="H117" s="19"/>
      <c r="I117" s="19"/>
      <c r="J117" s="19"/>
      <c r="K117" s="137"/>
      <c r="L117" s="132"/>
      <c r="M117" s="137"/>
      <c r="N117" s="28"/>
      <c r="O117" s="28"/>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21"/>
      <c r="AM117" s="21"/>
      <c r="AN117" s="19"/>
      <c r="AO117" s="19"/>
      <c r="AP117" s="19"/>
      <c r="AQ117" s="19"/>
    </row>
    <row r="118" spans="1:43">
      <c r="A118" s="19"/>
      <c r="B118" s="169"/>
      <c r="C118" s="555"/>
      <c r="D118" s="19"/>
      <c r="E118" s="19"/>
      <c r="F118" s="19"/>
      <c r="G118" s="19"/>
      <c r="H118" s="19"/>
      <c r="I118" s="19"/>
      <c r="J118" s="19"/>
      <c r="K118" s="137"/>
      <c r="L118" s="132"/>
      <c r="M118" s="137"/>
      <c r="N118" s="28"/>
      <c r="O118" s="28"/>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21"/>
      <c r="AM118" s="21"/>
      <c r="AN118" s="19"/>
      <c r="AO118" s="19"/>
      <c r="AP118" s="19"/>
      <c r="AQ118" s="19"/>
    </row>
    <row r="119" spans="1:43">
      <c r="A119" s="19"/>
      <c r="B119" s="169"/>
      <c r="C119" s="555"/>
      <c r="D119" s="19"/>
      <c r="E119" s="19"/>
      <c r="F119" s="19"/>
      <c r="G119" s="19"/>
      <c r="H119" s="19"/>
      <c r="I119" s="19"/>
      <c r="J119" s="19"/>
      <c r="K119" s="137"/>
      <c r="L119" s="132"/>
      <c r="M119" s="137"/>
      <c r="N119" s="28"/>
      <c r="O119" s="28"/>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21"/>
      <c r="AM119" s="21"/>
      <c r="AN119" s="19"/>
      <c r="AO119" s="19"/>
      <c r="AP119" s="19"/>
      <c r="AQ119" s="19"/>
    </row>
    <row r="120" spans="1:43">
      <c r="A120" s="19"/>
      <c r="B120" s="169"/>
      <c r="C120" s="555"/>
      <c r="D120" s="19"/>
      <c r="E120" s="19"/>
      <c r="F120" s="19"/>
      <c r="G120" s="19"/>
      <c r="H120" s="19"/>
      <c r="I120" s="19"/>
      <c r="J120" s="19"/>
      <c r="K120" s="137"/>
      <c r="L120" s="132"/>
      <c r="M120" s="137"/>
      <c r="N120" s="28"/>
      <c r="O120" s="28"/>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21"/>
      <c r="AM120" s="21"/>
      <c r="AN120" s="19"/>
      <c r="AO120" s="19"/>
      <c r="AP120" s="19"/>
      <c r="AQ120" s="19"/>
    </row>
    <row r="121" spans="1:43">
      <c r="A121" s="19"/>
      <c r="B121" s="326"/>
      <c r="C121" s="326"/>
      <c r="D121" s="326"/>
      <c r="E121" s="579"/>
      <c r="F121" s="328"/>
      <c r="G121" s="328"/>
      <c r="H121" s="328"/>
      <c r="I121" s="580"/>
      <c r="J121" s="326"/>
      <c r="K121" s="342"/>
      <c r="L121" s="326"/>
      <c r="M121" s="338"/>
      <c r="N121" s="338"/>
      <c r="O121" s="338"/>
      <c r="P121" s="338"/>
      <c r="Q121" s="338"/>
      <c r="R121" s="338"/>
      <c r="S121" s="326"/>
      <c r="T121" s="326"/>
      <c r="U121" s="326"/>
      <c r="V121" s="326"/>
      <c r="W121" s="326"/>
      <c r="X121" s="326"/>
      <c r="Y121" s="326"/>
      <c r="Z121" s="326"/>
      <c r="AA121" s="326"/>
      <c r="AB121" s="326"/>
      <c r="AC121" s="326"/>
      <c r="AD121" s="326"/>
      <c r="AE121" s="326"/>
      <c r="AF121" s="326"/>
      <c r="AG121" s="326"/>
      <c r="AH121" s="648"/>
      <c r="AI121" s="19"/>
      <c r="AJ121" s="19"/>
      <c r="AK121" s="19"/>
      <c r="AL121" s="21"/>
      <c r="AM121" s="21"/>
      <c r="AN121" s="19"/>
      <c r="AO121" s="19"/>
      <c r="AP121" s="19"/>
      <c r="AQ121" s="19"/>
    </row>
    <row r="122" spans="1:43">
      <c r="A122" s="19"/>
      <c r="B122" s="28"/>
      <c r="C122" s="164"/>
      <c r="D122" s="19"/>
      <c r="E122" s="19"/>
      <c r="F122" s="19"/>
      <c r="G122" s="19"/>
      <c r="H122" s="19"/>
      <c r="I122" s="19"/>
      <c r="J122" s="132"/>
      <c r="K122" s="137"/>
      <c r="L122" s="132"/>
      <c r="M122" s="137"/>
      <c r="N122" s="28"/>
      <c r="O122" s="28"/>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21"/>
      <c r="AM122" s="21"/>
      <c r="AN122" s="19"/>
      <c r="AO122" s="19"/>
      <c r="AP122" s="19"/>
      <c r="AQ122" s="19"/>
    </row>
    <row r="123" spans="1:43">
      <c r="A123" s="19"/>
      <c r="B123" s="591"/>
      <c r="C123" s="594"/>
      <c r="D123" s="19"/>
      <c r="E123" s="19"/>
      <c r="F123" s="19"/>
      <c r="G123" s="19"/>
      <c r="H123" s="19"/>
      <c r="I123" s="19"/>
      <c r="J123" s="28"/>
      <c r="K123" s="28"/>
      <c r="L123" s="28"/>
      <c r="M123" s="28"/>
      <c r="N123" s="28"/>
      <c r="O123" s="28"/>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21"/>
      <c r="AM123" s="21"/>
      <c r="AN123" s="19"/>
      <c r="AO123" s="19"/>
      <c r="AP123" s="19"/>
      <c r="AQ123" s="19"/>
    </row>
    <row r="124" spans="1:43">
      <c r="A124" s="19"/>
      <c r="B124" s="169"/>
      <c r="C124" s="555"/>
      <c r="D124" s="19"/>
      <c r="E124" s="19"/>
      <c r="F124" s="19"/>
      <c r="G124" s="19"/>
      <c r="H124" s="19"/>
      <c r="I124" s="19"/>
      <c r="J124" s="19"/>
      <c r="K124" s="137"/>
      <c r="L124" s="132"/>
      <c r="M124" s="137"/>
      <c r="N124" s="28"/>
      <c r="O124" s="28"/>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21"/>
      <c r="AM124" s="21"/>
      <c r="AN124" s="19"/>
      <c r="AO124" s="19"/>
      <c r="AP124" s="19"/>
      <c r="AQ124" s="19"/>
    </row>
    <row r="125" spans="1:43">
      <c r="A125" s="19"/>
      <c r="B125" s="169"/>
      <c r="C125" s="555"/>
      <c r="D125" s="19"/>
      <c r="E125" s="19"/>
      <c r="F125" s="19"/>
      <c r="G125" s="19"/>
      <c r="H125" s="19"/>
      <c r="I125" s="19"/>
      <c r="J125" s="19"/>
      <c r="K125" s="137"/>
      <c r="L125" s="132"/>
      <c r="M125" s="137"/>
      <c r="N125" s="28"/>
      <c r="O125" s="28"/>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21"/>
      <c r="AM125" s="21"/>
      <c r="AN125" s="19"/>
      <c r="AO125" s="19"/>
      <c r="AP125" s="19"/>
      <c r="AQ125" s="19"/>
    </row>
    <row r="126" spans="1:43">
      <c r="A126" s="19"/>
      <c r="B126" s="169"/>
      <c r="C126" s="555"/>
      <c r="D126" s="19"/>
      <c r="E126" s="19"/>
      <c r="F126" s="19"/>
      <c r="G126" s="19"/>
      <c r="H126" s="19"/>
      <c r="I126" s="19"/>
      <c r="J126" s="19"/>
      <c r="K126" s="137"/>
      <c r="L126" s="132"/>
      <c r="M126" s="137"/>
      <c r="N126" s="28"/>
      <c r="O126" s="28"/>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21"/>
      <c r="AM126" s="21"/>
      <c r="AN126" s="19"/>
      <c r="AO126" s="19"/>
      <c r="AP126" s="19"/>
      <c r="AQ126" s="19"/>
    </row>
    <row r="127" spans="1:43">
      <c r="A127" s="19"/>
      <c r="B127" s="169"/>
      <c r="C127" s="555"/>
      <c r="D127" s="19"/>
      <c r="E127" s="19"/>
      <c r="F127" s="19"/>
      <c r="G127" s="19"/>
      <c r="H127" s="19"/>
      <c r="I127" s="19"/>
      <c r="J127" s="19"/>
      <c r="K127" s="137"/>
      <c r="L127" s="132"/>
      <c r="M127" s="137"/>
      <c r="N127" s="28"/>
      <c r="O127" s="28"/>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21"/>
      <c r="AM127" s="21"/>
      <c r="AN127" s="19"/>
      <c r="AO127" s="19"/>
      <c r="AP127" s="19"/>
      <c r="AQ127" s="19"/>
    </row>
    <row r="128" spans="1:43">
      <c r="A128" s="19"/>
      <c r="B128" s="169"/>
      <c r="C128" s="555"/>
      <c r="D128" s="19"/>
      <c r="E128" s="19"/>
      <c r="F128" s="19"/>
      <c r="G128" s="19"/>
      <c r="H128" s="19"/>
      <c r="I128" s="19"/>
      <c r="J128" s="19"/>
      <c r="K128" s="137"/>
      <c r="L128" s="132"/>
      <c r="M128" s="137"/>
      <c r="N128" s="28"/>
      <c r="O128" s="28"/>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21"/>
      <c r="AM128" s="21"/>
      <c r="AN128" s="19"/>
      <c r="AO128" s="19"/>
      <c r="AP128" s="19"/>
      <c r="AQ128" s="19"/>
    </row>
    <row r="129" spans="1:43">
      <c r="A129" s="19"/>
      <c r="B129" s="169"/>
      <c r="C129" s="555"/>
      <c r="D129" s="19"/>
      <c r="E129" s="19"/>
      <c r="F129" s="19"/>
      <c r="G129" s="19"/>
      <c r="H129" s="19"/>
      <c r="I129" s="19"/>
      <c r="J129" s="19"/>
      <c r="K129" s="137"/>
      <c r="L129" s="132"/>
      <c r="M129" s="137"/>
      <c r="N129" s="28"/>
      <c r="O129" s="28"/>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21"/>
      <c r="AM129" s="21"/>
      <c r="AN129" s="19"/>
      <c r="AO129" s="19"/>
      <c r="AP129" s="19"/>
      <c r="AQ129" s="19"/>
    </row>
    <row r="130" spans="1:43">
      <c r="A130" s="19"/>
      <c r="B130" s="169"/>
      <c r="C130" s="555"/>
      <c r="D130" s="19"/>
      <c r="E130" s="19"/>
      <c r="F130" s="19"/>
      <c r="G130" s="19"/>
      <c r="H130" s="19"/>
      <c r="I130" s="19"/>
      <c r="J130" s="19"/>
      <c r="K130" s="137"/>
      <c r="L130" s="132"/>
      <c r="M130" s="137"/>
      <c r="N130" s="28"/>
      <c r="O130" s="28"/>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21"/>
      <c r="AM130" s="21"/>
      <c r="AN130" s="19"/>
      <c r="AO130" s="19"/>
      <c r="AP130" s="19"/>
      <c r="AQ130" s="19"/>
    </row>
    <row r="131" spans="1:43">
      <c r="A131" s="19"/>
      <c r="B131" s="169"/>
      <c r="C131" s="555"/>
      <c r="D131" s="19"/>
      <c r="E131" s="19"/>
      <c r="F131" s="19"/>
      <c r="G131" s="19"/>
      <c r="H131" s="19"/>
      <c r="I131" s="19"/>
      <c r="J131" s="19"/>
      <c r="K131" s="137"/>
      <c r="L131" s="132"/>
      <c r="M131" s="137"/>
      <c r="N131" s="28"/>
      <c r="O131" s="28"/>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21"/>
      <c r="AM131" s="21"/>
      <c r="AN131" s="19"/>
      <c r="AO131" s="19"/>
      <c r="AP131" s="19"/>
      <c r="AQ131" s="19"/>
    </row>
    <row r="132" spans="1:43">
      <c r="A132" s="19"/>
      <c r="B132" s="169"/>
      <c r="C132" s="555"/>
      <c r="D132" s="19"/>
      <c r="E132" s="19"/>
      <c r="F132" s="19"/>
      <c r="G132" s="19"/>
      <c r="H132" s="19"/>
      <c r="I132" s="19"/>
      <c r="J132" s="19"/>
      <c r="K132" s="137"/>
      <c r="L132" s="132"/>
      <c r="M132" s="137"/>
      <c r="N132" s="28"/>
      <c r="O132" s="28"/>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21"/>
      <c r="AM132" s="21"/>
      <c r="AN132" s="19"/>
      <c r="AO132" s="19"/>
      <c r="AP132" s="19"/>
      <c r="AQ132" s="19"/>
    </row>
    <row r="133" spans="1:43">
      <c r="A133" s="19"/>
      <c r="B133" s="169"/>
      <c r="C133" s="555"/>
      <c r="D133" s="19"/>
      <c r="E133" s="19"/>
      <c r="F133" s="19"/>
      <c r="G133" s="19"/>
      <c r="H133" s="19"/>
      <c r="I133" s="19"/>
      <c r="J133" s="19"/>
      <c r="K133" s="137"/>
      <c r="L133" s="132"/>
      <c r="M133" s="137"/>
      <c r="N133" s="28"/>
      <c r="O133" s="28"/>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21"/>
      <c r="AM133" s="21"/>
      <c r="AN133" s="19"/>
      <c r="AO133" s="19"/>
      <c r="AP133" s="19"/>
      <c r="AQ133" s="19"/>
    </row>
    <row r="134" spans="1:43">
      <c r="A134" s="19"/>
      <c r="B134" s="169"/>
      <c r="C134" s="555"/>
      <c r="D134" s="19"/>
      <c r="E134" s="19"/>
      <c r="F134" s="19"/>
      <c r="G134" s="19"/>
      <c r="H134" s="19"/>
      <c r="I134" s="19"/>
      <c r="J134" s="19"/>
      <c r="K134" s="137"/>
      <c r="L134" s="132"/>
      <c r="M134" s="137"/>
      <c r="N134" s="28"/>
      <c r="O134" s="28"/>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21"/>
      <c r="AM134" s="21"/>
      <c r="AN134" s="19"/>
      <c r="AO134" s="19"/>
      <c r="AP134" s="19"/>
      <c r="AQ134" s="19"/>
    </row>
    <row r="135" spans="1:43">
      <c r="A135" s="19"/>
      <c r="B135" s="169"/>
      <c r="C135" s="555"/>
      <c r="D135" s="19"/>
      <c r="E135" s="19"/>
      <c r="F135" s="19"/>
      <c r="G135" s="19"/>
      <c r="H135" s="19"/>
      <c r="I135" s="19"/>
      <c r="J135" s="19"/>
      <c r="K135" s="137"/>
      <c r="L135" s="132"/>
      <c r="M135" s="137"/>
      <c r="N135" s="28"/>
      <c r="O135" s="28"/>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21"/>
      <c r="AM135" s="21"/>
      <c r="AN135" s="19"/>
      <c r="AO135" s="19"/>
      <c r="AP135" s="19"/>
      <c r="AQ135" s="19"/>
    </row>
    <row r="136" spans="1:43">
      <c r="A136" s="19"/>
      <c r="B136" s="169"/>
      <c r="C136" s="555"/>
      <c r="D136" s="19"/>
      <c r="E136" s="19"/>
      <c r="F136" s="19"/>
      <c r="G136" s="19"/>
      <c r="H136" s="19"/>
      <c r="I136" s="19"/>
      <c r="J136" s="19"/>
      <c r="K136" s="137"/>
      <c r="L136" s="132"/>
      <c r="M136" s="137"/>
      <c r="N136" s="28"/>
      <c r="O136" s="28"/>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21"/>
      <c r="AM136" s="21"/>
      <c r="AN136" s="19"/>
      <c r="AO136" s="19"/>
      <c r="AP136" s="19"/>
      <c r="AQ136" s="19"/>
    </row>
    <row r="137" spans="1:43">
      <c r="A137" s="19"/>
      <c r="B137" s="169"/>
      <c r="C137" s="555"/>
      <c r="D137" s="19"/>
      <c r="E137" s="19"/>
      <c r="F137" s="19"/>
      <c r="G137" s="19"/>
      <c r="H137" s="19"/>
      <c r="I137" s="19"/>
      <c r="J137" s="19"/>
      <c r="K137" s="137"/>
      <c r="L137" s="132"/>
      <c r="M137" s="137"/>
      <c r="N137" s="28"/>
      <c r="O137" s="28"/>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21"/>
      <c r="AM137" s="21"/>
      <c r="AN137" s="19"/>
      <c r="AO137" s="19"/>
      <c r="AP137" s="19"/>
      <c r="AQ137" s="19"/>
    </row>
    <row r="138" spans="1:43">
      <c r="A138" s="19"/>
      <c r="B138" s="169"/>
      <c r="C138" s="555"/>
      <c r="D138" s="19"/>
      <c r="E138" s="19"/>
      <c r="F138" s="19"/>
      <c r="G138" s="19"/>
      <c r="H138" s="19"/>
      <c r="I138" s="19"/>
      <c r="J138" s="19"/>
      <c r="K138" s="137"/>
      <c r="L138" s="132"/>
      <c r="M138" s="137"/>
      <c r="N138" s="28"/>
      <c r="O138" s="28"/>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21"/>
      <c r="AM138" s="21"/>
      <c r="AN138" s="19"/>
      <c r="AO138" s="19"/>
      <c r="AP138" s="19"/>
      <c r="AQ138" s="19"/>
    </row>
    <row r="139" spans="1:43">
      <c r="A139" s="326"/>
      <c r="B139" s="326"/>
      <c r="C139" s="326"/>
      <c r="D139" s="326"/>
      <c r="E139" s="579"/>
      <c r="F139" s="328"/>
      <c r="G139" s="328"/>
      <c r="H139" s="328"/>
      <c r="I139" s="580"/>
      <c r="J139" s="326"/>
      <c r="K139" s="342"/>
      <c r="L139" s="326"/>
      <c r="M139" s="338"/>
      <c r="N139" s="338"/>
      <c r="O139" s="338"/>
      <c r="P139" s="338"/>
      <c r="Q139" s="338"/>
      <c r="R139" s="338"/>
      <c r="S139" s="326"/>
      <c r="T139" s="326"/>
      <c r="U139" s="326"/>
      <c r="V139" s="326"/>
      <c r="W139" s="326"/>
      <c r="X139" s="326"/>
      <c r="Y139" s="326"/>
      <c r="Z139" s="326"/>
      <c r="AA139" s="326"/>
      <c r="AB139" s="326"/>
      <c r="AC139" s="326"/>
      <c r="AD139" s="326"/>
      <c r="AE139" s="326"/>
      <c r="AF139" s="326"/>
      <c r="AG139" s="326"/>
      <c r="AH139" s="326"/>
      <c r="AI139" s="326"/>
      <c r="AJ139" s="326"/>
      <c r="AK139" s="326"/>
      <c r="AL139" s="326"/>
      <c r="AM139" s="326"/>
      <c r="AN139" s="326"/>
      <c r="AO139" s="326"/>
      <c r="AP139" s="326"/>
      <c r="AQ139" s="326"/>
    </row>
    <row r="140" spans="1:43">
      <c r="A140" s="19"/>
      <c r="B140" s="28"/>
      <c r="C140" s="164"/>
      <c r="D140" s="19"/>
      <c r="E140" s="19"/>
      <c r="F140" s="19"/>
      <c r="G140" s="19"/>
      <c r="H140" s="19"/>
      <c r="I140" s="19"/>
      <c r="J140" s="132"/>
      <c r="K140" s="137"/>
      <c r="L140" s="132"/>
      <c r="M140" s="137"/>
      <c r="N140" s="28"/>
      <c r="O140" s="28"/>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21"/>
      <c r="AM140" s="21"/>
      <c r="AN140" s="19"/>
      <c r="AO140" s="19"/>
      <c r="AP140" s="19"/>
      <c r="AQ140" s="19"/>
    </row>
    <row r="141" spans="1:43">
      <c r="A141" s="19"/>
      <c r="B141" s="591"/>
      <c r="C141" s="594"/>
      <c r="D141" s="19"/>
      <c r="E141" s="19"/>
      <c r="F141" s="19"/>
      <c r="G141" s="19"/>
      <c r="H141" s="19"/>
      <c r="I141" s="19"/>
      <c r="J141" s="28"/>
      <c r="K141" s="28"/>
      <c r="L141" s="28"/>
      <c r="M141" s="28"/>
      <c r="N141" s="28"/>
      <c r="O141" s="28"/>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21"/>
      <c r="AM141" s="21"/>
      <c r="AN141" s="19"/>
      <c r="AO141" s="19"/>
      <c r="AP141" s="19"/>
      <c r="AQ141" s="19"/>
    </row>
    <row r="142" spans="1:43">
      <c r="A142" s="19"/>
      <c r="B142" s="169"/>
      <c r="C142" s="555"/>
      <c r="D142" s="19"/>
      <c r="E142" s="19"/>
      <c r="F142" s="19"/>
      <c r="G142" s="19"/>
      <c r="H142" s="19"/>
      <c r="I142" s="19"/>
      <c r="J142" s="19"/>
      <c r="K142" s="137"/>
      <c r="L142" s="132"/>
      <c r="M142" s="137"/>
      <c r="N142" s="28"/>
      <c r="O142" s="28"/>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21"/>
      <c r="AM142" s="21"/>
      <c r="AN142" s="19"/>
      <c r="AO142" s="19"/>
      <c r="AP142" s="19"/>
      <c r="AQ142" s="19"/>
    </row>
    <row r="143" spans="1:43">
      <c r="A143" s="19"/>
      <c r="B143" s="169"/>
      <c r="C143" s="555"/>
      <c r="D143" s="19"/>
      <c r="E143" s="19"/>
      <c r="F143" s="19"/>
      <c r="G143" s="19"/>
      <c r="H143" s="19"/>
      <c r="I143" s="19"/>
      <c r="J143" s="19"/>
      <c r="K143" s="137"/>
      <c r="L143" s="132"/>
      <c r="M143" s="137"/>
      <c r="N143" s="28"/>
      <c r="O143" s="28"/>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21"/>
      <c r="AM143" s="21"/>
      <c r="AN143" s="19"/>
      <c r="AO143" s="19"/>
      <c r="AP143" s="19"/>
      <c r="AQ143" s="19"/>
    </row>
    <row r="144" spans="1:43">
      <c r="A144" s="19"/>
      <c r="B144" s="169"/>
      <c r="C144" s="555"/>
      <c r="D144" s="19"/>
      <c r="E144" s="19"/>
      <c r="F144" s="19"/>
      <c r="G144" s="19"/>
      <c r="H144" s="19"/>
      <c r="I144" s="19"/>
      <c r="J144" s="19"/>
      <c r="K144" s="137"/>
      <c r="L144" s="132"/>
      <c r="M144" s="137"/>
      <c r="N144" s="28"/>
      <c r="O144" s="28"/>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21"/>
      <c r="AM144" s="21"/>
      <c r="AN144" s="19"/>
      <c r="AO144" s="19"/>
      <c r="AP144" s="19"/>
      <c r="AQ144" s="19"/>
    </row>
    <row r="145" spans="1:43">
      <c r="A145" s="19"/>
      <c r="B145" s="169"/>
      <c r="C145" s="555"/>
      <c r="D145" s="19"/>
      <c r="E145" s="19"/>
      <c r="F145" s="19"/>
      <c r="G145" s="19"/>
      <c r="H145" s="19"/>
      <c r="I145" s="19"/>
      <c r="J145" s="19"/>
      <c r="K145" s="137"/>
      <c r="L145" s="132"/>
      <c r="M145" s="137"/>
      <c r="N145" s="28"/>
      <c r="O145" s="28"/>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21"/>
      <c r="AM145" s="21"/>
      <c r="AN145" s="19"/>
      <c r="AO145" s="19"/>
      <c r="AP145" s="19"/>
      <c r="AQ145" s="19"/>
    </row>
    <row r="146" spans="1:43">
      <c r="A146" s="19"/>
      <c r="B146" s="169"/>
      <c r="C146" s="555"/>
      <c r="D146" s="19"/>
      <c r="E146" s="19"/>
      <c r="F146" s="19"/>
      <c r="G146" s="19"/>
      <c r="H146" s="19"/>
      <c r="I146" s="19"/>
      <c r="J146" s="19"/>
      <c r="K146" s="137"/>
      <c r="L146" s="132"/>
      <c r="M146" s="137"/>
      <c r="N146" s="28"/>
      <c r="O146" s="28"/>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21"/>
      <c r="AM146" s="21"/>
      <c r="AN146" s="19"/>
      <c r="AO146" s="19"/>
      <c r="AP146" s="19"/>
      <c r="AQ146" s="19"/>
    </row>
    <row r="147" spans="1:43">
      <c r="A147" s="19"/>
      <c r="B147" s="169"/>
      <c r="C147" s="555"/>
      <c r="D147" s="19"/>
      <c r="E147" s="19"/>
      <c r="F147" s="19"/>
      <c r="G147" s="19"/>
      <c r="H147" s="19"/>
      <c r="I147" s="19"/>
      <c r="J147" s="19"/>
      <c r="K147" s="137"/>
      <c r="L147" s="132"/>
      <c r="M147" s="137"/>
      <c r="N147" s="28"/>
      <c r="O147" s="28"/>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21"/>
      <c r="AM147" s="21"/>
      <c r="AN147" s="19"/>
      <c r="AO147" s="19"/>
      <c r="AP147" s="19"/>
      <c r="AQ147" s="19"/>
    </row>
    <row r="148" spans="1:43">
      <c r="A148" s="19"/>
      <c r="B148" s="169"/>
      <c r="C148" s="555"/>
      <c r="D148" s="19"/>
      <c r="E148" s="19"/>
      <c r="F148" s="19"/>
      <c r="G148" s="19"/>
      <c r="H148" s="19"/>
      <c r="I148" s="19"/>
      <c r="J148" s="19"/>
      <c r="K148" s="137"/>
      <c r="L148" s="132"/>
      <c r="M148" s="137"/>
      <c r="N148" s="28"/>
      <c r="O148" s="28"/>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21"/>
      <c r="AM148" s="21"/>
      <c r="AN148" s="19"/>
      <c r="AO148" s="19"/>
      <c r="AP148" s="19"/>
      <c r="AQ148" s="19"/>
    </row>
    <row r="149" spans="1:43">
      <c r="A149" s="19"/>
      <c r="B149" s="169"/>
      <c r="C149" s="555"/>
      <c r="D149" s="19"/>
      <c r="E149" s="19"/>
      <c r="F149" s="19"/>
      <c r="G149" s="19"/>
      <c r="H149" s="19"/>
      <c r="I149" s="19"/>
      <c r="J149" s="19"/>
      <c r="K149" s="137"/>
      <c r="L149" s="132"/>
      <c r="M149" s="137"/>
      <c r="N149" s="28"/>
      <c r="O149" s="28"/>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21"/>
      <c r="AM149" s="21"/>
      <c r="AN149" s="19"/>
      <c r="AO149" s="19"/>
      <c r="AP149" s="19"/>
      <c r="AQ149" s="19"/>
    </row>
    <row r="150" spans="1:43">
      <c r="A150" s="19"/>
      <c r="B150" s="169"/>
      <c r="C150" s="555"/>
      <c r="D150" s="19"/>
      <c r="E150" s="19"/>
      <c r="F150" s="19"/>
      <c r="G150" s="19"/>
      <c r="H150" s="19"/>
      <c r="I150" s="19"/>
      <c r="J150" s="19"/>
      <c r="K150" s="137"/>
      <c r="L150" s="132"/>
      <c r="M150" s="137"/>
      <c r="N150" s="28"/>
      <c r="O150" s="28"/>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21"/>
      <c r="AM150" s="21"/>
      <c r="AN150" s="19"/>
      <c r="AO150" s="19"/>
      <c r="AP150" s="19"/>
      <c r="AQ150" s="19"/>
    </row>
    <row r="151" spans="1:43">
      <c r="A151" s="19"/>
      <c r="B151" s="169"/>
      <c r="C151" s="555"/>
      <c r="D151" s="19"/>
      <c r="E151" s="19"/>
      <c r="F151" s="19"/>
      <c r="G151" s="19"/>
      <c r="H151" s="19"/>
      <c r="I151" s="19"/>
      <c r="J151" s="19"/>
      <c r="K151" s="137"/>
      <c r="L151" s="132"/>
      <c r="M151" s="137"/>
      <c r="N151" s="28"/>
      <c r="O151" s="28"/>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21"/>
      <c r="AM151" s="21"/>
      <c r="AN151" s="19"/>
      <c r="AO151" s="19"/>
      <c r="AP151" s="19"/>
      <c r="AQ151" s="19"/>
    </row>
    <row r="152" spans="1:43">
      <c r="A152" s="19"/>
      <c r="B152" s="169"/>
      <c r="C152" s="555"/>
      <c r="D152" s="19"/>
      <c r="E152" s="19"/>
      <c r="F152" s="19"/>
      <c r="G152" s="19"/>
      <c r="H152" s="19"/>
      <c r="I152" s="19"/>
      <c r="J152" s="19"/>
      <c r="K152" s="137"/>
      <c r="L152" s="132"/>
      <c r="M152" s="137"/>
      <c r="N152" s="28"/>
      <c r="O152" s="28"/>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21"/>
      <c r="AM152" s="21"/>
      <c r="AN152" s="19"/>
      <c r="AO152" s="19"/>
      <c r="AP152" s="19"/>
      <c r="AQ152" s="19"/>
    </row>
    <row r="153" spans="1:43">
      <c r="A153" s="19"/>
      <c r="B153" s="169"/>
      <c r="C153" s="555"/>
      <c r="D153" s="19"/>
      <c r="E153" s="19"/>
      <c r="F153" s="19"/>
      <c r="G153" s="19"/>
      <c r="H153" s="19"/>
      <c r="I153" s="19"/>
      <c r="J153" s="19"/>
      <c r="K153" s="137"/>
      <c r="L153" s="132"/>
      <c r="M153" s="137"/>
      <c r="N153" s="28"/>
      <c r="O153" s="28"/>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21"/>
      <c r="AM153" s="21"/>
      <c r="AN153" s="19"/>
      <c r="AO153" s="19"/>
      <c r="AP153" s="19"/>
      <c r="AQ153" s="19"/>
    </row>
    <row r="154" spans="1:43">
      <c r="A154" s="19"/>
      <c r="B154" s="169"/>
      <c r="C154" s="555"/>
      <c r="D154" s="19"/>
      <c r="E154" s="19"/>
      <c r="F154" s="19"/>
      <c r="G154" s="19"/>
      <c r="H154" s="19"/>
      <c r="I154" s="19"/>
      <c r="J154" s="19"/>
      <c r="K154" s="137"/>
      <c r="L154" s="132"/>
      <c r="M154" s="137"/>
      <c r="N154" s="28"/>
      <c r="O154" s="28"/>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21"/>
      <c r="AM154" s="21"/>
      <c r="AN154" s="19"/>
      <c r="AO154" s="19"/>
      <c r="AP154" s="19"/>
      <c r="AQ154" s="19"/>
    </row>
    <row r="155" spans="1:43">
      <c r="A155" s="19"/>
      <c r="B155" s="169"/>
      <c r="C155" s="555"/>
      <c r="D155" s="19"/>
      <c r="E155" s="19"/>
      <c r="F155" s="19"/>
      <c r="G155" s="19"/>
      <c r="H155" s="19"/>
      <c r="I155" s="19"/>
      <c r="J155" s="19"/>
      <c r="K155" s="137"/>
      <c r="L155" s="132"/>
      <c r="M155" s="137"/>
      <c r="N155" s="28"/>
      <c r="O155" s="28"/>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21"/>
      <c r="AM155" s="21"/>
      <c r="AN155" s="19"/>
      <c r="AO155" s="19"/>
      <c r="AP155" s="19"/>
      <c r="AQ155" s="19"/>
    </row>
    <row r="156" spans="1:43">
      <c r="A156" s="19"/>
      <c r="B156" s="169"/>
      <c r="C156" s="555"/>
      <c r="D156" s="19"/>
      <c r="E156" s="19"/>
      <c r="F156" s="19"/>
      <c r="G156" s="19"/>
      <c r="H156" s="19"/>
      <c r="I156" s="19"/>
      <c r="J156" s="19"/>
      <c r="K156" s="137"/>
      <c r="L156" s="132"/>
      <c r="M156" s="137"/>
      <c r="N156" s="28"/>
      <c r="O156" s="28"/>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21"/>
      <c r="AM156" s="21"/>
      <c r="AN156" s="19"/>
      <c r="AO156" s="19"/>
      <c r="AP156" s="19"/>
      <c r="AQ156" s="19"/>
    </row>
    <row r="157" spans="1:43">
      <c r="A157" s="19"/>
      <c r="B157" s="169"/>
      <c r="C157" s="555"/>
      <c r="D157" s="19"/>
      <c r="E157" s="19"/>
      <c r="F157" s="19"/>
      <c r="G157" s="19"/>
      <c r="H157" s="19"/>
      <c r="I157" s="19"/>
      <c r="J157" s="19"/>
      <c r="K157" s="137"/>
      <c r="L157" s="132"/>
      <c r="M157" s="137"/>
      <c r="N157" s="28"/>
      <c r="O157" s="28"/>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21"/>
      <c r="AM157" s="21"/>
      <c r="AN157" s="19"/>
      <c r="AO157" s="19"/>
      <c r="AP157" s="19"/>
      <c r="AQ157" s="19"/>
    </row>
    <row r="158" spans="1:43">
      <c r="A158" s="19"/>
      <c r="B158" s="169"/>
      <c r="C158" s="555"/>
      <c r="D158" s="19"/>
      <c r="E158" s="19"/>
      <c r="F158" s="19"/>
      <c r="G158" s="19"/>
      <c r="H158" s="19"/>
      <c r="I158" s="19"/>
      <c r="J158" s="19"/>
      <c r="K158" s="137"/>
      <c r="L158" s="132"/>
      <c r="M158" s="137"/>
      <c r="N158" s="28"/>
      <c r="O158" s="28"/>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21"/>
      <c r="AM158" s="21"/>
      <c r="AN158" s="19"/>
      <c r="AO158" s="19"/>
      <c r="AP158" s="19"/>
      <c r="AQ158" s="19"/>
    </row>
    <row r="159" spans="1:43">
      <c r="A159" s="19"/>
      <c r="B159" s="169"/>
      <c r="C159" s="555"/>
      <c r="D159" s="19"/>
      <c r="E159" s="19"/>
      <c r="F159" s="19"/>
      <c r="G159" s="19"/>
      <c r="H159" s="19"/>
      <c r="I159" s="19"/>
      <c r="J159" s="19"/>
      <c r="K159" s="137"/>
      <c r="L159" s="132"/>
      <c r="M159" s="137"/>
      <c r="N159" s="28"/>
      <c r="O159" s="28"/>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21"/>
      <c r="AM159" s="21"/>
      <c r="AN159" s="19"/>
      <c r="AO159" s="19"/>
      <c r="AP159" s="19"/>
      <c r="AQ159" s="19"/>
    </row>
    <row r="160" spans="1:43">
      <c r="A160" s="19"/>
      <c r="B160" s="169"/>
      <c r="C160" s="555"/>
      <c r="D160" s="19"/>
      <c r="E160" s="19"/>
      <c r="F160" s="19"/>
      <c r="G160" s="19"/>
      <c r="H160" s="19"/>
      <c r="I160" s="19"/>
      <c r="J160" s="19"/>
      <c r="K160" s="137"/>
      <c r="L160" s="132"/>
      <c r="M160" s="137"/>
      <c r="N160" s="28"/>
      <c r="O160" s="28"/>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21"/>
      <c r="AM160" s="21"/>
      <c r="AN160" s="19"/>
      <c r="AO160" s="19"/>
      <c r="AP160" s="19"/>
      <c r="AQ160" s="19"/>
    </row>
  </sheetData>
  <conditionalFormatting sqref="I5 C90:AG109">
    <cfRule type="cellIs" dxfId="184" priority="67" operator="equal">
      <formula>0</formula>
    </cfRule>
  </conditionalFormatting>
  <conditionalFormatting sqref="C4">
    <cfRule type="cellIs" dxfId="183" priority="68" stopIfTrue="1" operator="equal">
      <formula>0</formula>
    </cfRule>
  </conditionalFormatting>
  <conditionalFormatting sqref="I6">
    <cfRule type="cellIs" dxfId="182" priority="66" operator="equal">
      <formula>0</formula>
    </cfRule>
  </conditionalFormatting>
  <conditionalFormatting sqref="R4">
    <cfRule type="cellIs" dxfId="181" priority="61" operator="equal">
      <formula>0</formula>
    </cfRule>
  </conditionalFormatting>
  <conditionalFormatting sqref="I4">
    <cfRule type="cellIs" dxfId="180" priority="56" operator="equal">
      <formula>0</formula>
    </cfRule>
  </conditionalFormatting>
  <conditionalFormatting sqref="C15:AG16">
    <cfRule type="cellIs" dxfId="179" priority="42" operator="equal">
      <formula>0</formula>
    </cfRule>
  </conditionalFormatting>
  <conditionalFormatting sqref="C10:AG10 C12:AG12 C14:AG14">
    <cfRule type="cellIs" dxfId="178" priority="45" operator="equal">
      <formula>0</formula>
    </cfRule>
  </conditionalFormatting>
  <conditionalFormatting sqref="C11:AG11 C13:AG13">
    <cfRule type="cellIs" dxfId="177" priority="44" operator="equal">
      <formula>0</formula>
    </cfRule>
  </conditionalFormatting>
  <conditionalFormatting sqref="C20:AG20">
    <cfRule type="cellIs" dxfId="176" priority="41" operator="equal">
      <formula>0</formula>
    </cfRule>
  </conditionalFormatting>
  <conditionalFormatting sqref="AK3:AN3 AK4:AK12 AL4:AN102">
    <cfRule type="cellIs" dxfId="175" priority="35" operator="equal">
      <formula>0</formula>
    </cfRule>
  </conditionalFormatting>
  <conditionalFormatting sqref="C21:AG39">
    <cfRule type="cellIs" dxfId="174" priority="40" operator="equal">
      <formula>0</formula>
    </cfRule>
  </conditionalFormatting>
  <conditionalFormatting sqref="AK13:AK102">
    <cfRule type="cellIs" dxfId="173" priority="34" operator="equal">
      <formula>0</formula>
    </cfRule>
  </conditionalFormatting>
  <conditionalFormatting sqref="Y3">
    <cfRule type="cellIs" dxfId="172" priority="32" operator="equal">
      <formula>0</formula>
    </cfRule>
  </conditionalFormatting>
  <conditionalFormatting sqref="Y5">
    <cfRule type="cellIs" dxfId="171" priority="31" operator="equal">
      <formula>0</formula>
    </cfRule>
  </conditionalFormatting>
  <conditionalFormatting sqref="C17:AG17">
    <cfRule type="cellIs" dxfId="170" priority="27" operator="equal">
      <formula>0</formula>
    </cfRule>
  </conditionalFormatting>
  <conditionalFormatting sqref="C66:AG85">
    <cfRule type="cellIs" dxfId="169" priority="19" operator="equal">
      <formula>0</formula>
    </cfRule>
  </conditionalFormatting>
  <conditionalFormatting sqref="C42:AG61">
    <cfRule type="cellIs" dxfId="168" priority="23" operator="equal">
      <formula>0</formula>
    </cfRule>
  </conditionalFormatting>
  <conditionalFormatting sqref="C87:AG87">
    <cfRule type="cellIs" dxfId="167" priority="17" operator="equal">
      <formula>0</formula>
    </cfRule>
  </conditionalFormatting>
  <conditionalFormatting sqref="C63:AG63">
    <cfRule type="cellIs" dxfId="166" priority="20" operator="equal">
      <formula>0</formula>
    </cfRule>
  </conditionalFormatting>
  <conditionalFormatting sqref="AO3:AO102">
    <cfRule type="cellIs" dxfId="165" priority="16" operator="equal">
      <formula>0</formula>
    </cfRule>
  </conditionalFormatting>
  <conditionalFormatting sqref="C62:AG62">
    <cfRule type="cellIs" dxfId="164" priority="14" operator="equal">
      <formula>0</formula>
    </cfRule>
  </conditionalFormatting>
  <conditionalFormatting sqref="C86:AG86">
    <cfRule type="cellIs" dxfId="163" priority="13" operator="equal">
      <formula>0</formula>
    </cfRule>
  </conditionalFormatting>
  <conditionalFormatting sqref="C111:AG111">
    <cfRule type="cellIs" dxfId="162" priority="12" operator="equal">
      <formula>0</formula>
    </cfRule>
  </conditionalFormatting>
  <conditionalFormatting sqref="C110:AG110">
    <cfRule type="cellIs" dxfId="161" priority="11" operator="equal">
      <formula>0</formula>
    </cfRule>
  </conditionalFormatting>
  <conditionalFormatting sqref="AQ13:AQ102">
    <cfRule type="cellIs" dxfId="160" priority="1" operator="equal">
      <formula>0</formula>
    </cfRule>
  </conditionalFormatting>
  <conditionalFormatting sqref="I7">
    <cfRule type="cellIs" dxfId="159" priority="5" operator="equal">
      <formula>0</formula>
    </cfRule>
  </conditionalFormatting>
  <conditionalFormatting sqref="AP3:AP12">
    <cfRule type="cellIs" dxfId="158" priority="4" operator="equal">
      <formula>0</formula>
    </cfRule>
  </conditionalFormatting>
  <conditionalFormatting sqref="AP13:AP102">
    <cfRule type="cellIs" dxfId="157" priority="3" operator="equal">
      <formula>0</formula>
    </cfRule>
  </conditionalFormatting>
  <conditionalFormatting sqref="AQ3:AQ12">
    <cfRule type="cellIs" dxfId="156" priority="2" operator="equal">
      <formula>0</formula>
    </cfRule>
  </conditionalFormatting>
  <pageMargins left="0.7" right="0.7" top="0.75" bottom="0.75" header="0.3" footer="0.3"/>
  <pageSetup paperSize="9" orientation="portrait" verticalDpi="0"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CCFFCC"/>
  </sheetPr>
  <dimension ref="A1:AZ301"/>
  <sheetViews>
    <sheetView topLeftCell="C22" workbookViewId="0">
      <selection activeCell="I64" sqref="I64"/>
    </sheetView>
  </sheetViews>
  <sheetFormatPr defaultRowHeight="14.4"/>
  <cols>
    <col min="1" max="1" width="5.33203125" customWidth="1"/>
    <col min="2" max="2" width="43.109375" customWidth="1"/>
    <col min="3" max="3" width="9.109375" customWidth="1"/>
    <col min="4" max="4" width="9.5546875" bestFit="1" customWidth="1"/>
    <col min="5" max="9" width="10.33203125" customWidth="1"/>
    <col min="10" max="10" width="11.33203125" customWidth="1"/>
    <col min="11" max="22" width="9.5546875" bestFit="1" customWidth="1"/>
    <col min="23" max="23" width="11.6640625" customWidth="1"/>
    <col min="24" max="24" width="10.5546875" customWidth="1"/>
    <col min="25" max="29" width="9.5546875" bestFit="1" customWidth="1"/>
    <col min="30" max="30" width="10.6640625" customWidth="1"/>
    <col min="31" max="33" width="9.5546875" bestFit="1" customWidth="1"/>
  </cols>
  <sheetData>
    <row r="1" spans="1:52" s="326" customFormat="1" ht="24.6">
      <c r="B1" s="327" t="s">
        <v>707</v>
      </c>
      <c r="K1" s="328"/>
      <c r="L1" s="328"/>
      <c r="M1" s="328"/>
      <c r="N1" s="328"/>
    </row>
    <row r="2" spans="1:52" s="326" customFormat="1" ht="15" customHeight="1">
      <c r="O2" s="329"/>
      <c r="R2" s="330"/>
    </row>
    <row r="3" spans="1:52" s="326" customFormat="1" ht="15" customHeight="1" thickBot="1">
      <c r="B3" s="332" t="s">
        <v>214</v>
      </c>
      <c r="C3" s="331"/>
      <c r="E3" s="333" t="str">
        <f>Cashflow!E4</f>
        <v>Geological and flow variables</v>
      </c>
      <c r="F3" s="328"/>
      <c r="G3" s="328"/>
      <c r="H3" s="328"/>
      <c r="I3" s="328"/>
      <c r="J3" s="328"/>
      <c r="L3" s="333" t="str">
        <f>Cashflow!M4</f>
        <v>Production variables</v>
      </c>
      <c r="M3" s="328"/>
      <c r="N3" s="328"/>
      <c r="O3" s="328"/>
      <c r="Q3" s="328"/>
      <c r="S3" s="333" t="str">
        <f>Cashflow!S13</f>
        <v>Well-related costs</v>
      </c>
      <c r="X3" s="338"/>
      <c r="Z3" s="25" t="s">
        <v>738</v>
      </c>
      <c r="AA3" s="569"/>
      <c r="AB3" s="19"/>
      <c r="AC3" s="19"/>
      <c r="AD3" s="328"/>
      <c r="AE3" s="328"/>
    </row>
    <row r="4" spans="1:52" s="326" customFormat="1" ht="15" customHeight="1" thickBot="1">
      <c r="B4" s="334" t="s">
        <v>211</v>
      </c>
      <c r="C4" s="81"/>
      <c r="D4" s="329"/>
      <c r="E4" s="578" t="str">
        <f>Cashflow!E5</f>
        <v>Total area of reservoir (km2)</v>
      </c>
      <c r="F4" s="337"/>
      <c r="G4" s="337"/>
      <c r="H4" s="427"/>
      <c r="I4" s="337"/>
      <c r="J4" s="830">
        <f>Cashflow!I5</f>
        <v>24000000</v>
      </c>
      <c r="K4" s="335"/>
      <c r="L4" s="447" t="str">
        <f>Cashflow!M9</f>
        <v>Completion interval of well, i.e. 'h' in kh/m-factor (m)</v>
      </c>
      <c r="M4" s="423"/>
      <c r="N4" s="423"/>
      <c r="O4" s="449"/>
      <c r="P4" s="449"/>
      <c r="Q4" s="581">
        <f>Cashflow!Q9</f>
        <v>300</v>
      </c>
      <c r="R4" s="329"/>
      <c r="S4" s="636" t="str">
        <f>Cashflow!S14</f>
        <v>Along hole depth of single well (m)</v>
      </c>
      <c r="T4" s="637"/>
      <c r="U4" s="637"/>
      <c r="V4" s="637"/>
      <c r="W4" s="863"/>
      <c r="X4" s="582">
        <f>Cashflow!V14</f>
        <v>3000</v>
      </c>
      <c r="Y4" s="335"/>
      <c r="Z4" s="91" t="s">
        <v>1434</v>
      </c>
      <c r="AA4" s="596"/>
      <c r="AB4" s="597"/>
      <c r="AC4" s="597"/>
      <c r="AD4" s="337"/>
      <c r="AE4" s="598">
        <f>$X$11*9.80665*$X$5</f>
        <v>17947271.721350037</v>
      </c>
    </row>
    <row r="5" spans="1:52" s="326" customFormat="1" ht="15" customHeight="1" thickBot="1">
      <c r="B5" s="334" t="s">
        <v>89</v>
      </c>
      <c r="C5" s="29"/>
      <c r="D5" s="329"/>
      <c r="E5" s="430" t="str">
        <f>Cashflow!E10</f>
        <v>Reservoir permeability (mD)</v>
      </c>
      <c r="H5" s="432"/>
      <c r="I5" s="577"/>
      <c r="J5" s="831">
        <f>Cashflow!I10</f>
        <v>9.8692330000000007E-15</v>
      </c>
      <c r="K5" s="335"/>
      <c r="L5" s="338"/>
      <c r="M5" s="338"/>
      <c r="N5" s="338"/>
      <c r="O5" s="338"/>
      <c r="P5" s="338"/>
      <c r="Q5" s="338"/>
      <c r="R5" s="429"/>
      <c r="S5" s="339" t="str">
        <f>Cashflow!S15</f>
        <v>True vertical depth of well (m)</v>
      </c>
      <c r="T5" s="340"/>
      <c r="U5" s="340"/>
      <c r="V5" s="340"/>
      <c r="W5" s="601"/>
      <c r="X5" s="127">
        <f>Cashflow!V15</f>
        <v>2000</v>
      </c>
      <c r="Y5" s="335"/>
      <c r="Z5" s="89" t="s">
        <v>740</v>
      </c>
      <c r="AA5" s="424"/>
      <c r="AD5" s="599"/>
      <c r="AE5" s="565">
        <f>500000</f>
        <v>500000</v>
      </c>
    </row>
    <row r="6" spans="1:52" s="326" customFormat="1" ht="15" customHeight="1" thickBot="1">
      <c r="D6" s="329"/>
      <c r="E6" s="430" t="str">
        <f>Cashflow!E12</f>
        <v>Reservoir pressure (Pa)</v>
      </c>
      <c r="H6" s="432"/>
      <c r="I6" s="577"/>
      <c r="J6" s="831">
        <f>Cashflow!I12</f>
        <v>25000000</v>
      </c>
      <c r="K6" s="335"/>
      <c r="L6" s="333" t="str">
        <f>Cashflow!S4</f>
        <v>Phasing variables</v>
      </c>
      <c r="M6" s="328"/>
      <c r="N6" s="328"/>
      <c r="O6" s="328"/>
      <c r="P6" s="328"/>
      <c r="R6" s="429"/>
      <c r="S6" s="338"/>
      <c r="T6" s="338"/>
      <c r="U6" s="338"/>
      <c r="V6" s="338"/>
      <c r="W6" s="338"/>
      <c r="X6" s="338"/>
      <c r="Z6" s="430" t="str">
        <f>Cashflow!AI21</f>
        <v>Production well drawdown (Pa)</v>
      </c>
      <c r="AD6" s="329"/>
      <c r="AE6" s="708">
        <f>Cashflow!AM21</f>
        <v>7000000</v>
      </c>
    </row>
    <row r="7" spans="1:52" s="326" customFormat="1" ht="15" customHeight="1" thickBot="1">
      <c r="D7" s="329"/>
      <c r="E7" s="430" t="str">
        <f>Cashflow!E13</f>
        <v>Flowing bottomhole pressure, production well (Pa)</v>
      </c>
      <c r="H7" s="432"/>
      <c r="I7" s="577"/>
      <c r="J7" s="831">
        <f>Cashflow!I13</f>
        <v>18000000</v>
      </c>
      <c r="K7" s="429"/>
      <c r="L7" s="336" t="str">
        <f>Cashflow!S6</f>
        <v>COD (First year of production)</v>
      </c>
      <c r="M7" s="337"/>
      <c r="N7" s="337"/>
      <c r="O7" s="337"/>
      <c r="P7" s="427"/>
      <c r="Q7" s="582">
        <f>Cashflow!V6</f>
        <v>2025</v>
      </c>
      <c r="R7" s="335"/>
      <c r="S7" s="333" t="str">
        <f>Cashflow!AI4</f>
        <v>Water variables - from "Steam Tables" worksheet</v>
      </c>
      <c r="Z7" s="89" t="s">
        <v>1476</v>
      </c>
      <c r="AB7" s="28"/>
      <c r="AC7" s="28"/>
      <c r="AE7" s="565">
        <f>$J$9+$AE$4-$AE$5</f>
        <v>30647271.721350037</v>
      </c>
    </row>
    <row r="8" spans="1:52" s="326" customFormat="1" ht="15" customHeight="1" thickBot="1">
      <c r="D8" s="329"/>
      <c r="E8" s="430" t="str">
        <f>Cashflow!E14</f>
        <v>ΔP from bottomhole to tubing head, prod. well (Pa)</v>
      </c>
      <c r="J8" s="831">
        <f>Cashflow!I14</f>
        <v>14500000</v>
      </c>
      <c r="K8" s="429"/>
      <c r="L8" s="430" t="str">
        <f>Cashflow!S10</f>
        <v>Avg prod. well W/O frequency (every n yrs)</v>
      </c>
      <c r="Q8" s="124">
        <f>Cashflow!V10</f>
        <v>8</v>
      </c>
      <c r="S8" s="636" t="str">
        <f>Cashflow!AI6</f>
        <v>Initial water density, ρ (kg/m3)</v>
      </c>
      <c r="T8" s="637"/>
      <c r="U8" s="637"/>
      <c r="V8" s="637"/>
      <c r="W8" s="637"/>
      <c r="X8" s="894">
        <f>Cashflow!$AM$6</f>
        <v>723.05</v>
      </c>
      <c r="Z8" s="339" t="s">
        <v>1477</v>
      </c>
      <c r="AA8" s="340"/>
      <c r="AB8" s="340"/>
      <c r="AC8" s="340"/>
      <c r="AD8" s="601"/>
      <c r="AE8" s="709">
        <f>$AE$7-$J$6</f>
        <v>5647271.7213500366</v>
      </c>
    </row>
    <row r="9" spans="1:52" s="326" customFormat="1" ht="15" customHeight="1" thickBot="1">
      <c r="D9" s="329"/>
      <c r="E9" s="430" t="str">
        <f>Cashflow!E17</f>
        <v>Reinjection pressure at injector wellhead (Pa)</v>
      </c>
      <c r="J9" s="831">
        <f>Cashflow!I17</f>
        <v>13200000</v>
      </c>
      <c r="K9" s="429"/>
      <c r="L9" s="822" t="str">
        <f>Cashflow!S11</f>
        <v>Avg inj. well W/O frequency (every n yrs)</v>
      </c>
      <c r="M9" s="340"/>
      <c r="N9" s="340"/>
      <c r="O9" s="340"/>
      <c r="P9" s="340"/>
      <c r="Q9" s="456">
        <f>Cashflow!V11</f>
        <v>6</v>
      </c>
      <c r="S9" s="88" t="str">
        <f>Cashflow!AI7</f>
        <v>Initial water viscosity, μ (kg/m*s)</v>
      </c>
      <c r="T9" s="424"/>
      <c r="U9" s="28"/>
      <c r="X9" s="565">
        <f>Cashflow!$AM$7</f>
        <v>8.7999999999999998E-5</v>
      </c>
    </row>
    <row r="10" spans="1:52" s="326" customFormat="1" ht="15" customHeight="1" thickBot="1">
      <c r="B10" s="328"/>
      <c r="C10" s="328"/>
      <c r="D10" s="450"/>
      <c r="E10" s="430" t="str">
        <f>Cashflow!E18</f>
        <v>Wellbore diameter (m)</v>
      </c>
      <c r="H10" s="432"/>
      <c r="I10" s="577"/>
      <c r="J10" s="124">
        <f>Cashflow!I18</f>
        <v>0.26</v>
      </c>
      <c r="K10" s="331"/>
      <c r="L10" s="338"/>
      <c r="M10" s="338"/>
      <c r="N10" s="338"/>
      <c r="O10" s="338"/>
      <c r="P10" s="338"/>
      <c r="Q10" s="338"/>
      <c r="R10" s="328"/>
      <c r="S10" s="88" t="str">
        <f>Cashflow!AI8</f>
        <v>Injected water temperature (°C)</v>
      </c>
      <c r="T10" s="424"/>
      <c r="U10" s="28"/>
      <c r="X10" s="888">
        <f>Cashflow!AM8</f>
        <v>151.67804603364539</v>
      </c>
      <c r="Z10" s="25" t="s">
        <v>1807</v>
      </c>
      <c r="AF10" s="328"/>
      <c r="AG10" s="328"/>
    </row>
    <row r="11" spans="1:52" s="326" customFormat="1" ht="15" customHeight="1" thickBot="1">
      <c r="B11" s="328"/>
      <c r="C11" s="328"/>
      <c r="D11" s="450"/>
      <c r="E11" s="430" t="str">
        <f>Cashflow!E19</f>
        <v>Tubing inner diameter (m)</v>
      </c>
      <c r="H11" s="432"/>
      <c r="I11" s="577"/>
      <c r="J11" s="124">
        <f>Cashflow!I19</f>
        <v>0.15</v>
      </c>
      <c r="K11" s="331"/>
      <c r="L11" s="333" t="str">
        <f>Cashflow!AC13</f>
        <v>Surface facility variables</v>
      </c>
      <c r="R11" s="328"/>
      <c r="S11" s="88" t="str">
        <f>Cashflow!AI9</f>
        <v>Injected density, ρ, water (kg/m3)</v>
      </c>
      <c r="T11" s="424"/>
      <c r="U11" s="28"/>
      <c r="X11" s="888">
        <f>Cashflow!AM9</f>
        <v>915.05619764904623</v>
      </c>
      <c r="Z11" s="91" t="s">
        <v>1808</v>
      </c>
      <c r="AA11" s="596"/>
      <c r="AB11" s="597"/>
      <c r="AC11" s="597"/>
      <c r="AD11" s="337"/>
      <c r="AE11" s="1160">
        <v>5.26</v>
      </c>
      <c r="AF11" s="328"/>
      <c r="AG11" s="328"/>
    </row>
    <row r="12" spans="1:52" s="326" customFormat="1" ht="15" customHeight="1" thickBot="1">
      <c r="D12" s="329"/>
      <c r="E12" s="430" t="str">
        <f>Cashflow!E20</f>
        <v>Tubing surface roughness (mm)</v>
      </c>
      <c r="H12" s="432"/>
      <c r="I12" s="577"/>
      <c r="J12" s="1149">
        <f>Cashflow!I20</f>
        <v>4.5699999999999998E-2</v>
      </c>
      <c r="K12" s="335"/>
      <c r="L12" s="447" t="str">
        <f>Cashflow!AC14</f>
        <v>Max flow through surface facility (m3/s)</v>
      </c>
      <c r="M12" s="423"/>
      <c r="N12" s="423"/>
      <c r="O12" s="423"/>
      <c r="P12" s="449"/>
      <c r="Q12" s="581">
        <f>Cashflow!AG14</f>
        <v>10</v>
      </c>
      <c r="S12" s="88" t="str">
        <f>Cashflow!AI10</f>
        <v>Injected water viscosity, μ (kg/m*s)</v>
      </c>
      <c r="T12" s="424"/>
      <c r="U12" s="28"/>
      <c r="X12" s="565">
        <f>Cashflow!AM10</f>
        <v>1.8081854015626099E-4</v>
      </c>
      <c r="Z12" s="339" t="s">
        <v>1810</v>
      </c>
      <c r="AA12" s="340"/>
      <c r="AB12" s="340"/>
      <c r="AC12" s="340"/>
      <c r="AD12" s="601"/>
      <c r="AE12" s="709">
        <f>AE11*PI()*(J11/2)^2</f>
        <v>9.295187263808799E-2</v>
      </c>
    </row>
    <row r="13" spans="1:52" ht="15" customHeight="1" thickBot="1">
      <c r="A13" s="326"/>
      <c r="B13" s="326"/>
      <c r="C13" s="326"/>
      <c r="D13" s="329"/>
      <c r="E13" s="430" t="str">
        <f>Cashflow!E21</f>
        <v>Initial and post-workover production well skin factor</v>
      </c>
      <c r="F13" s="326"/>
      <c r="G13" s="326"/>
      <c r="H13" s="432"/>
      <c r="I13" s="577"/>
      <c r="J13" s="124">
        <f>Cashflow!I21</f>
        <v>0</v>
      </c>
      <c r="K13" s="335"/>
      <c r="L13" s="338"/>
      <c r="M13" s="338"/>
      <c r="N13" s="338"/>
      <c r="O13" s="338"/>
      <c r="P13" s="338"/>
      <c r="Q13" s="338"/>
      <c r="R13" s="326"/>
      <c r="S13" s="339" t="s">
        <v>710</v>
      </c>
      <c r="T13" s="340"/>
      <c r="U13" s="340"/>
      <c r="V13" s="601"/>
      <c r="W13" s="340"/>
      <c r="X13" s="306">
        <f>($J$7-($J$6-$J$8))*PI()*(($J$11/2)^4)/(8*$X$4*$X$9)</f>
        <v>352.98989721232078</v>
      </c>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row>
    <row r="14" spans="1:52" ht="15" customHeight="1">
      <c r="A14" s="326"/>
      <c r="B14" s="326"/>
      <c r="C14" s="326"/>
      <c r="D14" s="329"/>
      <c r="E14" s="819" t="str">
        <f>Cashflow!E22</f>
        <v>Initial and post-workover injection well skin factor</v>
      </c>
      <c r="F14" s="326"/>
      <c r="G14" s="326"/>
      <c r="H14" s="432"/>
      <c r="I14" s="326"/>
      <c r="J14" s="124">
        <f>Cashflow!I22</f>
        <v>0</v>
      </c>
      <c r="K14" s="335"/>
      <c r="L14" s="326"/>
      <c r="M14" s="326"/>
      <c r="N14" s="326"/>
      <c r="O14" s="326"/>
      <c r="P14" s="326"/>
      <c r="Q14" s="326"/>
      <c r="R14" s="326"/>
      <c r="S14" s="338"/>
      <c r="T14" s="908"/>
      <c r="U14" s="338"/>
      <c r="V14" s="908"/>
      <c r="W14" s="338"/>
      <c r="X14" s="908"/>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row>
    <row r="15" spans="1:52" ht="15" customHeight="1">
      <c r="A15" s="326"/>
      <c r="B15" s="326"/>
      <c r="C15" s="326"/>
      <c r="D15" s="329"/>
      <c r="E15" s="819" t="str">
        <f>Cashflow!E23</f>
        <v>Yearly skin growth factor for prod. wells (positive number)</v>
      </c>
      <c r="F15" s="338"/>
      <c r="G15" s="338"/>
      <c r="H15" s="432"/>
      <c r="I15" s="338"/>
      <c r="J15" s="124">
        <f>Cashflow!I23</f>
        <v>1.5</v>
      </c>
      <c r="K15" s="335"/>
      <c r="L15" s="326"/>
      <c r="M15" s="338"/>
      <c r="N15" s="338"/>
      <c r="O15" s="338"/>
      <c r="P15" s="338"/>
      <c r="Q15" s="338"/>
      <c r="R15" s="338"/>
      <c r="S15" s="326"/>
      <c r="T15" s="651"/>
      <c r="U15" s="326"/>
      <c r="V15" s="651"/>
      <c r="W15" s="326"/>
      <c r="X15" s="651"/>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row>
    <row r="16" spans="1:52" ht="15" thickBot="1">
      <c r="A16" s="326"/>
      <c r="B16" s="326"/>
      <c r="C16" s="326"/>
      <c r="D16" s="326"/>
      <c r="E16" s="820" t="str">
        <f>Cashflow!E24</f>
        <v>Yearly skin growth factor for inj. wells (positive number)</v>
      </c>
      <c r="F16" s="340"/>
      <c r="G16" s="340"/>
      <c r="H16" s="340"/>
      <c r="I16" s="821"/>
      <c r="J16" s="456">
        <f>Cashflow!I24</f>
        <v>2</v>
      </c>
      <c r="K16" s="342"/>
      <c r="L16" s="326"/>
      <c r="M16" s="338"/>
      <c r="N16" s="338"/>
      <c r="O16" s="338"/>
      <c r="P16" s="338"/>
      <c r="Q16" s="338"/>
      <c r="R16" s="338"/>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row>
    <row r="17" spans="1:52">
      <c r="A17" s="648"/>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326"/>
      <c r="AG17" s="326"/>
      <c r="AH17" s="335"/>
      <c r="AI17" s="326"/>
      <c r="AJ17" s="326"/>
      <c r="AK17" s="326"/>
      <c r="AL17" s="326"/>
      <c r="AM17" s="326"/>
      <c r="AN17" s="326"/>
      <c r="AO17" s="326"/>
      <c r="AP17" s="326"/>
      <c r="AQ17" s="326"/>
      <c r="AR17" s="326"/>
      <c r="AS17" s="326"/>
      <c r="AT17" s="326"/>
      <c r="AU17" s="326"/>
      <c r="AV17" s="326"/>
      <c r="AW17" s="326"/>
      <c r="AX17" s="326"/>
      <c r="AY17" s="326"/>
      <c r="AZ17" s="326"/>
    </row>
    <row r="18" spans="1:52" s="26" customFormat="1" ht="13.8" thickBot="1">
      <c r="A18" s="19"/>
      <c r="B18" s="52" t="s">
        <v>844</v>
      </c>
      <c r="C18" s="32">
        <f>Cashflow!C$30</f>
        <v>2017</v>
      </c>
      <c r="D18" s="32">
        <f>Cashflow!D$30</f>
        <v>2018</v>
      </c>
      <c r="E18" s="32">
        <f>Cashflow!E$30</f>
        <v>2019</v>
      </c>
      <c r="F18" s="32">
        <f>Cashflow!F$30</f>
        <v>2020</v>
      </c>
      <c r="G18" s="32">
        <f>Cashflow!G$30</f>
        <v>2021</v>
      </c>
      <c r="H18" s="32">
        <f>Cashflow!H$30</f>
        <v>2022</v>
      </c>
      <c r="I18" s="32">
        <f>Cashflow!I$30</f>
        <v>2023</v>
      </c>
      <c r="J18" s="32">
        <f>Cashflow!J$30</f>
        <v>2024</v>
      </c>
      <c r="K18" s="32">
        <f>Cashflow!K$30</f>
        <v>2025</v>
      </c>
      <c r="L18" s="32">
        <f>Cashflow!L$30</f>
        <v>2026</v>
      </c>
      <c r="M18" s="32">
        <f>Cashflow!M$30</f>
        <v>2027</v>
      </c>
      <c r="N18" s="32">
        <f>Cashflow!N$30</f>
        <v>2028</v>
      </c>
      <c r="O18" s="32">
        <f>Cashflow!O$30</f>
        <v>2029</v>
      </c>
      <c r="P18" s="32">
        <f>Cashflow!P$30</f>
        <v>2030</v>
      </c>
      <c r="Q18" s="32">
        <f>Cashflow!Q$30</f>
        <v>2031</v>
      </c>
      <c r="R18" s="32">
        <f>Cashflow!R$30</f>
        <v>2032</v>
      </c>
      <c r="S18" s="32">
        <f>Cashflow!S$30</f>
        <v>2033</v>
      </c>
      <c r="T18" s="32">
        <f>Cashflow!T$30</f>
        <v>2034</v>
      </c>
      <c r="U18" s="32">
        <f>Cashflow!U$30</f>
        <v>2035</v>
      </c>
      <c r="V18" s="32">
        <f>Cashflow!V$30</f>
        <v>2036</v>
      </c>
      <c r="W18" s="32">
        <f>Cashflow!W$30</f>
        <v>2037</v>
      </c>
      <c r="X18" s="32">
        <f>Cashflow!X$30</f>
        <v>2038</v>
      </c>
      <c r="Y18" s="32">
        <f>Cashflow!Y$30</f>
        <v>2039</v>
      </c>
      <c r="Z18" s="32">
        <f>Cashflow!Z$30</f>
        <v>2040</v>
      </c>
      <c r="AA18" s="32">
        <f>Cashflow!AA$30</f>
        <v>2041</v>
      </c>
      <c r="AB18" s="32">
        <f>Cashflow!AB$30</f>
        <v>2042</v>
      </c>
      <c r="AC18" s="32">
        <f>Cashflow!AC$30</f>
        <v>2043</v>
      </c>
      <c r="AD18" s="32">
        <f>Cashflow!AD$30</f>
        <v>2044</v>
      </c>
      <c r="AE18" s="32">
        <f>Cashflow!AE$30</f>
        <v>2045</v>
      </c>
      <c r="AF18" s="32">
        <f>Cashflow!AF$30</f>
        <v>2046</v>
      </c>
      <c r="AG18" s="32">
        <f>Cashflow!AG$30</f>
        <v>2047</v>
      </c>
      <c r="AH18" s="157"/>
      <c r="AI18" s="155"/>
      <c r="AJ18" s="142"/>
      <c r="AK18" s="21"/>
      <c r="AL18" s="21"/>
      <c r="AM18" s="19"/>
      <c r="AN18" s="19"/>
      <c r="AO18" s="326"/>
      <c r="AP18" s="326"/>
      <c r="AQ18" s="326"/>
      <c r="AR18" s="326"/>
      <c r="AS18" s="326"/>
      <c r="AT18" s="326"/>
      <c r="AU18" s="326"/>
      <c r="AV18" s="326"/>
      <c r="AW18" s="326"/>
      <c r="AX18" s="326"/>
      <c r="AY18" s="326"/>
      <c r="AZ18" s="326"/>
    </row>
    <row r="19" spans="1:52" s="26" customFormat="1" ht="13.8" thickTop="1">
      <c r="A19" s="19"/>
      <c r="B19" s="631" t="s">
        <v>1131</v>
      </c>
      <c r="C19" s="435">
        <f>Cashflow!C135</f>
        <v>0</v>
      </c>
      <c r="D19" s="435">
        <f>Cashflow!D135</f>
        <v>0</v>
      </c>
      <c r="E19" s="435">
        <f>Cashflow!E135</f>
        <v>0</v>
      </c>
      <c r="F19" s="435">
        <f>Cashflow!F135</f>
        <v>2</v>
      </c>
      <c r="G19" s="435">
        <f>Cashflow!G135</f>
        <v>0</v>
      </c>
      <c r="H19" s="435">
        <f>Cashflow!H135</f>
        <v>0</v>
      </c>
      <c r="I19" s="435">
        <f>Cashflow!I135</f>
        <v>0</v>
      </c>
      <c r="J19" s="435">
        <f>Cashflow!J135</f>
        <v>0</v>
      </c>
      <c r="K19" s="435">
        <f>Cashflow!K135</f>
        <v>0</v>
      </c>
      <c r="L19" s="435">
        <f ca="1">Cashflow!L135</f>
        <v>0</v>
      </c>
      <c r="M19" s="435">
        <f ca="1">Cashflow!M135</f>
        <v>0</v>
      </c>
      <c r="N19" s="435">
        <f ca="1">Cashflow!N135</f>
        <v>0</v>
      </c>
      <c r="O19" s="435">
        <f ca="1">Cashflow!O135</f>
        <v>0</v>
      </c>
      <c r="P19" s="435">
        <f ca="1">Cashflow!P135</f>
        <v>0</v>
      </c>
      <c r="Q19" s="435">
        <f ca="1">Cashflow!Q135</f>
        <v>0</v>
      </c>
      <c r="R19" s="435">
        <f ca="1">Cashflow!R135</f>
        <v>0</v>
      </c>
      <c r="S19" s="435">
        <f ca="1">Cashflow!S135</f>
        <v>0</v>
      </c>
      <c r="T19" s="435">
        <f ca="1">Cashflow!T135</f>
        <v>0</v>
      </c>
      <c r="U19" s="435">
        <f ca="1">Cashflow!U135</f>
        <v>0</v>
      </c>
      <c r="V19" s="435">
        <f ca="1">Cashflow!V135</f>
        <v>0</v>
      </c>
      <c r="W19" s="435">
        <f ca="1">Cashflow!W135</f>
        <v>0</v>
      </c>
      <c r="X19" s="435">
        <f ca="1">Cashflow!X135</f>
        <v>0</v>
      </c>
      <c r="Y19" s="435">
        <f ca="1">Cashflow!Y135</f>
        <v>0</v>
      </c>
      <c r="Z19" s="435">
        <f ca="1">Cashflow!Z135</f>
        <v>0</v>
      </c>
      <c r="AA19" s="435">
        <f ca="1">Cashflow!AA135</f>
        <v>0</v>
      </c>
      <c r="AB19" s="435">
        <f ca="1">Cashflow!AB135</f>
        <v>0</v>
      </c>
      <c r="AC19" s="435">
        <f ca="1">Cashflow!AC135</f>
        <v>0</v>
      </c>
      <c r="AD19" s="435">
        <f ca="1">Cashflow!AD135</f>
        <v>0</v>
      </c>
      <c r="AE19" s="435">
        <f ca="1">Cashflow!AE135</f>
        <v>0</v>
      </c>
      <c r="AF19" s="435">
        <f ca="1">Cashflow!AF135</f>
        <v>0</v>
      </c>
      <c r="AG19" s="435">
        <f ca="1">Cashflow!AG135</f>
        <v>0</v>
      </c>
      <c r="AH19" s="157"/>
      <c r="AI19" s="155"/>
      <c r="AJ19" s="142"/>
      <c r="AK19" s="21"/>
      <c r="AL19" s="21"/>
      <c r="AM19" s="19"/>
      <c r="AN19" s="19"/>
      <c r="AO19" s="326"/>
      <c r="AP19" s="326"/>
      <c r="AQ19" s="326"/>
      <c r="AR19" s="326"/>
      <c r="AS19" s="326"/>
      <c r="AT19" s="326"/>
      <c r="AU19" s="326"/>
      <c r="AV19" s="326"/>
      <c r="AW19" s="326"/>
      <c r="AX19" s="326"/>
      <c r="AY19" s="326"/>
      <c r="AZ19" s="326"/>
    </row>
    <row r="20" spans="1:52" s="26" customFormat="1" ht="13.2">
      <c r="A20" s="19"/>
      <c r="B20" s="434" t="s">
        <v>793</v>
      </c>
      <c r="C20" s="239">
        <f>Cashflow!C136</f>
        <v>0</v>
      </c>
      <c r="D20" s="239">
        <f>Cashflow!D136</f>
        <v>0</v>
      </c>
      <c r="E20" s="239">
        <f>Cashflow!E136</f>
        <v>0</v>
      </c>
      <c r="F20" s="239">
        <f>Cashflow!F136</f>
        <v>2</v>
      </c>
      <c r="G20" s="239">
        <f>Cashflow!G136</f>
        <v>2</v>
      </c>
      <c r="H20" s="239">
        <f>Cashflow!H136</f>
        <v>2</v>
      </c>
      <c r="I20" s="239">
        <f>Cashflow!I136</f>
        <v>2</v>
      </c>
      <c r="J20" s="239">
        <f>Cashflow!J136</f>
        <v>2</v>
      </c>
      <c r="K20" s="239">
        <f>Cashflow!K136</f>
        <v>2</v>
      </c>
      <c r="L20" s="239">
        <f ca="1">Cashflow!L136</f>
        <v>2</v>
      </c>
      <c r="M20" s="239">
        <f ca="1">Cashflow!M136</f>
        <v>2</v>
      </c>
      <c r="N20" s="239">
        <f ca="1">Cashflow!N136</f>
        <v>2</v>
      </c>
      <c r="O20" s="239">
        <f ca="1">Cashflow!O136</f>
        <v>2</v>
      </c>
      <c r="P20" s="239">
        <f ca="1">Cashflow!P136</f>
        <v>2</v>
      </c>
      <c r="Q20" s="239">
        <f ca="1">Cashflow!Q136</f>
        <v>2</v>
      </c>
      <c r="R20" s="239">
        <f ca="1">Cashflow!R136</f>
        <v>2</v>
      </c>
      <c r="S20" s="239">
        <f ca="1">Cashflow!S136</f>
        <v>2</v>
      </c>
      <c r="T20" s="239">
        <f ca="1">Cashflow!T136</f>
        <v>2</v>
      </c>
      <c r="U20" s="239">
        <f ca="1">Cashflow!U136</f>
        <v>2</v>
      </c>
      <c r="V20" s="239">
        <f ca="1">Cashflow!V136</f>
        <v>2</v>
      </c>
      <c r="W20" s="239">
        <f ca="1">Cashflow!W136</f>
        <v>2</v>
      </c>
      <c r="X20" s="239">
        <f ca="1">Cashflow!X136</f>
        <v>2</v>
      </c>
      <c r="Y20" s="239">
        <f ca="1">Cashflow!Y136</f>
        <v>2</v>
      </c>
      <c r="Z20" s="239">
        <f ca="1">Cashflow!Z136</f>
        <v>2</v>
      </c>
      <c r="AA20" s="239">
        <f ca="1">Cashflow!AA136</f>
        <v>2</v>
      </c>
      <c r="AB20" s="239">
        <f ca="1">Cashflow!AB136</f>
        <v>2</v>
      </c>
      <c r="AC20" s="239">
        <f ca="1">Cashflow!AC136</f>
        <v>2</v>
      </c>
      <c r="AD20" s="239">
        <f ca="1">Cashflow!AD136</f>
        <v>2</v>
      </c>
      <c r="AE20" s="239">
        <f ca="1">Cashflow!AE136</f>
        <v>2</v>
      </c>
      <c r="AF20" s="239">
        <f ca="1">Cashflow!AF136</f>
        <v>2</v>
      </c>
      <c r="AG20" s="239">
        <f ca="1">Cashflow!AG136</f>
        <v>2</v>
      </c>
      <c r="AH20" s="157"/>
      <c r="AI20" s="155"/>
      <c r="AJ20" s="142"/>
      <c r="AK20" s="21"/>
      <c r="AL20" s="21"/>
      <c r="AM20" s="19"/>
      <c r="AN20" s="19"/>
      <c r="AO20" s="326"/>
      <c r="AP20" s="326"/>
      <c r="AQ20" s="326"/>
      <c r="AR20" s="326"/>
      <c r="AS20" s="326"/>
      <c r="AT20" s="326"/>
      <c r="AU20" s="326"/>
      <c r="AV20" s="326"/>
      <c r="AW20" s="326"/>
      <c r="AX20" s="326"/>
      <c r="AY20" s="326"/>
      <c r="AZ20" s="326"/>
    </row>
    <row r="21" spans="1:52" s="26" customFormat="1" ht="13.2">
      <c r="A21" s="19"/>
      <c r="B21" s="434" t="s">
        <v>1599</v>
      </c>
      <c r="C21" s="239">
        <f>Cashflow!C137</f>
        <v>0</v>
      </c>
      <c r="D21" s="239">
        <f>Cashflow!D137</f>
        <v>0</v>
      </c>
      <c r="E21" s="239">
        <f>Cashflow!E137</f>
        <v>0</v>
      </c>
      <c r="F21" s="239">
        <f>Cashflow!F137</f>
        <v>1</v>
      </c>
      <c r="G21" s="239">
        <f>Cashflow!G137</f>
        <v>0</v>
      </c>
      <c r="H21" s="239">
        <f>Cashflow!H137</f>
        <v>0</v>
      </c>
      <c r="I21" s="239">
        <f>Cashflow!I137</f>
        <v>0</v>
      </c>
      <c r="J21" s="239">
        <f>Cashflow!J137</f>
        <v>0</v>
      </c>
      <c r="K21" s="239">
        <f>Cashflow!K137</f>
        <v>0</v>
      </c>
      <c r="L21" s="239">
        <f ca="1">Cashflow!L137</f>
        <v>0</v>
      </c>
      <c r="M21" s="239">
        <f ca="1">Cashflow!M137</f>
        <v>0</v>
      </c>
      <c r="N21" s="239">
        <f ca="1">Cashflow!N137</f>
        <v>0</v>
      </c>
      <c r="O21" s="239">
        <f ca="1">Cashflow!O137</f>
        <v>0</v>
      </c>
      <c r="P21" s="239">
        <f ca="1">Cashflow!P137</f>
        <v>0</v>
      </c>
      <c r="Q21" s="239">
        <f ca="1">Cashflow!Q137</f>
        <v>0</v>
      </c>
      <c r="R21" s="239">
        <f ca="1">Cashflow!R137</f>
        <v>0</v>
      </c>
      <c r="S21" s="239">
        <f ca="1">Cashflow!S137</f>
        <v>0</v>
      </c>
      <c r="T21" s="239">
        <f ca="1">Cashflow!T137</f>
        <v>0</v>
      </c>
      <c r="U21" s="239">
        <f ca="1">Cashflow!U137</f>
        <v>0</v>
      </c>
      <c r="V21" s="239">
        <f ca="1">Cashflow!V137</f>
        <v>0</v>
      </c>
      <c r="W21" s="239">
        <f ca="1">Cashflow!W137</f>
        <v>0</v>
      </c>
      <c r="X21" s="239">
        <f ca="1">Cashflow!X137</f>
        <v>0</v>
      </c>
      <c r="Y21" s="239">
        <f ca="1">Cashflow!Y137</f>
        <v>0</v>
      </c>
      <c r="Z21" s="239">
        <f ca="1">Cashflow!Z137</f>
        <v>0</v>
      </c>
      <c r="AA21" s="239">
        <f ca="1">Cashflow!AA137</f>
        <v>0</v>
      </c>
      <c r="AB21" s="239">
        <f ca="1">Cashflow!AB137</f>
        <v>0</v>
      </c>
      <c r="AC21" s="239">
        <f ca="1">Cashflow!AC137</f>
        <v>0</v>
      </c>
      <c r="AD21" s="239">
        <f ca="1">Cashflow!AD137</f>
        <v>0</v>
      </c>
      <c r="AE21" s="239">
        <f ca="1">Cashflow!AE137</f>
        <v>0</v>
      </c>
      <c r="AF21" s="239">
        <f ca="1">Cashflow!AF137</f>
        <v>0</v>
      </c>
      <c r="AG21" s="239">
        <f ca="1">Cashflow!AG137</f>
        <v>0</v>
      </c>
      <c r="AH21" s="157"/>
      <c r="AI21" s="155"/>
      <c r="AJ21" s="142"/>
      <c r="AK21" s="21"/>
      <c r="AL21" s="21"/>
      <c r="AM21" s="19"/>
      <c r="AN21" s="19"/>
      <c r="AO21" s="326"/>
      <c r="AP21" s="326"/>
      <c r="AQ21" s="326"/>
      <c r="AR21" s="326"/>
      <c r="AS21" s="326"/>
      <c r="AT21" s="326"/>
      <c r="AU21" s="326"/>
      <c r="AV21" s="326"/>
      <c r="AW21" s="326"/>
      <c r="AX21" s="326"/>
      <c r="AY21" s="326"/>
      <c r="AZ21" s="326"/>
    </row>
    <row r="22" spans="1:52" s="26" customFormat="1" ht="13.2">
      <c r="A22" s="19"/>
      <c r="B22" s="434" t="s">
        <v>1600</v>
      </c>
      <c r="C22" s="239">
        <f>Cashflow!C138</f>
        <v>0</v>
      </c>
      <c r="D22" s="239">
        <f>Cashflow!D138</f>
        <v>0</v>
      </c>
      <c r="E22" s="239">
        <f>Cashflow!E138</f>
        <v>0</v>
      </c>
      <c r="F22" s="239">
        <f>Cashflow!F138</f>
        <v>1</v>
      </c>
      <c r="G22" s="239">
        <f>Cashflow!G138</f>
        <v>1</v>
      </c>
      <c r="H22" s="239">
        <f>Cashflow!H138</f>
        <v>1</v>
      </c>
      <c r="I22" s="239">
        <f>Cashflow!I138</f>
        <v>1</v>
      </c>
      <c r="J22" s="239">
        <f>Cashflow!J138</f>
        <v>1</v>
      </c>
      <c r="K22" s="239">
        <f>Cashflow!K138</f>
        <v>1</v>
      </c>
      <c r="L22" s="239">
        <f ca="1">Cashflow!L138</f>
        <v>1</v>
      </c>
      <c r="M22" s="239">
        <f ca="1">Cashflow!M138</f>
        <v>1</v>
      </c>
      <c r="N22" s="239">
        <f ca="1">Cashflow!N138</f>
        <v>1</v>
      </c>
      <c r="O22" s="239">
        <f ca="1">Cashflow!O138</f>
        <v>1</v>
      </c>
      <c r="P22" s="239">
        <f ca="1">Cashflow!P138</f>
        <v>1</v>
      </c>
      <c r="Q22" s="239">
        <f ca="1">Cashflow!Q138</f>
        <v>1</v>
      </c>
      <c r="R22" s="239">
        <f ca="1">Cashflow!R138</f>
        <v>1</v>
      </c>
      <c r="S22" s="239">
        <f ca="1">Cashflow!S138</f>
        <v>1</v>
      </c>
      <c r="T22" s="239">
        <f ca="1">Cashflow!T138</f>
        <v>1</v>
      </c>
      <c r="U22" s="239">
        <f ca="1">Cashflow!U138</f>
        <v>1</v>
      </c>
      <c r="V22" s="239">
        <f ca="1">Cashflow!V138</f>
        <v>1</v>
      </c>
      <c r="W22" s="239">
        <f ca="1">Cashflow!W138</f>
        <v>1</v>
      </c>
      <c r="X22" s="239">
        <f ca="1">Cashflow!X138</f>
        <v>1</v>
      </c>
      <c r="Y22" s="239">
        <f ca="1">Cashflow!Y138</f>
        <v>1</v>
      </c>
      <c r="Z22" s="239">
        <f ca="1">Cashflow!Z138</f>
        <v>1</v>
      </c>
      <c r="AA22" s="239">
        <f ca="1">Cashflow!AA138</f>
        <v>1</v>
      </c>
      <c r="AB22" s="239">
        <f ca="1">Cashflow!AB138</f>
        <v>1</v>
      </c>
      <c r="AC22" s="239">
        <f ca="1">Cashflow!AC138</f>
        <v>1</v>
      </c>
      <c r="AD22" s="239">
        <f ca="1">Cashflow!AD138</f>
        <v>1</v>
      </c>
      <c r="AE22" s="239">
        <f ca="1">Cashflow!AE138</f>
        <v>1</v>
      </c>
      <c r="AF22" s="239">
        <f ca="1">Cashflow!AF138</f>
        <v>1</v>
      </c>
      <c r="AG22" s="239">
        <f ca="1">Cashflow!AG138</f>
        <v>1</v>
      </c>
      <c r="AH22" s="157"/>
      <c r="AI22" s="155"/>
      <c r="AJ22" s="142"/>
      <c r="AK22" s="21"/>
      <c r="AL22" s="21"/>
      <c r="AM22" s="19"/>
      <c r="AN22" s="19"/>
      <c r="AO22" s="326"/>
      <c r="AP22" s="326"/>
      <c r="AQ22" s="326"/>
      <c r="AR22" s="326"/>
      <c r="AS22" s="326"/>
      <c r="AT22" s="326"/>
      <c r="AU22" s="326"/>
      <c r="AV22" s="326"/>
      <c r="AW22" s="326"/>
      <c r="AX22" s="326"/>
      <c r="AY22" s="326"/>
      <c r="AZ22" s="326"/>
    </row>
    <row r="23" spans="1:52" s="26" customFormat="1" ht="13.2">
      <c r="A23" s="19"/>
      <c r="B23" s="631" t="s">
        <v>1130</v>
      </c>
      <c r="C23" s="435">
        <f>Cashflow!C141</f>
        <v>0</v>
      </c>
      <c r="D23" s="435">
        <f>Cashflow!D141</f>
        <v>0</v>
      </c>
      <c r="E23" s="435">
        <f>Cashflow!E141</f>
        <v>0</v>
      </c>
      <c r="F23" s="435">
        <f>Cashflow!F141</f>
        <v>0</v>
      </c>
      <c r="G23" s="435">
        <f>Cashflow!G141</f>
        <v>2</v>
      </c>
      <c r="H23" s="435">
        <f>Cashflow!H141</f>
        <v>0</v>
      </c>
      <c r="I23" s="435">
        <f>Cashflow!I141</f>
        <v>0</v>
      </c>
      <c r="J23" s="435">
        <f>Cashflow!J141</f>
        <v>0</v>
      </c>
      <c r="K23" s="435">
        <f>Cashflow!K141</f>
        <v>0</v>
      </c>
      <c r="L23" s="435">
        <f ca="1">Cashflow!L141</f>
        <v>0</v>
      </c>
      <c r="M23" s="435">
        <f ca="1">Cashflow!M141</f>
        <v>0</v>
      </c>
      <c r="N23" s="435">
        <f ca="1">Cashflow!N141</f>
        <v>0</v>
      </c>
      <c r="O23" s="435">
        <f ca="1">Cashflow!O141</f>
        <v>0</v>
      </c>
      <c r="P23" s="435">
        <f ca="1">Cashflow!P141</f>
        <v>0</v>
      </c>
      <c r="Q23" s="435">
        <f ca="1">Cashflow!Q141</f>
        <v>0</v>
      </c>
      <c r="R23" s="435">
        <f ca="1">Cashflow!R141</f>
        <v>0</v>
      </c>
      <c r="S23" s="435">
        <f ca="1">Cashflow!S141</f>
        <v>0</v>
      </c>
      <c r="T23" s="435">
        <f ca="1">Cashflow!T141</f>
        <v>0</v>
      </c>
      <c r="U23" s="435">
        <f ca="1">Cashflow!U141</f>
        <v>0</v>
      </c>
      <c r="V23" s="435">
        <f ca="1">Cashflow!V141</f>
        <v>0</v>
      </c>
      <c r="W23" s="435">
        <f ca="1">Cashflow!W141</f>
        <v>0</v>
      </c>
      <c r="X23" s="435">
        <f ca="1">Cashflow!X141</f>
        <v>0</v>
      </c>
      <c r="Y23" s="435">
        <f ca="1">Cashflow!Y141</f>
        <v>0</v>
      </c>
      <c r="Z23" s="435">
        <f ca="1">Cashflow!Z141</f>
        <v>0</v>
      </c>
      <c r="AA23" s="435">
        <f ca="1">Cashflow!AA141</f>
        <v>0</v>
      </c>
      <c r="AB23" s="435">
        <f ca="1">Cashflow!AB141</f>
        <v>0</v>
      </c>
      <c r="AC23" s="435">
        <f ca="1">Cashflow!AC141</f>
        <v>0</v>
      </c>
      <c r="AD23" s="435">
        <f ca="1">Cashflow!AD141</f>
        <v>0</v>
      </c>
      <c r="AE23" s="435">
        <f ca="1">Cashflow!AE141</f>
        <v>0</v>
      </c>
      <c r="AF23" s="435">
        <f ca="1">Cashflow!AF141</f>
        <v>0</v>
      </c>
      <c r="AG23" s="435">
        <f ca="1">Cashflow!AG141</f>
        <v>0</v>
      </c>
      <c r="AH23" s="157"/>
      <c r="AI23" s="155"/>
      <c r="AJ23" s="142"/>
      <c r="AK23" s="21"/>
      <c r="AL23" s="21"/>
      <c r="AM23" s="19"/>
      <c r="AN23" s="19"/>
      <c r="AO23" s="326"/>
      <c r="AP23" s="326"/>
      <c r="AQ23" s="326"/>
      <c r="AR23" s="326"/>
      <c r="AS23" s="326"/>
      <c r="AT23" s="326"/>
      <c r="AU23" s="326"/>
      <c r="AV23" s="326"/>
      <c r="AW23" s="326"/>
      <c r="AX23" s="326"/>
      <c r="AY23" s="326"/>
      <c r="AZ23" s="326"/>
    </row>
    <row r="24" spans="1:52" s="26" customFormat="1" ht="13.2">
      <c r="A24" s="19"/>
      <c r="B24" s="55" t="s">
        <v>792</v>
      </c>
      <c r="C24" s="239">
        <f>Cashflow!C142</f>
        <v>0</v>
      </c>
      <c r="D24" s="239">
        <f>Cashflow!D142</f>
        <v>0</v>
      </c>
      <c r="E24" s="239">
        <f>Cashflow!E142</f>
        <v>0</v>
      </c>
      <c r="F24" s="239">
        <f>Cashflow!F142</f>
        <v>0</v>
      </c>
      <c r="G24" s="239">
        <f>Cashflow!G142</f>
        <v>2</v>
      </c>
      <c r="H24" s="239">
        <f>Cashflow!H142</f>
        <v>2</v>
      </c>
      <c r="I24" s="239">
        <f>Cashflow!I142</f>
        <v>2</v>
      </c>
      <c r="J24" s="239">
        <f>Cashflow!J142</f>
        <v>2</v>
      </c>
      <c r="K24" s="239">
        <f>Cashflow!K142</f>
        <v>2</v>
      </c>
      <c r="L24" s="239">
        <f ca="1">Cashflow!L142</f>
        <v>2</v>
      </c>
      <c r="M24" s="239">
        <f ca="1">Cashflow!M142</f>
        <v>2</v>
      </c>
      <c r="N24" s="239">
        <f ca="1">Cashflow!N142</f>
        <v>2</v>
      </c>
      <c r="O24" s="239">
        <f ca="1">Cashflow!O142</f>
        <v>2</v>
      </c>
      <c r="P24" s="239">
        <f ca="1">Cashflow!P142</f>
        <v>2</v>
      </c>
      <c r="Q24" s="239">
        <f ca="1">Cashflow!Q142</f>
        <v>2</v>
      </c>
      <c r="R24" s="239">
        <f ca="1">Cashflow!R142</f>
        <v>2</v>
      </c>
      <c r="S24" s="239">
        <f ca="1">Cashflow!S142</f>
        <v>2</v>
      </c>
      <c r="T24" s="239">
        <f ca="1">Cashflow!T142</f>
        <v>2</v>
      </c>
      <c r="U24" s="239">
        <f ca="1">Cashflow!U142</f>
        <v>2</v>
      </c>
      <c r="V24" s="239">
        <f ca="1">Cashflow!V142</f>
        <v>2</v>
      </c>
      <c r="W24" s="239">
        <f ca="1">Cashflow!W142</f>
        <v>2</v>
      </c>
      <c r="X24" s="239">
        <f ca="1">Cashflow!X142</f>
        <v>2</v>
      </c>
      <c r="Y24" s="239">
        <f ca="1">Cashflow!Y142</f>
        <v>2</v>
      </c>
      <c r="Z24" s="239">
        <f ca="1">Cashflow!Z142</f>
        <v>2</v>
      </c>
      <c r="AA24" s="239">
        <f ca="1">Cashflow!AA142</f>
        <v>2</v>
      </c>
      <c r="AB24" s="239">
        <f ca="1">Cashflow!AB142</f>
        <v>2</v>
      </c>
      <c r="AC24" s="239">
        <f ca="1">Cashflow!AC142</f>
        <v>2</v>
      </c>
      <c r="AD24" s="239">
        <f ca="1">Cashflow!AD142</f>
        <v>2</v>
      </c>
      <c r="AE24" s="239">
        <f ca="1">Cashflow!AE142</f>
        <v>2</v>
      </c>
      <c r="AF24" s="239">
        <f ca="1">Cashflow!AF142</f>
        <v>2</v>
      </c>
      <c r="AG24" s="239">
        <f ca="1">Cashflow!AG142</f>
        <v>2</v>
      </c>
      <c r="AH24" s="157"/>
      <c r="AI24" s="155"/>
      <c r="AJ24" s="142"/>
      <c r="AK24" s="21"/>
      <c r="AL24" s="21"/>
      <c r="AM24" s="19"/>
      <c r="AN24" s="19"/>
      <c r="AO24" s="326"/>
      <c r="AP24" s="326"/>
      <c r="AQ24" s="326"/>
      <c r="AR24" s="326"/>
      <c r="AS24" s="326"/>
      <c r="AT24" s="326"/>
      <c r="AU24" s="326"/>
      <c r="AV24" s="326"/>
      <c r="AW24" s="326"/>
      <c r="AX24" s="326"/>
      <c r="AY24" s="326"/>
      <c r="AZ24" s="326"/>
    </row>
    <row r="25" spans="1:52" s="26" customFormat="1" ht="13.2">
      <c r="A25" s="19"/>
      <c r="B25" s="434" t="s">
        <v>1601</v>
      </c>
      <c r="C25" s="239">
        <f>Cashflow!C143</f>
        <v>0</v>
      </c>
      <c r="D25" s="239">
        <f>Cashflow!D143</f>
        <v>0</v>
      </c>
      <c r="E25" s="239">
        <f>Cashflow!E143</f>
        <v>0</v>
      </c>
      <c r="F25" s="239">
        <f>Cashflow!F143</f>
        <v>0</v>
      </c>
      <c r="G25" s="239">
        <f>Cashflow!G143</f>
        <v>1</v>
      </c>
      <c r="H25" s="239">
        <f>Cashflow!H143</f>
        <v>0</v>
      </c>
      <c r="I25" s="239">
        <f>Cashflow!I143</f>
        <v>0</v>
      </c>
      <c r="J25" s="239">
        <f>Cashflow!J143</f>
        <v>0</v>
      </c>
      <c r="K25" s="239">
        <f>Cashflow!K143</f>
        <v>0</v>
      </c>
      <c r="L25" s="239">
        <f ca="1">Cashflow!L143</f>
        <v>0</v>
      </c>
      <c r="M25" s="239">
        <f ca="1">Cashflow!M143</f>
        <v>0</v>
      </c>
      <c r="N25" s="239">
        <f ca="1">Cashflow!N143</f>
        <v>0</v>
      </c>
      <c r="O25" s="239">
        <f ca="1">Cashflow!O143</f>
        <v>0</v>
      </c>
      <c r="P25" s="239">
        <f ca="1">Cashflow!P143</f>
        <v>0</v>
      </c>
      <c r="Q25" s="239">
        <f ca="1">Cashflow!Q143</f>
        <v>0</v>
      </c>
      <c r="R25" s="239">
        <f ca="1">Cashflow!R143</f>
        <v>0</v>
      </c>
      <c r="S25" s="239">
        <f ca="1">Cashflow!S143</f>
        <v>0</v>
      </c>
      <c r="T25" s="239">
        <f ca="1">Cashflow!T143</f>
        <v>0</v>
      </c>
      <c r="U25" s="239">
        <f ca="1">Cashflow!U143</f>
        <v>0</v>
      </c>
      <c r="V25" s="239">
        <f ca="1">Cashflow!V143</f>
        <v>0</v>
      </c>
      <c r="W25" s="239">
        <f ca="1">Cashflow!W143</f>
        <v>0</v>
      </c>
      <c r="X25" s="239">
        <f ca="1">Cashflow!X143</f>
        <v>0</v>
      </c>
      <c r="Y25" s="239">
        <f ca="1">Cashflow!Y143</f>
        <v>0</v>
      </c>
      <c r="Z25" s="239">
        <f ca="1">Cashflow!Z143</f>
        <v>0</v>
      </c>
      <c r="AA25" s="239">
        <f ca="1">Cashflow!AA143</f>
        <v>0</v>
      </c>
      <c r="AB25" s="239">
        <f ca="1">Cashflow!AB143</f>
        <v>0</v>
      </c>
      <c r="AC25" s="239">
        <f ca="1">Cashflow!AC143</f>
        <v>0</v>
      </c>
      <c r="AD25" s="239">
        <f ca="1">Cashflow!AD143</f>
        <v>0</v>
      </c>
      <c r="AE25" s="239">
        <f ca="1">Cashflow!AE143</f>
        <v>0</v>
      </c>
      <c r="AF25" s="239">
        <f ca="1">Cashflow!AF143</f>
        <v>0</v>
      </c>
      <c r="AG25" s="239">
        <f ca="1">Cashflow!AG143</f>
        <v>0</v>
      </c>
      <c r="AH25" s="157"/>
      <c r="AI25" s="155"/>
      <c r="AJ25" s="142"/>
      <c r="AK25" s="21"/>
      <c r="AL25" s="21"/>
      <c r="AM25" s="19"/>
      <c r="AN25" s="19"/>
      <c r="AO25" s="326"/>
      <c r="AP25" s="326"/>
      <c r="AQ25" s="326"/>
      <c r="AR25" s="326"/>
      <c r="AS25" s="326"/>
      <c r="AT25" s="326"/>
      <c r="AU25" s="326"/>
      <c r="AV25" s="326"/>
      <c r="AW25" s="326"/>
      <c r="AX25" s="326"/>
      <c r="AY25" s="326"/>
      <c r="AZ25" s="326"/>
    </row>
    <row r="26" spans="1:52" s="26" customFormat="1" ht="13.2">
      <c r="A26" s="19"/>
      <c r="B26" s="434" t="s">
        <v>1602</v>
      </c>
      <c r="C26" s="239">
        <f>Cashflow!C144</f>
        <v>0</v>
      </c>
      <c r="D26" s="239">
        <f>Cashflow!D144</f>
        <v>0</v>
      </c>
      <c r="E26" s="239">
        <f>Cashflow!E144</f>
        <v>0</v>
      </c>
      <c r="F26" s="239">
        <f>Cashflow!F144</f>
        <v>0</v>
      </c>
      <c r="G26" s="239">
        <f>Cashflow!G144</f>
        <v>1</v>
      </c>
      <c r="H26" s="239">
        <f>Cashflow!H144</f>
        <v>1</v>
      </c>
      <c r="I26" s="239">
        <f>Cashflow!I144</f>
        <v>1</v>
      </c>
      <c r="J26" s="239">
        <f>Cashflow!J144</f>
        <v>1</v>
      </c>
      <c r="K26" s="239">
        <f>Cashflow!K144</f>
        <v>1</v>
      </c>
      <c r="L26" s="239">
        <f ca="1">Cashflow!L144</f>
        <v>1</v>
      </c>
      <c r="M26" s="239">
        <f ca="1">Cashflow!M144</f>
        <v>1</v>
      </c>
      <c r="N26" s="239">
        <f ca="1">Cashflow!N144</f>
        <v>1</v>
      </c>
      <c r="O26" s="239">
        <f ca="1">Cashflow!O144</f>
        <v>1</v>
      </c>
      <c r="P26" s="239">
        <f ca="1">Cashflow!P144</f>
        <v>1</v>
      </c>
      <c r="Q26" s="239">
        <f ca="1">Cashflow!Q144</f>
        <v>1</v>
      </c>
      <c r="R26" s="239">
        <f ca="1">Cashflow!R144</f>
        <v>1</v>
      </c>
      <c r="S26" s="239">
        <f ca="1">Cashflow!S144</f>
        <v>1</v>
      </c>
      <c r="T26" s="239">
        <f ca="1">Cashflow!T144</f>
        <v>1</v>
      </c>
      <c r="U26" s="239">
        <f ca="1">Cashflow!U144</f>
        <v>1</v>
      </c>
      <c r="V26" s="239">
        <f ca="1">Cashflow!V144</f>
        <v>1</v>
      </c>
      <c r="W26" s="239">
        <f ca="1">Cashflow!W144</f>
        <v>1</v>
      </c>
      <c r="X26" s="239">
        <f ca="1">Cashflow!X144</f>
        <v>1</v>
      </c>
      <c r="Y26" s="239">
        <f ca="1">Cashflow!Y144</f>
        <v>1</v>
      </c>
      <c r="Z26" s="239">
        <f ca="1">Cashflow!Z144</f>
        <v>1</v>
      </c>
      <c r="AA26" s="239">
        <f ca="1">Cashflow!AA144</f>
        <v>1</v>
      </c>
      <c r="AB26" s="239">
        <f ca="1">Cashflow!AB144</f>
        <v>1</v>
      </c>
      <c r="AC26" s="239">
        <f ca="1">Cashflow!AC144</f>
        <v>1</v>
      </c>
      <c r="AD26" s="239">
        <f ca="1">Cashflow!AD144</f>
        <v>1</v>
      </c>
      <c r="AE26" s="239">
        <f ca="1">Cashflow!AE144</f>
        <v>1</v>
      </c>
      <c r="AF26" s="239">
        <f ca="1">Cashflow!AF144</f>
        <v>1</v>
      </c>
      <c r="AG26" s="239">
        <f ca="1">Cashflow!AG144</f>
        <v>1</v>
      </c>
      <c r="AH26" s="157"/>
      <c r="AI26" s="155"/>
      <c r="AJ26" s="142"/>
      <c r="AK26" s="21"/>
      <c r="AL26" s="21"/>
      <c r="AM26" s="19"/>
      <c r="AN26" s="19"/>
      <c r="AO26" s="326"/>
      <c r="AP26" s="326"/>
      <c r="AQ26" s="326"/>
      <c r="AR26" s="326"/>
      <c r="AS26" s="326"/>
      <c r="AT26" s="326"/>
      <c r="AU26" s="326"/>
      <c r="AV26" s="326"/>
      <c r="AW26" s="326"/>
      <c r="AX26" s="326"/>
      <c r="AY26" s="326"/>
      <c r="AZ26" s="326"/>
    </row>
    <row r="27" spans="1:52" s="26" customFormat="1" ht="13.2">
      <c r="A27" s="19"/>
      <c r="B27" s="185" t="s">
        <v>1605</v>
      </c>
      <c r="C27" s="435">
        <f>Cashflow!C147</f>
        <v>0</v>
      </c>
      <c r="D27" s="435">
        <f>Cashflow!D147</f>
        <v>0</v>
      </c>
      <c r="E27" s="435">
        <f>Cashflow!E147</f>
        <v>0</v>
      </c>
      <c r="F27" s="435">
        <f>Cashflow!F147</f>
        <v>0</v>
      </c>
      <c r="G27" s="435">
        <f>Cashflow!G147</f>
        <v>0</v>
      </c>
      <c r="H27" s="435">
        <f>Cashflow!H147</f>
        <v>0</v>
      </c>
      <c r="I27" s="435">
        <f>Cashflow!I147</f>
        <v>1</v>
      </c>
      <c r="J27" s="435">
        <f>Cashflow!J147</f>
        <v>2</v>
      </c>
      <c r="K27" s="435">
        <f>Cashflow!K147</f>
        <v>2</v>
      </c>
      <c r="L27" s="435">
        <f ca="1">Cashflow!L147</f>
        <v>2</v>
      </c>
      <c r="M27" s="435">
        <f ca="1">Cashflow!M147</f>
        <v>2</v>
      </c>
      <c r="N27" s="435">
        <f ca="1">Cashflow!N147</f>
        <v>2</v>
      </c>
      <c r="O27" s="435">
        <f ca="1">Cashflow!O147</f>
        <v>0</v>
      </c>
      <c r="P27" s="435">
        <f ca="1">Cashflow!P147</f>
        <v>0</v>
      </c>
      <c r="Q27" s="435">
        <f ca="1">Cashflow!Q147</f>
        <v>0</v>
      </c>
      <c r="R27" s="435">
        <f ca="1">Cashflow!R147</f>
        <v>0</v>
      </c>
      <c r="S27" s="435">
        <f ca="1">Cashflow!S147</f>
        <v>0</v>
      </c>
      <c r="T27" s="435">
        <f ca="1">Cashflow!T147</f>
        <v>0</v>
      </c>
      <c r="U27" s="435">
        <f ca="1">Cashflow!U147</f>
        <v>0</v>
      </c>
      <c r="V27" s="435">
        <f ca="1">Cashflow!V147</f>
        <v>0</v>
      </c>
      <c r="W27" s="435">
        <f ca="1">Cashflow!W147</f>
        <v>0</v>
      </c>
      <c r="X27" s="435">
        <f ca="1">Cashflow!X147</f>
        <v>0</v>
      </c>
      <c r="Y27" s="435">
        <f ca="1">Cashflow!Y147</f>
        <v>0</v>
      </c>
      <c r="Z27" s="435">
        <f ca="1">Cashflow!Z147</f>
        <v>0</v>
      </c>
      <c r="AA27" s="435">
        <f ca="1">Cashflow!AA147</f>
        <v>0</v>
      </c>
      <c r="AB27" s="435">
        <f ca="1">Cashflow!AB147</f>
        <v>0</v>
      </c>
      <c r="AC27" s="435">
        <f ca="1">Cashflow!AC147</f>
        <v>0</v>
      </c>
      <c r="AD27" s="435">
        <f ca="1">Cashflow!AD147</f>
        <v>0</v>
      </c>
      <c r="AE27" s="435">
        <f ca="1">Cashflow!AE147</f>
        <v>0</v>
      </c>
      <c r="AF27" s="435">
        <f ca="1">Cashflow!AF147</f>
        <v>0</v>
      </c>
      <c r="AG27" s="435">
        <f ca="1">Cashflow!AG147</f>
        <v>0</v>
      </c>
      <c r="AH27" s="157"/>
      <c r="AI27" s="155"/>
      <c r="AJ27" s="142"/>
      <c r="AK27" s="21"/>
      <c r="AL27" s="21"/>
      <c r="AM27" s="19"/>
      <c r="AN27" s="19"/>
      <c r="AO27" s="326"/>
      <c r="AP27" s="326"/>
      <c r="AQ27" s="326"/>
      <c r="AR27" s="326"/>
      <c r="AS27" s="326"/>
      <c r="AT27" s="326"/>
      <c r="AU27" s="326"/>
      <c r="AV27" s="326"/>
      <c r="AW27" s="326"/>
      <c r="AX27" s="326"/>
      <c r="AY27" s="326"/>
      <c r="AZ27" s="326"/>
    </row>
    <row r="28" spans="1:52" s="26" customFormat="1" ht="13.2">
      <c r="A28" s="19"/>
      <c r="B28" s="55" t="s">
        <v>784</v>
      </c>
      <c r="C28" s="239">
        <f>Cashflow!C148</f>
        <v>0</v>
      </c>
      <c r="D28" s="239">
        <f>Cashflow!D148</f>
        <v>0</v>
      </c>
      <c r="E28" s="239">
        <f>Cashflow!E148</f>
        <v>0</v>
      </c>
      <c r="F28" s="239">
        <f>Cashflow!F148</f>
        <v>0</v>
      </c>
      <c r="G28" s="239">
        <f>Cashflow!G148</f>
        <v>0</v>
      </c>
      <c r="H28" s="239">
        <f>Cashflow!H148</f>
        <v>0</v>
      </c>
      <c r="I28" s="239">
        <f>Cashflow!I148</f>
        <v>1</v>
      </c>
      <c r="J28" s="239">
        <f>Cashflow!J148</f>
        <v>3</v>
      </c>
      <c r="K28" s="239">
        <f>Cashflow!K148</f>
        <v>5</v>
      </c>
      <c r="L28" s="239">
        <f ca="1">Cashflow!L148</f>
        <v>7</v>
      </c>
      <c r="M28" s="239">
        <f ca="1">Cashflow!M148</f>
        <v>9</v>
      </c>
      <c r="N28" s="239">
        <f ca="1">Cashflow!N148</f>
        <v>11</v>
      </c>
      <c r="O28" s="239">
        <f ca="1">Cashflow!O148</f>
        <v>11</v>
      </c>
      <c r="P28" s="239">
        <f ca="1">Cashflow!P148</f>
        <v>11</v>
      </c>
      <c r="Q28" s="239">
        <f ca="1">Cashflow!Q148</f>
        <v>11</v>
      </c>
      <c r="R28" s="239">
        <f ca="1">Cashflow!R148</f>
        <v>11</v>
      </c>
      <c r="S28" s="239">
        <f ca="1">Cashflow!S148</f>
        <v>11</v>
      </c>
      <c r="T28" s="239">
        <f ca="1">Cashflow!T148</f>
        <v>11</v>
      </c>
      <c r="U28" s="239">
        <f ca="1">Cashflow!U148</f>
        <v>11</v>
      </c>
      <c r="V28" s="239">
        <f ca="1">Cashflow!V148</f>
        <v>11</v>
      </c>
      <c r="W28" s="239">
        <f ca="1">Cashflow!W148</f>
        <v>11</v>
      </c>
      <c r="X28" s="239">
        <f ca="1">Cashflow!X148</f>
        <v>11</v>
      </c>
      <c r="Y28" s="239">
        <f ca="1">Cashflow!Y148</f>
        <v>11</v>
      </c>
      <c r="Z28" s="239">
        <f ca="1">Cashflow!Z148</f>
        <v>11</v>
      </c>
      <c r="AA28" s="239">
        <f ca="1">Cashflow!AA148</f>
        <v>11</v>
      </c>
      <c r="AB28" s="239">
        <f ca="1">Cashflow!AB148</f>
        <v>11</v>
      </c>
      <c r="AC28" s="239">
        <f ca="1">Cashflow!AC148</f>
        <v>11</v>
      </c>
      <c r="AD28" s="239">
        <f ca="1">Cashflow!AD148</f>
        <v>11</v>
      </c>
      <c r="AE28" s="239">
        <f ca="1">Cashflow!AE148</f>
        <v>11</v>
      </c>
      <c r="AF28" s="239">
        <f ca="1">Cashflow!AF148</f>
        <v>11</v>
      </c>
      <c r="AG28" s="239">
        <f ca="1">Cashflow!AG148</f>
        <v>11</v>
      </c>
      <c r="AH28" s="157"/>
      <c r="AI28" s="155"/>
      <c r="AJ28" s="142"/>
      <c r="AK28" s="21"/>
      <c r="AL28" s="21"/>
      <c r="AM28" s="19"/>
      <c r="AN28" s="19"/>
      <c r="AO28" s="326"/>
      <c r="AP28" s="326"/>
      <c r="AQ28" s="326"/>
      <c r="AR28" s="326"/>
      <c r="AS28" s="326"/>
      <c r="AT28" s="326"/>
      <c r="AU28" s="326"/>
      <c r="AV28" s="326"/>
      <c r="AW28" s="326"/>
      <c r="AX28" s="326"/>
      <c r="AY28" s="326"/>
      <c r="AZ28" s="326"/>
    </row>
    <row r="29" spans="1:52" s="26" customFormat="1" ht="13.2">
      <c r="A29" s="19"/>
      <c r="B29" s="55" t="s">
        <v>1603</v>
      </c>
      <c r="C29" s="239">
        <f>Cashflow!C149</f>
        <v>0</v>
      </c>
      <c r="D29" s="239">
        <f>Cashflow!D149</f>
        <v>0</v>
      </c>
      <c r="E29" s="239">
        <f>Cashflow!E149</f>
        <v>0</v>
      </c>
      <c r="F29" s="239">
        <f>Cashflow!F149</f>
        <v>0</v>
      </c>
      <c r="G29" s="239">
        <f>Cashflow!G149</f>
        <v>0</v>
      </c>
      <c r="H29" s="239">
        <f>Cashflow!H149</f>
        <v>0</v>
      </c>
      <c r="I29" s="239">
        <f>Cashflow!I149</f>
        <v>1</v>
      </c>
      <c r="J29" s="239">
        <f>Cashflow!J149</f>
        <v>2</v>
      </c>
      <c r="K29" s="239">
        <f>Cashflow!K149</f>
        <v>1</v>
      </c>
      <c r="L29" s="239">
        <f ca="1">Cashflow!L149</f>
        <v>2</v>
      </c>
      <c r="M29" s="239">
        <f ca="1">Cashflow!M149</f>
        <v>1</v>
      </c>
      <c r="N29" s="239">
        <f ca="1">Cashflow!N149</f>
        <v>2</v>
      </c>
      <c r="O29" s="239">
        <f ca="1">Cashflow!O149</f>
        <v>0</v>
      </c>
      <c r="P29" s="239">
        <f ca="1">Cashflow!P149</f>
        <v>0</v>
      </c>
      <c r="Q29" s="239">
        <f ca="1">Cashflow!Q149</f>
        <v>0</v>
      </c>
      <c r="R29" s="239">
        <f ca="1">Cashflow!R149</f>
        <v>0</v>
      </c>
      <c r="S29" s="239">
        <f ca="1">Cashflow!S149</f>
        <v>0</v>
      </c>
      <c r="T29" s="239">
        <f ca="1">Cashflow!T149</f>
        <v>0</v>
      </c>
      <c r="U29" s="239">
        <f ca="1">Cashflow!U149</f>
        <v>0</v>
      </c>
      <c r="V29" s="239">
        <f ca="1">Cashflow!V149</f>
        <v>0</v>
      </c>
      <c r="W29" s="239">
        <f ca="1">Cashflow!W149</f>
        <v>0</v>
      </c>
      <c r="X29" s="239">
        <f ca="1">Cashflow!X149</f>
        <v>0</v>
      </c>
      <c r="Y29" s="239">
        <f ca="1">Cashflow!Y149</f>
        <v>0</v>
      </c>
      <c r="Z29" s="239">
        <f ca="1">Cashflow!Z149</f>
        <v>0</v>
      </c>
      <c r="AA29" s="239">
        <f ca="1">Cashflow!AA149</f>
        <v>0</v>
      </c>
      <c r="AB29" s="239">
        <f ca="1">Cashflow!AB149</f>
        <v>0</v>
      </c>
      <c r="AC29" s="239">
        <f ca="1">Cashflow!AC149</f>
        <v>0</v>
      </c>
      <c r="AD29" s="239">
        <f ca="1">Cashflow!AD149</f>
        <v>0</v>
      </c>
      <c r="AE29" s="239">
        <f ca="1">Cashflow!AE149</f>
        <v>0</v>
      </c>
      <c r="AF29" s="239">
        <f ca="1">Cashflow!AF149</f>
        <v>0</v>
      </c>
      <c r="AG29" s="239">
        <f ca="1">Cashflow!AG149</f>
        <v>0</v>
      </c>
      <c r="AH29" s="157"/>
      <c r="AI29" s="155"/>
      <c r="AJ29" s="142"/>
      <c r="AK29" s="21"/>
      <c r="AL29" s="21"/>
      <c r="AM29" s="19"/>
      <c r="AN29" s="19"/>
      <c r="AO29" s="326"/>
      <c r="AP29" s="326"/>
      <c r="AQ29" s="326"/>
      <c r="AR29" s="326"/>
      <c r="AS29" s="326"/>
      <c r="AT29" s="326"/>
      <c r="AU29" s="326"/>
      <c r="AV29" s="326"/>
      <c r="AW29" s="326"/>
      <c r="AX29" s="326"/>
      <c r="AY29" s="326"/>
      <c r="AZ29" s="326"/>
    </row>
    <row r="30" spans="1:52" s="26" customFormat="1" ht="13.2">
      <c r="A30" s="19"/>
      <c r="B30" s="55" t="s">
        <v>1604</v>
      </c>
      <c r="C30" s="239">
        <f>Cashflow!C150</f>
        <v>0</v>
      </c>
      <c r="D30" s="239">
        <f>Cashflow!D150</f>
        <v>0</v>
      </c>
      <c r="E30" s="239">
        <f>Cashflow!E150</f>
        <v>0</v>
      </c>
      <c r="F30" s="239">
        <f>Cashflow!F150</f>
        <v>0</v>
      </c>
      <c r="G30" s="239">
        <f>Cashflow!G150</f>
        <v>0</v>
      </c>
      <c r="H30" s="239">
        <f>Cashflow!H150</f>
        <v>0</v>
      </c>
      <c r="I30" s="239">
        <f>Cashflow!I150</f>
        <v>1</v>
      </c>
      <c r="J30" s="239">
        <f>Cashflow!J150</f>
        <v>3</v>
      </c>
      <c r="K30" s="239">
        <f>Cashflow!K150</f>
        <v>4</v>
      </c>
      <c r="L30" s="239">
        <f ca="1">Cashflow!L150</f>
        <v>6</v>
      </c>
      <c r="M30" s="239">
        <f ca="1">Cashflow!M150</f>
        <v>7</v>
      </c>
      <c r="N30" s="239">
        <f ca="1">Cashflow!N150</f>
        <v>9</v>
      </c>
      <c r="O30" s="239">
        <f ca="1">Cashflow!O150</f>
        <v>9</v>
      </c>
      <c r="P30" s="239">
        <f ca="1">Cashflow!P150</f>
        <v>9</v>
      </c>
      <c r="Q30" s="239">
        <f ca="1">Cashflow!Q150</f>
        <v>9</v>
      </c>
      <c r="R30" s="239">
        <f ca="1">Cashflow!R150</f>
        <v>9</v>
      </c>
      <c r="S30" s="239">
        <f ca="1">Cashflow!S150</f>
        <v>9</v>
      </c>
      <c r="T30" s="239">
        <f ca="1">Cashflow!T150</f>
        <v>9</v>
      </c>
      <c r="U30" s="239">
        <f ca="1">Cashflow!U150</f>
        <v>9</v>
      </c>
      <c r="V30" s="239">
        <f ca="1">Cashflow!V150</f>
        <v>9</v>
      </c>
      <c r="W30" s="239">
        <f ca="1">Cashflow!W150</f>
        <v>9</v>
      </c>
      <c r="X30" s="239">
        <f ca="1">Cashflow!X150</f>
        <v>9</v>
      </c>
      <c r="Y30" s="239">
        <f ca="1">Cashflow!Y150</f>
        <v>9</v>
      </c>
      <c r="Z30" s="239">
        <f ca="1">Cashflow!Z150</f>
        <v>9</v>
      </c>
      <c r="AA30" s="239">
        <f ca="1">Cashflow!AA150</f>
        <v>9</v>
      </c>
      <c r="AB30" s="239">
        <f ca="1">Cashflow!AB150</f>
        <v>9</v>
      </c>
      <c r="AC30" s="239">
        <f ca="1">Cashflow!AC150</f>
        <v>9</v>
      </c>
      <c r="AD30" s="239">
        <f ca="1">Cashflow!AD150</f>
        <v>9</v>
      </c>
      <c r="AE30" s="239">
        <f ca="1">Cashflow!AE150</f>
        <v>9</v>
      </c>
      <c r="AF30" s="239">
        <f ca="1">Cashflow!AF150</f>
        <v>9</v>
      </c>
      <c r="AG30" s="239">
        <f ca="1">Cashflow!AG150</f>
        <v>9</v>
      </c>
      <c r="AH30" s="157"/>
      <c r="AI30" s="155"/>
      <c r="AJ30" s="142"/>
      <c r="AK30" s="21"/>
      <c r="AL30" s="21"/>
      <c r="AM30" s="19"/>
      <c r="AN30" s="19"/>
      <c r="AO30" s="326"/>
      <c r="AP30" s="326"/>
      <c r="AQ30" s="326"/>
      <c r="AR30" s="326"/>
      <c r="AS30" s="326"/>
      <c r="AT30" s="326"/>
      <c r="AU30" s="326"/>
      <c r="AV30" s="326"/>
      <c r="AW30" s="326"/>
      <c r="AX30" s="326"/>
      <c r="AY30" s="326"/>
      <c r="AZ30" s="326"/>
    </row>
    <row r="31" spans="1:52" s="26" customFormat="1" ht="13.2">
      <c r="A31" s="19"/>
      <c r="B31" s="631" t="s">
        <v>1710</v>
      </c>
      <c r="C31" s="239">
        <f>Cashflow!C153</f>
        <v>0</v>
      </c>
      <c r="D31" s="239">
        <f>Cashflow!D153</f>
        <v>0</v>
      </c>
      <c r="E31" s="239">
        <f>Cashflow!E153</f>
        <v>0</v>
      </c>
      <c r="F31" s="239">
        <f>Cashflow!F153</f>
        <v>0</v>
      </c>
      <c r="G31" s="239">
        <f>Cashflow!G153</f>
        <v>0</v>
      </c>
      <c r="H31" s="239">
        <f>Cashflow!H153</f>
        <v>0</v>
      </c>
      <c r="I31" s="239">
        <f>Cashflow!I153</f>
        <v>1</v>
      </c>
      <c r="J31" s="239">
        <f>Cashflow!J153</f>
        <v>2</v>
      </c>
      <c r="K31" s="239">
        <f>Cashflow!K153</f>
        <v>1</v>
      </c>
      <c r="L31" s="239">
        <f ca="1">Cashflow!L153</f>
        <v>2</v>
      </c>
      <c r="M31" s="239">
        <f ca="1">Cashflow!M153</f>
        <v>1</v>
      </c>
      <c r="N31" s="239">
        <f ca="1">Cashflow!N153</f>
        <v>2</v>
      </c>
      <c r="O31" s="239">
        <f ca="1">Cashflow!O153</f>
        <v>0</v>
      </c>
      <c r="P31" s="239">
        <f ca="1">Cashflow!P153</f>
        <v>0</v>
      </c>
      <c r="Q31" s="239">
        <f ca="1">Cashflow!Q153</f>
        <v>0</v>
      </c>
      <c r="R31" s="239">
        <f ca="1">Cashflow!R153</f>
        <v>0</v>
      </c>
      <c r="S31" s="239">
        <f ca="1">Cashflow!S153</f>
        <v>0</v>
      </c>
      <c r="T31" s="239">
        <f ca="1">Cashflow!T153</f>
        <v>0</v>
      </c>
      <c r="U31" s="239">
        <f ca="1">Cashflow!U153</f>
        <v>0</v>
      </c>
      <c r="V31" s="239">
        <f ca="1">Cashflow!V153</f>
        <v>0</v>
      </c>
      <c r="W31" s="239">
        <f ca="1">Cashflow!W153</f>
        <v>0</v>
      </c>
      <c r="X31" s="239">
        <f ca="1">Cashflow!X153</f>
        <v>0</v>
      </c>
      <c r="Y31" s="239">
        <f ca="1">Cashflow!Y153</f>
        <v>0</v>
      </c>
      <c r="Z31" s="239">
        <f ca="1">Cashflow!Z153</f>
        <v>0</v>
      </c>
      <c r="AA31" s="239">
        <f ca="1">Cashflow!AA153</f>
        <v>0</v>
      </c>
      <c r="AB31" s="239">
        <f ca="1">Cashflow!AB153</f>
        <v>0</v>
      </c>
      <c r="AC31" s="239">
        <f ca="1">Cashflow!AC153</f>
        <v>0</v>
      </c>
      <c r="AD31" s="239">
        <f ca="1">Cashflow!AD153</f>
        <v>0</v>
      </c>
      <c r="AE31" s="239">
        <f ca="1">Cashflow!AE153</f>
        <v>0</v>
      </c>
      <c r="AF31" s="239">
        <f ca="1">Cashflow!AF153</f>
        <v>0</v>
      </c>
      <c r="AG31" s="239">
        <f ca="1">Cashflow!AG153</f>
        <v>0</v>
      </c>
      <c r="AH31" s="157"/>
      <c r="AI31" s="155"/>
      <c r="AJ31" s="142"/>
      <c r="AK31" s="21"/>
      <c r="AL31" s="21"/>
      <c r="AM31" s="19"/>
      <c r="AN31" s="19"/>
      <c r="AO31" s="326"/>
      <c r="AP31" s="326"/>
      <c r="AQ31" s="326"/>
      <c r="AR31" s="326"/>
      <c r="AS31" s="326"/>
      <c r="AT31" s="326"/>
      <c r="AU31" s="326"/>
      <c r="AV31" s="326"/>
      <c r="AW31" s="326"/>
      <c r="AX31" s="326"/>
      <c r="AY31" s="326"/>
      <c r="AZ31" s="326"/>
    </row>
    <row r="32" spans="1:52" s="26" customFormat="1" ht="13.2">
      <c r="A32" s="19"/>
      <c r="B32" s="55" t="s">
        <v>1711</v>
      </c>
      <c r="C32" s="239">
        <f>Cashflow!C154</f>
        <v>0</v>
      </c>
      <c r="D32" s="239">
        <f>Cashflow!D154</f>
        <v>0</v>
      </c>
      <c r="E32" s="239">
        <f>Cashflow!E154</f>
        <v>0</v>
      </c>
      <c r="F32" s="239">
        <f>Cashflow!F154</f>
        <v>0</v>
      </c>
      <c r="G32" s="239">
        <f>Cashflow!G154</f>
        <v>0</v>
      </c>
      <c r="H32" s="239">
        <f>Cashflow!H154</f>
        <v>0</v>
      </c>
      <c r="I32" s="239">
        <f>Cashflow!I154</f>
        <v>1</v>
      </c>
      <c r="J32" s="239">
        <f>Cashflow!J154</f>
        <v>3</v>
      </c>
      <c r="K32" s="239">
        <f>Cashflow!K154</f>
        <v>4</v>
      </c>
      <c r="L32" s="239">
        <f ca="1">Cashflow!L154</f>
        <v>6</v>
      </c>
      <c r="M32" s="239">
        <f ca="1">Cashflow!M154</f>
        <v>7</v>
      </c>
      <c r="N32" s="239">
        <f ca="1">Cashflow!N154</f>
        <v>9</v>
      </c>
      <c r="O32" s="239">
        <f ca="1">Cashflow!O154</f>
        <v>9</v>
      </c>
      <c r="P32" s="239">
        <f ca="1">Cashflow!P154</f>
        <v>9</v>
      </c>
      <c r="Q32" s="239">
        <f ca="1">Cashflow!Q154</f>
        <v>9</v>
      </c>
      <c r="R32" s="239">
        <f ca="1">Cashflow!R154</f>
        <v>9</v>
      </c>
      <c r="S32" s="239">
        <f ca="1">Cashflow!S154</f>
        <v>9</v>
      </c>
      <c r="T32" s="239">
        <f ca="1">Cashflow!T154</f>
        <v>9</v>
      </c>
      <c r="U32" s="239">
        <f ca="1">Cashflow!U154</f>
        <v>9</v>
      </c>
      <c r="V32" s="239">
        <f ca="1">Cashflow!V154</f>
        <v>9</v>
      </c>
      <c r="W32" s="239">
        <f ca="1">Cashflow!W154</f>
        <v>9</v>
      </c>
      <c r="X32" s="239">
        <f ca="1">Cashflow!X154</f>
        <v>9</v>
      </c>
      <c r="Y32" s="239">
        <f ca="1">Cashflow!Y154</f>
        <v>9</v>
      </c>
      <c r="Z32" s="239">
        <f ca="1">Cashflow!Z154</f>
        <v>9</v>
      </c>
      <c r="AA32" s="239">
        <f ca="1">Cashflow!AA154</f>
        <v>9</v>
      </c>
      <c r="AB32" s="239">
        <f ca="1">Cashflow!AB154</f>
        <v>9</v>
      </c>
      <c r="AC32" s="239">
        <f ca="1">Cashflow!AC154</f>
        <v>9</v>
      </c>
      <c r="AD32" s="239">
        <f ca="1">Cashflow!AD154</f>
        <v>9</v>
      </c>
      <c r="AE32" s="239">
        <f ca="1">Cashflow!AE154</f>
        <v>9</v>
      </c>
      <c r="AF32" s="239">
        <f ca="1">Cashflow!AF154</f>
        <v>9</v>
      </c>
      <c r="AG32" s="239">
        <f ca="1">Cashflow!AG154</f>
        <v>9</v>
      </c>
      <c r="AH32" s="159"/>
      <c r="AI32" s="155"/>
      <c r="AJ32" s="142"/>
      <c r="AK32" s="19"/>
      <c r="AL32" s="19"/>
      <c r="AM32" s="21"/>
      <c r="AN32" s="19"/>
      <c r="AO32" s="326"/>
      <c r="AP32" s="326"/>
      <c r="AQ32" s="326"/>
      <c r="AR32" s="326"/>
      <c r="AS32" s="326"/>
      <c r="AT32" s="326"/>
      <c r="AU32" s="326"/>
      <c r="AV32" s="326"/>
      <c r="AW32" s="326"/>
      <c r="AX32" s="326"/>
      <c r="AY32" s="326"/>
      <c r="AZ32" s="326"/>
    </row>
    <row r="33" spans="1:52" s="26" customFormat="1" ht="13.2">
      <c r="A33" s="19"/>
      <c r="B33" s="55" t="s">
        <v>846</v>
      </c>
      <c r="C33" s="239">
        <f>Cashflow!C155</f>
        <v>0</v>
      </c>
      <c r="D33" s="239">
        <f>Cashflow!D155</f>
        <v>0</v>
      </c>
      <c r="E33" s="239">
        <f>Cashflow!E155</f>
        <v>0</v>
      </c>
      <c r="F33" s="239">
        <f>Cashflow!F155</f>
        <v>0</v>
      </c>
      <c r="G33" s="239">
        <f>Cashflow!G155</f>
        <v>0</v>
      </c>
      <c r="H33" s="239">
        <f>Cashflow!H155</f>
        <v>0</v>
      </c>
      <c r="I33" s="239">
        <f>Cashflow!I155</f>
        <v>1</v>
      </c>
      <c r="J33" s="239">
        <f>Cashflow!J155</f>
        <v>3</v>
      </c>
      <c r="K33" s="239">
        <f>Cashflow!K155</f>
        <v>4</v>
      </c>
      <c r="L33" s="239">
        <f ca="1">Cashflow!L155</f>
        <v>6</v>
      </c>
      <c r="M33" s="239">
        <f ca="1">Cashflow!M155</f>
        <v>7</v>
      </c>
      <c r="N33" s="239">
        <f ca="1">Cashflow!N155</f>
        <v>9</v>
      </c>
      <c r="O33" s="239">
        <f ca="1">Cashflow!O155</f>
        <v>9</v>
      </c>
      <c r="P33" s="239">
        <f ca="1">Cashflow!P155</f>
        <v>9</v>
      </c>
      <c r="Q33" s="239">
        <f ca="1">Cashflow!Q155</f>
        <v>9</v>
      </c>
      <c r="R33" s="239">
        <f ca="1">Cashflow!R155</f>
        <v>9</v>
      </c>
      <c r="S33" s="239">
        <f ca="1">Cashflow!S155</f>
        <v>9</v>
      </c>
      <c r="T33" s="239">
        <f ca="1">Cashflow!T155</f>
        <v>9</v>
      </c>
      <c r="U33" s="239">
        <f ca="1">Cashflow!U155</f>
        <v>9</v>
      </c>
      <c r="V33" s="239">
        <f ca="1">Cashflow!V155</f>
        <v>9</v>
      </c>
      <c r="W33" s="239">
        <f ca="1">Cashflow!W155</f>
        <v>9</v>
      </c>
      <c r="X33" s="239">
        <f ca="1">Cashflow!X155</f>
        <v>9</v>
      </c>
      <c r="Y33" s="239">
        <f ca="1">Cashflow!Y155</f>
        <v>9</v>
      </c>
      <c r="Z33" s="239">
        <f ca="1">Cashflow!Z155</f>
        <v>9</v>
      </c>
      <c r="AA33" s="239">
        <f ca="1">Cashflow!AA155</f>
        <v>9</v>
      </c>
      <c r="AB33" s="239">
        <f ca="1">Cashflow!AB155</f>
        <v>9</v>
      </c>
      <c r="AC33" s="239">
        <f ca="1">Cashflow!AC155</f>
        <v>9</v>
      </c>
      <c r="AD33" s="239">
        <f ca="1">Cashflow!AD155</f>
        <v>9</v>
      </c>
      <c r="AE33" s="239">
        <f ca="1">Cashflow!AE155</f>
        <v>9</v>
      </c>
      <c r="AF33" s="239">
        <f ca="1">Cashflow!AF155</f>
        <v>9</v>
      </c>
      <c r="AG33" s="239">
        <f ca="1">Cashflow!AG155</f>
        <v>9</v>
      </c>
      <c r="AH33" s="157"/>
      <c r="AI33" s="155"/>
      <c r="AJ33" s="142"/>
      <c r="AK33" s="19"/>
      <c r="AL33" s="19"/>
      <c r="AM33" s="21"/>
      <c r="AN33" s="19"/>
      <c r="AO33" s="326"/>
      <c r="AP33" s="326"/>
      <c r="AQ33" s="326"/>
      <c r="AR33" s="326"/>
      <c r="AS33" s="326"/>
      <c r="AT33" s="326"/>
      <c r="AU33" s="326"/>
      <c r="AV33" s="326"/>
      <c r="AW33" s="326"/>
      <c r="AX33" s="326"/>
      <c r="AY33" s="326"/>
      <c r="AZ33" s="326"/>
    </row>
    <row r="34" spans="1:52" s="26" customFormat="1" ht="13.2">
      <c r="A34" s="19"/>
      <c r="B34" s="55" t="s">
        <v>773</v>
      </c>
      <c r="C34" s="239">
        <f>Cashflow!C156</f>
        <v>0</v>
      </c>
      <c r="D34" s="239">
        <f>Cashflow!D156</f>
        <v>0</v>
      </c>
      <c r="E34" s="239">
        <f>Cashflow!E156</f>
        <v>0</v>
      </c>
      <c r="F34" s="239">
        <f>Cashflow!F156</f>
        <v>0</v>
      </c>
      <c r="G34" s="239">
        <f>Cashflow!G156</f>
        <v>0</v>
      </c>
      <c r="H34" s="239">
        <f>Cashflow!H156</f>
        <v>0</v>
      </c>
      <c r="I34" s="239">
        <f>Cashflow!I156</f>
        <v>0</v>
      </c>
      <c r="J34" s="239">
        <f>Cashflow!J156</f>
        <v>1</v>
      </c>
      <c r="K34" s="239">
        <f>Cashflow!K156</f>
        <v>1</v>
      </c>
      <c r="L34" s="239">
        <f ca="1">Cashflow!L156</f>
        <v>2</v>
      </c>
      <c r="M34" s="239">
        <f ca="1">Cashflow!M156</f>
        <v>1</v>
      </c>
      <c r="N34" s="239">
        <f ca="1">Cashflow!N156</f>
        <v>2</v>
      </c>
      <c r="O34" s="239">
        <f ca="1">Cashflow!O156</f>
        <v>0</v>
      </c>
      <c r="P34" s="239">
        <f ca="1">Cashflow!P156</f>
        <v>0</v>
      </c>
      <c r="Q34" s="239">
        <f ca="1">Cashflow!Q156</f>
        <v>0</v>
      </c>
      <c r="R34" s="239">
        <f ca="1">Cashflow!R156</f>
        <v>0</v>
      </c>
      <c r="S34" s="239">
        <f ca="1">Cashflow!S156</f>
        <v>0</v>
      </c>
      <c r="T34" s="239">
        <f ca="1">Cashflow!T156</f>
        <v>0</v>
      </c>
      <c r="U34" s="239">
        <f ca="1">Cashflow!U156</f>
        <v>0</v>
      </c>
      <c r="V34" s="239">
        <f ca="1">Cashflow!V156</f>
        <v>0</v>
      </c>
      <c r="W34" s="239">
        <f ca="1">Cashflow!W156</f>
        <v>0</v>
      </c>
      <c r="X34" s="239">
        <f ca="1">Cashflow!X156</f>
        <v>0</v>
      </c>
      <c r="Y34" s="239">
        <f ca="1">Cashflow!Y156</f>
        <v>0</v>
      </c>
      <c r="Z34" s="239">
        <f ca="1">Cashflow!Z156</f>
        <v>0</v>
      </c>
      <c r="AA34" s="239">
        <f ca="1">Cashflow!AA156</f>
        <v>0</v>
      </c>
      <c r="AB34" s="239">
        <f ca="1">Cashflow!AB156</f>
        <v>0</v>
      </c>
      <c r="AC34" s="239">
        <f ca="1">Cashflow!AC156</f>
        <v>0</v>
      </c>
      <c r="AD34" s="239">
        <f ca="1">Cashflow!AD156</f>
        <v>0</v>
      </c>
      <c r="AE34" s="239">
        <f ca="1">Cashflow!AE156</f>
        <v>0</v>
      </c>
      <c r="AF34" s="239">
        <f ca="1">Cashflow!AF156</f>
        <v>0</v>
      </c>
      <c r="AG34" s="239">
        <f ca="1">Cashflow!AG156</f>
        <v>0</v>
      </c>
      <c r="AH34" s="157"/>
      <c r="AI34" s="155"/>
      <c r="AJ34" s="142"/>
      <c r="AK34" s="19"/>
      <c r="AL34" s="19"/>
      <c r="AM34" s="21"/>
      <c r="AN34" s="19"/>
      <c r="AO34" s="326"/>
      <c r="AP34" s="326"/>
      <c r="AQ34" s="326"/>
      <c r="AR34" s="326"/>
      <c r="AS34" s="326"/>
      <c r="AT34" s="326"/>
      <c r="AU34" s="326"/>
      <c r="AV34" s="326"/>
      <c r="AW34" s="326"/>
      <c r="AX34" s="326"/>
      <c r="AY34" s="326"/>
      <c r="AZ34" s="326"/>
    </row>
    <row r="35" spans="1:52" s="26" customFormat="1" ht="13.2">
      <c r="A35" s="19"/>
      <c r="B35" s="55" t="s">
        <v>1055</v>
      </c>
      <c r="C35" s="239">
        <f>Cashflow!C157</f>
        <v>0</v>
      </c>
      <c r="D35" s="239">
        <f>Cashflow!D157</f>
        <v>0</v>
      </c>
      <c r="E35" s="239">
        <f>Cashflow!E157</f>
        <v>0</v>
      </c>
      <c r="F35" s="239">
        <f>Cashflow!F157</f>
        <v>0</v>
      </c>
      <c r="G35" s="239">
        <f>Cashflow!G157</f>
        <v>0</v>
      </c>
      <c r="H35" s="239">
        <f>Cashflow!H157</f>
        <v>0</v>
      </c>
      <c r="I35" s="239">
        <f>Cashflow!I157</f>
        <v>1</v>
      </c>
      <c r="J35" s="239">
        <f>Cashflow!J157</f>
        <v>2</v>
      </c>
      <c r="K35" s="239">
        <f>Cashflow!K157</f>
        <v>1</v>
      </c>
      <c r="L35" s="239">
        <f ca="1">Cashflow!L157</f>
        <v>2</v>
      </c>
      <c r="M35" s="239">
        <f ca="1">Cashflow!M157</f>
        <v>1</v>
      </c>
      <c r="N35" s="239">
        <f ca="1">Cashflow!N157</f>
        <v>2</v>
      </c>
      <c r="O35" s="239">
        <f ca="1">Cashflow!O157</f>
        <v>0</v>
      </c>
      <c r="P35" s="239">
        <f ca="1">Cashflow!P157</f>
        <v>0</v>
      </c>
      <c r="Q35" s="239">
        <f ca="1">Cashflow!Q157</f>
        <v>0</v>
      </c>
      <c r="R35" s="239">
        <f ca="1">Cashflow!R157</f>
        <v>0</v>
      </c>
      <c r="S35" s="239">
        <f ca="1">Cashflow!S157</f>
        <v>0</v>
      </c>
      <c r="T35" s="239">
        <f ca="1">Cashflow!T157</f>
        <v>0</v>
      </c>
      <c r="U35" s="239">
        <f ca="1">Cashflow!U157</f>
        <v>0</v>
      </c>
      <c r="V35" s="239">
        <f ca="1">Cashflow!V157</f>
        <v>0</v>
      </c>
      <c r="W35" s="239">
        <f ca="1">Cashflow!W157</f>
        <v>0</v>
      </c>
      <c r="X35" s="239">
        <f ca="1">Cashflow!X157</f>
        <v>0</v>
      </c>
      <c r="Y35" s="239">
        <f ca="1">Cashflow!Y157</f>
        <v>0</v>
      </c>
      <c r="Z35" s="239">
        <f ca="1">Cashflow!Z157</f>
        <v>0</v>
      </c>
      <c r="AA35" s="239">
        <f ca="1">Cashflow!AA157</f>
        <v>0</v>
      </c>
      <c r="AB35" s="239">
        <f ca="1">Cashflow!AB157</f>
        <v>0</v>
      </c>
      <c r="AC35" s="239">
        <f ca="1">Cashflow!AC157</f>
        <v>0</v>
      </c>
      <c r="AD35" s="239">
        <f ca="1">Cashflow!AD157</f>
        <v>0</v>
      </c>
      <c r="AE35" s="239">
        <f ca="1">Cashflow!AE157</f>
        <v>0</v>
      </c>
      <c r="AF35" s="239">
        <f ca="1">Cashflow!AF157</f>
        <v>0</v>
      </c>
      <c r="AG35" s="239">
        <f ca="1">Cashflow!AG157</f>
        <v>0</v>
      </c>
      <c r="AH35" s="157"/>
      <c r="AI35" s="155"/>
      <c r="AJ35" s="142"/>
      <c r="AK35" s="19"/>
      <c r="AL35" s="19"/>
      <c r="AM35" s="21"/>
      <c r="AN35" s="19"/>
      <c r="AO35" s="326"/>
      <c r="AP35" s="326"/>
      <c r="AQ35" s="326"/>
      <c r="AR35" s="326"/>
      <c r="AS35" s="326"/>
      <c r="AT35" s="326"/>
      <c r="AU35" s="326"/>
      <c r="AV35" s="326"/>
      <c r="AW35" s="326"/>
      <c r="AX35" s="326"/>
      <c r="AY35" s="326"/>
      <c r="AZ35" s="326"/>
    </row>
    <row r="36" spans="1:52" s="68" customFormat="1" ht="13.2">
      <c r="A36" s="19"/>
      <c r="B36" s="632" t="s">
        <v>1719</v>
      </c>
      <c r="C36" s="240">
        <f>Cashflow!C158</f>
        <v>0</v>
      </c>
      <c r="D36" s="240">
        <f>Cashflow!D158</f>
        <v>0</v>
      </c>
      <c r="E36" s="240">
        <f>Cashflow!E158</f>
        <v>0</v>
      </c>
      <c r="F36" s="240">
        <f>Cashflow!F158</f>
        <v>1</v>
      </c>
      <c r="G36" s="240">
        <f>Cashflow!G158</f>
        <v>1</v>
      </c>
      <c r="H36" s="240">
        <f>Cashflow!H158</f>
        <v>0</v>
      </c>
      <c r="I36" s="240">
        <f>Cashflow!I158</f>
        <v>1</v>
      </c>
      <c r="J36" s="240">
        <f>Cashflow!J158</f>
        <v>3</v>
      </c>
      <c r="K36" s="240">
        <f>Cashflow!K158</f>
        <v>2</v>
      </c>
      <c r="L36" s="240">
        <f ca="1">Cashflow!L158</f>
        <v>4</v>
      </c>
      <c r="M36" s="240">
        <f ca="1">Cashflow!M158</f>
        <v>2</v>
      </c>
      <c r="N36" s="240">
        <f ca="1">Cashflow!N158</f>
        <v>4</v>
      </c>
      <c r="O36" s="240">
        <f ca="1">Cashflow!O158</f>
        <v>0</v>
      </c>
      <c r="P36" s="240">
        <f ca="1">Cashflow!P158</f>
        <v>0</v>
      </c>
      <c r="Q36" s="240">
        <f ca="1">Cashflow!Q158</f>
        <v>0</v>
      </c>
      <c r="R36" s="240">
        <f ca="1">Cashflow!R158</f>
        <v>0</v>
      </c>
      <c r="S36" s="240">
        <f ca="1">Cashflow!S158</f>
        <v>0</v>
      </c>
      <c r="T36" s="240">
        <f ca="1">Cashflow!T158</f>
        <v>0</v>
      </c>
      <c r="U36" s="240">
        <f ca="1">Cashflow!U158</f>
        <v>0</v>
      </c>
      <c r="V36" s="240">
        <f ca="1">Cashflow!V158</f>
        <v>0</v>
      </c>
      <c r="W36" s="240">
        <f ca="1">Cashflow!W158</f>
        <v>0</v>
      </c>
      <c r="X36" s="240">
        <f ca="1">Cashflow!X158</f>
        <v>0</v>
      </c>
      <c r="Y36" s="240">
        <f ca="1">Cashflow!Y158</f>
        <v>0</v>
      </c>
      <c r="Z36" s="240">
        <f ca="1">Cashflow!Z158</f>
        <v>0</v>
      </c>
      <c r="AA36" s="240">
        <f ca="1">Cashflow!AA158</f>
        <v>0</v>
      </c>
      <c r="AB36" s="240">
        <f ca="1">Cashflow!AB158</f>
        <v>0</v>
      </c>
      <c r="AC36" s="240">
        <f ca="1">Cashflow!AC158</f>
        <v>0</v>
      </c>
      <c r="AD36" s="240">
        <f ca="1">Cashflow!AD158</f>
        <v>0</v>
      </c>
      <c r="AE36" s="240">
        <f ca="1">Cashflow!AE158</f>
        <v>0</v>
      </c>
      <c r="AF36" s="240">
        <f ca="1">Cashflow!AF158</f>
        <v>0</v>
      </c>
      <c r="AG36" s="240">
        <f ca="1">Cashflow!AG158</f>
        <v>0</v>
      </c>
      <c r="AH36" s="162">
        <f ca="1">SUM(C36:AG36)</f>
        <v>18</v>
      </c>
      <c r="AI36" s="155" t="s">
        <v>130</v>
      </c>
      <c r="AO36" s="326"/>
      <c r="AP36" s="326"/>
      <c r="AQ36" s="326"/>
      <c r="AR36" s="326"/>
      <c r="AS36" s="326"/>
      <c r="AT36" s="326"/>
      <c r="AU36" s="326"/>
      <c r="AV36" s="326"/>
      <c r="AW36" s="326"/>
      <c r="AX36" s="326"/>
      <c r="AY36" s="326"/>
      <c r="AZ36" s="326"/>
    </row>
    <row r="37" spans="1:52" s="68" customFormat="1" ht="13.2">
      <c r="A37" s="19"/>
      <c r="B37" s="71" t="s">
        <v>1712</v>
      </c>
      <c r="C37" s="240">
        <f>Cashflow!C159</f>
        <v>0</v>
      </c>
      <c r="D37" s="240">
        <f>Cashflow!D159</f>
        <v>0</v>
      </c>
      <c r="E37" s="240">
        <f>Cashflow!E159</f>
        <v>0</v>
      </c>
      <c r="F37" s="240">
        <f>Cashflow!F159</f>
        <v>1</v>
      </c>
      <c r="G37" s="240">
        <f>Cashflow!G159</f>
        <v>2</v>
      </c>
      <c r="H37" s="240">
        <f>Cashflow!H159</f>
        <v>2</v>
      </c>
      <c r="I37" s="240">
        <f>Cashflow!I159</f>
        <v>3</v>
      </c>
      <c r="J37" s="240">
        <f>Cashflow!J159</f>
        <v>6</v>
      </c>
      <c r="K37" s="240">
        <f>Cashflow!K159</f>
        <v>8</v>
      </c>
      <c r="L37" s="240">
        <f ca="1">Cashflow!L159</f>
        <v>12</v>
      </c>
      <c r="M37" s="240">
        <f ca="1">Cashflow!M159</f>
        <v>14</v>
      </c>
      <c r="N37" s="240">
        <f ca="1">Cashflow!N159</f>
        <v>18</v>
      </c>
      <c r="O37" s="240">
        <f ca="1">Cashflow!O159</f>
        <v>18</v>
      </c>
      <c r="P37" s="240">
        <f ca="1">Cashflow!P159</f>
        <v>18</v>
      </c>
      <c r="Q37" s="240">
        <f ca="1">Cashflow!Q159</f>
        <v>18</v>
      </c>
      <c r="R37" s="240">
        <f ca="1">Cashflow!R159</f>
        <v>18</v>
      </c>
      <c r="S37" s="240">
        <f ca="1">Cashflow!S159</f>
        <v>18</v>
      </c>
      <c r="T37" s="240">
        <f ca="1">Cashflow!T159</f>
        <v>18</v>
      </c>
      <c r="U37" s="240">
        <f ca="1">Cashflow!U159</f>
        <v>18</v>
      </c>
      <c r="V37" s="240">
        <f ca="1">Cashflow!V159</f>
        <v>18</v>
      </c>
      <c r="W37" s="240">
        <f ca="1">Cashflow!W159</f>
        <v>18</v>
      </c>
      <c r="X37" s="240">
        <f ca="1">Cashflow!X159</f>
        <v>18</v>
      </c>
      <c r="Y37" s="240">
        <f ca="1">Cashflow!Y159</f>
        <v>18</v>
      </c>
      <c r="Z37" s="240">
        <f ca="1">Cashflow!Z159</f>
        <v>18</v>
      </c>
      <c r="AA37" s="240">
        <f ca="1">Cashflow!AA159</f>
        <v>18</v>
      </c>
      <c r="AB37" s="240">
        <f ca="1">Cashflow!AB159</f>
        <v>18</v>
      </c>
      <c r="AC37" s="240">
        <f ca="1">Cashflow!AC159</f>
        <v>18</v>
      </c>
      <c r="AD37" s="240">
        <f ca="1">Cashflow!AD159</f>
        <v>18</v>
      </c>
      <c r="AE37" s="240">
        <f ca="1">Cashflow!AE159</f>
        <v>18</v>
      </c>
      <c r="AF37" s="240">
        <f ca="1">Cashflow!AF159</f>
        <v>18</v>
      </c>
      <c r="AG37" s="240">
        <f ca="1">Cashflow!AG159</f>
        <v>18</v>
      </c>
      <c r="AH37" s="162">
        <f ca="1">AG37</f>
        <v>18</v>
      </c>
      <c r="AI37" s="163" t="s">
        <v>130</v>
      </c>
      <c r="AO37" s="326"/>
      <c r="AP37" s="326"/>
      <c r="AQ37" s="326"/>
      <c r="AR37" s="326"/>
      <c r="AS37" s="326"/>
      <c r="AT37" s="326"/>
      <c r="AU37" s="326"/>
      <c r="AV37" s="326"/>
      <c r="AW37" s="326"/>
      <c r="AX37" s="326"/>
      <c r="AY37" s="326"/>
      <c r="AZ37" s="326"/>
    </row>
    <row r="38" spans="1:52">
      <c r="A38" s="326"/>
      <c r="B38" s="326"/>
      <c r="C38" s="326"/>
      <c r="D38" s="326"/>
      <c r="E38" s="579"/>
      <c r="F38" s="328"/>
      <c r="G38" s="328"/>
      <c r="H38" s="328"/>
      <c r="I38" s="580"/>
      <c r="J38" s="326"/>
      <c r="K38" s="342"/>
      <c r="L38" s="326"/>
      <c r="M38" s="338"/>
      <c r="N38" s="338"/>
      <c r="O38" s="338"/>
      <c r="P38" s="338"/>
      <c r="Q38" s="338"/>
      <c r="R38" s="338"/>
      <c r="S38" s="326"/>
      <c r="T38" s="326"/>
      <c r="U38" s="326"/>
      <c r="V38" s="326"/>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row>
    <row r="39" spans="1:52" s="26" customFormat="1" ht="13.8" thickBot="1">
      <c r="A39" s="19"/>
      <c r="B39" s="52" t="s">
        <v>1077</v>
      </c>
      <c r="C39" s="32">
        <f>Cashflow!C$30</f>
        <v>2017</v>
      </c>
      <c r="D39" s="32">
        <f>Cashflow!D$30</f>
        <v>2018</v>
      </c>
      <c r="E39" s="32">
        <f>Cashflow!E$30</f>
        <v>2019</v>
      </c>
      <c r="F39" s="32">
        <f>Cashflow!F$30</f>
        <v>2020</v>
      </c>
      <c r="G39" s="32">
        <f>Cashflow!G$30</f>
        <v>2021</v>
      </c>
      <c r="H39" s="32">
        <f>Cashflow!H$30</f>
        <v>2022</v>
      </c>
      <c r="I39" s="32">
        <f>Cashflow!I$30</f>
        <v>2023</v>
      </c>
      <c r="J39" s="32">
        <f>Cashflow!J$30</f>
        <v>2024</v>
      </c>
      <c r="K39" s="32">
        <f>Cashflow!K$30</f>
        <v>2025</v>
      </c>
      <c r="L39" s="32">
        <f>Cashflow!L$30</f>
        <v>2026</v>
      </c>
      <c r="M39" s="32">
        <f>Cashflow!M$30</f>
        <v>2027</v>
      </c>
      <c r="N39" s="32">
        <f>Cashflow!N$30</f>
        <v>2028</v>
      </c>
      <c r="O39" s="32">
        <f>Cashflow!O$30</f>
        <v>2029</v>
      </c>
      <c r="P39" s="32">
        <f>Cashflow!P$30</f>
        <v>2030</v>
      </c>
      <c r="Q39" s="32">
        <f>Cashflow!Q$30</f>
        <v>2031</v>
      </c>
      <c r="R39" s="32">
        <f>Cashflow!R$30</f>
        <v>2032</v>
      </c>
      <c r="S39" s="32">
        <f>Cashflow!S$30</f>
        <v>2033</v>
      </c>
      <c r="T39" s="32">
        <f>Cashflow!T$30</f>
        <v>2034</v>
      </c>
      <c r="U39" s="32">
        <f>Cashflow!U$30</f>
        <v>2035</v>
      </c>
      <c r="V39" s="32">
        <f>Cashflow!V$30</f>
        <v>2036</v>
      </c>
      <c r="W39" s="32">
        <f>Cashflow!W$30</f>
        <v>2037</v>
      </c>
      <c r="X39" s="32">
        <f>Cashflow!X$30</f>
        <v>2038</v>
      </c>
      <c r="Y39" s="32">
        <f>Cashflow!Y$30</f>
        <v>2039</v>
      </c>
      <c r="Z39" s="32">
        <f>Cashflow!Z$30</f>
        <v>2040</v>
      </c>
      <c r="AA39" s="32">
        <f>Cashflow!AA$30</f>
        <v>2041</v>
      </c>
      <c r="AB39" s="32">
        <f>Cashflow!AB$30</f>
        <v>2042</v>
      </c>
      <c r="AC39" s="32">
        <f>Cashflow!AC$30</f>
        <v>2043</v>
      </c>
      <c r="AD39" s="32">
        <f>Cashflow!AD$30</f>
        <v>2044</v>
      </c>
      <c r="AE39" s="32">
        <f>Cashflow!AE$30</f>
        <v>2045</v>
      </c>
      <c r="AF39" s="32">
        <f>Cashflow!AF$30</f>
        <v>2046</v>
      </c>
      <c r="AG39" s="32">
        <f>Cashflow!AG$30</f>
        <v>2047</v>
      </c>
      <c r="AH39" s="157"/>
      <c r="AI39" s="155"/>
      <c r="AJ39" s="142"/>
      <c r="AK39" s="21"/>
      <c r="AL39" s="21"/>
      <c r="AM39" s="19"/>
      <c r="AN39" s="19"/>
      <c r="AO39" s="326"/>
      <c r="AP39" s="326"/>
      <c r="AQ39" s="326"/>
      <c r="AR39" s="326"/>
      <c r="AS39" s="326"/>
      <c r="AT39" s="326"/>
      <c r="AU39" s="326"/>
      <c r="AV39" s="326"/>
      <c r="AW39" s="326"/>
      <c r="AX39" s="326"/>
      <c r="AY39" s="326"/>
      <c r="AZ39" s="326"/>
    </row>
    <row r="40" spans="1:52" s="26" customFormat="1" ht="13.8" thickTop="1">
      <c r="A40" s="19"/>
      <c r="B40" s="631" t="s">
        <v>1429</v>
      </c>
      <c r="C40" s="1150">
        <f>IF('Steam Tables'!C122=0,$X$8,'Steam Tables'!C122)</f>
        <v>723.05</v>
      </c>
      <c r="D40" s="1150">
        <f>IF('Steam Tables'!D122=0,$X$8,'Steam Tables'!D122)</f>
        <v>723.05</v>
      </c>
      <c r="E40" s="1150">
        <f>IF('Steam Tables'!E122=0,$X$8,'Steam Tables'!E122)</f>
        <v>723.05</v>
      </c>
      <c r="F40" s="1150">
        <f>IF('Steam Tables'!F122=0,$X$8,'Steam Tables'!F122)</f>
        <v>723.05</v>
      </c>
      <c r="G40" s="1150">
        <f>IF('Steam Tables'!G122=0,$X$8,'Steam Tables'!G122)</f>
        <v>723.05</v>
      </c>
      <c r="H40" s="1150">
        <f>IF('Steam Tables'!H122=0,$X$8,'Steam Tables'!H122)</f>
        <v>723.05</v>
      </c>
      <c r="I40" s="1150">
        <f>IF('Steam Tables'!I122=0,$X$8,'Steam Tables'!I122)</f>
        <v>723.05</v>
      </c>
      <c r="J40" s="1150">
        <f>IF('Steam Tables'!J122=0,$X$8,'Steam Tables'!J122)</f>
        <v>723.05</v>
      </c>
      <c r="K40" s="1150">
        <f>IF('Steam Tables'!K122=0,$X$8,'Steam Tables'!K122)</f>
        <v>750.8</v>
      </c>
      <c r="L40" s="1150">
        <f ca="1">IF('Steam Tables'!L122=0,$X$8,'Steam Tables'!L122)</f>
        <v>750.8</v>
      </c>
      <c r="M40" s="1150">
        <f ca="1">IF('Steam Tables'!M122=0,$X$8,'Steam Tables'!M122)</f>
        <v>750.8</v>
      </c>
      <c r="N40" s="1150">
        <f ca="1">IF('Steam Tables'!N122=0,$X$8,'Steam Tables'!N122)</f>
        <v>750.8</v>
      </c>
      <c r="O40" s="1150">
        <f ca="1">IF('Steam Tables'!O122=0,$X$8,'Steam Tables'!O122)</f>
        <v>750.8</v>
      </c>
      <c r="P40" s="1150">
        <f ca="1">IF('Steam Tables'!P122=0,$X$8,'Steam Tables'!P122)</f>
        <v>750.8</v>
      </c>
      <c r="Q40" s="1150">
        <f ca="1">IF('Steam Tables'!Q122=0,$X$8,'Steam Tables'!Q122)</f>
        <v>750.8</v>
      </c>
      <c r="R40" s="1150">
        <f ca="1">IF('Steam Tables'!R122=0,$X$8,'Steam Tables'!R122)</f>
        <v>750.8</v>
      </c>
      <c r="S40" s="1150">
        <f ca="1">IF('Steam Tables'!S122=0,$X$8,'Steam Tables'!S122)</f>
        <v>750.8</v>
      </c>
      <c r="T40" s="1150">
        <f ca="1">IF('Steam Tables'!T122=0,$X$8,'Steam Tables'!T122)</f>
        <v>757.84238014332686</v>
      </c>
      <c r="U40" s="1150">
        <f ca="1">IF('Steam Tables'!U122=0,$X$8,'Steam Tables'!U122)</f>
        <v>765.19284828523439</v>
      </c>
      <c r="V40" s="1150">
        <f ca="1">IF('Steam Tables'!V122=0,$X$8,'Steam Tables'!V122)</f>
        <v>772.2352284285613</v>
      </c>
      <c r="W40" s="1150">
        <f ca="1">IF('Steam Tables'!W122=0,$X$8,'Steam Tables'!W122)</f>
        <v>779.58569657046883</v>
      </c>
      <c r="X40" s="1150">
        <f ca="1">IF('Steam Tables'!X122=0,$X$8,'Steam Tables'!X122)</f>
        <v>786.36997876637895</v>
      </c>
      <c r="Y40" s="1150">
        <f ca="1">IF('Steam Tables'!Y122=0,$X$8,'Steam Tables'!Y122)</f>
        <v>793.07253330307276</v>
      </c>
      <c r="Z40" s="1150">
        <f ca="1">IF('Steam Tables'!Z122=0,$X$8,'Steam Tables'!Z122)</f>
        <v>799.49415653406993</v>
      </c>
      <c r="AA40" s="1150">
        <f ca="1">IF('Steam Tables'!AA122=0,$X$8,'Steam Tables'!AA122)</f>
        <v>806.19671107076374</v>
      </c>
      <c r="AB40" s="1150">
        <f ca="1">IF('Steam Tables'!AB122=0,$X$8,'Steam Tables'!AB122)</f>
        <v>812.6183343017608</v>
      </c>
      <c r="AC40" s="1150">
        <f ca="1">IF('Steam Tables'!AC122=0,$X$8,'Steam Tables'!AC122)</f>
        <v>818.68385477009633</v>
      </c>
      <c r="AD40" s="1150">
        <f ca="1">IF('Steam Tables'!AD122=0,$X$8,'Steam Tables'!AD122)</f>
        <v>824.37769403491382</v>
      </c>
      <c r="AE40" s="1150">
        <f ca="1">IF('Steam Tables'!AE122=0,$X$8,'Steam Tables'!AE122)</f>
        <v>830.32062572411564</v>
      </c>
      <c r="AF40" s="1150">
        <f ca="1">IF('Steam Tables'!AF122=0,$X$8,'Steam Tables'!AF122)</f>
        <v>836.01446498893313</v>
      </c>
      <c r="AG40" s="1150">
        <f ca="1">IF('Steam Tables'!AG122=0,$X$8,'Steam Tables'!AG122)</f>
        <v>841.79539549906906</v>
      </c>
      <c r="AH40" s="157"/>
      <c r="AI40" s="155"/>
      <c r="AJ40" s="142"/>
      <c r="AK40" s="21"/>
      <c r="AL40" s="21"/>
      <c r="AM40" s="19"/>
      <c r="AN40" s="19"/>
      <c r="AO40" s="326"/>
      <c r="AP40" s="326"/>
      <c r="AQ40" s="326"/>
      <c r="AR40" s="326"/>
      <c r="AS40" s="326"/>
      <c r="AT40" s="326"/>
      <c r="AU40" s="326"/>
      <c r="AV40" s="326"/>
      <c r="AW40" s="326"/>
      <c r="AX40" s="326"/>
      <c r="AY40" s="326"/>
      <c r="AZ40" s="326"/>
    </row>
    <row r="41" spans="1:52" s="26" customFormat="1" ht="13.2">
      <c r="A41" s="19"/>
      <c r="B41" s="631" t="s">
        <v>1430</v>
      </c>
      <c r="C41" s="811">
        <f>IF('Steam Tables'!C125=0,$X$9,'Steam Tables'!C125)</f>
        <v>8.7999999999999998E-5</v>
      </c>
      <c r="D41" s="811">
        <f>IF('Steam Tables'!D125=0,$X$9,'Steam Tables'!D125)</f>
        <v>8.7999999999999998E-5</v>
      </c>
      <c r="E41" s="811">
        <f>IF('Steam Tables'!E125=0,$X$9,'Steam Tables'!E125)</f>
        <v>8.7999999999999998E-5</v>
      </c>
      <c r="F41" s="811">
        <f>IF('Steam Tables'!F125=0,$X$9,'Steam Tables'!F125)</f>
        <v>8.7999999999999998E-5</v>
      </c>
      <c r="G41" s="811">
        <f>IF('Steam Tables'!G125=0,$X$9,'Steam Tables'!G125)</f>
        <v>8.7999999999999998E-5</v>
      </c>
      <c r="H41" s="811">
        <f>IF('Steam Tables'!H125=0,$X$9,'Steam Tables'!H125)</f>
        <v>8.7999999999999998E-5</v>
      </c>
      <c r="I41" s="811">
        <f>IF('Steam Tables'!I125=0,$X$9,'Steam Tables'!I125)</f>
        <v>8.7999999999999998E-5</v>
      </c>
      <c r="J41" s="811">
        <f>IF('Steam Tables'!J125=0,$X$9,'Steam Tables'!J125)</f>
        <v>8.7999999999999998E-5</v>
      </c>
      <c r="K41" s="811">
        <f>IF('Steam Tables'!K125=0,$X$9,'Steam Tables'!K125)</f>
        <v>9.4000000000000008E-5</v>
      </c>
      <c r="L41" s="811">
        <f ca="1">IF('Steam Tables'!L125=0,$X$9,'Steam Tables'!L125)</f>
        <v>9.4000000000000008E-5</v>
      </c>
      <c r="M41" s="811">
        <f ca="1">IF('Steam Tables'!M125=0,$X$9,'Steam Tables'!M125)</f>
        <v>9.4000000000000008E-5</v>
      </c>
      <c r="N41" s="811">
        <f ca="1">IF('Steam Tables'!N125=0,$X$9,'Steam Tables'!N125)</f>
        <v>9.4000000000000008E-5</v>
      </c>
      <c r="O41" s="811">
        <f ca="1">IF('Steam Tables'!O125=0,$X$9,'Steam Tables'!O125)</f>
        <v>9.4000000000000008E-5</v>
      </c>
      <c r="P41" s="811">
        <f ca="1">IF('Steam Tables'!P125=0,$X$9,'Steam Tables'!P125)</f>
        <v>9.4000000000000008E-5</v>
      </c>
      <c r="Q41" s="811">
        <f ca="1">IF('Steam Tables'!Q125=0,$X$9,'Steam Tables'!Q125)</f>
        <v>9.4000000000000008E-5</v>
      </c>
      <c r="R41" s="811">
        <f ca="1">IF('Steam Tables'!R125=0,$X$9,'Steam Tables'!R125)</f>
        <v>9.4000000000000008E-5</v>
      </c>
      <c r="S41" s="811">
        <f ca="1">IF('Steam Tables'!S125=0,$X$9,'Steam Tables'!S125)</f>
        <v>9.4000000000000008E-5</v>
      </c>
      <c r="T41" s="811">
        <f ca="1">IF('Steam Tables'!T125=0,$X$9,'Steam Tables'!T125)</f>
        <v>9.5712432861599247E-5</v>
      </c>
      <c r="U41" s="811">
        <f ca="1">IF('Steam Tables'!U125=0,$X$9,'Steam Tables'!U125)</f>
        <v>9.749978073805092E-5</v>
      </c>
      <c r="V41" s="811">
        <f ca="1">IF('Steam Tables'!V125=0,$X$9,'Steam Tables'!V125)</f>
        <v>9.9212213599650159E-5</v>
      </c>
      <c r="W41" s="811">
        <f ca="1">IF('Steam Tables'!W125=0,$X$9,'Steam Tables'!W125)</f>
        <v>1.0099956147610183E-4</v>
      </c>
      <c r="X41" s="811">
        <f ca="1">IF('Steam Tables'!X125=0,$X$9,'Steam Tables'!X125)</f>
        <v>1.0280099362991368E-4</v>
      </c>
      <c r="Y41" s="811">
        <f ca="1">IF('Steam Tables'!Y125=0,$X$9,'Steam Tables'!Y125)</f>
        <v>1.0481175999092182E-4</v>
      </c>
      <c r="Z41" s="811">
        <f ca="1">IF('Steam Tables'!Z125=0,$X$9,'Steam Tables'!Z125)</f>
        <v>1.0673824696022096E-4</v>
      </c>
      <c r="AA41" s="811">
        <f ca="1">IF('Steam Tables'!AA125=0,$X$9,'Steam Tables'!AA125)</f>
        <v>1.087490133212291E-4</v>
      </c>
      <c r="AB41" s="811">
        <f ca="1">IF('Steam Tables'!AB125=0,$X$9,'Steam Tables'!AB125)</f>
        <v>1.1067550029052824E-4</v>
      </c>
      <c r="AC41" s="811">
        <f ca="1">IF('Steam Tables'!AC125=0,$X$9,'Steam Tables'!AC125)</f>
        <v>1.130609925741E-4</v>
      </c>
      <c r="AD41" s="811">
        <f ca="1">IF('Steam Tables'!AD125=0,$X$9,'Steam Tables'!AD125)</f>
        <v>1.1541558775879895E-4</v>
      </c>
      <c r="AE41" s="811">
        <f ca="1">IF('Steam Tables'!AE125=0,$X$9,'Steam Tables'!AE125)</f>
        <v>1.1787319108892E-4</v>
      </c>
      <c r="AF41" s="811">
        <f ca="1">IF('Steam Tables'!AF125=0,$X$9,'Steam Tables'!AF125)</f>
        <v>1.2022778627361897E-4</v>
      </c>
      <c r="AG41" s="811">
        <f ca="1">IF('Steam Tables'!AG125=0,$X$9,'Steam Tables'!AG125)</f>
        <v>1.2274769774953454E-4</v>
      </c>
      <c r="AH41" s="157"/>
      <c r="AI41" s="155"/>
      <c r="AJ41" s="142"/>
      <c r="AK41" s="21"/>
      <c r="AL41" s="21"/>
      <c r="AM41" s="19"/>
      <c r="AN41" s="19"/>
      <c r="AO41" s="326"/>
      <c r="AP41" s="326"/>
      <c r="AQ41" s="326"/>
      <c r="AR41" s="326"/>
      <c r="AS41" s="326"/>
      <c r="AT41" s="326"/>
      <c r="AU41" s="326"/>
      <c r="AV41" s="326"/>
      <c r="AW41" s="326"/>
      <c r="AX41" s="326"/>
      <c r="AY41" s="326"/>
      <c r="AZ41" s="326"/>
    </row>
    <row r="42" spans="1:52" s="26" customFormat="1" ht="13.2">
      <c r="A42" s="19"/>
      <c r="B42" s="631" t="s">
        <v>710</v>
      </c>
      <c r="C42" s="811">
        <f>IF(Cashflow!C111="C/I",0,$J$8*PI()*(($J$11/2)^4)/(8*$X$4*C$41))</f>
        <v>682.44713461048684</v>
      </c>
      <c r="D42" s="811">
        <f>IF(Cashflow!D111="C/I",0,$J$8*PI()*(($J$11/2)^4)/(8*$X$4*D$41))</f>
        <v>682.44713461048684</v>
      </c>
      <c r="E42" s="811">
        <f>IF(Cashflow!E111="C/I",0,$J$8*PI()*(($J$11/2)^4)/(8*$X$4*E$41))</f>
        <v>682.44713461048684</v>
      </c>
      <c r="F42" s="811">
        <f>IF(Cashflow!F111="C/I",0,$J$8*PI()*(($J$11/2)^4)/(8*$X$4*F$41))</f>
        <v>682.44713461048684</v>
      </c>
      <c r="G42" s="811">
        <f>IF(Cashflow!G111="C/I",0,$J$8*PI()*(($J$11/2)^4)/(8*$X$4*G$41))</f>
        <v>682.44713461048684</v>
      </c>
      <c r="H42" s="811">
        <f>IF(Cashflow!H111="C/I",0,$J$8*PI()*(($J$11/2)^4)/(8*$X$4*H$41))</f>
        <v>682.44713461048684</v>
      </c>
      <c r="I42" s="811">
        <f>IF(Cashflow!I111="C/I",0,$J$8*PI()*(($J$11/2)^4)/(8*$X$4*I$41))</f>
        <v>682.44713461048684</v>
      </c>
      <c r="J42" s="811">
        <f>IF(Cashflow!J111="C/I",0,$J$8*PI()*(($J$11/2)^4)/(8*$X$4*J$41))</f>
        <v>682.44713461048684</v>
      </c>
      <c r="K42" s="811">
        <f>IF(Cashflow!K111="C/I",0,$J$8*PI()*(($J$11/2)^4)/(8*$X$4*K$41))</f>
        <v>638.88667920981743</v>
      </c>
      <c r="L42" s="811">
        <f ca="1">IF(Cashflow!L111="C/I",0,$J$8*PI()*(($J$11/2)^4)/(8*$X$4*L$41))</f>
        <v>638.88667920981743</v>
      </c>
      <c r="M42" s="811">
        <f ca="1">IF(Cashflow!M111="C/I",0,$J$8*PI()*(($J$11/2)^4)/(8*$X$4*M$41))</f>
        <v>638.88667920981743</v>
      </c>
      <c r="N42" s="811">
        <f ca="1">IF(Cashflow!N111="C/I",0,$J$8*PI()*(($J$11/2)^4)/(8*$X$4*N$41))</f>
        <v>638.88667920981743</v>
      </c>
      <c r="O42" s="811">
        <f ca="1">IF(Cashflow!O111="C/I",0,$J$8*PI()*(($J$11/2)^4)/(8*$X$4*O$41))</f>
        <v>638.88667920981743</v>
      </c>
      <c r="P42" s="811">
        <f ca="1">IF(Cashflow!P111="C/I",0,$J$8*PI()*(($J$11/2)^4)/(8*$X$4*P$41))</f>
        <v>638.88667920981743</v>
      </c>
      <c r="Q42" s="811">
        <f ca="1">IF(Cashflow!Q111="C/I",0,$J$8*PI()*(($J$11/2)^4)/(8*$X$4*Q$41))</f>
        <v>638.88667920981743</v>
      </c>
      <c r="R42" s="811">
        <f ca="1">IF(Cashflow!R111="C/I",0,$J$8*PI()*(($J$11/2)^4)/(8*$X$4*R$41))</f>
        <v>638.88667920981743</v>
      </c>
      <c r="S42" s="811">
        <f ca="1">IF(Cashflow!S111="C/I",0,$J$8*PI()*(($J$11/2)^4)/(8*$X$4*S$41))</f>
        <v>638.88667920981743</v>
      </c>
      <c r="T42" s="811">
        <f ca="1">IF(Cashflow!T111="C/I",0,$J$8*PI()*(($J$11/2)^4)/(8*$X$4*T$41))</f>
        <v>627.45607911318314</v>
      </c>
      <c r="U42" s="811">
        <f ca="1">IF(Cashflow!U111="C/I",0,$J$8*PI()*(($J$11/2)^4)/(8*$X$4*U$41))</f>
        <v>615.95367077872049</v>
      </c>
      <c r="V42" s="811">
        <f ca="1">IF(Cashflow!V111="C/I",0,$J$8*PI()*(($J$11/2)^4)/(8*$X$4*V$41))</f>
        <v>605.32212382704677</v>
      </c>
      <c r="W42" s="811">
        <f ca="1">IF(Cashflow!W111="C/I",0,$J$8*PI()*(($J$11/2)^4)/(8*$X$4*W$41))</f>
        <v>594.60998610308752</v>
      </c>
      <c r="X42" s="811">
        <f ca="1">IF(Cashflow!X111="C/I",0,$J$8*PI()*(($J$11/2)^4)/(8*$X$4*X$41))</f>
        <v>584.19034413153338</v>
      </c>
      <c r="Y42" s="811">
        <f ca="1">IF(Cashflow!Y111="C/I",0,$J$8*PI()*(($J$11/2)^4)/(8*$X$4*Y$41))</f>
        <v>572.98291576178553</v>
      </c>
      <c r="Z42" s="811">
        <f ca="1">IF(Cashflow!Z111="C/I",0,$J$8*PI()*(($J$11/2)^4)/(8*$X$4*Z$41))</f>
        <v>562.64131701642225</v>
      </c>
      <c r="AA42" s="811">
        <f ca="1">IF(Cashflow!AA111="C/I",0,$J$8*PI()*(($J$11/2)^4)/(8*$X$4*AA$41))</f>
        <v>552.23809404438362</v>
      </c>
      <c r="AB42" s="811">
        <f ca="1">IF(Cashflow!AB111="C/I",0,$J$8*PI()*(($J$11/2)^4)/(8*$X$4*AB$41))</f>
        <v>542.6254924357678</v>
      </c>
      <c r="AC42" s="811">
        <f ca="1">IF(Cashflow!AC111="C/I",0,$J$8*PI()*(($J$11/2)^4)/(8*$X$4*AC$41))</f>
        <v>531.17654885581044</v>
      </c>
      <c r="AD42" s="811">
        <f ca="1">IF(Cashflow!AD111="C/I",0,$J$8*PI()*(($J$11/2)^4)/(8*$X$4*AD$41))</f>
        <v>520.34000789589538</v>
      </c>
      <c r="AE42" s="811">
        <f ca="1">IF(Cashflow!AE111="C/I",0,$J$8*PI()*(($J$11/2)^4)/(8*$X$4*AE$41))</f>
        <v>509.4911513884349</v>
      </c>
      <c r="AF42" s="811">
        <f ca="1">IF(Cashflow!AF111="C/I",0,$J$8*PI()*(($J$11/2)^4)/(8*$X$4*AF$41))</f>
        <v>499.5130469178448</v>
      </c>
      <c r="AG42" s="811">
        <f ca="1">IF(Cashflow!AG111="C/I",0,$J$8*PI()*(($J$11/2)^4)/(8*$X$4*AG$41))</f>
        <v>489.25844595688625</v>
      </c>
      <c r="AH42" s="157"/>
      <c r="AI42" s="155"/>
      <c r="AJ42" s="142"/>
      <c r="AK42" s="21"/>
      <c r="AL42" s="21"/>
      <c r="AM42" s="19"/>
      <c r="AN42" s="19"/>
      <c r="AO42" s="326"/>
      <c r="AP42" s="326"/>
      <c r="AQ42" s="326"/>
      <c r="AR42" s="326"/>
      <c r="AS42" s="326"/>
      <c r="AT42" s="326"/>
      <c r="AU42" s="326"/>
      <c r="AV42" s="326"/>
      <c r="AW42" s="326"/>
      <c r="AX42" s="326"/>
      <c r="AY42" s="326"/>
      <c r="AZ42" s="326"/>
    </row>
    <row r="43" spans="1:52" s="26" customFormat="1" ht="13.2">
      <c r="A43" s="19"/>
      <c r="B43" s="631" t="s">
        <v>739</v>
      </c>
      <c r="C43" s="811">
        <f>IF(Cashflow!C111="C/I",0,C$40*9.80665*$X$5)</f>
        <v>14181396.564999999</v>
      </c>
      <c r="D43" s="811">
        <f>IF(Cashflow!D111="C/I",0,D$40*9.80665*$X$5)</f>
        <v>14181396.564999999</v>
      </c>
      <c r="E43" s="811">
        <f>IF(Cashflow!E111="C/I",0,E$40*9.80665*$X$5)</f>
        <v>14181396.564999999</v>
      </c>
      <c r="F43" s="811">
        <f>IF(Cashflow!F111="C/I",0,F$40*9.80665*$X$5)</f>
        <v>14181396.564999999</v>
      </c>
      <c r="G43" s="811">
        <f>IF(Cashflow!G111="C/I",0,G$40*9.80665*$X$5)</f>
        <v>14181396.564999999</v>
      </c>
      <c r="H43" s="811">
        <f>IF(Cashflow!H111="C/I",0,H$40*9.80665*$X$5)</f>
        <v>14181396.564999999</v>
      </c>
      <c r="I43" s="811">
        <f>IF(Cashflow!I111="C/I",0,I$40*9.80665*$X$5)</f>
        <v>14181396.564999999</v>
      </c>
      <c r="J43" s="811">
        <f>IF(Cashflow!J111="C/I",0,J$40*9.80665*$X$5)</f>
        <v>14181396.564999999</v>
      </c>
      <c r="K43" s="811">
        <f>IF(Cashflow!K111="C/I",0,K$40*9.80665*$X$5)</f>
        <v>14725665.639999997</v>
      </c>
      <c r="L43" s="811">
        <f ca="1">IF(Cashflow!L111="C/I",0,L$40*9.80665*$X$5)</f>
        <v>14725665.639999997</v>
      </c>
      <c r="M43" s="811">
        <f ca="1">IF(Cashflow!M111="C/I",0,M$40*9.80665*$X$5)</f>
        <v>14725665.639999997</v>
      </c>
      <c r="N43" s="811">
        <f ca="1">IF(Cashflow!N111="C/I",0,N$40*9.80665*$X$5)</f>
        <v>14725665.639999997</v>
      </c>
      <c r="O43" s="811">
        <f ca="1">IF(Cashflow!O111="C/I",0,O$40*9.80665*$X$5)</f>
        <v>14725665.639999997</v>
      </c>
      <c r="P43" s="811">
        <f ca="1">IF(Cashflow!P111="C/I",0,P$40*9.80665*$X$5)</f>
        <v>14725665.639999997</v>
      </c>
      <c r="Q43" s="811">
        <f ca="1">IF(Cashflow!Q111="C/I",0,Q$40*9.80665*$X$5)</f>
        <v>14725665.639999997</v>
      </c>
      <c r="R43" s="811">
        <f ca="1">IF(Cashflow!R111="C/I",0,R$40*9.80665*$X$5)</f>
        <v>14725665.639999997</v>
      </c>
      <c r="S43" s="811">
        <f ca="1">IF(Cashflow!S111="C/I",0,S$40*9.80665*$X$5)</f>
        <v>14725665.639999997</v>
      </c>
      <c r="T43" s="811">
        <f ca="1">IF(Cashflow!T111="C/I",0,T$40*9.80665*$X$5)</f>
        <v>14863789.954465112</v>
      </c>
      <c r="U43" s="811">
        <f ca="1">IF(Cashflow!U111="C/I",0,U$40*9.80665*$X$5)</f>
        <v>15007956.891272787</v>
      </c>
      <c r="V43" s="811">
        <f ca="1">IF(Cashflow!V111="C/I",0,V$40*9.80665*$X$5)</f>
        <v>15146081.2057379</v>
      </c>
      <c r="W43" s="811">
        <f ca="1">IF(Cashflow!W111="C/I",0,W$40*9.80665*$X$5)</f>
        <v>15290248.142545575</v>
      </c>
      <c r="X43" s="811">
        <f ca="1">IF(Cashflow!X111="C/I",0,X$40*9.80665*$X$5)</f>
        <v>15423310.304538619</v>
      </c>
      <c r="Y43" s="811">
        <f ca="1">IF(Cashflow!Y111="C/I",0,Y$40*9.80665*$X$5)</f>
        <v>15554769.517433157</v>
      </c>
      <c r="Z43" s="811">
        <f ca="1">IF(Cashflow!Z111="C/I",0,Z$40*9.80665*$X$5)</f>
        <v>15680718.740349675</v>
      </c>
      <c r="AA43" s="811">
        <f ca="1">IF(Cashflow!AA111="C/I",0,AA$40*9.80665*$X$5)</f>
        <v>15812177.953244209</v>
      </c>
      <c r="AB43" s="811">
        <f ca="1">IF(Cashflow!AB111="C/I",0,AB$40*9.80665*$X$5)</f>
        <v>15938127.176160725</v>
      </c>
      <c r="AC43" s="811">
        <f ca="1">IF(Cashflow!AC111="C/I",0,AC$40*9.80665*$X$5)</f>
        <v>16057092.048762329</v>
      </c>
      <c r="AD43" s="811">
        <f ca="1">IF(Cashflow!AD111="C/I",0,AD$40*9.80665*$X$5)</f>
        <v>16168767.026414976</v>
      </c>
      <c r="AE43" s="811">
        <f ca="1">IF(Cashflow!AE111="C/I",0,AE$40*9.80665*$X$5)</f>
        <v>16285327.528514795</v>
      </c>
      <c r="AF43" s="811">
        <f ca="1">IF(Cashflow!AF111="C/I",0,AF$40*9.80665*$X$5)</f>
        <v>16397002.506167442</v>
      </c>
      <c r="AG43" s="811">
        <f ca="1">IF(Cashflow!AG111="C/I",0,AG$40*9.80665*$X$5)</f>
        <v>16510385.630541889</v>
      </c>
      <c r="AH43" s="157"/>
      <c r="AI43" s="155"/>
      <c r="AJ43" s="142"/>
      <c r="AK43" s="21"/>
      <c r="AL43" s="21"/>
      <c r="AM43" s="19"/>
      <c r="AN43" s="19"/>
      <c r="AO43" s="326"/>
      <c r="AP43" s="326"/>
      <c r="AQ43" s="326"/>
      <c r="AR43" s="326"/>
      <c r="AS43" s="326"/>
      <c r="AT43" s="326"/>
      <c r="AU43" s="326"/>
      <c r="AV43" s="326"/>
      <c r="AW43" s="326"/>
      <c r="AX43" s="326"/>
      <c r="AY43" s="326"/>
      <c r="AZ43" s="326"/>
    </row>
    <row r="44" spans="1:52" s="26" customFormat="1" ht="13.2">
      <c r="A44" s="19"/>
      <c r="B44" s="326"/>
      <c r="C44" s="326"/>
      <c r="D44" s="326"/>
      <c r="E44" s="579"/>
      <c r="F44" s="328"/>
      <c r="G44" s="328"/>
      <c r="H44" s="328"/>
      <c r="I44" s="580"/>
      <c r="J44" s="326"/>
      <c r="K44" s="342"/>
      <c r="L44" s="326"/>
      <c r="M44" s="338"/>
      <c r="N44" s="338"/>
      <c r="O44" s="338"/>
      <c r="P44" s="338"/>
      <c r="Q44" s="338"/>
      <c r="R44" s="338"/>
      <c r="S44" s="326"/>
      <c r="T44" s="326"/>
      <c r="U44" s="326"/>
      <c r="V44" s="326"/>
      <c r="W44" s="326"/>
      <c r="X44" s="326"/>
      <c r="Y44" s="326"/>
      <c r="Z44" s="326"/>
      <c r="AA44" s="326"/>
      <c r="AB44" s="326"/>
      <c r="AC44" s="326"/>
      <c r="AD44" s="326"/>
      <c r="AE44" s="326"/>
      <c r="AF44" s="326"/>
      <c r="AG44" s="326"/>
      <c r="AH44" s="157"/>
      <c r="AI44" s="155"/>
      <c r="AJ44" s="142"/>
      <c r="AK44" s="21"/>
      <c r="AL44" s="21"/>
      <c r="AM44" s="19"/>
      <c r="AN44" s="19"/>
      <c r="AO44" s="326"/>
      <c r="AP44" s="326"/>
      <c r="AQ44" s="326"/>
      <c r="AR44" s="326"/>
      <c r="AS44" s="326"/>
      <c r="AT44" s="326"/>
      <c r="AU44" s="326"/>
      <c r="AV44" s="326"/>
      <c r="AW44" s="326"/>
      <c r="AX44" s="326"/>
      <c r="AY44" s="326"/>
      <c r="AZ44" s="326"/>
    </row>
    <row r="45" spans="1:52" s="26" customFormat="1" ht="13.2">
      <c r="A45" s="19"/>
      <c r="B45" s="1157" t="s">
        <v>1806</v>
      </c>
      <c r="C45" s="328"/>
      <c r="D45" s="328"/>
      <c r="E45" s="579"/>
      <c r="F45" s="328"/>
      <c r="G45" s="328"/>
      <c r="H45" s="328"/>
      <c r="I45" s="580"/>
      <c r="J45" s="328"/>
      <c r="K45" s="343"/>
      <c r="L45" s="328"/>
      <c r="M45" s="692"/>
      <c r="N45" s="692"/>
      <c r="O45" s="692"/>
      <c r="P45" s="692"/>
      <c r="Q45" s="692"/>
      <c r="R45" s="692"/>
      <c r="S45" s="328"/>
      <c r="T45" s="328"/>
      <c r="U45" s="328"/>
      <c r="V45" s="328"/>
      <c r="W45" s="328"/>
      <c r="X45" s="328"/>
      <c r="Y45" s="328"/>
      <c r="Z45" s="328"/>
      <c r="AA45" s="328"/>
      <c r="AB45" s="328"/>
      <c r="AC45" s="328"/>
      <c r="AD45" s="328"/>
      <c r="AE45" s="328"/>
      <c r="AF45" s="328"/>
      <c r="AG45" s="328"/>
      <c r="AH45" s="157"/>
      <c r="AI45" s="155"/>
      <c r="AJ45" s="142"/>
      <c r="AK45" s="21"/>
      <c r="AL45" s="21"/>
      <c r="AM45" s="19"/>
      <c r="AN45" s="19"/>
      <c r="AO45" s="326"/>
      <c r="AP45" s="326"/>
      <c r="AQ45" s="326"/>
      <c r="AR45" s="326"/>
      <c r="AS45" s="326"/>
      <c r="AT45" s="326"/>
      <c r="AU45" s="326"/>
      <c r="AV45" s="326"/>
      <c r="AW45" s="326"/>
      <c r="AX45" s="326"/>
      <c r="AY45" s="326"/>
      <c r="AZ45" s="326"/>
    </row>
    <row r="46" spans="1:52" s="26" customFormat="1" ht="13.8" thickBot="1">
      <c r="A46" s="19"/>
      <c r="B46" s="52" t="s">
        <v>1804</v>
      </c>
      <c r="C46" s="32">
        <f>Cashflow!C$30</f>
        <v>2017</v>
      </c>
      <c r="D46" s="32">
        <f>Cashflow!D$30</f>
        <v>2018</v>
      </c>
      <c r="E46" s="32">
        <f>Cashflow!E$30</f>
        <v>2019</v>
      </c>
      <c r="F46" s="32">
        <f>Cashflow!F$30</f>
        <v>2020</v>
      </c>
      <c r="G46" s="32">
        <f>Cashflow!G$30</f>
        <v>2021</v>
      </c>
      <c r="H46" s="32">
        <f>Cashflow!H$30</f>
        <v>2022</v>
      </c>
      <c r="I46" s="32">
        <f>Cashflow!I$30</f>
        <v>2023</v>
      </c>
      <c r="J46" s="32">
        <f>Cashflow!J$30</f>
        <v>2024</v>
      </c>
      <c r="K46" s="32">
        <f>Cashflow!K$30</f>
        <v>2025</v>
      </c>
      <c r="L46" s="32">
        <f>Cashflow!L$30</f>
        <v>2026</v>
      </c>
      <c r="M46" s="32">
        <f>Cashflow!M$30</f>
        <v>2027</v>
      </c>
      <c r="N46" s="32">
        <f>Cashflow!N$30</f>
        <v>2028</v>
      </c>
      <c r="O46" s="32">
        <f>Cashflow!O$30</f>
        <v>2029</v>
      </c>
      <c r="P46" s="32">
        <f>Cashflow!P$30</f>
        <v>2030</v>
      </c>
      <c r="Q46" s="32">
        <f>Cashflow!Q$30</f>
        <v>2031</v>
      </c>
      <c r="R46" s="32">
        <f>Cashflow!R$30</f>
        <v>2032</v>
      </c>
      <c r="S46" s="32">
        <f>Cashflow!S$30</f>
        <v>2033</v>
      </c>
      <c r="T46" s="32">
        <f>Cashflow!T$30</f>
        <v>2034</v>
      </c>
      <c r="U46" s="32">
        <f>Cashflow!U$30</f>
        <v>2035</v>
      </c>
      <c r="V46" s="32">
        <f>Cashflow!V$30</f>
        <v>2036</v>
      </c>
      <c r="W46" s="32">
        <f>Cashflow!W$30</f>
        <v>2037</v>
      </c>
      <c r="X46" s="32">
        <f>Cashflow!X$30</f>
        <v>2038</v>
      </c>
      <c r="Y46" s="32">
        <f>Cashflow!Y$30</f>
        <v>2039</v>
      </c>
      <c r="Z46" s="32">
        <f>Cashflow!Z$30</f>
        <v>2040</v>
      </c>
      <c r="AA46" s="32">
        <f>Cashflow!AA$30</f>
        <v>2041</v>
      </c>
      <c r="AB46" s="32">
        <f>Cashflow!AB$30</f>
        <v>2042</v>
      </c>
      <c r="AC46" s="32">
        <f>Cashflow!AC$30</f>
        <v>2043</v>
      </c>
      <c r="AD46" s="32">
        <f>Cashflow!AD$30</f>
        <v>2044</v>
      </c>
      <c r="AE46" s="32">
        <f>Cashflow!AE$30</f>
        <v>2045</v>
      </c>
      <c r="AF46" s="32">
        <f>Cashflow!AF$30</f>
        <v>2046</v>
      </c>
      <c r="AG46" s="32">
        <f>Cashflow!AG$30</f>
        <v>2047</v>
      </c>
      <c r="AH46" s="157"/>
      <c r="AI46" s="155"/>
      <c r="AJ46" s="142"/>
      <c r="AK46" s="21"/>
      <c r="AL46" s="21"/>
      <c r="AM46" s="19"/>
      <c r="AN46" s="19"/>
      <c r="AO46" s="326"/>
      <c r="AP46" s="326"/>
      <c r="AQ46" s="326"/>
      <c r="AR46" s="326"/>
      <c r="AS46" s="326"/>
      <c r="AT46" s="326"/>
      <c r="AU46" s="326"/>
      <c r="AV46" s="326"/>
      <c r="AW46" s="326"/>
      <c r="AX46" s="326"/>
      <c r="AY46" s="326"/>
      <c r="AZ46" s="326"/>
    </row>
    <row r="47" spans="1:52" s="26" customFormat="1" ht="13.8" thickTop="1">
      <c r="A47" s="19"/>
      <c r="B47" s="434" t="s">
        <v>1800</v>
      </c>
      <c r="C47" s="811">
        <f t="shared" ref="C47:AG47" si="0">C40*$AE$11*$J$11/C41</f>
        <v>6482800.5681818165</v>
      </c>
      <c r="D47" s="811">
        <f t="shared" si="0"/>
        <v>6482800.5681818165</v>
      </c>
      <c r="E47" s="811">
        <f t="shared" si="0"/>
        <v>6482800.5681818165</v>
      </c>
      <c r="F47" s="811">
        <f t="shared" si="0"/>
        <v>6482800.5681818165</v>
      </c>
      <c r="G47" s="811">
        <f t="shared" si="0"/>
        <v>6482800.5681818165</v>
      </c>
      <c r="H47" s="811">
        <f t="shared" si="0"/>
        <v>6482800.5681818165</v>
      </c>
      <c r="I47" s="811">
        <f t="shared" si="0"/>
        <v>6482800.5681818165</v>
      </c>
      <c r="J47" s="811">
        <f t="shared" si="0"/>
        <v>6482800.5681818165</v>
      </c>
      <c r="K47" s="811">
        <f t="shared" si="0"/>
        <v>6301927.6595744668</v>
      </c>
      <c r="L47" s="811">
        <f t="shared" ca="1" si="0"/>
        <v>6301927.6595744668</v>
      </c>
      <c r="M47" s="811">
        <f t="shared" ca="1" si="0"/>
        <v>6301927.6595744668</v>
      </c>
      <c r="N47" s="811">
        <f t="shared" ca="1" si="0"/>
        <v>6301927.6595744668</v>
      </c>
      <c r="O47" s="811">
        <f t="shared" ca="1" si="0"/>
        <v>6301927.6595744668</v>
      </c>
      <c r="P47" s="811">
        <f t="shared" ca="1" si="0"/>
        <v>6301927.6595744668</v>
      </c>
      <c r="Q47" s="811">
        <f t="shared" ca="1" si="0"/>
        <v>6301927.6595744668</v>
      </c>
      <c r="R47" s="811">
        <f t="shared" ca="1" si="0"/>
        <v>6301927.6595744668</v>
      </c>
      <c r="S47" s="811">
        <f t="shared" ca="1" si="0"/>
        <v>6301927.6595744668</v>
      </c>
      <c r="T47" s="811">
        <f t="shared" ca="1" si="0"/>
        <v>6247230.584951343</v>
      </c>
      <c r="U47" s="811">
        <f t="shared" ca="1" si="0"/>
        <v>6192189.8975248802</v>
      </c>
      <c r="V47" s="811">
        <f t="shared" ca="1" si="0"/>
        <v>6141316.4077641675</v>
      </c>
      <c r="W47" s="811">
        <f t="shared" ca="1" si="0"/>
        <v>6090057.2795025548</v>
      </c>
      <c r="X47" s="811">
        <f t="shared" ca="1" si="0"/>
        <v>6035407.7459629895</v>
      </c>
      <c r="Y47" s="811">
        <f t="shared" ca="1" si="0"/>
        <v>5970076.5336859319</v>
      </c>
      <c r="Z47" s="811">
        <f t="shared" ca="1" si="0"/>
        <v>5909792.4827308338</v>
      </c>
      <c r="AA47" s="811">
        <f t="shared" ca="1" si="0"/>
        <v>5849149.2070453614</v>
      </c>
      <c r="AB47" s="811">
        <f t="shared" ca="1" si="0"/>
        <v>5793114.6828433201</v>
      </c>
      <c r="AC47" s="811">
        <f t="shared" ca="1" si="0"/>
        <v>5713213.2551397588</v>
      </c>
      <c r="AD47" s="811">
        <f t="shared" ca="1" si="0"/>
        <v>5635581.9280915093</v>
      </c>
      <c r="AE47" s="811">
        <f t="shared" ca="1" si="0"/>
        <v>5557862.3743385551</v>
      </c>
      <c r="AF47" s="811">
        <f t="shared" ca="1" si="0"/>
        <v>5486380.7554028342</v>
      </c>
      <c r="AG47" s="811">
        <f t="shared" ca="1" si="0"/>
        <v>5410908.5483950265</v>
      </c>
      <c r="AH47" s="157"/>
      <c r="AI47" s="155"/>
      <c r="AJ47" s="142"/>
      <c r="AK47" s="21"/>
      <c r="AL47" s="21"/>
      <c r="AM47" s="19"/>
      <c r="AN47" s="19"/>
      <c r="AO47" s="326"/>
      <c r="AP47" s="326"/>
      <c r="AQ47" s="326"/>
      <c r="AR47" s="326"/>
      <c r="AS47" s="326"/>
      <c r="AT47" s="326"/>
      <c r="AU47" s="326"/>
      <c r="AV47" s="326"/>
      <c r="AW47" s="326"/>
      <c r="AX47" s="326"/>
      <c r="AY47" s="326"/>
      <c r="AZ47" s="326"/>
    </row>
    <row r="48" spans="1:52" s="26" customFormat="1" ht="13.2">
      <c r="A48" s="19"/>
      <c r="B48" s="434" t="s">
        <v>1802</v>
      </c>
      <c r="C48" s="811">
        <f>1/(-2*LOG10((($J$12/($J$11*1000))/3.7)+(5.74/(C47^0.9))))^2</f>
        <v>1.5147752809485947E-2</v>
      </c>
      <c r="D48" s="811">
        <f t="shared" ref="D48:AG48" si="1">1/(-2*LOG10((($J$12/($J$11*1000))/3.7)+(5.74/(D47^0.9))))^2</f>
        <v>1.5147752809485947E-2</v>
      </c>
      <c r="E48" s="811">
        <f t="shared" si="1"/>
        <v>1.5147752809485947E-2</v>
      </c>
      <c r="F48" s="811">
        <f t="shared" si="1"/>
        <v>1.5147752809485947E-2</v>
      </c>
      <c r="G48" s="811">
        <f t="shared" si="1"/>
        <v>1.5147752809485947E-2</v>
      </c>
      <c r="H48" s="811">
        <f t="shared" si="1"/>
        <v>1.5147752809485947E-2</v>
      </c>
      <c r="I48" s="811">
        <f t="shared" si="1"/>
        <v>1.5147752809485947E-2</v>
      </c>
      <c r="J48" s="811">
        <f t="shared" si="1"/>
        <v>1.5147752809485947E-2</v>
      </c>
      <c r="K48" s="811">
        <f t="shared" si="1"/>
        <v>1.51518506449886E-2</v>
      </c>
      <c r="L48" s="811">
        <f t="shared" ca="1" si="1"/>
        <v>1.51518506449886E-2</v>
      </c>
      <c r="M48" s="811">
        <f t="shared" ca="1" si="1"/>
        <v>1.51518506449886E-2</v>
      </c>
      <c r="N48" s="811">
        <f t="shared" ca="1" si="1"/>
        <v>1.51518506449886E-2</v>
      </c>
      <c r="O48" s="811">
        <f t="shared" ca="1" si="1"/>
        <v>1.51518506449886E-2</v>
      </c>
      <c r="P48" s="811">
        <f t="shared" ca="1" si="1"/>
        <v>1.51518506449886E-2</v>
      </c>
      <c r="Q48" s="811">
        <f t="shared" ca="1" si="1"/>
        <v>1.51518506449886E-2</v>
      </c>
      <c r="R48" s="811">
        <f t="shared" ca="1" si="1"/>
        <v>1.51518506449886E-2</v>
      </c>
      <c r="S48" s="811">
        <f t="shared" ca="1" si="1"/>
        <v>1.51518506449886E-2</v>
      </c>
      <c r="T48" s="811">
        <f t="shared" ca="1" si="1"/>
        <v>1.5153133489422956E-2</v>
      </c>
      <c r="U48" s="811">
        <f t="shared" ca="1" si="1"/>
        <v>1.5154445759733933E-2</v>
      </c>
      <c r="V48" s="811">
        <f t="shared" ca="1" si="1"/>
        <v>1.5155678211601055E-2</v>
      </c>
      <c r="W48" s="811">
        <f t="shared" ca="1" si="1"/>
        <v>1.5156939452128364E-2</v>
      </c>
      <c r="X48" s="811">
        <f t="shared" ca="1" si="1"/>
        <v>1.5158306144195069E-2</v>
      </c>
      <c r="Y48" s="811">
        <f t="shared" ca="1" si="1"/>
        <v>1.5159970615529631E-2</v>
      </c>
      <c r="Z48" s="811">
        <f t="shared" ca="1" si="1"/>
        <v>1.5161536965512068E-2</v>
      </c>
      <c r="AA48" s="811">
        <f t="shared" ca="1" si="1"/>
        <v>1.5163143047072017E-2</v>
      </c>
      <c r="AB48" s="811">
        <f t="shared" ca="1" si="1"/>
        <v>1.5164654957350122E-2</v>
      </c>
      <c r="AC48" s="811">
        <f t="shared" ca="1" si="1"/>
        <v>1.516685868173415E-2</v>
      </c>
      <c r="AD48" s="811">
        <f t="shared" ca="1" si="1"/>
        <v>1.5169055602868967E-2</v>
      </c>
      <c r="AE48" s="811">
        <f t="shared" ca="1" si="1"/>
        <v>1.5171312331824817E-2</v>
      </c>
      <c r="AF48" s="811">
        <f t="shared" ca="1" si="1"/>
        <v>1.5173440542297698E-2</v>
      </c>
      <c r="AG48" s="811">
        <f t="shared" ca="1" si="1"/>
        <v>1.5175744431606981E-2</v>
      </c>
      <c r="AH48" s="157"/>
      <c r="AI48" s="155"/>
      <c r="AJ48" s="142"/>
      <c r="AK48" s="21"/>
      <c r="AL48" s="21"/>
      <c r="AM48" s="19"/>
      <c r="AN48" s="19"/>
      <c r="AO48" s="326"/>
      <c r="AP48" s="326"/>
      <c r="AQ48" s="326"/>
      <c r="AR48" s="326"/>
      <c r="AS48" s="326"/>
      <c r="AT48" s="326"/>
      <c r="AU48" s="326"/>
      <c r="AV48" s="326"/>
      <c r="AW48" s="326"/>
      <c r="AX48" s="326"/>
      <c r="AY48" s="326"/>
      <c r="AZ48" s="326"/>
    </row>
    <row r="49" spans="1:52" s="26" customFormat="1" ht="13.2">
      <c r="A49" s="19"/>
      <c r="B49" s="434" t="s">
        <v>1803</v>
      </c>
      <c r="C49" s="1152">
        <f>SQRT(2*$J$11*$J$8/($X$4*C48*C40))</f>
        <v>11.5060360708323</v>
      </c>
      <c r="D49" s="1152">
        <f t="shared" ref="D49:AG49" si="2">SQRT(2*$J$11*$J$8/($X$4*D48*D40))</f>
        <v>11.5060360708323</v>
      </c>
      <c r="E49" s="1152">
        <f t="shared" si="2"/>
        <v>11.5060360708323</v>
      </c>
      <c r="F49" s="1152">
        <f t="shared" si="2"/>
        <v>11.5060360708323</v>
      </c>
      <c r="G49" s="1152">
        <f t="shared" si="2"/>
        <v>11.5060360708323</v>
      </c>
      <c r="H49" s="1152">
        <f t="shared" si="2"/>
        <v>11.5060360708323</v>
      </c>
      <c r="I49" s="1152">
        <f t="shared" si="2"/>
        <v>11.5060360708323</v>
      </c>
      <c r="J49" s="1152">
        <f t="shared" si="2"/>
        <v>11.5060360708323</v>
      </c>
      <c r="K49" s="1152">
        <f t="shared" si="2"/>
        <v>11.289872277412224</v>
      </c>
      <c r="L49" s="1152">
        <f t="shared" ca="1" si="2"/>
        <v>11.289872277412224</v>
      </c>
      <c r="M49" s="1152">
        <f t="shared" ca="1" si="2"/>
        <v>11.289872277412224</v>
      </c>
      <c r="N49" s="1152">
        <f t="shared" ca="1" si="2"/>
        <v>11.289872277412224</v>
      </c>
      <c r="O49" s="1152">
        <f t="shared" ca="1" si="2"/>
        <v>11.289872277412224</v>
      </c>
      <c r="P49" s="1152">
        <f t="shared" ca="1" si="2"/>
        <v>11.289872277412224</v>
      </c>
      <c r="Q49" s="1152">
        <f t="shared" ca="1" si="2"/>
        <v>11.289872277412224</v>
      </c>
      <c r="R49" s="1152">
        <f t="shared" ca="1" si="2"/>
        <v>11.289872277412224</v>
      </c>
      <c r="S49" s="1152">
        <f t="shared" ca="1" si="2"/>
        <v>11.289872277412224</v>
      </c>
      <c r="T49" s="1152">
        <f t="shared" ca="1" si="2"/>
        <v>11.236817629101472</v>
      </c>
      <c r="U49" s="1152">
        <f t="shared" ca="1" si="2"/>
        <v>11.182232585077095</v>
      </c>
      <c r="V49" s="1152">
        <f t="shared" ca="1" si="2"/>
        <v>11.130675160659273</v>
      </c>
      <c r="W49" s="1152">
        <f t="shared" ca="1" si="2"/>
        <v>11.077616143541068</v>
      </c>
      <c r="X49" s="1152">
        <f t="shared" ca="1" si="2"/>
        <v>11.029230205822364</v>
      </c>
      <c r="Y49" s="1152">
        <f t="shared" ca="1" si="2"/>
        <v>10.981922304513018</v>
      </c>
      <c r="Z49" s="1152">
        <f t="shared" ca="1" si="2"/>
        <v>10.937164386090314</v>
      </c>
      <c r="AA49" s="1152">
        <f t="shared" ca="1" si="2"/>
        <v>10.891027986365664</v>
      </c>
      <c r="AB49" s="1152">
        <f t="shared" ca="1" si="2"/>
        <v>10.847369304047836</v>
      </c>
      <c r="AC49" s="1152">
        <f t="shared" ca="1" si="2"/>
        <v>10.806326078084247</v>
      </c>
      <c r="AD49" s="1152">
        <f t="shared" ca="1" si="2"/>
        <v>10.768162813342723</v>
      </c>
      <c r="AE49" s="1152">
        <f t="shared" ca="1" si="2"/>
        <v>10.728759581134442</v>
      </c>
      <c r="AF49" s="1152">
        <f t="shared" ca="1" si="2"/>
        <v>10.691412146199946</v>
      </c>
      <c r="AG49" s="1152">
        <f t="shared" ca="1" si="2"/>
        <v>10.653829104404869</v>
      </c>
      <c r="AH49" s="157"/>
      <c r="AI49" s="155"/>
      <c r="AJ49" s="142"/>
      <c r="AK49" s="21"/>
      <c r="AL49" s="21"/>
      <c r="AM49" s="19"/>
      <c r="AN49" s="19"/>
      <c r="AO49" s="326"/>
      <c r="AP49" s="326"/>
      <c r="AQ49" s="326"/>
      <c r="AR49" s="326"/>
      <c r="AS49" s="326"/>
      <c r="AT49" s="326"/>
      <c r="AU49" s="326"/>
      <c r="AV49" s="326"/>
      <c r="AW49" s="326"/>
      <c r="AX49" s="326"/>
      <c r="AY49" s="326"/>
      <c r="AZ49" s="326"/>
    </row>
    <row r="50" spans="1:52" s="26" customFormat="1" ht="13.8" thickBot="1">
      <c r="A50" s="19"/>
      <c r="B50" s="52" t="s">
        <v>1805</v>
      </c>
      <c r="C50" s="1153"/>
      <c r="D50" s="1153"/>
      <c r="E50" s="1154"/>
      <c r="F50" s="1153"/>
      <c r="G50" s="1153"/>
      <c r="H50" s="1153"/>
      <c r="I50" s="1155"/>
      <c r="J50" s="1153"/>
      <c r="K50" s="1156"/>
      <c r="L50" s="1153"/>
      <c r="M50" s="1153"/>
      <c r="N50" s="1153"/>
      <c r="O50" s="1153"/>
      <c r="P50" s="1153"/>
      <c r="Q50" s="1153"/>
      <c r="R50" s="1153"/>
      <c r="S50" s="1153"/>
      <c r="T50" s="1153"/>
      <c r="U50" s="1153"/>
      <c r="V50" s="1153"/>
      <c r="W50" s="1153"/>
      <c r="X50" s="1153"/>
      <c r="Y50" s="1153"/>
      <c r="Z50" s="1153"/>
      <c r="AA50" s="1153"/>
      <c r="AB50" s="1153"/>
      <c r="AC50" s="1153"/>
      <c r="AD50" s="1153"/>
      <c r="AE50" s="1153"/>
      <c r="AF50" s="1153"/>
      <c r="AG50" s="1153"/>
      <c r="AH50" s="157"/>
      <c r="AI50" s="155"/>
      <c r="AJ50" s="142"/>
      <c r="AK50" s="21"/>
      <c r="AL50" s="21"/>
      <c r="AM50" s="19"/>
      <c r="AN50" s="19"/>
      <c r="AO50" s="326"/>
      <c r="AP50" s="326"/>
      <c r="AQ50" s="326"/>
      <c r="AR50" s="326"/>
      <c r="AS50" s="326"/>
      <c r="AT50" s="326"/>
      <c r="AU50" s="326"/>
      <c r="AV50" s="326"/>
      <c r="AW50" s="326"/>
      <c r="AX50" s="326"/>
      <c r="AY50" s="326"/>
      <c r="AZ50" s="326"/>
    </row>
    <row r="51" spans="1:52" s="26" customFormat="1" ht="13.8" thickTop="1">
      <c r="A51" s="19"/>
      <c r="B51" s="434" t="s">
        <v>1800</v>
      </c>
      <c r="C51" s="811">
        <f>C40*C49*$J$11/C41</f>
        <v>14180862.581276068</v>
      </c>
      <c r="D51" s="811">
        <f t="shared" ref="D51:AG51" si="3">D40*D49*$J$11/D41</f>
        <v>14180862.581276068</v>
      </c>
      <c r="E51" s="811">
        <f t="shared" si="3"/>
        <v>14180862.581276068</v>
      </c>
      <c r="F51" s="811">
        <f t="shared" si="3"/>
        <v>14180862.581276068</v>
      </c>
      <c r="G51" s="811">
        <f t="shared" si="3"/>
        <v>14180862.581276068</v>
      </c>
      <c r="H51" s="811">
        <f t="shared" si="3"/>
        <v>14180862.581276068</v>
      </c>
      <c r="I51" s="811">
        <f t="shared" si="3"/>
        <v>14180862.581276068</v>
      </c>
      <c r="J51" s="811">
        <f t="shared" si="3"/>
        <v>14180862.581276068</v>
      </c>
      <c r="K51" s="811">
        <f t="shared" si="3"/>
        <v>13526227.828533664</v>
      </c>
      <c r="L51" s="811">
        <f t="shared" ca="1" si="3"/>
        <v>13526227.828533664</v>
      </c>
      <c r="M51" s="811">
        <f t="shared" ca="1" si="3"/>
        <v>13526227.828533664</v>
      </c>
      <c r="N51" s="811">
        <f t="shared" ca="1" si="3"/>
        <v>13526227.828533664</v>
      </c>
      <c r="O51" s="811">
        <f t="shared" ca="1" si="3"/>
        <v>13526227.828533664</v>
      </c>
      <c r="P51" s="811">
        <f t="shared" ca="1" si="3"/>
        <v>13526227.828533664</v>
      </c>
      <c r="Q51" s="811">
        <f t="shared" ca="1" si="3"/>
        <v>13526227.828533664</v>
      </c>
      <c r="R51" s="811">
        <f t="shared" ca="1" si="3"/>
        <v>13526227.828533664</v>
      </c>
      <c r="S51" s="811">
        <f t="shared" ca="1" si="3"/>
        <v>13526227.828533664</v>
      </c>
      <c r="T51" s="811">
        <f t="shared" ca="1" si="3"/>
        <v>13345815.735749651</v>
      </c>
      <c r="U51" s="811">
        <f t="shared" ca="1" si="3"/>
        <v>13163974.837469187</v>
      </c>
      <c r="V51" s="811">
        <f t="shared" ca="1" si="3"/>
        <v>12995626.994990468</v>
      </c>
      <c r="W51" s="811">
        <f t="shared" ca="1" si="3"/>
        <v>12825725.63393675</v>
      </c>
      <c r="X51" s="811">
        <f t="shared" ca="1" si="3"/>
        <v>12655114.337686172</v>
      </c>
      <c r="Y51" s="811">
        <f t="shared" ca="1" si="3"/>
        <v>12464432.822231045</v>
      </c>
      <c r="Z51" s="811">
        <f t="shared" ca="1" si="3"/>
        <v>12288283.625723945</v>
      </c>
      <c r="AA51" s="811">
        <f t="shared" ca="1" si="3"/>
        <v>12110883.59512539</v>
      </c>
      <c r="AB51" s="811">
        <f t="shared" ca="1" si="3"/>
        <v>11946778.400285825</v>
      </c>
      <c r="AC51" s="811">
        <f t="shared" ca="1" si="3"/>
        <v>11737423.077694556</v>
      </c>
      <c r="AD51" s="811">
        <f t="shared" ca="1" si="3"/>
        <v>11537046.34023218</v>
      </c>
      <c r="AE51" s="811">
        <f t="shared" ca="1" si="3"/>
        <v>11336305.931428023</v>
      </c>
      <c r="AF51" s="811">
        <f t="shared" ca="1" si="3"/>
        <v>11151550.921481276</v>
      </c>
      <c r="AG51" s="811">
        <f t="shared" ca="1" si="3"/>
        <v>10959485.736533089</v>
      </c>
      <c r="AH51" s="157"/>
      <c r="AI51" s="155"/>
      <c r="AJ51" s="142"/>
      <c r="AK51" s="21"/>
      <c r="AL51" s="21"/>
      <c r="AM51" s="19"/>
      <c r="AN51" s="19"/>
      <c r="AO51" s="326"/>
      <c r="AP51" s="326"/>
      <c r="AQ51" s="326"/>
      <c r="AR51" s="326"/>
      <c r="AS51" s="326"/>
      <c r="AT51" s="326"/>
      <c r="AU51" s="326"/>
      <c r="AV51" s="326"/>
      <c r="AW51" s="326"/>
      <c r="AX51" s="326"/>
      <c r="AY51" s="326"/>
      <c r="AZ51" s="326"/>
    </row>
    <row r="52" spans="1:52" s="26" customFormat="1" ht="13.2">
      <c r="A52" s="19"/>
      <c r="B52" s="434" t="s">
        <v>1802</v>
      </c>
      <c r="C52" s="811">
        <f>1/(-2*LOG((($J$12/($J$11*1000))/3.7)+(5.74/(C51^0.9))))^2</f>
        <v>1.5066704440025532E-2</v>
      </c>
      <c r="D52" s="811">
        <f t="shared" ref="D52:AG52" si="4">1/(-2*LOG((($J$12/($J$11*1000))/3.7)+(5.74/(D51^0.9))))^2</f>
        <v>1.5066704440025532E-2</v>
      </c>
      <c r="E52" s="811">
        <f t="shared" si="4"/>
        <v>1.5066704440025532E-2</v>
      </c>
      <c r="F52" s="811">
        <f t="shared" si="4"/>
        <v>1.5066704440025532E-2</v>
      </c>
      <c r="G52" s="811">
        <f t="shared" si="4"/>
        <v>1.5066704440025532E-2</v>
      </c>
      <c r="H52" s="811">
        <f t="shared" si="4"/>
        <v>1.5066704440025532E-2</v>
      </c>
      <c r="I52" s="811">
        <f t="shared" si="4"/>
        <v>1.5066704440025532E-2</v>
      </c>
      <c r="J52" s="811">
        <f t="shared" si="4"/>
        <v>1.5066704440025532E-2</v>
      </c>
      <c r="K52" s="811">
        <f t="shared" si="4"/>
        <v>1.5070176268458139E-2</v>
      </c>
      <c r="L52" s="811">
        <f t="shared" ca="1" si="4"/>
        <v>1.5070176268458139E-2</v>
      </c>
      <c r="M52" s="811">
        <f t="shared" ca="1" si="4"/>
        <v>1.5070176268458139E-2</v>
      </c>
      <c r="N52" s="811">
        <f t="shared" ca="1" si="4"/>
        <v>1.5070176268458139E-2</v>
      </c>
      <c r="O52" s="811">
        <f t="shared" ca="1" si="4"/>
        <v>1.5070176268458139E-2</v>
      </c>
      <c r="P52" s="811">
        <f t="shared" ca="1" si="4"/>
        <v>1.5070176268458139E-2</v>
      </c>
      <c r="Q52" s="811">
        <f t="shared" ca="1" si="4"/>
        <v>1.5070176268458139E-2</v>
      </c>
      <c r="R52" s="811">
        <f t="shared" ca="1" si="4"/>
        <v>1.5070176268458139E-2</v>
      </c>
      <c r="S52" s="811">
        <f t="shared" ca="1" si="4"/>
        <v>1.5070176268458139E-2</v>
      </c>
      <c r="T52" s="811">
        <f t="shared" ca="1" si="4"/>
        <v>1.5071189399081152E-2</v>
      </c>
      <c r="U52" s="811">
        <f t="shared" ca="1" si="4"/>
        <v>1.5072237002302463E-2</v>
      </c>
      <c r="V52" s="811">
        <f t="shared" ca="1" si="4"/>
        <v>1.5073231467444274E-2</v>
      </c>
      <c r="W52" s="811">
        <f t="shared" ca="1" si="4"/>
        <v>1.5074260018262883E-2</v>
      </c>
      <c r="X52" s="811">
        <f t="shared" ca="1" si="4"/>
        <v>1.5075319016847362E-2</v>
      </c>
      <c r="Y52" s="811">
        <f t="shared" ca="1" si="4"/>
        <v>1.5076534868234629E-2</v>
      </c>
      <c r="Z52" s="811">
        <f t="shared" ca="1" si="4"/>
        <v>1.5077689596803454E-2</v>
      </c>
      <c r="AA52" s="811">
        <f t="shared" ca="1" si="4"/>
        <v>1.5078884456420798E-2</v>
      </c>
      <c r="AB52" s="811">
        <f t="shared" ca="1" si="4"/>
        <v>1.5080019485658042E-2</v>
      </c>
      <c r="AC52" s="811">
        <f t="shared" ca="1" si="4"/>
        <v>1.5081510805024432E-2</v>
      </c>
      <c r="AD52" s="811">
        <f t="shared" ca="1" si="4"/>
        <v>1.5082985819340049E-2</v>
      </c>
      <c r="AE52" s="811">
        <f t="shared" ca="1" si="4"/>
        <v>1.508451265431297E-2</v>
      </c>
      <c r="AF52" s="811">
        <f t="shared" ca="1" si="4"/>
        <v>1.5085963557503846E-2</v>
      </c>
      <c r="AG52" s="811">
        <f t="shared" ca="1" si="4"/>
        <v>1.5087520598656338E-2</v>
      </c>
      <c r="AH52" s="157"/>
      <c r="AI52" s="155"/>
      <c r="AJ52" s="142"/>
      <c r="AK52" s="21"/>
      <c r="AL52" s="21"/>
      <c r="AM52" s="19"/>
      <c r="AN52" s="19"/>
      <c r="AO52" s="326"/>
      <c r="AP52" s="326"/>
      <c r="AQ52" s="326"/>
      <c r="AR52" s="326"/>
      <c r="AS52" s="326"/>
      <c r="AT52" s="326"/>
      <c r="AU52" s="326"/>
      <c r="AV52" s="326"/>
      <c r="AW52" s="326"/>
      <c r="AX52" s="326"/>
      <c r="AY52" s="326"/>
      <c r="AZ52" s="326"/>
    </row>
    <row r="53" spans="1:52" s="26" customFormat="1" ht="13.2">
      <c r="A53" s="19"/>
      <c r="B53" s="434" t="s">
        <v>1803</v>
      </c>
      <c r="C53" s="1152">
        <f>SQRT(2*$J$11*$J$8/($X$4*C52*C40))</f>
        <v>11.536941791351913</v>
      </c>
      <c r="D53" s="1152">
        <f t="shared" ref="D53:AG53" si="5">SQRT(2*$J$11*$J$8/($X$4*D52*D40))</f>
        <v>11.536941791351913</v>
      </c>
      <c r="E53" s="1152">
        <f t="shared" si="5"/>
        <v>11.536941791351913</v>
      </c>
      <c r="F53" s="1152">
        <f t="shared" si="5"/>
        <v>11.536941791351913</v>
      </c>
      <c r="G53" s="1152">
        <f t="shared" si="5"/>
        <v>11.536941791351913</v>
      </c>
      <c r="H53" s="1152">
        <f t="shared" si="5"/>
        <v>11.536941791351913</v>
      </c>
      <c r="I53" s="1152">
        <f t="shared" si="5"/>
        <v>11.536941791351913</v>
      </c>
      <c r="J53" s="1152">
        <f t="shared" si="5"/>
        <v>11.536941791351913</v>
      </c>
      <c r="K53" s="1152">
        <f t="shared" si="5"/>
        <v>11.320424252786566</v>
      </c>
      <c r="L53" s="1152">
        <f t="shared" ca="1" si="5"/>
        <v>11.320424252786566</v>
      </c>
      <c r="M53" s="1152">
        <f t="shared" ca="1" si="5"/>
        <v>11.320424252786566</v>
      </c>
      <c r="N53" s="1152">
        <f t="shared" ca="1" si="5"/>
        <v>11.320424252786566</v>
      </c>
      <c r="O53" s="1152">
        <f t="shared" ca="1" si="5"/>
        <v>11.320424252786566</v>
      </c>
      <c r="P53" s="1152">
        <f t="shared" ca="1" si="5"/>
        <v>11.320424252786566</v>
      </c>
      <c r="Q53" s="1152">
        <f t="shared" ca="1" si="5"/>
        <v>11.320424252786566</v>
      </c>
      <c r="R53" s="1152">
        <f t="shared" ca="1" si="5"/>
        <v>11.320424252786566</v>
      </c>
      <c r="S53" s="1152">
        <f t="shared" ca="1" si="5"/>
        <v>11.320424252786566</v>
      </c>
      <c r="T53" s="1152">
        <f t="shared" ca="1" si="5"/>
        <v>11.267324264965879</v>
      </c>
      <c r="U53" s="1152">
        <f t="shared" ca="1" si="5"/>
        <v>11.212686835008915</v>
      </c>
      <c r="V53" s="1152">
        <f t="shared" ca="1" si="5"/>
        <v>11.161074629730514</v>
      </c>
      <c r="W53" s="1152">
        <f t="shared" ca="1" si="5"/>
        <v>11.107953904425216</v>
      </c>
      <c r="X53" s="1152">
        <f t="shared" ca="1" si="5"/>
        <v>11.059545583027866</v>
      </c>
      <c r="Y53" s="1152">
        <f t="shared" ca="1" si="5"/>
        <v>11.01226815932486</v>
      </c>
      <c r="Z53" s="1152">
        <f t="shared" ca="1" si="5"/>
        <v>10.967533132058792</v>
      </c>
      <c r="AA53" s="1152">
        <f t="shared" ca="1" si="5"/>
        <v>10.921414328925477</v>
      </c>
      <c r="AB53" s="1152">
        <f t="shared" ca="1" si="5"/>
        <v>10.87776673383806</v>
      </c>
      <c r="AC53" s="1152">
        <f t="shared" ca="1" si="5"/>
        <v>10.836860015717974</v>
      </c>
      <c r="AD53" s="1152">
        <f t="shared" ca="1" si="5"/>
        <v>10.798842912657658</v>
      </c>
      <c r="AE53" s="1152">
        <f t="shared" ca="1" si="5"/>
        <v>10.759583150778258</v>
      </c>
      <c r="AF53" s="1152">
        <f t="shared" ca="1" si="5"/>
        <v>10.722364780729892</v>
      </c>
      <c r="AG53" s="1152">
        <f t="shared" ca="1" si="5"/>
        <v>10.684932677544323</v>
      </c>
      <c r="AH53" s="157"/>
      <c r="AI53" s="155"/>
      <c r="AJ53" s="142"/>
      <c r="AK53" s="21"/>
      <c r="AL53" s="21"/>
      <c r="AM53" s="19"/>
      <c r="AN53" s="19"/>
      <c r="AO53" s="326"/>
      <c r="AP53" s="326"/>
      <c r="AQ53" s="326"/>
      <c r="AR53" s="326"/>
      <c r="AS53" s="326"/>
      <c r="AT53" s="326"/>
      <c r="AU53" s="326"/>
      <c r="AV53" s="326"/>
      <c r="AW53" s="326"/>
      <c r="AX53" s="326"/>
      <c r="AY53" s="326"/>
      <c r="AZ53" s="326"/>
    </row>
    <row r="54" spans="1:52" s="26" customFormat="1" ht="13.2">
      <c r="A54" s="19"/>
      <c r="B54" s="1158" t="s">
        <v>1809</v>
      </c>
      <c r="C54" s="1151">
        <f>C53*PI()*($J$11/2)^2</f>
        <v>0.20387459011839884</v>
      </c>
      <c r="D54" s="1151">
        <f t="shared" ref="D54:AF54" si="6">D53*PI()*($J$11/2)^2</f>
        <v>0.20387459011839884</v>
      </c>
      <c r="E54" s="1151">
        <f t="shared" si="6"/>
        <v>0.20387459011839884</v>
      </c>
      <c r="F54" s="1151">
        <f t="shared" si="6"/>
        <v>0.20387459011839884</v>
      </c>
      <c r="G54" s="1151">
        <f t="shared" si="6"/>
        <v>0.20387459011839884</v>
      </c>
      <c r="H54" s="1151">
        <f t="shared" si="6"/>
        <v>0.20387459011839884</v>
      </c>
      <c r="I54" s="1151">
        <f t="shared" si="6"/>
        <v>0.20387459011839884</v>
      </c>
      <c r="J54" s="1151">
        <f t="shared" si="6"/>
        <v>0.20387459011839884</v>
      </c>
      <c r="K54" s="1151">
        <f t="shared" si="6"/>
        <v>0.20004840938291624</v>
      </c>
      <c r="L54" s="1151">
        <f t="shared" ca="1" si="6"/>
        <v>0.20004840938291624</v>
      </c>
      <c r="M54" s="1151">
        <f t="shared" ca="1" si="6"/>
        <v>0.20004840938291624</v>
      </c>
      <c r="N54" s="1151">
        <f t="shared" ca="1" si="6"/>
        <v>0.20004840938291624</v>
      </c>
      <c r="O54" s="1151">
        <f t="shared" ca="1" si="6"/>
        <v>0.20004840938291624</v>
      </c>
      <c r="P54" s="1151">
        <f t="shared" ca="1" si="6"/>
        <v>0.20004840938291624</v>
      </c>
      <c r="Q54" s="1151">
        <f t="shared" ca="1" si="6"/>
        <v>0.20004840938291624</v>
      </c>
      <c r="R54" s="1151">
        <f t="shared" ca="1" si="6"/>
        <v>0.20004840938291624</v>
      </c>
      <c r="S54" s="1151">
        <f t="shared" ca="1" si="6"/>
        <v>0.20004840938291624</v>
      </c>
      <c r="T54" s="1151">
        <f t="shared" ca="1" si="6"/>
        <v>0.19911005514242336</v>
      </c>
      <c r="U54" s="1151">
        <f t="shared" ca="1" si="6"/>
        <v>0.19814453205675184</v>
      </c>
      <c r="V54" s="1151">
        <f t="shared" ca="1" si="6"/>
        <v>0.19723246910397452</v>
      </c>
      <c r="W54" s="1151">
        <f t="shared" ca="1" si="6"/>
        <v>0.1962937484018793</v>
      </c>
      <c r="X54" s="1151">
        <f t="shared" ca="1" si="6"/>
        <v>0.19543830275071009</v>
      </c>
      <c r="Y54" s="1151">
        <f t="shared" ca="1" si="6"/>
        <v>0.1946028417114137</v>
      </c>
      <c r="Z54" s="1151">
        <f t="shared" ca="1" si="6"/>
        <v>0.19381230852569187</v>
      </c>
      <c r="AA54" s="1151">
        <f t="shared" ca="1" si="6"/>
        <v>0.1929973220019145</v>
      </c>
      <c r="AB54" s="1151">
        <f t="shared" ca="1" si="6"/>
        <v>0.19222600532900111</v>
      </c>
      <c r="AC54" s="1151">
        <f t="shared" ca="1" si="6"/>
        <v>0.19150312395015312</v>
      </c>
      <c r="AD54" s="1151">
        <f t="shared" ca="1" si="6"/>
        <v>0.19083130628442471</v>
      </c>
      <c r="AE54" s="1151">
        <f t="shared" ca="1" si="6"/>
        <v>0.19013752902472592</v>
      </c>
      <c r="AF54" s="1151">
        <f t="shared" ca="1" si="6"/>
        <v>0.18947982613641165</v>
      </c>
      <c r="AG54" s="1151">
        <f ca="1">AG53*PI()*($J$11/2)^2</f>
        <v>0.18881834627179553</v>
      </c>
      <c r="AH54" s="157"/>
      <c r="AI54" s="155"/>
      <c r="AJ54" s="142"/>
      <c r="AK54" s="21"/>
      <c r="AL54" s="21"/>
      <c r="AM54" s="19"/>
      <c r="AN54" s="19"/>
      <c r="AO54" s="326"/>
      <c r="AP54" s="326"/>
      <c r="AQ54" s="326"/>
      <c r="AR54" s="326"/>
      <c r="AS54" s="326"/>
      <c r="AT54" s="326"/>
      <c r="AU54" s="326"/>
      <c r="AV54" s="326"/>
      <c r="AW54" s="326"/>
      <c r="AX54" s="326"/>
      <c r="AY54" s="326"/>
      <c r="AZ54" s="326"/>
    </row>
    <row r="55" spans="1:52">
      <c r="A55" s="648"/>
      <c r="B55" s="326"/>
      <c r="C55" s="326"/>
      <c r="D55" s="326"/>
      <c r="E55" s="579"/>
      <c r="F55" s="328"/>
      <c r="G55" s="328"/>
      <c r="H55" s="328"/>
      <c r="I55" s="580"/>
      <c r="J55" s="326"/>
      <c r="K55" s="342"/>
      <c r="L55" s="326"/>
      <c r="M55" s="338"/>
      <c r="N55" s="338"/>
      <c r="O55" s="338"/>
      <c r="P55" s="338"/>
      <c r="Q55" s="338"/>
      <c r="R55" s="338"/>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row>
    <row r="56" spans="1:52">
      <c r="A56" s="19"/>
      <c r="B56" s="591" t="s">
        <v>713</v>
      </c>
      <c r="C56" s="594"/>
      <c r="D56" s="19"/>
      <c r="E56" s="19"/>
      <c r="F56" s="19"/>
      <c r="G56" s="19"/>
      <c r="H56" s="19"/>
      <c r="I56" s="19"/>
      <c r="J56" s="28"/>
      <c r="K56" s="28"/>
      <c r="L56" s="28"/>
      <c r="M56" s="28"/>
      <c r="N56" s="28"/>
      <c r="O56" s="28"/>
      <c r="P56" s="19"/>
      <c r="Q56" s="19"/>
      <c r="R56" s="19"/>
      <c r="S56" s="19"/>
      <c r="T56" s="19"/>
      <c r="U56" s="19"/>
      <c r="V56" s="19"/>
      <c r="W56" s="19"/>
      <c r="X56" s="19"/>
      <c r="Y56" s="19"/>
      <c r="Z56" s="19"/>
      <c r="AA56" s="19"/>
      <c r="AB56" s="19"/>
      <c r="AC56" s="19"/>
      <c r="AD56" s="19"/>
      <c r="AE56" s="19"/>
      <c r="AF56" s="19"/>
      <c r="AG56" s="19"/>
      <c r="AH56" s="19"/>
      <c r="AI56" s="19"/>
      <c r="AJ56" s="19"/>
      <c r="AK56" s="21"/>
      <c r="AL56" s="21"/>
      <c r="AM56" s="19"/>
      <c r="AN56" s="19"/>
      <c r="AO56" s="326"/>
      <c r="AP56" s="326"/>
      <c r="AQ56" s="326"/>
      <c r="AR56" s="326"/>
      <c r="AS56" s="326"/>
      <c r="AT56" s="326"/>
      <c r="AU56" s="326"/>
      <c r="AV56" s="326"/>
      <c r="AW56" s="326"/>
      <c r="AX56" s="326"/>
      <c r="AY56" s="326"/>
      <c r="AZ56" s="326"/>
    </row>
    <row r="57" spans="1:52" ht="15" thickBot="1">
      <c r="A57" s="19"/>
      <c r="C57" s="32">
        <f>Cashflow!C$30</f>
        <v>2017</v>
      </c>
      <c r="D57" s="32">
        <f>Cashflow!D$30</f>
        <v>2018</v>
      </c>
      <c r="E57" s="32">
        <f>Cashflow!E$30</f>
        <v>2019</v>
      </c>
      <c r="F57" s="32">
        <f>Cashflow!F$30</f>
        <v>2020</v>
      </c>
      <c r="G57" s="32">
        <f>Cashflow!G$30</f>
        <v>2021</v>
      </c>
      <c r="H57" s="32">
        <f>Cashflow!H$30</f>
        <v>2022</v>
      </c>
      <c r="I57" s="32">
        <f>Cashflow!I$30</f>
        <v>2023</v>
      </c>
      <c r="J57" s="32">
        <f>Cashflow!J$30</f>
        <v>2024</v>
      </c>
      <c r="K57" s="32">
        <f>Cashflow!K$30</f>
        <v>2025</v>
      </c>
      <c r="L57" s="32">
        <f>Cashflow!L$30</f>
        <v>2026</v>
      </c>
      <c r="M57" s="32">
        <f>Cashflow!M$30</f>
        <v>2027</v>
      </c>
      <c r="N57" s="32">
        <f>Cashflow!N$30</f>
        <v>2028</v>
      </c>
      <c r="O57" s="32">
        <f>Cashflow!O$30</f>
        <v>2029</v>
      </c>
      <c r="P57" s="32">
        <f>Cashflow!P$30</f>
        <v>2030</v>
      </c>
      <c r="Q57" s="32">
        <f>Cashflow!Q$30</f>
        <v>2031</v>
      </c>
      <c r="R57" s="32">
        <f>Cashflow!R$30</f>
        <v>2032</v>
      </c>
      <c r="S57" s="32">
        <f>Cashflow!S$30</f>
        <v>2033</v>
      </c>
      <c r="T57" s="32">
        <f>Cashflow!T$30</f>
        <v>2034</v>
      </c>
      <c r="U57" s="32">
        <f>Cashflow!U$30</f>
        <v>2035</v>
      </c>
      <c r="V57" s="32">
        <f>Cashflow!V$30</f>
        <v>2036</v>
      </c>
      <c r="W57" s="32">
        <f>Cashflow!W$30</f>
        <v>2037</v>
      </c>
      <c r="X57" s="32">
        <f>Cashflow!X$30</f>
        <v>2038</v>
      </c>
      <c r="Y57" s="32">
        <f>Cashflow!Y$30</f>
        <v>2039</v>
      </c>
      <c r="Z57" s="32">
        <f>Cashflow!Z$30</f>
        <v>2040</v>
      </c>
      <c r="AA57" s="32">
        <f>Cashflow!AA$30</f>
        <v>2041</v>
      </c>
      <c r="AB57" s="32">
        <f>Cashflow!AB$30</f>
        <v>2042</v>
      </c>
      <c r="AC57" s="32">
        <f>Cashflow!AC$30</f>
        <v>2043</v>
      </c>
      <c r="AD57" s="32">
        <f>Cashflow!AD$30</f>
        <v>2044</v>
      </c>
      <c r="AE57" s="32">
        <f>Cashflow!AE$30</f>
        <v>2045</v>
      </c>
      <c r="AF57" s="32">
        <f>Cashflow!AF$30</f>
        <v>2046</v>
      </c>
      <c r="AG57" s="32">
        <f>Cashflow!AG$30</f>
        <v>2047</v>
      </c>
      <c r="AH57" s="19"/>
      <c r="AI57" s="19"/>
      <c r="AJ57" s="19"/>
      <c r="AK57" s="21"/>
      <c r="AL57" s="21"/>
      <c r="AM57" s="19"/>
      <c r="AN57" s="19"/>
      <c r="AO57" s="326"/>
      <c r="AP57" s="326"/>
      <c r="AQ57" s="326"/>
      <c r="AR57" s="326"/>
      <c r="AS57" s="326"/>
      <c r="AT57" s="326"/>
      <c r="AU57" s="326"/>
      <c r="AV57" s="326"/>
      <c r="AW57" s="326"/>
      <c r="AX57" s="326"/>
      <c r="AY57" s="326"/>
      <c r="AZ57" s="326"/>
    </row>
    <row r="58" spans="1:52" ht="15" thickTop="1">
      <c r="A58" s="19"/>
      <c r="B58" s="595" t="s">
        <v>661</v>
      </c>
      <c r="C58" s="562">
        <f t="shared" ref="C58:AG58" si="7">IF(C59=0,0,_xlfn.IFS(C59=C99,"Res. prod.",C59=C167,"Prod. tubing",C59=C171,"Surf. fac.",C59=C206,"Inj. tubing",C59=C245,"Res. inj."))</f>
        <v>0</v>
      </c>
      <c r="D58" s="562">
        <f t="shared" si="7"/>
        <v>0</v>
      </c>
      <c r="E58" s="562">
        <f t="shared" si="7"/>
        <v>0</v>
      </c>
      <c r="F58" s="562">
        <f t="shared" si="7"/>
        <v>0</v>
      </c>
      <c r="G58" s="562">
        <f t="shared" si="7"/>
        <v>0</v>
      </c>
      <c r="H58" s="562">
        <f t="shared" si="7"/>
        <v>0</v>
      </c>
      <c r="I58" s="562">
        <f t="shared" si="7"/>
        <v>0</v>
      </c>
      <c r="J58" s="562">
        <f t="shared" si="7"/>
        <v>0</v>
      </c>
      <c r="K58" s="562" t="str">
        <f t="shared" si="7"/>
        <v>Res. inj.</v>
      </c>
      <c r="L58" s="562" t="e">
        <f t="shared" ca="1" si="7"/>
        <v>#NAME?</v>
      </c>
      <c r="M58" s="562" t="e">
        <f t="shared" ca="1" si="7"/>
        <v>#NAME?</v>
      </c>
      <c r="N58" s="562" t="e">
        <f t="shared" ca="1" si="7"/>
        <v>#NAME?</v>
      </c>
      <c r="O58" s="562" t="e">
        <f t="shared" ca="1" si="7"/>
        <v>#NAME?</v>
      </c>
      <c r="P58" s="562" t="e">
        <f t="shared" ca="1" si="7"/>
        <v>#NAME?</v>
      </c>
      <c r="Q58" s="562" t="e">
        <f t="shared" ca="1" si="7"/>
        <v>#NAME?</v>
      </c>
      <c r="R58" s="562" t="e">
        <f t="shared" ca="1" si="7"/>
        <v>#NAME?</v>
      </c>
      <c r="S58" s="562" t="e">
        <f t="shared" ca="1" si="7"/>
        <v>#NAME?</v>
      </c>
      <c r="T58" s="562" t="e">
        <f t="shared" ca="1" si="7"/>
        <v>#NAME?</v>
      </c>
      <c r="U58" s="562" t="e">
        <f t="shared" ca="1" si="7"/>
        <v>#NAME?</v>
      </c>
      <c r="V58" s="562" t="e">
        <f t="shared" ca="1" si="7"/>
        <v>#NAME?</v>
      </c>
      <c r="W58" s="562" t="e">
        <f t="shared" ca="1" si="7"/>
        <v>#NAME?</v>
      </c>
      <c r="X58" s="562" t="e">
        <f t="shared" ca="1" si="7"/>
        <v>#NAME?</v>
      </c>
      <c r="Y58" s="562" t="e">
        <f t="shared" ca="1" si="7"/>
        <v>#NAME?</v>
      </c>
      <c r="Z58" s="562" t="e">
        <f t="shared" ca="1" si="7"/>
        <v>#NAME?</v>
      </c>
      <c r="AA58" s="562" t="e">
        <f t="shared" ca="1" si="7"/>
        <v>#NAME?</v>
      </c>
      <c r="AB58" s="562" t="e">
        <f t="shared" ca="1" si="7"/>
        <v>#NAME?</v>
      </c>
      <c r="AC58" s="562" t="e">
        <f t="shared" ca="1" si="7"/>
        <v>#NAME?</v>
      </c>
      <c r="AD58" s="562" t="e">
        <f t="shared" ca="1" si="7"/>
        <v>#NAME?</v>
      </c>
      <c r="AE58" s="562" t="e">
        <f t="shared" ca="1" si="7"/>
        <v>#NAME?</v>
      </c>
      <c r="AF58" s="562" t="e">
        <f t="shared" ca="1" si="7"/>
        <v>#NAME?</v>
      </c>
      <c r="AG58" s="562" t="e">
        <f t="shared" ca="1" si="7"/>
        <v>#NAME?</v>
      </c>
      <c r="AH58" s="19"/>
      <c r="AI58" s="19"/>
      <c r="AJ58" s="19"/>
      <c r="AK58" s="21"/>
      <c r="AL58" s="21"/>
      <c r="AM58" s="19"/>
      <c r="AN58" s="19"/>
      <c r="AO58" s="326"/>
      <c r="AP58" s="326"/>
      <c r="AQ58" s="326"/>
      <c r="AR58" s="326"/>
      <c r="AS58" s="326"/>
      <c r="AT58" s="326"/>
      <c r="AU58" s="326"/>
      <c r="AV58" s="326"/>
      <c r="AW58" s="326"/>
      <c r="AX58" s="326"/>
      <c r="AY58" s="326"/>
      <c r="AZ58" s="326"/>
    </row>
    <row r="59" spans="1:52">
      <c r="A59" s="19"/>
      <c r="B59" s="595" t="s">
        <v>746</v>
      </c>
      <c r="C59" s="562">
        <f t="shared" ref="C59:AG59" si="8">IF(C99=0,0,IF(AND(C99&lt;&gt;0,C245=0),MIN(C99,C167,C171),MIN(C99,C167,C171,C206,C245)))</f>
        <v>0</v>
      </c>
      <c r="D59" s="562">
        <f t="shared" si="8"/>
        <v>0</v>
      </c>
      <c r="E59" s="562">
        <f t="shared" si="8"/>
        <v>0</v>
      </c>
      <c r="F59" s="562">
        <f t="shared" si="8"/>
        <v>0</v>
      </c>
      <c r="G59" s="562">
        <f t="shared" si="8"/>
        <v>0</v>
      </c>
      <c r="H59" s="562">
        <f t="shared" si="8"/>
        <v>0</v>
      </c>
      <c r="I59" s="562">
        <f t="shared" si="8"/>
        <v>0</v>
      </c>
      <c r="J59" s="562">
        <f t="shared" si="8"/>
        <v>0</v>
      </c>
      <c r="K59" s="562">
        <f t="shared" si="8"/>
        <v>0.21960870497107587</v>
      </c>
      <c r="L59" s="562">
        <f t="shared" ca="1" si="8"/>
        <v>0.32291663236455503</v>
      </c>
      <c r="M59" s="562">
        <f t="shared" ca="1" si="8"/>
        <v>0.34110226670127608</v>
      </c>
      <c r="N59" s="562">
        <f t="shared" ca="1" si="8"/>
        <v>0.43199269370157445</v>
      </c>
      <c r="O59" s="562">
        <f t="shared" ca="1" si="8"/>
        <v>0.4081865966493809</v>
      </c>
      <c r="P59" s="562">
        <f t="shared" ca="1" si="8"/>
        <v>0.43199269370157445</v>
      </c>
      <c r="Q59" s="562">
        <f t="shared" ca="1" si="8"/>
        <v>0.40818659664938084</v>
      </c>
      <c r="R59" s="562">
        <f t="shared" ca="1" si="8"/>
        <v>0.43199269370157445</v>
      </c>
      <c r="S59" s="562">
        <f t="shared" ca="1" si="8"/>
        <v>0.4081865966493809</v>
      </c>
      <c r="T59" s="562">
        <f t="shared" ca="1" si="8"/>
        <v>0.43199269370157445</v>
      </c>
      <c r="U59" s="562">
        <f t="shared" ca="1" si="8"/>
        <v>0.4081865966493809</v>
      </c>
      <c r="V59" s="562">
        <f t="shared" ca="1" si="8"/>
        <v>0.43199269370157445</v>
      </c>
      <c r="W59" s="562">
        <f t="shared" ca="1" si="8"/>
        <v>0.40818659664938084</v>
      </c>
      <c r="X59" s="562">
        <f t="shared" ca="1" si="8"/>
        <v>0.43199269370157445</v>
      </c>
      <c r="Y59" s="562">
        <f t="shared" ca="1" si="8"/>
        <v>0.4081865966493809</v>
      </c>
      <c r="Z59" s="562">
        <f t="shared" ca="1" si="8"/>
        <v>0.43199269370157445</v>
      </c>
      <c r="AA59" s="562">
        <f t="shared" ca="1" si="8"/>
        <v>0.4081865966493809</v>
      </c>
      <c r="AB59" s="562">
        <f t="shared" ca="1" si="8"/>
        <v>0.43199269370157445</v>
      </c>
      <c r="AC59" s="562">
        <f t="shared" ca="1" si="8"/>
        <v>0.40818659664938084</v>
      </c>
      <c r="AD59" s="562">
        <f t="shared" ca="1" si="8"/>
        <v>0.43199269370157445</v>
      </c>
      <c r="AE59" s="562">
        <f t="shared" ca="1" si="8"/>
        <v>0.4081865966493809</v>
      </c>
      <c r="AF59" s="562">
        <f t="shared" ca="1" si="8"/>
        <v>0.43199269370157445</v>
      </c>
      <c r="AG59" s="562">
        <f t="shared" ca="1" si="8"/>
        <v>0.4081865966493809</v>
      </c>
      <c r="AH59" s="19"/>
      <c r="AI59" s="19"/>
      <c r="AJ59" s="19"/>
      <c r="AK59" s="21"/>
      <c r="AL59" s="21"/>
      <c r="AM59" s="19"/>
      <c r="AN59" s="19"/>
      <c r="AO59" s="326"/>
      <c r="AP59" s="326"/>
      <c r="AQ59" s="326"/>
      <c r="AR59" s="326"/>
      <c r="AS59" s="326"/>
      <c r="AT59" s="326"/>
      <c r="AU59" s="326"/>
      <c r="AV59" s="326"/>
      <c r="AW59" s="326"/>
      <c r="AX59" s="326"/>
      <c r="AY59" s="326"/>
      <c r="AZ59" s="326"/>
    </row>
    <row r="60" spans="1:52">
      <c r="A60" s="326"/>
      <c r="B60" s="326"/>
      <c r="C60" s="326"/>
      <c r="D60" s="326"/>
      <c r="E60" s="579"/>
      <c r="F60" s="328"/>
      <c r="G60" s="328"/>
      <c r="H60" s="328"/>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row>
    <row r="61" spans="1:52" s="326" customFormat="1" ht="13.2">
      <c r="B61" s="588" t="s">
        <v>750</v>
      </c>
      <c r="P61" s="329"/>
    </row>
    <row r="62" spans="1:52" ht="15" thickBot="1">
      <c r="A62" s="19"/>
      <c r="B62" s="541" t="s">
        <v>641</v>
      </c>
      <c r="C62" s="542"/>
      <c r="D62" s="543"/>
      <c r="E62" s="543"/>
      <c r="F62" s="543"/>
      <c r="G62" s="543"/>
      <c r="H62" s="543"/>
      <c r="I62" s="543"/>
      <c r="J62" s="543"/>
      <c r="K62" s="543"/>
      <c r="L62" s="543"/>
      <c r="M62" s="543"/>
      <c r="N62" s="543"/>
      <c r="O62" s="543"/>
      <c r="P62" s="543"/>
      <c r="Q62" s="543"/>
      <c r="R62" s="543"/>
      <c r="S62" s="543"/>
      <c r="T62" s="543"/>
      <c r="U62" s="543"/>
      <c r="V62" s="543"/>
      <c r="W62" s="543"/>
      <c r="X62" s="543"/>
      <c r="Y62" s="543"/>
      <c r="Z62" s="543"/>
      <c r="AA62" s="543"/>
      <c r="AB62" s="543"/>
      <c r="AC62" s="543"/>
      <c r="AD62" s="543"/>
      <c r="AE62" s="543"/>
      <c r="AF62" s="543"/>
      <c r="AG62" s="543"/>
      <c r="AH62" s="19"/>
      <c r="AI62" s="19"/>
      <c r="AJ62" s="19"/>
      <c r="AK62" s="21"/>
      <c r="AL62" s="21"/>
      <c r="AM62" s="19"/>
      <c r="AN62" s="19"/>
      <c r="AO62" s="326"/>
      <c r="AP62" s="326"/>
      <c r="AQ62" s="326"/>
      <c r="AR62" s="326"/>
      <c r="AS62" s="326"/>
      <c r="AT62" s="326"/>
      <c r="AU62" s="326"/>
      <c r="AV62" s="326"/>
      <c r="AW62" s="326"/>
      <c r="AX62" s="326"/>
      <c r="AY62" s="326"/>
      <c r="AZ62" s="326"/>
    </row>
    <row r="63" spans="1:52" ht="15" thickTop="1">
      <c r="A63" s="19"/>
      <c r="B63" s="545" t="s">
        <v>527</v>
      </c>
      <c r="C63" s="1124">
        <f t="shared" ref="C63:AG63" si="9">IF(MOD(C$67-$C$67,$Q$8)=0,1,B63+1)</f>
        <v>1</v>
      </c>
      <c r="D63" s="1124">
        <f t="shared" si="9"/>
        <v>2</v>
      </c>
      <c r="E63" s="1124">
        <f t="shared" si="9"/>
        <v>3</v>
      </c>
      <c r="F63" s="1124">
        <f t="shared" si="9"/>
        <v>4</v>
      </c>
      <c r="G63" s="1124">
        <f t="shared" si="9"/>
        <v>5</v>
      </c>
      <c r="H63" s="1124">
        <f t="shared" si="9"/>
        <v>6</v>
      </c>
      <c r="I63" s="1124">
        <f t="shared" si="9"/>
        <v>7</v>
      </c>
      <c r="J63" s="1124">
        <f t="shared" si="9"/>
        <v>8</v>
      </c>
      <c r="K63" s="1124">
        <f t="shared" si="9"/>
        <v>1</v>
      </c>
      <c r="L63" s="1124">
        <f t="shared" si="9"/>
        <v>2</v>
      </c>
      <c r="M63" s="1124">
        <f t="shared" si="9"/>
        <v>3</v>
      </c>
      <c r="N63" s="1124">
        <f t="shared" si="9"/>
        <v>4</v>
      </c>
      <c r="O63" s="1124">
        <f t="shared" si="9"/>
        <v>5</v>
      </c>
      <c r="P63" s="1124">
        <f t="shared" si="9"/>
        <v>6</v>
      </c>
      <c r="Q63" s="1124">
        <f t="shared" si="9"/>
        <v>7</v>
      </c>
      <c r="R63" s="1124">
        <f t="shared" si="9"/>
        <v>8</v>
      </c>
      <c r="S63" s="1124">
        <f t="shared" si="9"/>
        <v>1</v>
      </c>
      <c r="T63" s="1124">
        <f t="shared" si="9"/>
        <v>2</v>
      </c>
      <c r="U63" s="1124">
        <f t="shared" si="9"/>
        <v>3</v>
      </c>
      <c r="V63" s="1124">
        <f t="shared" si="9"/>
        <v>4</v>
      </c>
      <c r="W63" s="1124">
        <f t="shared" si="9"/>
        <v>5</v>
      </c>
      <c r="X63" s="1124">
        <f t="shared" si="9"/>
        <v>6</v>
      </c>
      <c r="Y63" s="1124">
        <f t="shared" si="9"/>
        <v>7</v>
      </c>
      <c r="Z63" s="1124">
        <f t="shared" si="9"/>
        <v>8</v>
      </c>
      <c r="AA63" s="1124">
        <f t="shared" si="9"/>
        <v>1</v>
      </c>
      <c r="AB63" s="1124">
        <f t="shared" si="9"/>
        <v>2</v>
      </c>
      <c r="AC63" s="1124">
        <f t="shared" si="9"/>
        <v>3</v>
      </c>
      <c r="AD63" s="1124">
        <f t="shared" si="9"/>
        <v>4</v>
      </c>
      <c r="AE63" s="1124">
        <f t="shared" si="9"/>
        <v>5</v>
      </c>
      <c r="AF63" s="1124">
        <f t="shared" si="9"/>
        <v>6</v>
      </c>
      <c r="AG63" s="1124">
        <f t="shared" si="9"/>
        <v>7</v>
      </c>
      <c r="AH63" s="19"/>
      <c r="AI63" s="19"/>
      <c r="AJ63" s="19"/>
      <c r="AK63" s="21"/>
      <c r="AL63" s="21"/>
      <c r="AM63" s="19"/>
      <c r="AN63" s="19"/>
      <c r="AO63" s="326"/>
      <c r="AP63" s="326"/>
      <c r="AQ63" s="326"/>
      <c r="AR63" s="326"/>
      <c r="AS63" s="326"/>
      <c r="AT63" s="326"/>
      <c r="AU63" s="326"/>
      <c r="AV63" s="326"/>
      <c r="AW63" s="326"/>
      <c r="AX63" s="326"/>
      <c r="AY63" s="326"/>
      <c r="AZ63" s="326"/>
    </row>
    <row r="64" spans="1:52">
      <c r="A64" s="19"/>
      <c r="B64" s="175" t="s">
        <v>623</v>
      </c>
      <c r="C64" s="1123">
        <f t="shared" ref="C64:AG64" si="10">IF(MOD(C$63-$C$63,$Q$8)=0,$J$13,IF($J$13&gt;0,$J$13+(MOD(C$63-$C$63,$Q$8)*$J$15),$J$13+(MOD(C$63-$C$63,$Q$8)*$J$15)))</f>
        <v>0</v>
      </c>
      <c r="D64" s="1123">
        <f t="shared" si="10"/>
        <v>1.5</v>
      </c>
      <c r="E64" s="1123">
        <f t="shared" si="10"/>
        <v>3</v>
      </c>
      <c r="F64" s="1123">
        <f t="shared" si="10"/>
        <v>4.5</v>
      </c>
      <c r="G64" s="1123">
        <f t="shared" si="10"/>
        <v>6</v>
      </c>
      <c r="H64" s="1123">
        <f t="shared" si="10"/>
        <v>7.5</v>
      </c>
      <c r="I64" s="1123">
        <f t="shared" si="10"/>
        <v>9</v>
      </c>
      <c r="J64" s="1123">
        <f t="shared" si="10"/>
        <v>10.5</v>
      </c>
      <c r="K64" s="1123">
        <f t="shared" si="10"/>
        <v>0</v>
      </c>
      <c r="L64" s="1123">
        <f t="shared" si="10"/>
        <v>1.5</v>
      </c>
      <c r="M64" s="1123">
        <f t="shared" si="10"/>
        <v>3</v>
      </c>
      <c r="N64" s="1123">
        <f t="shared" si="10"/>
        <v>4.5</v>
      </c>
      <c r="O64" s="1123">
        <f t="shared" si="10"/>
        <v>6</v>
      </c>
      <c r="P64" s="1123">
        <f t="shared" si="10"/>
        <v>7.5</v>
      </c>
      <c r="Q64" s="1123">
        <f t="shared" si="10"/>
        <v>9</v>
      </c>
      <c r="R64" s="1123">
        <f t="shared" si="10"/>
        <v>10.5</v>
      </c>
      <c r="S64" s="1123">
        <f t="shared" si="10"/>
        <v>0</v>
      </c>
      <c r="T64" s="1123">
        <f t="shared" si="10"/>
        <v>1.5</v>
      </c>
      <c r="U64" s="1123">
        <f t="shared" si="10"/>
        <v>3</v>
      </c>
      <c r="V64" s="1123">
        <f t="shared" si="10"/>
        <v>4.5</v>
      </c>
      <c r="W64" s="1123">
        <f t="shared" si="10"/>
        <v>6</v>
      </c>
      <c r="X64" s="1123">
        <f t="shared" si="10"/>
        <v>7.5</v>
      </c>
      <c r="Y64" s="1123">
        <f t="shared" si="10"/>
        <v>9</v>
      </c>
      <c r="Z64" s="1123">
        <f t="shared" si="10"/>
        <v>10.5</v>
      </c>
      <c r="AA64" s="1123">
        <f t="shared" si="10"/>
        <v>0</v>
      </c>
      <c r="AB64" s="1123">
        <f t="shared" si="10"/>
        <v>1.5</v>
      </c>
      <c r="AC64" s="1123">
        <f t="shared" si="10"/>
        <v>3</v>
      </c>
      <c r="AD64" s="1123">
        <f t="shared" si="10"/>
        <v>4.5</v>
      </c>
      <c r="AE64" s="1123">
        <f t="shared" si="10"/>
        <v>6</v>
      </c>
      <c r="AF64" s="1123">
        <f t="shared" si="10"/>
        <v>7.5</v>
      </c>
      <c r="AG64" s="1123">
        <f t="shared" si="10"/>
        <v>9</v>
      </c>
      <c r="AH64" s="19"/>
      <c r="AI64" s="19"/>
      <c r="AJ64" s="19"/>
      <c r="AK64" s="21"/>
      <c r="AL64" s="21"/>
      <c r="AM64" s="19"/>
      <c r="AN64" s="19"/>
      <c r="AO64" s="326"/>
      <c r="AP64" s="326"/>
      <c r="AQ64" s="326"/>
      <c r="AR64" s="326"/>
      <c r="AS64" s="326"/>
      <c r="AT64" s="326"/>
      <c r="AU64" s="326"/>
      <c r="AV64" s="326"/>
      <c r="AW64" s="326"/>
      <c r="AX64" s="326"/>
      <c r="AY64" s="326"/>
      <c r="AZ64" s="326"/>
    </row>
    <row r="65" spans="1:52">
      <c r="A65" s="326"/>
      <c r="B65" s="326"/>
      <c r="C65" s="326"/>
      <c r="D65" s="326"/>
      <c r="E65" s="326"/>
      <c r="F65" s="326"/>
      <c r="G65" s="326"/>
      <c r="H65" s="326"/>
      <c r="I65" s="326"/>
      <c r="J65" s="326"/>
      <c r="K65" s="326"/>
      <c r="L65" s="326"/>
      <c r="M65" s="326"/>
      <c r="N65" s="326"/>
      <c r="O65" s="326"/>
      <c r="P65" s="326"/>
      <c r="Q65" s="326"/>
      <c r="R65" s="326"/>
      <c r="S65" s="326"/>
      <c r="T65" s="326"/>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row>
    <row r="66" spans="1:52">
      <c r="A66" s="575" t="s">
        <v>97</v>
      </c>
      <c r="B66" s="576" t="s">
        <v>98</v>
      </c>
      <c r="C66" s="576" t="s">
        <v>99</v>
      </c>
      <c r="D66" s="576" t="s">
        <v>100</v>
      </c>
      <c r="E66" s="576" t="s">
        <v>101</v>
      </c>
      <c r="F66" s="576" t="s">
        <v>102</v>
      </c>
      <c r="G66" s="576" t="s">
        <v>103</v>
      </c>
      <c r="H66" s="576" t="s">
        <v>104</v>
      </c>
      <c r="I66" s="576" t="s">
        <v>105</v>
      </c>
      <c r="J66" s="576" t="s">
        <v>106</v>
      </c>
      <c r="K66" s="576" t="s">
        <v>107</v>
      </c>
      <c r="L66" s="576" t="s">
        <v>108</v>
      </c>
      <c r="M66" s="576" t="s">
        <v>109</v>
      </c>
      <c r="N66" s="576" t="s">
        <v>88</v>
      </c>
      <c r="O66" s="576" t="s">
        <v>110</v>
      </c>
      <c r="P66" s="576" t="s">
        <v>111</v>
      </c>
      <c r="Q66" s="576" t="s">
        <v>112</v>
      </c>
      <c r="R66" s="576" t="s">
        <v>113</v>
      </c>
      <c r="S66" s="576" t="s">
        <v>114</v>
      </c>
      <c r="T66" s="576" t="s">
        <v>115</v>
      </c>
      <c r="U66" s="576" t="s">
        <v>116</v>
      </c>
      <c r="V66" s="576" t="s">
        <v>117</v>
      </c>
      <c r="W66" s="576" t="s">
        <v>118</v>
      </c>
      <c r="X66" s="576" t="s">
        <v>119</v>
      </c>
      <c r="Y66" s="576" t="s">
        <v>120</v>
      </c>
      <c r="Z66" s="576" t="s">
        <v>121</v>
      </c>
      <c r="AA66" s="576" t="s">
        <v>122</v>
      </c>
      <c r="AB66" s="576" t="s">
        <v>123</v>
      </c>
      <c r="AC66" s="576" t="s">
        <v>124</v>
      </c>
      <c r="AD66" s="576" t="s">
        <v>125</v>
      </c>
      <c r="AE66" s="576" t="s">
        <v>126</v>
      </c>
      <c r="AF66" s="576" t="s">
        <v>127</v>
      </c>
      <c r="AG66" s="576" t="s">
        <v>128</v>
      </c>
      <c r="AH66" s="19"/>
      <c r="AI66" s="19"/>
      <c r="AJ66" s="19"/>
      <c r="AK66" s="21"/>
      <c r="AL66" s="21"/>
      <c r="AM66" s="19"/>
      <c r="AN66" s="19"/>
      <c r="AO66" s="326"/>
      <c r="AP66" s="326"/>
      <c r="AQ66" s="326"/>
      <c r="AR66" s="326"/>
      <c r="AS66" s="326"/>
      <c r="AT66" s="326"/>
      <c r="AU66" s="326"/>
      <c r="AV66" s="326"/>
      <c r="AW66" s="326"/>
      <c r="AX66" s="326"/>
      <c r="AY66" s="326"/>
      <c r="AZ66" s="326"/>
    </row>
    <row r="67" spans="1:52" ht="15" thickBot="1">
      <c r="A67" s="19"/>
      <c r="B67" s="458" t="s">
        <v>743</v>
      </c>
      <c r="C67" s="32">
        <f>Cashflow!C$30</f>
        <v>2017</v>
      </c>
      <c r="D67" s="32">
        <f>Cashflow!D$30</f>
        <v>2018</v>
      </c>
      <c r="E67" s="32">
        <f>Cashflow!E$30</f>
        <v>2019</v>
      </c>
      <c r="F67" s="32">
        <f>Cashflow!F$30</f>
        <v>2020</v>
      </c>
      <c r="G67" s="32">
        <f>Cashflow!G$30</f>
        <v>2021</v>
      </c>
      <c r="H67" s="32">
        <f>Cashflow!H$30</f>
        <v>2022</v>
      </c>
      <c r="I67" s="32">
        <f>Cashflow!I$30</f>
        <v>2023</v>
      </c>
      <c r="J67" s="32">
        <f>Cashflow!J$30</f>
        <v>2024</v>
      </c>
      <c r="K67" s="32">
        <f>Cashflow!K$30</f>
        <v>2025</v>
      </c>
      <c r="L67" s="32">
        <f>Cashflow!L$30</f>
        <v>2026</v>
      </c>
      <c r="M67" s="32">
        <f>Cashflow!M$30</f>
        <v>2027</v>
      </c>
      <c r="N67" s="32">
        <f>Cashflow!N$30</f>
        <v>2028</v>
      </c>
      <c r="O67" s="32">
        <f>Cashflow!O$30</f>
        <v>2029</v>
      </c>
      <c r="P67" s="32">
        <f>Cashflow!P$30</f>
        <v>2030</v>
      </c>
      <c r="Q67" s="32">
        <f>Cashflow!Q$30</f>
        <v>2031</v>
      </c>
      <c r="R67" s="32">
        <f>Cashflow!R$30</f>
        <v>2032</v>
      </c>
      <c r="S67" s="32">
        <f>Cashflow!S$30</f>
        <v>2033</v>
      </c>
      <c r="T67" s="32">
        <f>Cashflow!T$30</f>
        <v>2034</v>
      </c>
      <c r="U67" s="32">
        <f>Cashflow!U$30</f>
        <v>2035</v>
      </c>
      <c r="V67" s="32">
        <f>Cashflow!V$30</f>
        <v>2036</v>
      </c>
      <c r="W67" s="32">
        <f>Cashflow!W$30</f>
        <v>2037</v>
      </c>
      <c r="X67" s="32">
        <f>Cashflow!X$30</f>
        <v>2038</v>
      </c>
      <c r="Y67" s="32">
        <f>Cashflow!Y$30</f>
        <v>2039</v>
      </c>
      <c r="Z67" s="32">
        <f>Cashflow!Z$30</f>
        <v>2040</v>
      </c>
      <c r="AA67" s="32">
        <f>Cashflow!AA$30</f>
        <v>2041</v>
      </c>
      <c r="AB67" s="32">
        <f>Cashflow!AB$30</f>
        <v>2042</v>
      </c>
      <c r="AC67" s="32">
        <f>Cashflow!AC$30</f>
        <v>2043</v>
      </c>
      <c r="AD67" s="32">
        <f>Cashflow!AD$30</f>
        <v>2044</v>
      </c>
      <c r="AE67" s="32">
        <f>Cashflow!AE$30</f>
        <v>2045</v>
      </c>
      <c r="AF67" s="32">
        <f>Cashflow!AF$30</f>
        <v>2046</v>
      </c>
      <c r="AG67" s="32">
        <f>Cashflow!AG$30</f>
        <v>2047</v>
      </c>
      <c r="AH67" s="19"/>
      <c r="AI67" s="19"/>
      <c r="AJ67" s="19"/>
      <c r="AK67" s="19"/>
      <c r="AL67" s="19"/>
      <c r="AM67" s="21"/>
      <c r="AN67" s="19"/>
      <c r="AO67" s="326"/>
      <c r="AP67" s="326"/>
      <c r="AQ67" s="326"/>
      <c r="AR67" s="326"/>
      <c r="AS67" s="326"/>
      <c r="AT67" s="326"/>
      <c r="AU67" s="326"/>
      <c r="AV67" s="326"/>
      <c r="AW67" s="326"/>
      <c r="AX67" s="326"/>
      <c r="AY67" s="326"/>
      <c r="AZ67" s="326"/>
    </row>
    <row r="68" spans="1:52" ht="15" thickTop="1">
      <c r="A68" s="19"/>
      <c r="B68" s="191" t="str">
        <f>"Inflow for wells built in Year "&amp;Cashflow!C$164</f>
        <v>Inflow for wells built in Year 2017</v>
      </c>
      <c r="C68" s="1162">
        <f>IF(Cashflow!C$111="C/I",0,IF($C$31=0,0,IF(C$67&lt;$Q$7,0,$C$31*$J$5*$Q$4*2*PI()*$AE$6/($C$41*(LN(SQRT($J$4/(C$32*PI()))/($J$10/2))-(1/2)+C$64)))))</f>
        <v>0</v>
      </c>
      <c r="D68" s="1162">
        <f>IF(Cashflow!D$111="C/I",0,IF($C$31=0,0,IF(D$67&lt;$Q$7,0,$C$31*$J$5*$Q$4*2*PI()*$AE$6/($C$41*(LN(SQRT($J$4/(D$32*PI()))/($J$10/2))-(1/2)+D$64)))))</f>
        <v>0</v>
      </c>
      <c r="E68" s="1162">
        <f>IF(Cashflow!E$111="C/I",0,IF($C$31=0,0,IF(E$67&lt;$Q$7,0,$C$31*$J$5*$Q$4*2*PI()*$AE$6/($C$41*(LN(SQRT($J$4/(E$32*PI()))/($J$10/2))-(1/2)+E$64)))))</f>
        <v>0</v>
      </c>
      <c r="F68" s="1162">
        <f>IF(Cashflow!F$111="C/I",0,IF($C$31=0,0,IF(F$67&lt;$Q$7,0,$C$31*$J$5*$Q$4*2*PI()*$AE$6/($C$41*(LN(SQRT($J$4/(F$32*PI()))/($J$10/2))-(1/2)+F$64)))))</f>
        <v>0</v>
      </c>
      <c r="G68" s="1162">
        <f>IF(Cashflow!G$111="C/I",0,IF($C$31=0,0,IF(G$67&lt;$Q$7,0,$C$31*$J$5*$Q$4*2*PI()*$AE$6/($C$41*(LN(SQRT($J$4/(G$32*PI()))/($J$10/2))-(1/2)+G$64)))))</f>
        <v>0</v>
      </c>
      <c r="H68" s="1162">
        <f>IF(Cashflow!H$111="C/I",0,IF($C$31=0,0,IF(H$67&lt;$Q$7,0,$C$31*$J$5*$Q$4*2*PI()*$AE$6/($C$41*(LN(SQRT($J$4/(H$32*PI()))/($J$10/2))-(1/2)+H$64)))))</f>
        <v>0</v>
      </c>
      <c r="I68" s="1162">
        <f>IF(Cashflow!I$111="C/I",0,IF($C$31=0,0,IF(I$67&lt;$Q$7,0,$C$31*$J$5*$Q$4*2*PI()*$AE$6/($C$41*(LN(SQRT($J$4/(I$32*PI()))/($J$10/2))-(1/2)+I$64)))))</f>
        <v>0</v>
      </c>
      <c r="J68" s="1162">
        <f>IF(Cashflow!J$111="C/I",0,IF($C$31=0,0,IF(J$67&lt;$Q$7,0,$C$31*$J$5*$Q$4*2*PI()*$AE$6/($C$41*(LN(SQRT($J$4/(J$32*PI()))/($J$10/2))-(1/2)+J$64)))))</f>
        <v>0</v>
      </c>
      <c r="K68" s="1162">
        <f>IF(Cashflow!K$111="C/I",0,IF($C$31=0,0,IF(K$67&lt;$Q$7,0,$C$31*$J$5*$Q$4*2*PI()*$AE$6/($C$41*(LN(SQRT($J$4/(K$32*PI()))/($J$10/2))-(1/2)+K$64)))))</f>
        <v>0</v>
      </c>
      <c r="L68" s="1162">
        <f ca="1">IF(Cashflow!L$111="C/I",0,IF($C$31=0,0,IF(L$67&lt;$Q$7,0,$C$31*$J$5*$Q$4*2*PI()*$AE$6/($C$41*(LN(SQRT($J$4/(L$32*PI()))/($J$10/2))-(1/2)+L$64)))))</f>
        <v>0</v>
      </c>
      <c r="M68" s="1162">
        <f ca="1">IF(Cashflow!M$111="C/I",0,IF($C$31=0,0,IF(M$67&lt;$Q$7,0,$C$31*$J$5*$Q$4*2*PI()*$AE$6/($C$41*(LN(SQRT($J$4/(M$32*PI()))/($J$10/2))-(1/2)+M$64)))))</f>
        <v>0</v>
      </c>
      <c r="N68" s="1162">
        <f ca="1">IF(Cashflow!N$111="C/I",0,IF($C$31=0,0,IF(N$67&lt;$Q$7,0,$C$31*$J$5*$Q$4*2*PI()*$AE$6/($C$41*(LN(SQRT($J$4/(N$32*PI()))/($J$10/2))-(1/2)+N$64)))))</f>
        <v>0</v>
      </c>
      <c r="O68" s="1162">
        <f ca="1">IF(Cashflow!O$111="C/I",0,IF($C$31=0,0,IF(O$67&lt;$Q$7,0,$C$31*$J$5*$Q$4*2*PI()*$AE$6/($C$41*(LN(SQRT($J$4/(O$32*PI()))/($J$10/2))-(1/2)+O$64)))))</f>
        <v>0</v>
      </c>
      <c r="P68" s="1162">
        <f ca="1">IF(Cashflow!P$111="C/I",0,IF($C$31=0,0,IF(P$67&lt;$Q$7,0,$C$31*$J$5*$Q$4*2*PI()*$AE$6/($C$41*(LN(SQRT($J$4/(P$32*PI()))/($J$10/2))-(1/2)+P$64)))))</f>
        <v>0</v>
      </c>
      <c r="Q68" s="1162">
        <f ca="1">IF(Cashflow!Q$111="C/I",0,IF($C$31=0,0,IF(Q$67&lt;$Q$7,0,$C$31*$J$5*$Q$4*2*PI()*$AE$6/($C$41*(LN(SQRT($J$4/(Q$32*PI()))/($J$10/2))-(1/2)+Q$64)))))</f>
        <v>0</v>
      </c>
      <c r="R68" s="1162">
        <f ca="1">IF(Cashflow!R$111="C/I",0,IF($C$31=0,0,IF(R$67&lt;$Q$7,0,$C$31*$J$5*$Q$4*2*PI()*$AE$6/($C$41*(LN(SQRT($J$4/(R$32*PI()))/($J$10/2))-(1/2)+R$64)))))</f>
        <v>0</v>
      </c>
      <c r="S68" s="1162">
        <f ca="1">IF(Cashflow!S$111="C/I",0,IF($C$31=0,0,IF(S$67&lt;$Q$7,0,$C$31*$J$5*$Q$4*2*PI()*$AE$6/($C$41*(LN(SQRT($J$4/(S$32*PI()))/($J$10/2))-(1/2)+S$64)))))</f>
        <v>0</v>
      </c>
      <c r="T68" s="1162">
        <f ca="1">IF(Cashflow!T$111="C/I",0,IF($C$31=0,0,IF(T$67&lt;$Q$7,0,$C$31*$J$5*$Q$4*2*PI()*$AE$6/($C$41*(LN(SQRT($J$4/(T$32*PI()))/($J$10/2))-(1/2)+T$64)))))</f>
        <v>0</v>
      </c>
      <c r="U68" s="1162">
        <f ca="1">IF(Cashflow!U$111="C/I",0,IF($C$31=0,0,IF(U$67&lt;$Q$7,0,$C$31*$J$5*$Q$4*2*PI()*$AE$6/($C$41*(LN(SQRT($J$4/(U$32*PI()))/($J$10/2))-(1/2)+U$64)))))</f>
        <v>0</v>
      </c>
      <c r="V68" s="1162">
        <f ca="1">IF(Cashflow!V$111="C/I",0,IF($C$31=0,0,IF(V$67&lt;$Q$7,0,$C$31*$J$5*$Q$4*2*PI()*$AE$6/($C$41*(LN(SQRT($J$4/(V$32*PI()))/($J$10/2))-(1/2)+V$64)))))</f>
        <v>0</v>
      </c>
      <c r="W68" s="1162">
        <f ca="1">IF(Cashflow!W$111="C/I",0,IF($C$31=0,0,IF(W$67&lt;$Q$7,0,$C$31*$J$5*$Q$4*2*PI()*$AE$6/($C$41*(LN(SQRT($J$4/(W$32*PI()))/($J$10/2))-(1/2)+W$64)))))</f>
        <v>0</v>
      </c>
      <c r="X68" s="1162">
        <f ca="1">IF(Cashflow!X$111="C/I",0,IF($C$31=0,0,IF(X$67&lt;$Q$7,0,$C$31*$J$5*$Q$4*2*PI()*$AE$6/($C$41*(LN(SQRT($J$4/(X$32*PI()))/($J$10/2))-(1/2)+X$64)))))</f>
        <v>0</v>
      </c>
      <c r="Y68" s="1162">
        <f ca="1">IF(Cashflow!Y$111="C/I",0,IF($C$31=0,0,IF(Y$67&lt;$Q$7,0,$C$31*$J$5*$Q$4*2*PI()*$AE$6/($C$41*(LN(SQRT($J$4/(Y$32*PI()))/($J$10/2))-(1/2)+Y$64)))))</f>
        <v>0</v>
      </c>
      <c r="Z68" s="1162">
        <f ca="1">IF(Cashflow!Z$111="C/I",0,IF($C$31=0,0,IF(Z$67&lt;$Q$7,0,$C$31*$J$5*$Q$4*2*PI()*$AE$6/($C$41*(LN(SQRT($J$4/(Z$32*PI()))/($J$10/2))-(1/2)+Z$64)))))</f>
        <v>0</v>
      </c>
      <c r="AA68" s="1162">
        <f ca="1">IF(Cashflow!AA$111="C/I",0,IF($C$31=0,0,IF(AA$67&lt;$Q$7,0,$C$31*$J$5*$Q$4*2*PI()*$AE$6/($C$41*(LN(SQRT($J$4/(AA$32*PI()))/($J$10/2))-(1/2)+AA$64)))))</f>
        <v>0</v>
      </c>
      <c r="AB68" s="1162">
        <f ca="1">IF(Cashflow!AB$111="C/I",0,IF($C$31=0,0,IF(AB$67&lt;$Q$7,0,$C$31*$J$5*$Q$4*2*PI()*$AE$6/($C$41*(LN(SQRT($J$4/(AB$32*PI()))/($J$10/2))-(1/2)+AB$64)))))</f>
        <v>0</v>
      </c>
      <c r="AC68" s="1162">
        <f ca="1">IF(Cashflow!AC$111="C/I",0,IF($C$31=0,0,IF(AC$67&lt;$Q$7,0,$C$31*$J$5*$Q$4*2*PI()*$AE$6/($C$41*(LN(SQRT($J$4/(AC$32*PI()))/($J$10/2))-(1/2)+AC$64)))))</f>
        <v>0</v>
      </c>
      <c r="AD68" s="1162">
        <f ca="1">IF(Cashflow!AD$111="C/I",0,IF($C$31=0,0,IF(AD$67&lt;$Q$7,0,$C$31*$J$5*$Q$4*2*PI()*$AE$6/($C$41*(LN(SQRT($J$4/(AD$32*PI()))/($J$10/2))-(1/2)+AD$64)))))</f>
        <v>0</v>
      </c>
      <c r="AE68" s="1162">
        <f ca="1">IF(Cashflow!AE$111="C/I",0,IF($C$31=0,0,IF(AE$67&lt;$Q$7,0,$C$31*$J$5*$Q$4*2*PI()*$AE$6/($C$41*(LN(SQRT($J$4/(AE$32*PI()))/($J$10/2))-(1/2)+AE$64)))))</f>
        <v>0</v>
      </c>
      <c r="AF68" s="1162">
        <f ca="1">IF(Cashflow!AF$111="C/I",0,IF($C$31=0,0,IF(AF$67&lt;$Q$7,0,$C$31*$J$5*$Q$4*2*PI()*$AE$6/($C$41*(LN(SQRT($J$4/(AF$32*PI()))/($J$10/2))-(1/2)+AF$64)))))</f>
        <v>0</v>
      </c>
      <c r="AG68" s="1162">
        <f ca="1">IF(Cashflow!AG$111="C/I",0,IF($C$31=0,0,IF(AG$67&lt;$Q$7,0,$C$31*$J$5*$Q$4*2*PI()*$AE$6/($C$41*(LN(SQRT($J$4/(AG$32*PI()))/($J$10/2))-(1/2)+AG$64)))))</f>
        <v>0</v>
      </c>
      <c r="AH68" s="19"/>
      <c r="AI68" s="19"/>
      <c r="AJ68" s="19"/>
      <c r="AK68" s="19"/>
      <c r="AL68" s="19"/>
      <c r="AM68" s="21"/>
      <c r="AN68" s="19"/>
      <c r="AO68" s="326"/>
      <c r="AP68" s="326"/>
      <c r="AQ68" s="326"/>
      <c r="AR68" s="326"/>
      <c r="AS68" s="326"/>
      <c r="AT68" s="326"/>
      <c r="AU68" s="326"/>
      <c r="AV68" s="326"/>
      <c r="AW68" s="326"/>
      <c r="AX68" s="326"/>
      <c r="AY68" s="326"/>
      <c r="AZ68" s="326"/>
    </row>
    <row r="69" spans="1:52">
      <c r="A69" s="19"/>
      <c r="B69" s="191" t="str">
        <f>"Inflow for wells built in Year "&amp;Cashflow!D$164</f>
        <v>Inflow for wells built in Year 2018</v>
      </c>
      <c r="C69" s="1163"/>
      <c r="D69" s="1162">
        <f>IF(Cashflow!D$111="C/I",0,IF($D$31=0,0,IF(D$67&lt;$Q$7,0,$D$31*$J$5*$Q$4*2*PI()*$AE$6/(C$41*(LN(SQRT($J$4/(D$32*PI()))/($J$10/2))-(1/2)+C$64)))))</f>
        <v>0</v>
      </c>
      <c r="E69" s="1162">
        <f>IF(Cashflow!E$111="C/I",0,IF($D$31=0,0,IF(E$67&lt;$Q$7,0,$D$31*$J$5*$Q$4*2*PI()*$AE$6/(D$41*(LN(SQRT($J$4/(E$32*PI()))/($J$10/2))-(1/2)+D$64)))))</f>
        <v>0</v>
      </c>
      <c r="F69" s="1162">
        <f>IF(Cashflow!F$111="C/I",0,IF($D$31=0,0,IF(F$67&lt;$Q$7,0,$D$31*$J$5*$Q$4*2*PI()*$AE$6/(E$41*(LN(SQRT($J$4/(F$32*PI()))/($J$10/2))-(1/2)+E$64)))))</f>
        <v>0</v>
      </c>
      <c r="G69" s="1162">
        <f>IF(Cashflow!G$111="C/I",0,IF($D$31=0,0,IF(G$67&lt;$Q$7,0,$D$31*$J$5*$Q$4*2*PI()*$AE$6/(F$41*(LN(SQRT($J$4/(G$32*PI()))/($J$10/2))-(1/2)+F$64)))))</f>
        <v>0</v>
      </c>
      <c r="H69" s="1162">
        <f>IF(Cashflow!H$111="C/I",0,IF($D$31=0,0,IF(H$67&lt;$Q$7,0,$D$31*$J$5*$Q$4*2*PI()*$AE$6/(G$41*(LN(SQRT($J$4/(H$32*PI()))/($J$10/2))-(1/2)+G$64)))))</f>
        <v>0</v>
      </c>
      <c r="I69" s="1162">
        <f>IF(Cashflow!I$111="C/I",0,IF($D$31=0,0,IF(I$67&lt;$Q$7,0,$D$31*$J$5*$Q$4*2*PI()*$AE$6/(H$41*(LN(SQRT($J$4/(I$32*PI()))/($J$10/2))-(1/2)+H$64)))))</f>
        <v>0</v>
      </c>
      <c r="J69" s="1162">
        <f>IF(Cashflow!J$111="C/I",0,IF($D$31=0,0,IF(J$67&lt;$Q$7,0,$D$31*$J$5*$Q$4*2*PI()*$AE$6/(I$41*(LN(SQRT($J$4/(J$32*PI()))/($J$10/2))-(1/2)+I$64)))))</f>
        <v>0</v>
      </c>
      <c r="K69" s="1162">
        <f>IF(Cashflow!K$111="C/I",0,IF($D$31=0,0,IF(K$67&lt;$Q$7,0,$D$31*$J$5*$Q$4*2*PI()*$AE$6/(J$41*(LN(SQRT($J$4/(K$32*PI()))/($J$10/2))-(1/2)+J$64)))))</f>
        <v>0</v>
      </c>
      <c r="L69" s="1162">
        <f ca="1">IF(Cashflow!L$111="C/I",0,IF($D$31=0,0,IF(L$67&lt;$Q$7,0,$D$31*$J$5*$Q$4*2*PI()*$AE$6/(K$41*(LN(SQRT($J$4/(L$32*PI()))/($J$10/2))-(1/2)+K$64)))))</f>
        <v>0</v>
      </c>
      <c r="M69" s="1162">
        <f ca="1">IF(Cashflow!M$111="C/I",0,IF($D$31=0,0,IF(M$67&lt;$Q$7,0,$D$31*$J$5*$Q$4*2*PI()*$AE$6/(L$41*(LN(SQRT($J$4/(M$32*PI()))/($J$10/2))-(1/2)+L$64)))))</f>
        <v>0</v>
      </c>
      <c r="N69" s="1162">
        <f ca="1">IF(Cashflow!N$111="C/I",0,IF($D$31=0,0,IF(N$67&lt;$Q$7,0,$D$31*$J$5*$Q$4*2*PI()*$AE$6/(M$41*(LN(SQRT($J$4/(N$32*PI()))/($J$10/2))-(1/2)+M$64)))))</f>
        <v>0</v>
      </c>
      <c r="O69" s="1162">
        <f ca="1">IF(Cashflow!O$111="C/I",0,IF($D$31=0,0,IF(O$67&lt;$Q$7,0,$D$31*$J$5*$Q$4*2*PI()*$AE$6/(N$41*(LN(SQRT($J$4/(O$32*PI()))/($J$10/2))-(1/2)+N$64)))))</f>
        <v>0</v>
      </c>
      <c r="P69" s="1162">
        <f ca="1">IF(Cashflow!P$111="C/I",0,IF($D$31=0,0,IF(P$67&lt;$Q$7,0,$D$31*$J$5*$Q$4*2*PI()*$AE$6/(O$41*(LN(SQRT($J$4/(P$32*PI()))/($J$10/2))-(1/2)+O$64)))))</f>
        <v>0</v>
      </c>
      <c r="Q69" s="1162">
        <f ca="1">IF(Cashflow!Q$111="C/I",0,IF($D$31=0,0,IF(Q$67&lt;$Q$7,0,$D$31*$J$5*$Q$4*2*PI()*$AE$6/(P$41*(LN(SQRT($J$4/(Q$32*PI()))/($J$10/2))-(1/2)+P$64)))))</f>
        <v>0</v>
      </c>
      <c r="R69" s="1162">
        <f ca="1">IF(Cashflow!R$111="C/I",0,IF($D$31=0,0,IF(R$67&lt;$Q$7,0,$D$31*$J$5*$Q$4*2*PI()*$AE$6/(Q$41*(LN(SQRT($J$4/(R$32*PI()))/($J$10/2))-(1/2)+Q$64)))))</f>
        <v>0</v>
      </c>
      <c r="S69" s="1162">
        <f ca="1">IF(Cashflow!S$111="C/I",0,IF($D$31=0,0,IF(S$67&lt;$Q$7,0,$D$31*$J$5*$Q$4*2*PI()*$AE$6/(R$41*(LN(SQRT($J$4/(S$32*PI()))/($J$10/2))-(1/2)+R$64)))))</f>
        <v>0</v>
      </c>
      <c r="T69" s="1162">
        <f ca="1">IF(Cashflow!T$111="C/I",0,IF($D$31=0,0,IF(T$67&lt;$Q$7,0,$D$31*$J$5*$Q$4*2*PI()*$AE$6/(S$41*(LN(SQRT($J$4/(T$32*PI()))/($J$10/2))-(1/2)+S$64)))))</f>
        <v>0</v>
      </c>
      <c r="U69" s="1162">
        <f ca="1">IF(Cashflow!U$111="C/I",0,IF($D$31=0,0,IF(U$67&lt;$Q$7,0,$D$31*$J$5*$Q$4*2*PI()*$AE$6/(T$41*(LN(SQRT($J$4/(U$32*PI()))/($J$10/2))-(1/2)+T$64)))))</f>
        <v>0</v>
      </c>
      <c r="V69" s="1162">
        <f ca="1">IF(Cashflow!V$111="C/I",0,IF($D$31=0,0,IF(V$67&lt;$Q$7,0,$D$31*$J$5*$Q$4*2*PI()*$AE$6/(U$41*(LN(SQRT($J$4/(V$32*PI()))/($J$10/2))-(1/2)+U$64)))))</f>
        <v>0</v>
      </c>
      <c r="W69" s="1162">
        <f ca="1">IF(Cashflow!W$111="C/I",0,IF($D$31=0,0,IF(W$67&lt;$Q$7,0,$D$31*$J$5*$Q$4*2*PI()*$AE$6/(V$41*(LN(SQRT($J$4/(W$32*PI()))/($J$10/2))-(1/2)+V$64)))))</f>
        <v>0</v>
      </c>
      <c r="X69" s="1162">
        <f ca="1">IF(Cashflow!X$111="C/I",0,IF($D$31=0,0,IF(X$67&lt;$Q$7,0,$D$31*$J$5*$Q$4*2*PI()*$AE$6/(W$41*(LN(SQRT($J$4/(X$32*PI()))/($J$10/2))-(1/2)+W$64)))))</f>
        <v>0</v>
      </c>
      <c r="Y69" s="1162">
        <f ca="1">IF(Cashflow!Y$111="C/I",0,IF($D$31=0,0,IF(Y$67&lt;$Q$7,0,$D$31*$J$5*$Q$4*2*PI()*$AE$6/(X$41*(LN(SQRT($J$4/(Y$32*PI()))/($J$10/2))-(1/2)+X$64)))))</f>
        <v>0</v>
      </c>
      <c r="Z69" s="1162">
        <f ca="1">IF(Cashflow!Z$111="C/I",0,IF($D$31=0,0,IF(Z$67&lt;$Q$7,0,$D$31*$J$5*$Q$4*2*PI()*$AE$6/(Y$41*(LN(SQRT($J$4/(Z$32*PI()))/($J$10/2))-(1/2)+Y$64)))))</f>
        <v>0</v>
      </c>
      <c r="AA69" s="1162">
        <f ca="1">IF(Cashflow!AA$111="C/I",0,IF($D$31=0,0,IF(AA$67&lt;$Q$7,0,$D$31*$J$5*$Q$4*2*PI()*$AE$6/(Z$41*(LN(SQRT($J$4/(AA$32*PI()))/($J$10/2))-(1/2)+Z$64)))))</f>
        <v>0</v>
      </c>
      <c r="AB69" s="1162">
        <f ca="1">IF(Cashflow!AB$111="C/I",0,IF($D$31=0,0,IF(AB$67&lt;$Q$7,0,$D$31*$J$5*$Q$4*2*PI()*$AE$6/(AA$41*(LN(SQRT($J$4/(AB$32*PI()))/($J$10/2))-(1/2)+AA$64)))))</f>
        <v>0</v>
      </c>
      <c r="AC69" s="1162">
        <f ca="1">IF(Cashflow!AC$111="C/I",0,IF($D$31=0,0,IF(AC$67&lt;$Q$7,0,$D$31*$J$5*$Q$4*2*PI()*$AE$6/(AB$41*(LN(SQRT($J$4/(AC$32*PI()))/($J$10/2))-(1/2)+AB$64)))))</f>
        <v>0</v>
      </c>
      <c r="AD69" s="1162">
        <f ca="1">IF(Cashflow!AD$111="C/I",0,IF($D$31=0,0,IF(AD$67&lt;$Q$7,0,$D$31*$J$5*$Q$4*2*PI()*$AE$6/(AC$41*(LN(SQRT($J$4/(AD$32*PI()))/($J$10/2))-(1/2)+AC$64)))))</f>
        <v>0</v>
      </c>
      <c r="AE69" s="1162">
        <f ca="1">IF(Cashflow!AE$111="C/I",0,IF($D$31=0,0,IF(AE$67&lt;$Q$7,0,$D$31*$J$5*$Q$4*2*PI()*$AE$6/(AD$41*(LN(SQRT($J$4/(AE$32*PI()))/($J$10/2))-(1/2)+AD$64)))))</f>
        <v>0</v>
      </c>
      <c r="AF69" s="1162">
        <f ca="1">IF(Cashflow!AF$111="C/I",0,IF($D$31=0,0,IF(AF$67&lt;$Q$7,0,$D$31*$J$5*$Q$4*2*PI()*$AE$6/(AE$41*(LN(SQRT($J$4/(AF$32*PI()))/($J$10/2))-(1/2)+AE$64)))))</f>
        <v>0</v>
      </c>
      <c r="AG69" s="1162">
        <f ca="1">IF(Cashflow!AG$111="C/I",0,IF($D$31=0,0,IF(AG$67&lt;$Q$7,0,$D$31*$J$5*$Q$4*2*PI()*$AE$6/(AF$41*(LN(SQRT($J$4/(AG$32*PI()))/($J$10/2))-(1/2)+AF$64)))))</f>
        <v>0</v>
      </c>
      <c r="AH69" s="19"/>
      <c r="AI69" s="19"/>
      <c r="AJ69" s="19"/>
      <c r="AK69" s="19"/>
      <c r="AL69" s="19"/>
      <c r="AM69" s="21"/>
      <c r="AN69" s="19"/>
      <c r="AO69" s="326"/>
      <c r="AP69" s="326"/>
      <c r="AQ69" s="326"/>
      <c r="AR69" s="326"/>
      <c r="AS69" s="326"/>
      <c r="AT69" s="326"/>
      <c r="AU69" s="326"/>
      <c r="AV69" s="326"/>
      <c r="AW69" s="326"/>
      <c r="AX69" s="326"/>
      <c r="AY69" s="326"/>
      <c r="AZ69" s="326"/>
    </row>
    <row r="70" spans="1:52">
      <c r="A70" s="19"/>
      <c r="B70" s="191" t="str">
        <f>"Inflow for wells built in Year "&amp;Cashflow!E$164</f>
        <v>Inflow for wells built in Year 2019</v>
      </c>
      <c r="C70" s="1163"/>
      <c r="D70" s="1163"/>
      <c r="E70" s="1162">
        <f>IF(Cashflow!E$111="C/I",0,IF($E$31=0,0,IF(E$67&lt;$Q$7,0,$E$31*$J$5*$Q$4*2*PI()*$AE$6/(D$41*(LN(SQRT($J$4/(E$32*PI()))/($J$10/2))-(1/2)+C$64)))))</f>
        <v>0</v>
      </c>
      <c r="F70" s="1162">
        <f>IF(Cashflow!F$111="C/I",0,IF($E$31=0,0,IF(F$67&lt;$Q$7,0,$E$31*$J$5*$Q$4*2*PI()*$AE$6/(E$41*(LN(SQRT($J$4/(F$32*PI()))/($J$10/2))-(1/2)+D$64)))))</f>
        <v>0</v>
      </c>
      <c r="G70" s="1162">
        <f>IF(Cashflow!G$111="C/I",0,IF($E$31=0,0,IF(G$67&lt;$Q$7,0,$E$31*$J$5*$Q$4*2*PI()*$AE$6/(F$41*(LN(SQRT($J$4/(G$32*PI()))/($J$10/2))-(1/2)+E$64)))))</f>
        <v>0</v>
      </c>
      <c r="H70" s="1162">
        <f>IF(Cashflow!H$111="C/I",0,IF($E$31=0,0,IF(H$67&lt;$Q$7,0,$E$31*$J$5*$Q$4*2*PI()*$AE$6/(G$41*(LN(SQRT($J$4/(H$32*PI()))/($J$10/2))-(1/2)+F$64)))))</f>
        <v>0</v>
      </c>
      <c r="I70" s="1162">
        <f>IF(Cashflow!I$111="C/I",0,IF($E$31=0,0,IF(I$67&lt;$Q$7,0,$E$31*$J$5*$Q$4*2*PI()*$AE$6/(H$41*(LN(SQRT($J$4/(I$32*PI()))/($J$10/2))-(1/2)+G$64)))))</f>
        <v>0</v>
      </c>
      <c r="J70" s="1162">
        <f>IF(Cashflow!J$111="C/I",0,IF($E$31=0,0,IF(J$67&lt;$Q$7,0,$E$31*$J$5*$Q$4*2*PI()*$AE$6/(I$41*(LN(SQRT($J$4/(J$32*PI()))/($J$10/2))-(1/2)+H$64)))))</f>
        <v>0</v>
      </c>
      <c r="K70" s="1162">
        <f>IF(Cashflow!K$111="C/I",0,IF($E$31=0,0,IF(K$67&lt;$Q$7,0,$E$31*$J$5*$Q$4*2*PI()*$AE$6/(J$41*(LN(SQRT($J$4/(K$32*PI()))/($J$10/2))-(1/2)+I$64)))))</f>
        <v>0</v>
      </c>
      <c r="L70" s="1162">
        <f ca="1">IF(Cashflow!L$111="C/I",0,IF($E$31=0,0,IF(L$67&lt;$Q$7,0,$E$31*$J$5*$Q$4*2*PI()*$AE$6/(K$41*(LN(SQRT($J$4/(L$32*PI()))/($J$10/2))-(1/2)+J$64)))))</f>
        <v>0</v>
      </c>
      <c r="M70" s="1162">
        <f ca="1">IF(Cashflow!M$111="C/I",0,IF($E$31=0,0,IF(M$67&lt;$Q$7,0,$E$31*$J$5*$Q$4*2*PI()*$AE$6/(L$41*(LN(SQRT($J$4/(M$32*PI()))/($J$10/2))-(1/2)+K$64)))))</f>
        <v>0</v>
      </c>
      <c r="N70" s="1162">
        <f ca="1">IF(Cashflow!N$111="C/I",0,IF($E$31=0,0,IF(N$67&lt;$Q$7,0,$E$31*$J$5*$Q$4*2*PI()*$AE$6/(M$41*(LN(SQRT($J$4/(N$32*PI()))/($J$10/2))-(1/2)+L$64)))))</f>
        <v>0</v>
      </c>
      <c r="O70" s="1162">
        <f ca="1">IF(Cashflow!O$111="C/I",0,IF($E$31=0,0,IF(O$67&lt;$Q$7,0,$E$31*$J$5*$Q$4*2*PI()*$AE$6/(N$41*(LN(SQRT($J$4/(O$32*PI()))/($J$10/2))-(1/2)+M$64)))))</f>
        <v>0</v>
      </c>
      <c r="P70" s="1162">
        <f ca="1">IF(Cashflow!P$111="C/I",0,IF($E$31=0,0,IF(P$67&lt;$Q$7,0,$E$31*$J$5*$Q$4*2*PI()*$AE$6/(O$41*(LN(SQRT($J$4/(P$32*PI()))/($J$10/2))-(1/2)+N$64)))))</f>
        <v>0</v>
      </c>
      <c r="Q70" s="1162">
        <f ca="1">IF(Cashflow!Q$111="C/I",0,IF($E$31=0,0,IF(Q$67&lt;$Q$7,0,$E$31*$J$5*$Q$4*2*PI()*$AE$6/(P$41*(LN(SQRT($J$4/(Q$32*PI()))/($J$10/2))-(1/2)+O$64)))))</f>
        <v>0</v>
      </c>
      <c r="R70" s="1162">
        <f ca="1">IF(Cashflow!R$111="C/I",0,IF($E$31=0,0,IF(R$67&lt;$Q$7,0,$E$31*$J$5*$Q$4*2*PI()*$AE$6/(Q$41*(LN(SQRT($J$4/(R$32*PI()))/($J$10/2))-(1/2)+P$64)))))</f>
        <v>0</v>
      </c>
      <c r="S70" s="1162">
        <f ca="1">IF(Cashflow!S$111="C/I",0,IF($E$31=0,0,IF(S$67&lt;$Q$7,0,$E$31*$J$5*$Q$4*2*PI()*$AE$6/(R$41*(LN(SQRT($J$4/(S$32*PI()))/($J$10/2))-(1/2)+Q$64)))))</f>
        <v>0</v>
      </c>
      <c r="T70" s="1162">
        <f ca="1">IF(Cashflow!T$111="C/I",0,IF($E$31=0,0,IF(T$67&lt;$Q$7,0,$E$31*$J$5*$Q$4*2*PI()*$AE$6/(S$41*(LN(SQRT($J$4/(T$32*PI()))/($J$10/2))-(1/2)+R$64)))))</f>
        <v>0</v>
      </c>
      <c r="U70" s="1162">
        <f ca="1">IF(Cashflow!U$111="C/I",0,IF($E$31=0,0,IF(U$67&lt;$Q$7,0,$E$31*$J$5*$Q$4*2*PI()*$AE$6/(T$41*(LN(SQRT($J$4/(U$32*PI()))/($J$10/2))-(1/2)+S$64)))))</f>
        <v>0</v>
      </c>
      <c r="V70" s="1162">
        <f ca="1">IF(Cashflow!V$111="C/I",0,IF($E$31=0,0,IF(V$67&lt;$Q$7,0,$E$31*$J$5*$Q$4*2*PI()*$AE$6/(U$41*(LN(SQRT($J$4/(V$32*PI()))/($J$10/2))-(1/2)+T$64)))))</f>
        <v>0</v>
      </c>
      <c r="W70" s="1162">
        <f ca="1">IF(Cashflow!W$111="C/I",0,IF($E$31=0,0,IF(W$67&lt;$Q$7,0,$E$31*$J$5*$Q$4*2*PI()*$AE$6/(V$41*(LN(SQRT($J$4/(W$32*PI()))/($J$10/2))-(1/2)+U$64)))))</f>
        <v>0</v>
      </c>
      <c r="X70" s="1162">
        <f ca="1">IF(Cashflow!X$111="C/I",0,IF($E$31=0,0,IF(X$67&lt;$Q$7,0,$E$31*$J$5*$Q$4*2*PI()*$AE$6/(W$41*(LN(SQRT($J$4/(X$32*PI()))/($J$10/2))-(1/2)+V$64)))))</f>
        <v>0</v>
      </c>
      <c r="Y70" s="1162">
        <f ca="1">IF(Cashflow!Y$111="C/I",0,IF($E$31=0,0,IF(Y$67&lt;$Q$7,0,$E$31*$J$5*$Q$4*2*PI()*$AE$6/(X$41*(LN(SQRT($J$4/(Y$32*PI()))/($J$10/2))-(1/2)+W$64)))))</f>
        <v>0</v>
      </c>
      <c r="Z70" s="1162">
        <f ca="1">IF(Cashflow!Z$111="C/I",0,IF($E$31=0,0,IF(Z$67&lt;$Q$7,0,$E$31*$J$5*$Q$4*2*PI()*$AE$6/(Y$41*(LN(SQRT($J$4/(Z$32*PI()))/($J$10/2))-(1/2)+X$64)))))</f>
        <v>0</v>
      </c>
      <c r="AA70" s="1162">
        <f ca="1">IF(Cashflow!AA$111="C/I",0,IF($E$31=0,0,IF(AA$67&lt;$Q$7,0,$E$31*$J$5*$Q$4*2*PI()*$AE$6/(Z$41*(LN(SQRT($J$4/(AA$32*PI()))/($J$10/2))-(1/2)+Y$64)))))</f>
        <v>0</v>
      </c>
      <c r="AB70" s="1162">
        <f ca="1">IF(Cashflow!AB$111="C/I",0,IF($E$31=0,0,IF(AB$67&lt;$Q$7,0,$E$31*$J$5*$Q$4*2*PI()*$AE$6/(AA$41*(LN(SQRT($J$4/(AB$32*PI()))/($J$10/2))-(1/2)+Z$64)))))</f>
        <v>0</v>
      </c>
      <c r="AC70" s="1162">
        <f ca="1">IF(Cashflow!AC$111="C/I",0,IF($E$31=0,0,IF(AC$67&lt;$Q$7,0,$E$31*$J$5*$Q$4*2*PI()*$AE$6/(AB$41*(LN(SQRT($J$4/(AC$32*PI()))/($J$10/2))-(1/2)+AA$64)))))</f>
        <v>0</v>
      </c>
      <c r="AD70" s="1162">
        <f ca="1">IF(Cashflow!AD$111="C/I",0,IF($E$31=0,0,IF(AD$67&lt;$Q$7,0,$E$31*$J$5*$Q$4*2*PI()*$AE$6/(AC$41*(LN(SQRT($J$4/(AD$32*PI()))/($J$10/2))-(1/2)+AB$64)))))</f>
        <v>0</v>
      </c>
      <c r="AE70" s="1162">
        <f ca="1">IF(Cashflow!AE$111="C/I",0,IF($E$31=0,0,IF(AE$67&lt;$Q$7,0,$E$31*$J$5*$Q$4*2*PI()*$AE$6/(AD$41*(LN(SQRT($J$4/(AE$32*PI()))/($J$10/2))-(1/2)+AC$64)))))</f>
        <v>0</v>
      </c>
      <c r="AF70" s="1162">
        <f ca="1">IF(Cashflow!AF$111="C/I",0,IF($E$31=0,0,IF(AF$67&lt;$Q$7,0,$E$31*$J$5*$Q$4*2*PI()*$AE$6/(AE$41*(LN(SQRT($J$4/(AF$32*PI()))/($J$10/2))-(1/2)+AD$64)))))</f>
        <v>0</v>
      </c>
      <c r="AG70" s="1162">
        <f ca="1">IF(Cashflow!AG$111="C/I",0,IF($E$31=0,0,IF(AG$67&lt;$Q$7,0,$E$31*$J$5*$Q$4*2*PI()*$AE$6/(AF$41*(LN(SQRT($J$4/(AG$32*PI()))/($J$10/2))-(1/2)+AE$64)))))</f>
        <v>0</v>
      </c>
      <c r="AH70" s="19"/>
      <c r="AI70" s="19"/>
      <c r="AJ70" s="19"/>
      <c r="AK70" s="19"/>
      <c r="AL70" s="19"/>
      <c r="AM70" s="21"/>
      <c r="AN70" s="19"/>
      <c r="AO70" s="326"/>
      <c r="AP70" s="326"/>
      <c r="AQ70" s="326"/>
      <c r="AR70" s="326"/>
      <c r="AS70" s="326"/>
      <c r="AT70" s="326"/>
      <c r="AU70" s="326"/>
      <c r="AV70" s="326"/>
      <c r="AW70" s="326"/>
      <c r="AX70" s="326"/>
      <c r="AY70" s="326"/>
      <c r="AZ70" s="326"/>
    </row>
    <row r="71" spans="1:52">
      <c r="A71" s="19"/>
      <c r="B71" s="191" t="str">
        <f>"Inflow for wells built in Year "&amp;Cashflow!F$164</f>
        <v>Inflow for wells built in Year 2020</v>
      </c>
      <c r="C71" s="1163"/>
      <c r="D71" s="1163"/>
      <c r="E71" s="1163"/>
      <c r="F71" s="1162">
        <f>IF(Cashflow!F$111="C/I",0,IF($F$31=0,0,IF(F$67&lt;$Q$7,0,$F$31*$J$5*$Q$4*2*PI()*$AE$6/(E$41*(LN(SQRT($J$4/(F$32*PI()))/($J$10/2))-(1/2)+C$64)))))</f>
        <v>0</v>
      </c>
      <c r="G71" s="1162">
        <f>IF(Cashflow!G$111="C/I",0,IF($F$31=0,0,IF(G$67&lt;$Q$7,0,$F$31*$J$5*$Q$4*2*PI()*$AE$6/(F$41*(LN(SQRT($J$4/(G$32*PI()))/($J$10/2))-(1/2)+D$64)))))</f>
        <v>0</v>
      </c>
      <c r="H71" s="1162">
        <f>IF(Cashflow!H$111="C/I",0,IF($F$31=0,0,IF(H$67&lt;$Q$7,0,$F$31*$J$5*$Q$4*2*PI()*$AE$6/(G$41*(LN(SQRT($J$4/(H$32*PI()))/($J$10/2))-(1/2)+E$64)))))</f>
        <v>0</v>
      </c>
      <c r="I71" s="1162">
        <f>IF(Cashflow!I$111="C/I",0,IF($F$31=0,0,IF(I$67&lt;$Q$7,0,$F$31*$J$5*$Q$4*2*PI()*$AE$6/(H$41*(LN(SQRT($J$4/(I$32*PI()))/($J$10/2))-(1/2)+F$64)))))</f>
        <v>0</v>
      </c>
      <c r="J71" s="1162">
        <f>IF(Cashflow!J$111="C/I",0,IF($F$31=0,0,IF(J$67&lt;$Q$7,0,$F$31*$J$5*$Q$4*2*PI()*$AE$6/(I$41*(LN(SQRT($J$4/(J$32*PI()))/($J$10/2))-(1/2)+G$64)))))</f>
        <v>0</v>
      </c>
      <c r="K71" s="1162">
        <f>IF(Cashflow!K$111="C/I",0,IF($F$31=0,0,IF(K$67&lt;$Q$7,0,$F$31*$J$5*$Q$4*2*PI()*$AE$6/(J$41*(LN(SQRT($J$4/(K$32*PI()))/($J$10/2))-(1/2)+H$64)))))</f>
        <v>0</v>
      </c>
      <c r="L71" s="1162">
        <f ca="1">IF(Cashflow!L$111="C/I",0,IF($F$31=0,0,IF(L$67&lt;$Q$7,0,$F$31*$J$5*$Q$4*2*PI()*$AE$6/(K$41*(LN(SQRT($J$4/(L$32*PI()))/($J$10/2))-(1/2)+I$64)))))</f>
        <v>0</v>
      </c>
      <c r="M71" s="1162">
        <f ca="1">IF(Cashflow!M$111="C/I",0,IF($F$31=0,0,IF(M$67&lt;$Q$7,0,$F$31*$J$5*$Q$4*2*PI()*$AE$6/(L$41*(LN(SQRT($J$4/(M$32*PI()))/($J$10/2))-(1/2)+J$64)))))</f>
        <v>0</v>
      </c>
      <c r="N71" s="1162">
        <f ca="1">IF(Cashflow!N$111="C/I",0,IF($F$31=0,0,IF(N$67&lt;$Q$7,0,$F$31*$J$5*$Q$4*2*PI()*$AE$6/(M$41*(LN(SQRT($J$4/(N$32*PI()))/($J$10/2))-(1/2)+K$64)))))</f>
        <v>0</v>
      </c>
      <c r="O71" s="1162">
        <f ca="1">IF(Cashflow!O$111="C/I",0,IF($F$31=0,0,IF(O$67&lt;$Q$7,0,$F$31*$J$5*$Q$4*2*PI()*$AE$6/(N$41*(LN(SQRT($J$4/(O$32*PI()))/($J$10/2))-(1/2)+L$64)))))</f>
        <v>0</v>
      </c>
      <c r="P71" s="1162">
        <f ca="1">IF(Cashflow!P$111="C/I",0,IF($F$31=0,0,IF(P$67&lt;$Q$7,0,$F$31*$J$5*$Q$4*2*PI()*$AE$6/(O$41*(LN(SQRT($J$4/(P$32*PI()))/($J$10/2))-(1/2)+M$64)))))</f>
        <v>0</v>
      </c>
      <c r="Q71" s="1162">
        <f ca="1">IF(Cashflow!Q$111="C/I",0,IF($F$31=0,0,IF(Q$67&lt;$Q$7,0,$F$31*$J$5*$Q$4*2*PI()*$AE$6/(P$41*(LN(SQRT($J$4/(Q$32*PI()))/($J$10/2))-(1/2)+N$64)))))</f>
        <v>0</v>
      </c>
      <c r="R71" s="1162">
        <f ca="1">IF(Cashflow!R$111="C/I",0,IF($F$31=0,0,IF(R$67&lt;$Q$7,0,$F$31*$J$5*$Q$4*2*PI()*$AE$6/(Q$41*(LN(SQRT($J$4/(R$32*PI()))/($J$10/2))-(1/2)+O$64)))))</f>
        <v>0</v>
      </c>
      <c r="S71" s="1162">
        <f ca="1">IF(Cashflow!S$111="C/I",0,IF($F$31=0,0,IF(S$67&lt;$Q$7,0,$F$31*$J$5*$Q$4*2*PI()*$AE$6/(R$41*(LN(SQRT($J$4/(S$32*PI()))/($J$10/2))-(1/2)+P$64)))))</f>
        <v>0</v>
      </c>
      <c r="T71" s="1162">
        <f ca="1">IF(Cashflow!T$111="C/I",0,IF($F$31=0,0,IF(T$67&lt;$Q$7,0,$F$31*$J$5*$Q$4*2*PI()*$AE$6/(S$41*(LN(SQRT($J$4/(T$32*PI()))/($J$10/2))-(1/2)+Q$64)))))</f>
        <v>0</v>
      </c>
      <c r="U71" s="1162">
        <f ca="1">IF(Cashflow!U$111="C/I",0,IF($F$31=0,0,IF(U$67&lt;$Q$7,0,$F$31*$J$5*$Q$4*2*PI()*$AE$6/(T$41*(LN(SQRT($J$4/(U$32*PI()))/($J$10/2))-(1/2)+R$64)))))</f>
        <v>0</v>
      </c>
      <c r="V71" s="1162">
        <f ca="1">IF(Cashflow!V$111="C/I",0,IF($F$31=0,0,IF(V$67&lt;$Q$7,0,$F$31*$J$5*$Q$4*2*PI()*$AE$6/(U$41*(LN(SQRT($J$4/(V$32*PI()))/($J$10/2))-(1/2)+S$64)))))</f>
        <v>0</v>
      </c>
      <c r="W71" s="1162">
        <f ca="1">IF(Cashflow!W$111="C/I",0,IF($F$31=0,0,IF(W$67&lt;$Q$7,0,$F$31*$J$5*$Q$4*2*PI()*$AE$6/(V$41*(LN(SQRT($J$4/(W$32*PI()))/($J$10/2))-(1/2)+T$64)))))</f>
        <v>0</v>
      </c>
      <c r="X71" s="1162">
        <f ca="1">IF(Cashflow!X$111="C/I",0,IF($F$31=0,0,IF(X$67&lt;$Q$7,0,$F$31*$J$5*$Q$4*2*PI()*$AE$6/(W$41*(LN(SQRT($J$4/(X$32*PI()))/($J$10/2))-(1/2)+U$64)))))</f>
        <v>0</v>
      </c>
      <c r="Y71" s="1162">
        <f ca="1">IF(Cashflow!Y$111="C/I",0,IF($F$31=0,0,IF(Y$67&lt;$Q$7,0,$F$31*$J$5*$Q$4*2*PI()*$AE$6/(X$41*(LN(SQRT($J$4/(Y$32*PI()))/($J$10/2))-(1/2)+V$64)))))</f>
        <v>0</v>
      </c>
      <c r="Z71" s="1162">
        <f ca="1">IF(Cashflow!Z$111="C/I",0,IF($F$31=0,0,IF(Z$67&lt;$Q$7,0,$F$31*$J$5*$Q$4*2*PI()*$AE$6/(Y$41*(LN(SQRT($J$4/(Z$32*PI()))/($J$10/2))-(1/2)+W$64)))))</f>
        <v>0</v>
      </c>
      <c r="AA71" s="1162">
        <f ca="1">IF(Cashflow!AA$111="C/I",0,IF($F$31=0,0,IF(AA$67&lt;$Q$7,0,$F$31*$J$5*$Q$4*2*PI()*$AE$6/(Z$41*(LN(SQRT($J$4/(AA$32*PI()))/($J$10/2))-(1/2)+X$64)))))</f>
        <v>0</v>
      </c>
      <c r="AB71" s="1162">
        <f ca="1">IF(Cashflow!AB$111="C/I",0,IF($F$31=0,0,IF(AB$67&lt;$Q$7,0,$F$31*$J$5*$Q$4*2*PI()*$AE$6/(AA$41*(LN(SQRT($J$4/(AB$32*PI()))/($J$10/2))-(1/2)+Y$64)))))</f>
        <v>0</v>
      </c>
      <c r="AC71" s="1162">
        <f ca="1">IF(Cashflow!AC$111="C/I",0,IF($F$31=0,0,IF(AC$67&lt;$Q$7,0,$F$31*$J$5*$Q$4*2*PI()*$AE$6/(AB$41*(LN(SQRT($J$4/(AC$32*PI()))/($J$10/2))-(1/2)+Z$64)))))</f>
        <v>0</v>
      </c>
      <c r="AD71" s="1162">
        <f ca="1">IF(Cashflow!AD$111="C/I",0,IF($F$31=0,0,IF(AD$67&lt;$Q$7,0,$F$31*$J$5*$Q$4*2*PI()*$AE$6/(AC$41*(LN(SQRT($J$4/(AD$32*PI()))/($J$10/2))-(1/2)+AA$64)))))</f>
        <v>0</v>
      </c>
      <c r="AE71" s="1162">
        <f ca="1">IF(Cashflow!AE$111="C/I",0,IF($F$31=0,0,IF(AE$67&lt;$Q$7,0,$F$31*$J$5*$Q$4*2*PI()*$AE$6/(AD$41*(LN(SQRT($J$4/(AE$32*PI()))/($J$10/2))-(1/2)+AB$64)))))</f>
        <v>0</v>
      </c>
      <c r="AF71" s="1162">
        <f ca="1">IF(Cashflow!AF$111="C/I",0,IF($F$31=0,0,IF(AF$67&lt;$Q$7,0,$F$31*$J$5*$Q$4*2*PI()*$AE$6/(AE$41*(LN(SQRT($J$4/(AF$32*PI()))/($J$10/2))-(1/2)+AC$64)))))</f>
        <v>0</v>
      </c>
      <c r="AG71" s="1162">
        <f ca="1">IF(Cashflow!AG$111="C/I",0,IF($F$31=0,0,IF(AG$67&lt;$Q$7,0,$F$31*$J$5*$Q$4*2*PI()*$AE$6/(AF$41*(LN(SQRT($J$4/(AG$32*PI()))/($J$10/2))-(1/2)+AD$64)))))</f>
        <v>0</v>
      </c>
      <c r="AH71" s="19"/>
      <c r="AI71" s="19"/>
      <c r="AJ71" s="19"/>
      <c r="AK71" s="19"/>
      <c r="AL71" s="19"/>
      <c r="AM71" s="21"/>
      <c r="AN71" s="19"/>
      <c r="AO71" s="326"/>
      <c r="AP71" s="326"/>
      <c r="AQ71" s="326"/>
      <c r="AR71" s="326"/>
      <c r="AS71" s="326"/>
      <c r="AT71" s="326"/>
      <c r="AU71" s="326"/>
      <c r="AV71" s="326"/>
      <c r="AW71" s="326"/>
      <c r="AX71" s="326"/>
      <c r="AY71" s="326"/>
      <c r="AZ71" s="326"/>
    </row>
    <row r="72" spans="1:52">
      <c r="A72" s="19"/>
      <c r="B72" s="191" t="str">
        <f>"Inflow for wells built in Year "&amp;Cashflow!G$164</f>
        <v>Inflow for wells built in Year 2021</v>
      </c>
      <c r="C72" s="1163"/>
      <c r="D72" s="1163"/>
      <c r="E72" s="1163"/>
      <c r="F72" s="1163"/>
      <c r="G72" s="1162">
        <f>IF(Cashflow!G$111="C/I",0,IF($G$31=0,0,IF(G$67&lt;$Q$7,0,$G$31*$J$5*$Q$4*2*PI()*$AE$6/(F$41*(LN(SQRT($J$4/(G$32*PI()))/($J$10/2))-(1/2)+C$64)))))</f>
        <v>0</v>
      </c>
      <c r="H72" s="1162">
        <f>IF(Cashflow!H$111="C/I",0,IF($G$31=0,0,IF(H$67&lt;$Q$7,0,$G$31*$J$5*$Q$4*2*PI()*$AE$6/(G$41*(LN(SQRT($J$4/(H$32*PI()))/($J$10/2))-(1/2)+D$64)))))</f>
        <v>0</v>
      </c>
      <c r="I72" s="1162">
        <f>IF(Cashflow!I$111="C/I",0,IF($G$31=0,0,IF(I$67&lt;$Q$7,0,$G$31*$J$5*$Q$4*2*PI()*$AE$6/(H$41*(LN(SQRT($J$4/(I$32*PI()))/($J$10/2))-(1/2)+E$64)))))</f>
        <v>0</v>
      </c>
      <c r="J72" s="1162">
        <f>IF(Cashflow!J$111="C/I",0,IF($G$31=0,0,IF(J$67&lt;$Q$7,0,$G$31*$J$5*$Q$4*2*PI()*$AE$6/(I$41*(LN(SQRT($J$4/(J$32*PI()))/($J$10/2))-(1/2)+F$64)))))</f>
        <v>0</v>
      </c>
      <c r="K72" s="1162">
        <f>IF(Cashflow!K$111="C/I",0,IF($G$31=0,0,IF(K$67&lt;$Q$7,0,$G$31*$J$5*$Q$4*2*PI()*$AE$6/(J$41*(LN(SQRT($J$4/(K$32*PI()))/($J$10/2))-(1/2)+G$64)))))</f>
        <v>0</v>
      </c>
      <c r="L72" s="1162">
        <f ca="1">IF(Cashflow!L$111="C/I",0,IF($G$31=0,0,IF(L$67&lt;$Q$7,0,$G$31*$J$5*$Q$4*2*PI()*$AE$6/(K$41*(LN(SQRT($J$4/(L$32*PI()))/($J$10/2))-(1/2)+H$64)))))</f>
        <v>0</v>
      </c>
      <c r="M72" s="1162">
        <f ca="1">IF(Cashflow!M$111="C/I",0,IF($G$31=0,0,IF(M$67&lt;$Q$7,0,$G$31*$J$5*$Q$4*2*PI()*$AE$6/(L$41*(LN(SQRT($J$4/(M$32*PI()))/($J$10/2))-(1/2)+I$64)))))</f>
        <v>0</v>
      </c>
      <c r="N72" s="1162">
        <f ca="1">IF(Cashflow!N$111="C/I",0,IF($G$31=0,0,IF(N$67&lt;$Q$7,0,$G$31*$J$5*$Q$4*2*PI()*$AE$6/(M$41*(LN(SQRT($J$4/(N$32*PI()))/($J$10/2))-(1/2)+J$64)))))</f>
        <v>0</v>
      </c>
      <c r="O72" s="1162">
        <f ca="1">IF(Cashflow!O$111="C/I",0,IF($G$31=0,0,IF(O$67&lt;$Q$7,0,$G$31*$J$5*$Q$4*2*PI()*$AE$6/(N$41*(LN(SQRT($J$4/(O$32*PI()))/($J$10/2))-(1/2)+K$64)))))</f>
        <v>0</v>
      </c>
      <c r="P72" s="1162">
        <f ca="1">IF(Cashflow!P$111="C/I",0,IF($G$31=0,0,IF(P$67&lt;$Q$7,0,$G$31*$J$5*$Q$4*2*PI()*$AE$6/(O$41*(LN(SQRT($J$4/(P$32*PI()))/($J$10/2))-(1/2)+L$64)))))</f>
        <v>0</v>
      </c>
      <c r="Q72" s="1162">
        <f ca="1">IF(Cashflow!Q$111="C/I",0,IF($G$31=0,0,IF(Q$67&lt;$Q$7,0,$G$31*$J$5*$Q$4*2*PI()*$AE$6/(P$41*(LN(SQRT($J$4/(Q$32*PI()))/($J$10/2))-(1/2)+M$64)))))</f>
        <v>0</v>
      </c>
      <c r="R72" s="1162">
        <f ca="1">IF(Cashflow!R$111="C/I",0,IF($G$31=0,0,IF(R$67&lt;$Q$7,0,$G$31*$J$5*$Q$4*2*PI()*$AE$6/(Q$41*(LN(SQRT($J$4/(R$32*PI()))/($J$10/2))-(1/2)+N$64)))))</f>
        <v>0</v>
      </c>
      <c r="S72" s="1162">
        <f ca="1">IF(Cashflow!S$111="C/I",0,IF($G$31=0,0,IF(S$67&lt;$Q$7,0,$G$31*$J$5*$Q$4*2*PI()*$AE$6/(R$41*(LN(SQRT($J$4/(S$32*PI()))/($J$10/2))-(1/2)+O$64)))))</f>
        <v>0</v>
      </c>
      <c r="T72" s="1162">
        <f ca="1">IF(Cashflow!T$111="C/I",0,IF($G$31=0,0,IF(T$67&lt;$Q$7,0,$G$31*$J$5*$Q$4*2*PI()*$AE$6/(S$41*(LN(SQRT($J$4/(T$32*PI()))/($J$10/2))-(1/2)+P$64)))))</f>
        <v>0</v>
      </c>
      <c r="U72" s="1162">
        <f ca="1">IF(Cashflow!U$111="C/I",0,IF($G$31=0,0,IF(U$67&lt;$Q$7,0,$G$31*$J$5*$Q$4*2*PI()*$AE$6/(T$41*(LN(SQRT($J$4/(U$32*PI()))/($J$10/2))-(1/2)+Q$64)))))</f>
        <v>0</v>
      </c>
      <c r="V72" s="1162">
        <f ca="1">IF(Cashflow!V$111="C/I",0,IF($G$31=0,0,IF(V$67&lt;$Q$7,0,$G$31*$J$5*$Q$4*2*PI()*$AE$6/(U$41*(LN(SQRT($J$4/(V$32*PI()))/($J$10/2))-(1/2)+R$64)))))</f>
        <v>0</v>
      </c>
      <c r="W72" s="1162">
        <f ca="1">IF(Cashflow!W$111="C/I",0,IF($G$31=0,0,IF(W$67&lt;$Q$7,0,$G$31*$J$5*$Q$4*2*PI()*$AE$6/(V$41*(LN(SQRT($J$4/(W$32*PI()))/($J$10/2))-(1/2)+S$64)))))</f>
        <v>0</v>
      </c>
      <c r="X72" s="1162">
        <f ca="1">IF(Cashflow!X$111="C/I",0,IF($G$31=0,0,IF(X$67&lt;$Q$7,0,$G$31*$J$5*$Q$4*2*PI()*$AE$6/(W$41*(LN(SQRT($J$4/(X$32*PI()))/($J$10/2))-(1/2)+T$64)))))</f>
        <v>0</v>
      </c>
      <c r="Y72" s="1162">
        <f ca="1">IF(Cashflow!Y$111="C/I",0,IF($G$31=0,0,IF(Y$67&lt;$Q$7,0,$G$31*$J$5*$Q$4*2*PI()*$AE$6/(X$41*(LN(SQRT($J$4/(Y$32*PI()))/($J$10/2))-(1/2)+U$64)))))</f>
        <v>0</v>
      </c>
      <c r="Z72" s="1162">
        <f ca="1">IF(Cashflow!Z$111="C/I",0,IF($G$31=0,0,IF(Z$67&lt;$Q$7,0,$G$31*$J$5*$Q$4*2*PI()*$AE$6/(Y$41*(LN(SQRT($J$4/(Z$32*PI()))/($J$10/2))-(1/2)+V$64)))))</f>
        <v>0</v>
      </c>
      <c r="AA72" s="1162">
        <f ca="1">IF(Cashflow!AA$111="C/I",0,IF($G$31=0,0,IF(AA$67&lt;$Q$7,0,$G$31*$J$5*$Q$4*2*PI()*$AE$6/(Z$41*(LN(SQRT($J$4/(AA$32*PI()))/($J$10/2))-(1/2)+W$64)))))</f>
        <v>0</v>
      </c>
      <c r="AB72" s="1162">
        <f ca="1">IF(Cashflow!AB$111="C/I",0,IF($G$31=0,0,IF(AB$67&lt;$Q$7,0,$G$31*$J$5*$Q$4*2*PI()*$AE$6/(AA$41*(LN(SQRT($J$4/(AB$32*PI()))/($J$10/2))-(1/2)+X$64)))))</f>
        <v>0</v>
      </c>
      <c r="AC72" s="1162">
        <f ca="1">IF(Cashflow!AC$111="C/I",0,IF($G$31=0,0,IF(AC$67&lt;$Q$7,0,$G$31*$J$5*$Q$4*2*PI()*$AE$6/(AB$41*(LN(SQRT($J$4/(AC$32*PI()))/($J$10/2))-(1/2)+Y$64)))))</f>
        <v>0</v>
      </c>
      <c r="AD72" s="1162">
        <f ca="1">IF(Cashflow!AD$111="C/I",0,IF($G$31=0,0,IF(AD$67&lt;$Q$7,0,$G$31*$J$5*$Q$4*2*PI()*$AE$6/(AC$41*(LN(SQRT($J$4/(AD$32*PI()))/($J$10/2))-(1/2)+Z$64)))))</f>
        <v>0</v>
      </c>
      <c r="AE72" s="1162">
        <f ca="1">IF(Cashflow!AE$111="C/I",0,IF($G$31=0,0,IF(AE$67&lt;$Q$7,0,$G$31*$J$5*$Q$4*2*PI()*$AE$6/(AD$41*(LN(SQRT($J$4/(AE$32*PI()))/($J$10/2))-(1/2)+AA$64)))))</f>
        <v>0</v>
      </c>
      <c r="AF72" s="1162">
        <f ca="1">IF(Cashflow!AF$111="C/I",0,IF($G$31=0,0,IF(AF$67&lt;$Q$7,0,$G$31*$J$5*$Q$4*2*PI()*$AE$6/(AE$41*(LN(SQRT($J$4/(AF$32*PI()))/($J$10/2))-(1/2)+AB$64)))))</f>
        <v>0</v>
      </c>
      <c r="AG72" s="1162">
        <f ca="1">IF(Cashflow!AG$111="C/I",0,IF($G$31=0,0,IF(AG$67&lt;$Q$7,0,$G$31*$J$5*$Q$4*2*PI()*$AE$6/(AF$41*(LN(SQRT($J$4/(AG$32*PI()))/($J$10/2))-(1/2)+AC$64)))))</f>
        <v>0</v>
      </c>
      <c r="AH72" s="19"/>
      <c r="AI72" s="19"/>
      <c r="AJ72" s="19"/>
      <c r="AK72" s="19"/>
      <c r="AL72" s="19"/>
      <c r="AM72" s="21"/>
      <c r="AN72" s="19"/>
      <c r="AO72" s="326"/>
      <c r="AP72" s="326"/>
      <c r="AQ72" s="326"/>
      <c r="AR72" s="326"/>
      <c r="AS72" s="326"/>
      <c r="AT72" s="326"/>
      <c r="AU72" s="326"/>
      <c r="AV72" s="326"/>
      <c r="AW72" s="326"/>
      <c r="AX72" s="326"/>
      <c r="AY72" s="326"/>
      <c r="AZ72" s="326"/>
    </row>
    <row r="73" spans="1:52">
      <c r="A73" s="19"/>
      <c r="B73" s="191" t="str">
        <f>"Inflow for wells built in Year "&amp;Cashflow!H$164</f>
        <v>Inflow for wells built in Year 2022</v>
      </c>
      <c r="C73" s="1163"/>
      <c r="D73" s="1163"/>
      <c r="E73" s="1163"/>
      <c r="F73" s="1163"/>
      <c r="G73" s="1163"/>
      <c r="H73" s="1162">
        <f>IF(Cashflow!H$111="C/I",0,IF($H$31=0,0,IF(H$67&lt;$Q$7,0,$H$31*$J$5*$Q$4*2*PI()*$AE$6/(G$41*(LN(SQRT($J$4/(H$32*PI()))/($J$10/2))-(1/2)+C$64)))))</f>
        <v>0</v>
      </c>
      <c r="I73" s="1162">
        <f>IF(Cashflow!I$111="C/I",0,IF($H$31=0,0,IF(I$67&lt;$Q$7,0,$H$31*$J$5*$Q$4*2*PI()*$AE$6/(H$41*(LN(SQRT($J$4/(I$32*PI()))/($J$10/2))-(1/2)+D$64)))))</f>
        <v>0</v>
      </c>
      <c r="J73" s="1162">
        <f>IF(Cashflow!J$111="C/I",0,IF($H$31=0,0,IF(J$67&lt;$Q$7,0,$H$31*$J$5*$Q$4*2*PI()*$AE$6/(I$41*(LN(SQRT($J$4/(J$32*PI()))/($J$10/2))-(1/2)+E$64)))))</f>
        <v>0</v>
      </c>
      <c r="K73" s="1162">
        <f>IF(Cashflow!K$111="C/I",0,IF($H$31=0,0,IF(K$67&lt;$Q$7,0,$H$31*$J$5*$Q$4*2*PI()*$AE$6/(J$41*(LN(SQRT($J$4/(K$32*PI()))/($J$10/2))-(1/2)+F$64)))))</f>
        <v>0</v>
      </c>
      <c r="L73" s="1162">
        <f ca="1">IF(Cashflow!L$111="C/I",0,IF($H$31=0,0,IF(L$67&lt;$Q$7,0,$H$31*$J$5*$Q$4*2*PI()*$AE$6/(K$41*(LN(SQRT($J$4/(L$32*PI()))/($J$10/2))-(1/2)+G$64)))))</f>
        <v>0</v>
      </c>
      <c r="M73" s="1162">
        <f ca="1">IF(Cashflow!M$111="C/I",0,IF($H$31=0,0,IF(M$67&lt;$Q$7,0,$H$31*$J$5*$Q$4*2*PI()*$AE$6/(L$41*(LN(SQRT($J$4/(M$32*PI()))/($J$10/2))-(1/2)+H$64)))))</f>
        <v>0</v>
      </c>
      <c r="N73" s="1162">
        <f ca="1">IF(Cashflow!N$111="C/I",0,IF($H$31=0,0,IF(N$67&lt;$Q$7,0,$H$31*$J$5*$Q$4*2*PI()*$AE$6/(M$41*(LN(SQRT($J$4/(N$32*PI()))/($J$10/2))-(1/2)+I$64)))))</f>
        <v>0</v>
      </c>
      <c r="O73" s="1162">
        <f ca="1">IF(Cashflow!O$111="C/I",0,IF($H$31=0,0,IF(O$67&lt;$Q$7,0,$H$31*$J$5*$Q$4*2*PI()*$AE$6/(N$41*(LN(SQRT($J$4/(O$32*PI()))/($J$10/2))-(1/2)+J$64)))))</f>
        <v>0</v>
      </c>
      <c r="P73" s="1162">
        <f ca="1">IF(Cashflow!P$111="C/I",0,IF($H$31=0,0,IF(P$67&lt;$Q$7,0,$H$31*$J$5*$Q$4*2*PI()*$AE$6/(O$41*(LN(SQRT($J$4/(P$32*PI()))/($J$10/2))-(1/2)+K$64)))))</f>
        <v>0</v>
      </c>
      <c r="Q73" s="1162">
        <f ca="1">IF(Cashflow!Q$111="C/I",0,IF($H$31=0,0,IF(Q$67&lt;$Q$7,0,$H$31*$J$5*$Q$4*2*PI()*$AE$6/(P$41*(LN(SQRT($J$4/(Q$32*PI()))/($J$10/2))-(1/2)+L$64)))))</f>
        <v>0</v>
      </c>
      <c r="R73" s="1162">
        <f ca="1">IF(Cashflow!R$111="C/I",0,IF($H$31=0,0,IF(R$67&lt;$Q$7,0,$H$31*$J$5*$Q$4*2*PI()*$AE$6/(Q$41*(LN(SQRT($J$4/(R$32*PI()))/($J$10/2))-(1/2)+M$64)))))</f>
        <v>0</v>
      </c>
      <c r="S73" s="1162">
        <f ca="1">IF(Cashflow!S$111="C/I",0,IF($H$31=0,0,IF(S$67&lt;$Q$7,0,$H$31*$J$5*$Q$4*2*PI()*$AE$6/(R$41*(LN(SQRT($J$4/(S$32*PI()))/($J$10/2))-(1/2)+N$64)))))</f>
        <v>0</v>
      </c>
      <c r="T73" s="1162">
        <f ca="1">IF(Cashflow!T$111="C/I",0,IF($H$31=0,0,IF(T$67&lt;$Q$7,0,$H$31*$J$5*$Q$4*2*PI()*$AE$6/(S$41*(LN(SQRT($J$4/(T$32*PI()))/($J$10/2))-(1/2)+O$64)))))</f>
        <v>0</v>
      </c>
      <c r="U73" s="1162">
        <f ca="1">IF(Cashflow!U$111="C/I",0,IF($H$31=0,0,IF(U$67&lt;$Q$7,0,$H$31*$J$5*$Q$4*2*PI()*$AE$6/(T$41*(LN(SQRT($J$4/(U$32*PI()))/($J$10/2))-(1/2)+P$64)))))</f>
        <v>0</v>
      </c>
      <c r="V73" s="1162">
        <f ca="1">IF(Cashflow!V$111="C/I",0,IF($H$31=0,0,IF(V$67&lt;$Q$7,0,$H$31*$J$5*$Q$4*2*PI()*$AE$6/(U$41*(LN(SQRT($J$4/(V$32*PI()))/($J$10/2))-(1/2)+Q$64)))))</f>
        <v>0</v>
      </c>
      <c r="W73" s="1162">
        <f ca="1">IF(Cashflow!W$111="C/I",0,IF($H$31=0,0,IF(W$67&lt;$Q$7,0,$H$31*$J$5*$Q$4*2*PI()*$AE$6/(V$41*(LN(SQRT($J$4/(W$32*PI()))/($J$10/2))-(1/2)+R$64)))))</f>
        <v>0</v>
      </c>
      <c r="X73" s="1162">
        <f ca="1">IF(Cashflow!X$111="C/I",0,IF($H$31=0,0,IF(X$67&lt;$Q$7,0,$H$31*$J$5*$Q$4*2*PI()*$AE$6/(W$41*(LN(SQRT($J$4/(X$32*PI()))/($J$10/2))-(1/2)+S$64)))))</f>
        <v>0</v>
      </c>
      <c r="Y73" s="1162">
        <f ca="1">IF(Cashflow!Y$111="C/I",0,IF($H$31=0,0,IF(Y$67&lt;$Q$7,0,$H$31*$J$5*$Q$4*2*PI()*$AE$6/(X$41*(LN(SQRT($J$4/(Y$32*PI()))/($J$10/2))-(1/2)+T$64)))))</f>
        <v>0</v>
      </c>
      <c r="Z73" s="1162">
        <f ca="1">IF(Cashflow!Z$111="C/I",0,IF($H$31=0,0,IF(Z$67&lt;$Q$7,0,$H$31*$J$5*$Q$4*2*PI()*$AE$6/(Y$41*(LN(SQRT($J$4/(Z$32*PI()))/($J$10/2))-(1/2)+U$64)))))</f>
        <v>0</v>
      </c>
      <c r="AA73" s="1162">
        <f ca="1">IF(Cashflow!AA$111="C/I",0,IF($H$31=0,0,IF(AA$67&lt;$Q$7,0,$H$31*$J$5*$Q$4*2*PI()*$AE$6/(Z$41*(LN(SQRT($J$4/(AA$32*PI()))/($J$10/2))-(1/2)+V$64)))))</f>
        <v>0</v>
      </c>
      <c r="AB73" s="1162">
        <f ca="1">IF(Cashflow!AB$111="C/I",0,IF($H$31=0,0,IF(AB$67&lt;$Q$7,0,$H$31*$J$5*$Q$4*2*PI()*$AE$6/(AA$41*(LN(SQRT($J$4/(AB$32*PI()))/($J$10/2))-(1/2)+W$64)))))</f>
        <v>0</v>
      </c>
      <c r="AC73" s="1162">
        <f ca="1">IF(Cashflow!AC$111="C/I",0,IF($H$31=0,0,IF(AC$67&lt;$Q$7,0,$H$31*$J$5*$Q$4*2*PI()*$AE$6/(AB$41*(LN(SQRT($J$4/(AC$32*PI()))/($J$10/2))-(1/2)+X$64)))))</f>
        <v>0</v>
      </c>
      <c r="AD73" s="1162">
        <f ca="1">IF(Cashflow!AD$111="C/I",0,IF($H$31=0,0,IF(AD$67&lt;$Q$7,0,$H$31*$J$5*$Q$4*2*PI()*$AE$6/(AC$41*(LN(SQRT($J$4/(AD$32*PI()))/($J$10/2))-(1/2)+Y$64)))))</f>
        <v>0</v>
      </c>
      <c r="AE73" s="1162">
        <f ca="1">IF(Cashflow!AE$111="C/I",0,IF($H$31=0,0,IF(AE$67&lt;$Q$7,0,$H$31*$J$5*$Q$4*2*PI()*$AE$6/(AD$41*(LN(SQRT($J$4/(AE$32*PI()))/($J$10/2))-(1/2)+Z$64)))))</f>
        <v>0</v>
      </c>
      <c r="AF73" s="1162">
        <f ca="1">IF(Cashflow!AF$111="C/I",0,IF($H$31=0,0,IF(AF$67&lt;$Q$7,0,$H$31*$J$5*$Q$4*2*PI()*$AE$6/(AE$41*(LN(SQRT($J$4/(AF$32*PI()))/($J$10/2))-(1/2)+AA$64)))))</f>
        <v>0</v>
      </c>
      <c r="AG73" s="1162">
        <f ca="1">IF(Cashflow!AG$111="C/I",0,IF($H$31=0,0,IF(AG$67&lt;$Q$7,0,$H$31*$J$5*$Q$4*2*PI()*$AE$6/(AF$41*(LN(SQRT($J$4/(AG$32*PI()))/($J$10/2))-(1/2)+AB$64)))))</f>
        <v>0</v>
      </c>
      <c r="AH73" s="19"/>
      <c r="AI73" s="19"/>
      <c r="AJ73" s="19"/>
      <c r="AK73" s="19"/>
      <c r="AL73" s="19"/>
      <c r="AM73" s="21"/>
      <c r="AN73" s="19"/>
      <c r="AO73" s="326"/>
      <c r="AP73" s="326"/>
      <c r="AQ73" s="326"/>
      <c r="AR73" s="326"/>
      <c r="AS73" s="326"/>
      <c r="AT73" s="326"/>
      <c r="AU73" s="326"/>
      <c r="AV73" s="326"/>
      <c r="AW73" s="326"/>
      <c r="AX73" s="326"/>
      <c r="AY73" s="326"/>
      <c r="AZ73" s="326"/>
    </row>
    <row r="74" spans="1:52">
      <c r="A74" s="19"/>
      <c r="B74" s="191" t="str">
        <f>"Inflow for wells built in Year "&amp;Cashflow!I$164</f>
        <v>Inflow for wells built in Year 2023</v>
      </c>
      <c r="C74" s="1163"/>
      <c r="D74" s="1163"/>
      <c r="E74" s="1163"/>
      <c r="F74" s="1163"/>
      <c r="G74" s="1163"/>
      <c r="H74" s="1163"/>
      <c r="I74" s="1162">
        <f>IF(Cashflow!I$111="C/I",0,IF($I$31=0,0,IF(I$67&lt;$Q$7,0,$I$31*$J$5*$Q$4*2*PI()*$AE$6/(H$41*(LN(SQRT($J$4/(I$32*PI()))/($J$10/2))-(1/2)+C$64)))))</f>
        <v>0</v>
      </c>
      <c r="J74" s="1162">
        <f>IF(Cashflow!J$111="C/I",0,IF($I$31=0,0,IF(J$67&lt;$Q$7,0,$I$31*$J$5*$Q$4*2*PI()*$AE$6/(I$41*(LN(SQRT($J$4/(J$32*PI()))/($J$10/2))-(1/2)+D$64)))))</f>
        <v>0</v>
      </c>
      <c r="K74" s="1162">
        <f>IF(Cashflow!K$111="C/I",0,IF($I$31=0,0,IF(K$67&lt;$Q$7,0,$I$31*$J$5*$Q$4*2*PI()*$AE$6/(J$41*(LN(SQRT($J$4/(K$32*PI()))/($J$10/2))-(1/2)+E$64)))))</f>
        <v>0.12570959348315397</v>
      </c>
      <c r="L74" s="1162">
        <f ca="1">IF(Cashflow!L$111="C/I",0,IF($I$31=0,0,IF(L$67&lt;$Q$7,0,$I$31*$J$5*$Q$4*2*PI()*$AE$6/(K$41*(LN(SQRT($J$4/(L$32*PI()))/($J$10/2))-(1/2)+F$64)))))</f>
        <v>0.10600354376429309</v>
      </c>
      <c r="M74" s="1162">
        <f ca="1">IF(Cashflow!M$111="C/I",0,IF($I$31=0,0,IF(M$67&lt;$Q$7,0,$I$31*$J$5*$Q$4*2*PI()*$AE$6/(L$41*(LN(SQRT($J$4/(M$32*PI()))/($J$10/2))-(1/2)+G$64)))))</f>
        <v>9.5595155972183765E-2</v>
      </c>
      <c r="N74" s="1162">
        <f ca="1">IF(Cashflow!N$111="C/I",0,IF($I$31=0,0,IF(N$67&lt;$Q$7,0,$I$31*$J$5*$Q$4*2*PI()*$AE$6/(M$41*(LN(SQRT($J$4/(N$32*PI()))/($J$10/2))-(1/2)+H$64)))))</f>
        <v>8.7314537075971546E-2</v>
      </c>
      <c r="O74" s="1162">
        <f ca="1">IF(Cashflow!O$111="C/I",0,IF($I$31=0,0,IF(O$67&lt;$Q$7,0,$I$31*$J$5*$Q$4*2*PI()*$AE$6/(N$41*(LN(SQRT($J$4/(O$32*PI()))/($J$10/2))-(1/2)+I$64)))))</f>
        <v>7.9772696058946449E-2</v>
      </c>
      <c r="P74" s="1162">
        <f ca="1">IF(Cashflow!P$111="C/I",0,IF($I$31=0,0,IF(P$67&lt;$Q$7,0,$I$31*$J$5*$Q$4*2*PI()*$AE$6/(O$41*(LN(SQRT($J$4/(P$32*PI()))/($J$10/2))-(1/2)+J$64)))))</f>
        <v>7.3430128450195864E-2</v>
      </c>
      <c r="Q74" s="1162">
        <f ca="1">IF(Cashflow!Q$111="C/I",0,IF($I$31=0,0,IF(Q$67&lt;$Q$7,0,$I$31*$J$5*$Q$4*2*PI()*$AE$6/(P$41*(LN(SQRT($J$4/(Q$32*PI()))/($J$10/2))-(1/2)+K$64)))))</f>
        <v>0.16559053626871095</v>
      </c>
      <c r="R74" s="1162">
        <f ca="1">IF(Cashflow!R$111="C/I",0,IF($I$31=0,0,IF(R$67&lt;$Q$7,0,$I$31*$J$5*$Q$4*2*PI()*$AE$6/(Q$41*(LN(SQRT($J$4/(R$32*PI()))/($J$10/2))-(1/2)+L$64)))))</f>
        <v>0.14041466407229047</v>
      </c>
      <c r="S74" s="1162">
        <f ca="1">IF(Cashflow!S$111="C/I",0,IF($I$31=0,0,IF(S$67&lt;$Q$7,0,$I$31*$J$5*$Q$4*2*PI()*$AE$6/(R$41*(LN(SQRT($J$4/(S$32*PI()))/($J$10/2))-(1/2)+M$64)))))</f>
        <v>0.12188382488718603</v>
      </c>
      <c r="T74" s="1162">
        <f ca="1">IF(Cashflow!T$111="C/I",0,IF($I$31=0,0,IF(T$67&lt;$Q$7,0,$I$31*$J$5*$Q$4*2*PI()*$AE$6/(S$41*(LN(SQRT($J$4/(T$32*PI()))/($J$10/2))-(1/2)+N$64)))))</f>
        <v>0.10767386290674356</v>
      </c>
      <c r="U74" s="1162">
        <f ca="1">IF(Cashflow!U$111="C/I",0,IF($I$31=0,0,IF(U$67&lt;$Q$7,0,$I$31*$J$5*$Q$4*2*PI()*$AE$6/(T$41*(LN(SQRT($J$4/(U$32*PI()))/($J$10/2))-(1/2)+O$64)))))</f>
        <v>9.4706016122596506E-2</v>
      </c>
      <c r="V74" s="1162">
        <f ca="1">IF(Cashflow!V$111="C/I",0,IF($I$31=0,0,IF(V$67&lt;$Q$7,0,$I$31*$J$5*$Q$4*2*PI()*$AE$6/(U$41*(LN(SQRT($J$4/(V$32*PI()))/($J$10/2))-(1/2)+P$64)))))</f>
        <v>8.4180358386572104E-2</v>
      </c>
      <c r="W74" s="1162">
        <f ca="1">IF(Cashflow!W$111="C/I",0,IF($I$31=0,0,IF(W$67&lt;$Q$7,0,$I$31*$J$5*$Q$4*2*PI()*$AE$6/(V$41*(LN(SQRT($J$4/(W$32*PI()))/($J$10/2))-(1/2)+Q$64)))))</f>
        <v>7.5581757098980892E-2</v>
      </c>
      <c r="X74" s="1162">
        <f ca="1">IF(Cashflow!X$111="C/I",0,IF($I$31=0,0,IF(X$67&lt;$Q$7,0,$I$31*$J$5*$Q$4*2*PI()*$AE$6/(W$41*(LN(SQRT($J$4/(X$32*PI()))/($J$10/2))-(1/2)+R$64)))))</f>
        <v>6.8341208352193109E-2</v>
      </c>
      <c r="Y74" s="1162">
        <f ca="1">IF(Cashflow!Y$111="C/I",0,IF($I$31=0,0,IF(Y$67&lt;$Q$7,0,$I$31*$J$5*$Q$4*2*PI()*$AE$6/(X$41*(LN(SQRT($J$4/(Y$32*PI()))/($J$10/2))-(1/2)+S$64)))))</f>
        <v>0.15141400739077565</v>
      </c>
      <c r="Z74" s="1162">
        <f ca="1">IF(Cashflow!Z$111="C/I",0,IF($I$31=0,0,IF(Z$67&lt;$Q$7,0,$I$31*$J$5*$Q$4*2*PI()*$AE$6/(Y$41*(LN(SQRT($J$4/(Z$32*PI()))/($J$10/2))-(1/2)+T$64)))))</f>
        <v>0.1259303194979125</v>
      </c>
      <c r="AA74" s="1162">
        <f ca="1">IF(Cashflow!AA$111="C/I",0,IF($I$31=0,0,IF(AA$67&lt;$Q$7,0,$I$31*$J$5*$Q$4*2*PI()*$AE$6/(Z$41*(LN(SQRT($J$4/(AA$32*PI()))/($J$10/2))-(1/2)+U$64)))))</f>
        <v>0.10733808981953108</v>
      </c>
      <c r="AB74" s="1162">
        <f ca="1">IF(Cashflow!AB$111="C/I",0,IF($I$31=0,0,IF(AB$67&lt;$Q$7,0,$I$31*$J$5*$Q$4*2*PI()*$AE$6/(AA$41*(LN(SQRT($J$4/(AB$32*PI()))/($J$10/2))-(1/2)+V$64)))))</f>
        <v>9.3070666152500051E-2</v>
      </c>
      <c r="AC74" s="1162">
        <f ca="1">IF(Cashflow!AC$111="C/I",0,IF($I$31=0,0,IF(AC$67&lt;$Q$7,0,$I$31*$J$5*$Q$4*2*PI()*$AE$6/(AB$41*(LN(SQRT($J$4/(AC$32*PI()))/($J$10/2))-(1/2)+W$64)))))</f>
        <v>8.1901985407147146E-2</v>
      </c>
      <c r="AD74" s="1162">
        <f ca="1">IF(Cashflow!AD$111="C/I",0,IF($I$31=0,0,IF(AD$67&lt;$Q$7,0,$I$31*$J$5*$Q$4*2*PI()*$AE$6/(AC$41*(LN(SQRT($J$4/(AD$32*PI()))/($J$10/2))-(1/2)+X$64)))))</f>
        <v>7.2594148505835024E-2</v>
      </c>
      <c r="AE74" s="1162">
        <f ca="1">IF(Cashflow!AE$111="C/I",0,IF($I$31=0,0,IF(AE$67&lt;$Q$7,0,$I$31*$J$5*$Q$4*2*PI()*$AE$6/(AD$41*(LN(SQRT($J$4/(AE$32*PI()))/($J$10/2))-(1/2)+Y$64)))))</f>
        <v>6.4970716479059762E-2</v>
      </c>
      <c r="AF74" s="1162">
        <f ca="1">IF(Cashflow!AF$111="C/I",0,IF($I$31=0,0,IF(AF$67&lt;$Q$7,0,$I$31*$J$5*$Q$4*2*PI()*$AE$6/(AE$41*(LN(SQRT($J$4/(AF$32*PI()))/($J$10/2))-(1/2)+Z$64)))))</f>
        <v>5.855811665530819E-2</v>
      </c>
      <c r="AG74" s="1162">
        <f ca="1">IF(Cashflow!AG$111="C/I",0,IF($I$31=0,0,IF(AG$67&lt;$Q$7,0,$I$31*$J$5*$Q$4*2*PI()*$AE$6/(AF$41*(LN(SQRT($J$4/(AG$32*PI()))/($J$10/2))-(1/2)+AA$64)))))</f>
        <v>0.12946683035346132</v>
      </c>
      <c r="AH74" s="19"/>
      <c r="AI74" s="19"/>
      <c r="AJ74" s="19"/>
      <c r="AK74" s="19"/>
      <c r="AL74" s="19"/>
      <c r="AM74" s="21"/>
      <c r="AN74" s="19"/>
      <c r="AO74" s="326"/>
      <c r="AP74" s="326"/>
      <c r="AQ74" s="326"/>
      <c r="AR74" s="326"/>
      <c r="AS74" s="326"/>
      <c r="AT74" s="326"/>
      <c r="AU74" s="326"/>
      <c r="AV74" s="326"/>
      <c r="AW74" s="326"/>
      <c r="AX74" s="326"/>
      <c r="AY74" s="326"/>
      <c r="AZ74" s="326"/>
    </row>
    <row r="75" spans="1:52">
      <c r="A75" s="19"/>
      <c r="B75" s="191" t="str">
        <f>"Inflow for wells built in Year "&amp;Cashflow!J$164</f>
        <v>Inflow for wells built in Year 2024</v>
      </c>
      <c r="C75" s="1163"/>
      <c r="D75" s="1163"/>
      <c r="E75" s="1163"/>
      <c r="F75" s="1163"/>
      <c r="G75" s="1163"/>
      <c r="H75" s="1163"/>
      <c r="I75" s="1163"/>
      <c r="J75" s="1162">
        <f>IF(Cashflow!J$111="C/I",0,IF($J$31=0,0,IF(J$67&lt;$Q$7,0,$J$31*$J$5*$Q$4*2*PI()*$AE$6/(I$41*(LN(SQRT($J$4/(J$32*PI()))/($J$10/2))-(1/2)+C$64)))))</f>
        <v>0</v>
      </c>
      <c r="K75" s="1162">
        <f>IF(Cashflow!K$111="C/I",0,IF($J$31=0,0,IF(K$67&lt;$Q$7,0,$J$31*$J$5*$Q$4*2*PI()*$AE$6/(J$41*(LN(SQRT($J$4/(K$32*PI()))/($J$10/2))-(1/2)+D$64)))))</f>
        <v>0.28813525712111937</v>
      </c>
      <c r="L75" s="1162">
        <f ca="1">IF(Cashflow!L$111="C/I",0,IF($J$31=0,0,IF(L$67&lt;$Q$7,0,$J$31*$J$5*$Q$4*2*PI()*$AE$6/(K$41*(LN(SQRT($J$4/(L$32*PI()))/($J$10/2))-(1/2)+E$64)))))</f>
        <v>0.23949583107437616</v>
      </c>
      <c r="M75" s="1162">
        <f ca="1">IF(Cashflow!M$111="C/I",0,IF($J$31=0,0,IF(M$67&lt;$Q$7,0,$J$31*$J$5*$Q$4*2*PI()*$AE$6/(L$41*(LN(SQRT($J$4/(M$32*PI()))/($J$10/2))-(1/2)+F$64)))))</f>
        <v>0.2132648551579831</v>
      </c>
      <c r="N75" s="1162">
        <f ca="1">IF(Cashflow!N$111="C/I",0,IF($J$31=0,0,IF(N$67&lt;$Q$7,0,$J$31*$J$5*$Q$4*2*PI()*$AE$6/(M$41*(LN(SQRT($J$4/(N$32*PI()))/($J$10/2))-(1/2)+G$64)))))</f>
        <v>0.19286262148347982</v>
      </c>
      <c r="O75" s="1162">
        <f ca="1">IF(Cashflow!O$111="C/I",0,IF($J$31=0,0,IF(O$67&lt;$Q$7,0,$J$31*$J$5*$Q$4*2*PI()*$AE$6/(N$41*(LN(SQRT($J$4/(O$32*PI()))/($J$10/2))-(1/2)+H$64)))))</f>
        <v>0.17462907415194309</v>
      </c>
      <c r="P75" s="1162">
        <f ca="1">IF(Cashflow!P$111="C/I",0,IF($J$31=0,0,IF(P$67&lt;$Q$7,0,$J$31*$J$5*$Q$4*2*PI()*$AE$6/(O$41*(LN(SQRT($J$4/(P$32*PI()))/($J$10/2))-(1/2)+I$64)))))</f>
        <v>0.1595453921178929</v>
      </c>
      <c r="Q75" s="1162">
        <f ca="1">IF(Cashflow!Q$111="C/I",0,IF($J$31=0,0,IF(Q$67&lt;$Q$7,0,$J$31*$J$5*$Q$4*2*PI()*$AE$6/(P$41*(LN(SQRT($J$4/(Q$32*PI()))/($J$10/2))-(1/2)+J$64)))))</f>
        <v>0.14686025690039173</v>
      </c>
      <c r="R75" s="1162">
        <f ca="1">IF(Cashflow!R$111="C/I",0,IF($J$31=0,0,IF(R$67&lt;$Q$7,0,$J$31*$J$5*$Q$4*2*PI()*$AE$6/(Q$41*(LN(SQRT($J$4/(R$32*PI()))/($J$10/2))-(1/2)+K$64)))))</f>
        <v>0.33118107253742191</v>
      </c>
      <c r="S75" s="1162">
        <f ca="1">IF(Cashflow!S$111="C/I",0,IF($J$31=0,0,IF(S$67&lt;$Q$7,0,$J$31*$J$5*$Q$4*2*PI()*$AE$6/(R$41*(LN(SQRT($J$4/(S$32*PI()))/($J$10/2))-(1/2)+L$64)))))</f>
        <v>0.28082932814458095</v>
      </c>
      <c r="T75" s="1162">
        <f ca="1">IF(Cashflow!T$111="C/I",0,IF($J$31=0,0,IF(T$67&lt;$Q$7,0,$J$31*$J$5*$Q$4*2*PI()*$AE$6/(S$41*(LN(SQRT($J$4/(T$32*PI()))/($J$10/2))-(1/2)+M$64)))))</f>
        <v>0.24376764977437207</v>
      </c>
      <c r="U75" s="1162">
        <f ca="1">IF(Cashflow!U$111="C/I",0,IF($J$31=0,0,IF(U$67&lt;$Q$7,0,$J$31*$J$5*$Q$4*2*PI()*$AE$6/(T$41*(LN(SQRT($J$4/(U$32*PI()))/($J$10/2))-(1/2)+N$64)))))</f>
        <v>0.21149484577138308</v>
      </c>
      <c r="V75" s="1162">
        <f ca="1">IF(Cashflow!V$111="C/I",0,IF($J$31=0,0,IF(V$67&lt;$Q$7,0,$J$31*$J$5*$Q$4*2*PI()*$AE$6/(U$41*(LN(SQRT($J$4/(V$32*PI()))/($J$10/2))-(1/2)+O$64)))))</f>
        <v>0.18593976604064227</v>
      </c>
      <c r="W75" s="1162">
        <f ca="1">IF(Cashflow!W$111="C/I",0,IF($J$31=0,0,IF(W$67&lt;$Q$7,0,$J$31*$J$5*$Q$4*2*PI()*$AE$6/(V$41*(LN(SQRT($J$4/(W$32*PI()))/($J$10/2))-(1/2)+P$64)))))</f>
        <v>0.16545475979925658</v>
      </c>
      <c r="X75" s="1162">
        <f ca="1">IF(Cashflow!X$111="C/I",0,IF($J$31=0,0,IF(X$67&lt;$Q$7,0,$J$31*$J$5*$Q$4*2*PI()*$AE$6/(W$41*(LN(SQRT($J$4/(X$32*PI()))/($J$10/2))-(1/2)+Q$64)))))</f>
        <v>0.14848843539415302</v>
      </c>
      <c r="Y75" s="1162">
        <f ca="1">IF(Cashflow!Y$111="C/I",0,IF($J$31=0,0,IF(Y$67&lt;$Q$7,0,$J$31*$J$5*$Q$4*2*PI()*$AE$6/(X$41*(LN(SQRT($J$4/(Y$32*PI()))/($J$10/2))-(1/2)+R$64)))))</f>
        <v>0.13428726378204769</v>
      </c>
      <c r="Z75" s="1162">
        <f ca="1">IF(Cashflow!Z$111="C/I",0,IF($J$31=0,0,IF(Z$67&lt;$Q$7,0,$J$31*$J$5*$Q$4*2*PI()*$AE$6/(Y$41*(LN(SQRT($J$4/(Z$32*PI()))/($J$10/2))-(1/2)+S$64)))))</f>
        <v>0.29701839584808087</v>
      </c>
      <c r="AA75" s="1162">
        <f ca="1">IF(Cashflow!AA$111="C/I",0,IF($J$31=0,0,IF(AA$67&lt;$Q$7,0,$J$31*$J$5*$Q$4*2*PI()*$AE$6/(Z$41*(LN(SQRT($J$4/(AA$32*PI()))/($J$10/2))-(1/2)+T$64)))))</f>
        <v>0.24731488100444973</v>
      </c>
      <c r="AB75" s="1162">
        <f ca="1">IF(Cashflow!AB$111="C/I",0,IF($J$31=0,0,IF(AB$67&lt;$Q$7,0,$J$31*$J$5*$Q$4*2*PI()*$AE$6/(AA$41*(LN(SQRT($J$4/(AB$32*PI()))/($J$10/2))-(1/2)+U$64)))))</f>
        <v>0.21070682279301065</v>
      </c>
      <c r="AC75" s="1162">
        <f ca="1">IF(Cashflow!AC$111="C/I",0,IF($J$31=0,0,IF(AC$67&lt;$Q$7,0,$J$31*$J$5*$Q$4*2*PI()*$AE$6/(AB$41*(LN(SQRT($J$4/(AC$32*PI()))/($J$10/2))-(1/2)+V$64)))))</f>
        <v>0.18290123987088214</v>
      </c>
      <c r="AD75" s="1162">
        <f ca="1">IF(Cashflow!AD$111="C/I",0,IF($J$31=0,0,IF(AD$67&lt;$Q$7,0,$J$31*$J$5*$Q$4*2*PI()*$AE$6/(AC$41*(LN(SQRT($J$4/(AD$32*PI()))/($J$10/2))-(1/2)+W$64)))))</f>
        <v>0.16034784417415524</v>
      </c>
      <c r="AE75" s="1162">
        <f ca="1">IF(Cashflow!AE$111="C/I",0,IF($J$31=0,0,IF(AE$67&lt;$Q$7,0,$J$31*$J$5*$Q$4*2*PI()*$AE$6/(AD$41*(LN(SQRT($J$4/(AE$32*PI()))/($J$10/2))-(1/2)+X$64)))))</f>
        <v>0.14222630832663424</v>
      </c>
      <c r="AF75" s="1162">
        <f ca="1">IF(Cashflow!AF$111="C/I",0,IF($J$31=0,0,IF(AF$67&lt;$Q$7,0,$J$31*$J$5*$Q$4*2*PI()*$AE$6/(AE$41*(LN(SQRT($J$4/(AF$32*PI()))/($J$10/2))-(1/2)+Y$64)))))</f>
        <v>0.12723221218104161</v>
      </c>
      <c r="AG75" s="1162">
        <f ca="1">IF(Cashflow!AG$111="C/I",0,IF($J$31=0,0,IF(AG$67&lt;$Q$7,0,$J$31*$J$5*$Q$4*2*PI()*$AE$6/(AF$41*(LN(SQRT($J$4/(AG$32*PI()))/($J$10/2))-(1/2)+Z$64)))))</f>
        <v>0.114822576182341</v>
      </c>
      <c r="AH75" s="19"/>
      <c r="AI75" s="19"/>
      <c r="AJ75" s="19"/>
      <c r="AK75" s="19"/>
      <c r="AL75" s="19"/>
      <c r="AM75" s="21"/>
      <c r="AN75" s="19"/>
      <c r="AO75" s="326"/>
      <c r="AP75" s="326"/>
      <c r="AQ75" s="326"/>
      <c r="AR75" s="326"/>
      <c r="AS75" s="326"/>
      <c r="AT75" s="326"/>
      <c r="AU75" s="326"/>
      <c r="AV75" s="326"/>
      <c r="AW75" s="326"/>
      <c r="AX75" s="326"/>
      <c r="AY75" s="326"/>
      <c r="AZ75" s="326"/>
    </row>
    <row r="76" spans="1:52">
      <c r="A76" s="19"/>
      <c r="B76" s="191" t="str">
        <f>"Inflow for wells built in Year "&amp;Cashflow!K$164</f>
        <v>Inflow for wells built in Year 2025</v>
      </c>
      <c r="C76" s="1163"/>
      <c r="D76" s="1163"/>
      <c r="E76" s="1163"/>
      <c r="F76" s="1163"/>
      <c r="G76" s="1163"/>
      <c r="H76" s="1163"/>
      <c r="I76" s="1163"/>
      <c r="J76" s="1163"/>
      <c r="K76" s="1162">
        <f>IF(Cashflow!K$111="C/I",0,IF($K$31=0,0,IF(K$67&lt;$Q$7,0,$K$31*$J$5*$Q$4*2*PI()*$AE$6/(J$41*(LN(SQRT($J$4/(K$32*PI()))/($J$10/2))-(1/2)+C$64)))))</f>
        <v>0.16870442580794642</v>
      </c>
      <c r="L76" s="1162">
        <f ca="1">IF(Cashflow!L$111="C/I",0,IF($K$31=0,0,IF(L$67&lt;$Q$7,0,$K$31*$J$5*$Q$4*2*PI()*$AE$6/(K$41*(LN(SQRT($J$4/(L$32*PI()))/($J$10/2))-(1/2)+D$64)))))</f>
        <v>0.13758744124121017</v>
      </c>
      <c r="M76" s="1162">
        <f ca="1">IF(Cashflow!M$111="C/I",0,IF($K$31=0,0,IF(M$67&lt;$Q$7,0,$K$31*$J$5*$Q$4*2*PI()*$AE$6/(L$41*(LN(SQRT($J$4/(M$32*PI()))/($J$10/2))-(1/2)+E$64)))))</f>
        <v>0.12055107128815831</v>
      </c>
      <c r="N76" s="1162">
        <f ca="1">IF(Cashflow!N$111="C/I",0,IF($K$31=0,0,IF(N$67&lt;$Q$7,0,$K$31*$J$5*$Q$4*2*PI()*$AE$6/(M$41*(LN(SQRT($J$4/(N$32*PI()))/($J$10/2))-(1/2)+F$64)))))</f>
        <v>0.10767386290674356</v>
      </c>
      <c r="O76" s="1162">
        <f ca="1">IF(Cashflow!O$111="C/I",0,IF($K$31=0,0,IF(O$67&lt;$Q$7,0,$K$31*$J$5*$Q$4*2*PI()*$AE$6/(N$41*(LN(SQRT($J$4/(O$32*PI()))/($J$10/2))-(1/2)+G$64)))))</f>
        <v>9.6431310741739912E-2</v>
      </c>
      <c r="P76" s="1162">
        <f ca="1">IF(Cashflow!P$111="C/I",0,IF($K$31=0,0,IF(P$67&lt;$Q$7,0,$K$31*$J$5*$Q$4*2*PI()*$AE$6/(O$41*(LN(SQRT($J$4/(P$32*PI()))/($J$10/2))-(1/2)+H$64)))))</f>
        <v>8.7314537075971546E-2</v>
      </c>
      <c r="Q76" s="1162">
        <f ca="1">IF(Cashflow!Q$111="C/I",0,IF($K$31=0,0,IF(Q$67&lt;$Q$7,0,$K$31*$J$5*$Q$4*2*PI()*$AE$6/(P$41*(LN(SQRT($J$4/(Q$32*PI()))/($J$10/2))-(1/2)+I$64)))))</f>
        <v>7.9772696058946449E-2</v>
      </c>
      <c r="R76" s="1162">
        <f ca="1">IF(Cashflow!R$111="C/I",0,IF($K$31=0,0,IF(R$67&lt;$Q$7,0,$K$31*$J$5*$Q$4*2*PI()*$AE$6/(Q$41*(LN(SQRT($J$4/(R$32*PI()))/($J$10/2))-(1/2)+J$64)))))</f>
        <v>7.3430128450195864E-2</v>
      </c>
      <c r="S76" s="1162">
        <f ca="1">IF(Cashflow!S$111="C/I",0,IF($K$31=0,0,IF(S$67&lt;$Q$7,0,$K$31*$J$5*$Q$4*2*PI()*$AE$6/(R$41*(LN(SQRT($J$4/(S$32*PI()))/($J$10/2))-(1/2)+K$64)))))</f>
        <v>0.16559053626871095</v>
      </c>
      <c r="T76" s="1162">
        <f ca="1">IF(Cashflow!T$111="C/I",0,IF($K$31=0,0,IF(T$67&lt;$Q$7,0,$K$31*$J$5*$Q$4*2*PI()*$AE$6/(S$41*(LN(SQRT($J$4/(T$32*PI()))/($J$10/2))-(1/2)+L$64)))))</f>
        <v>0.14041466407229047</v>
      </c>
      <c r="U76" s="1162">
        <f ca="1">IF(Cashflow!U$111="C/I",0,IF($K$31=0,0,IF(U$67&lt;$Q$7,0,$K$31*$J$5*$Q$4*2*PI()*$AE$6/(T$41*(LN(SQRT($J$4/(U$32*PI()))/($J$10/2))-(1/2)+M$64)))))</f>
        <v>0.11970314824159253</v>
      </c>
      <c r="V76" s="1162">
        <f ca="1">IF(Cashflow!V$111="C/I",0,IF($K$31=0,0,IF(V$67&lt;$Q$7,0,$K$31*$J$5*$Q$4*2*PI()*$AE$6/(U$41*(LN(SQRT($J$4/(V$32*PI()))/($J$10/2))-(1/2)+N$64)))))</f>
        <v>0.10380888076483512</v>
      </c>
      <c r="W76" s="1162">
        <f ca="1">IF(Cashflow!W$111="C/I",0,IF($K$31=0,0,IF(W$67&lt;$Q$7,0,$K$31*$J$5*$Q$4*2*PI()*$AE$6/(V$41*(LN(SQRT($J$4/(W$32*PI()))/($J$10/2))-(1/2)+O$64)))))</f>
        <v>9.1365194675542619E-2</v>
      </c>
      <c r="X76" s="1162">
        <f ca="1">IF(Cashflow!X$111="C/I",0,IF($K$31=0,0,IF(X$67&lt;$Q$7,0,$K$31*$J$5*$Q$4*2*PI()*$AE$6/(W$41*(LN(SQRT($J$4/(X$32*PI()))/($J$10/2))-(1/2)+P$64)))))</f>
        <v>8.1263387337413062E-2</v>
      </c>
      <c r="Y76" s="1162">
        <f ca="1">IF(Cashflow!Y$111="C/I",0,IF($K$31=0,0,IF(Y$67&lt;$Q$7,0,$K$31*$J$5*$Q$4*2*PI()*$AE$6/(X$41*(LN(SQRT($J$4/(Y$32*PI()))/($J$10/2))-(1/2)+Q$64)))))</f>
        <v>7.2943199912407927E-2</v>
      </c>
      <c r="Z76" s="1162">
        <f ca="1">IF(Cashflow!Z$111="C/I",0,IF($K$31=0,0,IF(Z$67&lt;$Q$7,0,$K$31*$J$5*$Q$4*2*PI()*$AE$6/(Y$41*(LN(SQRT($J$4/(Z$32*PI()))/($J$10/2))-(1/2)+R$64)))))</f>
        <v>6.5855511584923865E-2</v>
      </c>
      <c r="AA76" s="1162">
        <f ca="1">IF(Cashflow!AA$111="C/I",0,IF($K$31=0,0,IF(AA$67&lt;$Q$7,0,$K$31*$J$5*$Q$4*2*PI()*$AE$6/(Z$41*(LN(SQRT($J$4/(AA$32*PI()))/($J$10/2))-(1/2)+S$64)))))</f>
        <v>0.14582879944674154</v>
      </c>
      <c r="AB76" s="1162">
        <f ca="1">IF(Cashflow!AB$111="C/I",0,IF($K$31=0,0,IF(AB$67&lt;$Q$7,0,$K$31*$J$5*$Q$4*2*PI()*$AE$6/(AA$41*(LN(SQRT($J$4/(AB$32*PI()))/($J$10/2))-(1/2)+T$64)))))</f>
        <v>0.12137101771955762</v>
      </c>
      <c r="AC76" s="1162">
        <f ca="1">IF(Cashflow!AC$111="C/I",0,IF($K$31=0,0,IF(AC$67&lt;$Q$7,0,$K$31*$J$5*$Q$4*2*PI()*$AE$6/(AB$41*(LN(SQRT($J$4/(AC$32*PI()))/($J$10/2))-(1/2)+U$64)))))</f>
        <v>0.10351956403467913</v>
      </c>
      <c r="AD76" s="1162">
        <f ca="1">IF(Cashflow!AD$111="C/I",0,IF($K$31=0,0,IF(AD$67&lt;$Q$7,0,$K$31*$J$5*$Q$4*2*PI()*$AE$6/(AC$41*(LN(SQRT($J$4/(AD$32*PI()))/($J$10/2))-(1/2)+V$64)))))</f>
        <v>8.9521088421370285E-2</v>
      </c>
      <c r="AE76" s="1162">
        <f ca="1">IF(Cashflow!AE$111="C/I",0,IF($K$31=0,0,IF(AE$67&lt;$Q$7,0,$K$31*$J$5*$Q$4*2*PI()*$AE$6/(AD$41*(LN(SQRT($J$4/(AE$32*PI()))/($J$10/2))-(1/2)+W$64)))))</f>
        <v>7.8538292666906234E-2</v>
      </c>
      <c r="AF76" s="1162">
        <f ca="1">IF(Cashflow!AF$111="C/I",0,IF($K$31=0,0,IF(AF$67&lt;$Q$7,0,$K$31*$J$5*$Q$4*2*PI()*$AE$6/(AE$41*(LN(SQRT($J$4/(AF$32*PI()))/($J$10/2))-(1/2)+X$64)))))</f>
        <v>6.9630476695500543E-2</v>
      </c>
      <c r="AG76" s="1162">
        <f ca="1">IF(Cashflow!AG$111="C/I",0,IF($K$31=0,0,IF(AG$67&lt;$Q$7,0,$K$31*$J$5*$Q$4*2*PI()*$AE$6/(AF$41*(LN(SQRT($J$4/(AG$32*PI()))/($J$10/2))-(1/2)+Y$64)))))</f>
        <v>6.2370219580316417E-2</v>
      </c>
      <c r="AH76" s="19"/>
      <c r="AI76" s="19"/>
      <c r="AJ76" s="19"/>
      <c r="AK76" s="21"/>
      <c r="AL76" s="21"/>
      <c r="AM76" s="19"/>
      <c r="AN76" s="19"/>
      <c r="AO76" s="326"/>
      <c r="AP76" s="326"/>
      <c r="AQ76" s="326"/>
      <c r="AR76" s="326"/>
      <c r="AS76" s="326"/>
      <c r="AT76" s="326"/>
      <c r="AU76" s="326"/>
      <c r="AV76" s="326"/>
      <c r="AW76" s="326"/>
      <c r="AX76" s="326"/>
      <c r="AY76" s="326"/>
      <c r="AZ76" s="326"/>
    </row>
    <row r="77" spans="1:52">
      <c r="A77" s="19"/>
      <c r="B77" s="191" t="str">
        <f>"Inflow for wells built in Year "&amp;Cashflow!L$164</f>
        <v>Inflow for wells built in Year 2026</v>
      </c>
      <c r="C77" s="1163"/>
      <c r="D77" s="1163"/>
      <c r="E77" s="1163"/>
      <c r="F77" s="1163"/>
      <c r="G77" s="1163"/>
      <c r="H77" s="1163"/>
      <c r="I77" s="1163"/>
      <c r="J77" s="1163"/>
      <c r="K77" s="1163"/>
      <c r="L77" s="1162">
        <f ca="1">IF(Cashflow!L$111="C/I",0,IF($L$31=0,0,IF(L$67&lt;$Q$7,0,$L$31*$J$5*$Q$4*2*PI()*$AE$6/(K$41*(LN(SQRT($J$4/(L$32*PI()))/($J$10/2))-(1/2)+C$64)))))</f>
        <v>0.32334549333382212</v>
      </c>
      <c r="M77" s="1162">
        <f ca="1">IF(Cashflow!M$111="C/I",0,IF($L$31=0,0,IF(M$67&lt;$Q$7,0,$L$31*$J$5*$Q$4*2*PI()*$AE$6/(L$41*(LN(SQRT($J$4/(M$32*PI()))/($J$10/2))-(1/2)+D$64)))))</f>
        <v>0.27729756767889058</v>
      </c>
      <c r="N77" s="1162">
        <f ca="1">IF(Cashflow!N$111="C/I",0,IF($L$31=0,0,IF(N$67&lt;$Q$7,0,$L$31*$J$5*$Q$4*2*PI()*$AE$6/(M$41*(LN(SQRT($J$4/(N$32*PI()))/($J$10/2))-(1/2)+E$64)))))</f>
        <v>0.24376764977437207</v>
      </c>
      <c r="O77" s="1162">
        <f ca="1">IF(Cashflow!O$111="C/I",0,IF($L$31=0,0,IF(O$67&lt;$Q$7,0,$L$31*$J$5*$Q$4*2*PI()*$AE$6/(N$41*(LN(SQRT($J$4/(O$32*PI()))/($J$10/2))-(1/2)+F$64)))))</f>
        <v>0.21534772581348713</v>
      </c>
      <c r="P77" s="1162">
        <f ca="1">IF(Cashflow!P$111="C/I",0,IF($L$31=0,0,IF(P$67&lt;$Q$7,0,$L$31*$J$5*$Q$4*2*PI()*$AE$6/(O$41*(LN(SQRT($J$4/(P$32*PI()))/($J$10/2))-(1/2)+G$64)))))</f>
        <v>0.19286262148347982</v>
      </c>
      <c r="Q77" s="1162">
        <f ca="1">IF(Cashflow!Q$111="C/I",0,IF($L$31=0,0,IF(Q$67&lt;$Q$7,0,$L$31*$J$5*$Q$4*2*PI()*$AE$6/(P$41*(LN(SQRT($J$4/(Q$32*PI()))/($J$10/2))-(1/2)+H$64)))))</f>
        <v>0.17462907415194309</v>
      </c>
      <c r="R77" s="1162">
        <f ca="1">IF(Cashflow!R$111="C/I",0,IF($L$31=0,0,IF(R$67&lt;$Q$7,0,$L$31*$J$5*$Q$4*2*PI()*$AE$6/(Q$41*(LN(SQRT($J$4/(R$32*PI()))/($J$10/2))-(1/2)+I$64)))))</f>
        <v>0.1595453921178929</v>
      </c>
      <c r="S77" s="1162">
        <f ca="1">IF(Cashflow!S$111="C/I",0,IF($L$31=0,0,IF(S$67&lt;$Q$7,0,$L$31*$J$5*$Q$4*2*PI()*$AE$6/(R$41*(LN(SQRT($J$4/(S$32*PI()))/($J$10/2))-(1/2)+J$64)))))</f>
        <v>0.14686025690039173</v>
      </c>
      <c r="T77" s="1162">
        <f ca="1">IF(Cashflow!T$111="C/I",0,IF($L$31=0,0,IF(T$67&lt;$Q$7,0,$L$31*$J$5*$Q$4*2*PI()*$AE$6/(S$41*(LN(SQRT($J$4/(T$32*PI()))/($J$10/2))-(1/2)+K$64)))))</f>
        <v>0.33118107253742191</v>
      </c>
      <c r="U77" s="1162">
        <f ca="1">IF(Cashflow!U$111="C/I",0,IF($L$31=0,0,IF(U$67&lt;$Q$7,0,$L$31*$J$5*$Q$4*2*PI()*$AE$6/(T$41*(LN(SQRT($J$4/(U$32*PI()))/($J$10/2))-(1/2)+L$64)))))</f>
        <v>0.2758048882088518</v>
      </c>
      <c r="V77" s="1162">
        <f ca="1">IF(Cashflow!V$111="C/I",0,IF($L$31=0,0,IF(V$67&lt;$Q$7,0,$L$31*$J$5*$Q$4*2*PI()*$AE$6/(U$41*(LN(SQRT($J$4/(V$32*PI()))/($J$10/2))-(1/2)+M$64)))))</f>
        <v>0.23501754470970149</v>
      </c>
      <c r="W77" s="1162">
        <f ca="1">IF(Cashflow!W$111="C/I",0,IF($L$31=0,0,IF(W$67&lt;$Q$7,0,$L$31*$J$5*$Q$4*2*PI()*$AE$6/(V$41*(LN(SQRT($J$4/(W$32*PI()))/($J$10/2))-(1/2)+N$64)))))</f>
        <v>0.20403421607094521</v>
      </c>
      <c r="X77" s="1162">
        <f ca="1">IF(Cashflow!X$111="C/I",0,IF($L$31=0,0,IF(X$67&lt;$Q$7,0,$L$31*$J$5*$Q$4*2*PI()*$AE$6/(W$41*(LN(SQRT($J$4/(X$32*PI()))/($J$10/2))-(1/2)+O$64)))))</f>
        <v>0.17949668448547423</v>
      </c>
      <c r="Y77" s="1162">
        <f ca="1">IF(Cashflow!Y$111="C/I",0,IF($L$31=0,0,IF(Y$67&lt;$Q$7,0,$L$31*$J$5*$Q$4*2*PI()*$AE$6/(X$41*(LN(SQRT($J$4/(Y$32*PI()))/($J$10/2))-(1/2)+P$64)))))</f>
        <v>0.15967873841159133</v>
      </c>
      <c r="Z77" s="1162">
        <f ca="1">IF(Cashflow!Z$111="C/I",0,IF($L$31=0,0,IF(Z$67&lt;$Q$7,0,$L$31*$J$5*$Q$4*2*PI()*$AE$6/(Y$41*(LN(SQRT($J$4/(Z$32*PI()))/($J$10/2))-(1/2)+Q$64)))))</f>
        <v>0.1430876350171098</v>
      </c>
      <c r="AA77" s="1162">
        <f ca="1">IF(Cashflow!AA$111="C/I",0,IF($L$31=0,0,IF(AA$67&lt;$Q$7,0,$L$31*$J$5*$Q$4*2*PI()*$AE$6/(Z$41*(LN(SQRT($J$4/(AA$32*PI()))/($J$10/2))-(1/2)+R$64)))))</f>
        <v>0.1293338099676829</v>
      </c>
      <c r="AB77" s="1162">
        <f ca="1">IF(Cashflow!AB$111="C/I",0,IF($L$31=0,0,IF(AB$67&lt;$Q$7,0,$L$31*$J$5*$Q$4*2*PI()*$AE$6/(AA$41*(LN(SQRT($J$4/(AB$32*PI()))/($J$10/2))-(1/2)+S$64)))))</f>
        <v>0.28626485765494775</v>
      </c>
      <c r="AC77" s="1162">
        <f ca="1">IF(Cashflow!AC$111="C/I",0,IF($L$31=0,0,IF(AC$67&lt;$Q$7,0,$L$31*$J$5*$Q$4*2*PI()*$AE$6/(AB$41*(LN(SQRT($J$4/(AC$32*PI()))/($J$10/2))-(1/2)+T$64)))))</f>
        <v>0.23851671577083253</v>
      </c>
      <c r="AD77" s="1162">
        <f ca="1">IF(Cashflow!AD$111="C/I",0,IF($L$31=0,0,IF(AD$67&lt;$Q$7,0,$L$31*$J$5*$Q$4*2*PI()*$AE$6/(AC$41*(LN(SQRT($J$4/(AD$32*PI()))/($J$10/2))-(1/2)+U$64)))))</f>
        <v>0.20267077580955317</v>
      </c>
      <c r="AE77" s="1162">
        <f ca="1">IF(Cashflow!AE$111="C/I",0,IF($L$31=0,0,IF(AE$67&lt;$Q$7,0,$L$31*$J$5*$Q$4*2*PI()*$AE$6/(AD$41*(LN(SQRT($J$4/(AE$32*PI()))/($J$10/2))-(1/2)+V$64)))))</f>
        <v>0.17538953463350143</v>
      </c>
      <c r="AF77" s="1162">
        <f ca="1">IF(Cashflow!AF$111="C/I",0,IF($L$31=0,0,IF(AF$67&lt;$Q$7,0,$L$31*$J$5*$Q$4*2*PI()*$AE$6/(AE$41*(LN(SQRT($J$4/(AF$32*PI()))/($J$10/2))-(1/2)+W$64)))))</f>
        <v>0.15380160876251384</v>
      </c>
      <c r="AG77" s="1162">
        <f ca="1">IF(Cashflow!AG$111="C/I",0,IF($L$31=0,0,IF(AG$67&lt;$Q$7,0,$L$31*$J$5*$Q$4*2*PI()*$AE$6/(AF$41*(LN(SQRT($J$4/(AG$32*PI()))/($J$10/2))-(1/2)+X$64)))))</f>
        <v>0.13653360407821591</v>
      </c>
      <c r="AH77" s="19"/>
      <c r="AI77" s="19"/>
      <c r="AJ77" s="19"/>
      <c r="AK77" s="21"/>
      <c r="AL77" s="21"/>
      <c r="AM77" s="19"/>
      <c r="AN77" s="19"/>
      <c r="AO77" s="326"/>
      <c r="AP77" s="326"/>
      <c r="AQ77" s="326"/>
      <c r="AR77" s="326"/>
      <c r="AS77" s="326"/>
      <c r="AT77" s="326"/>
      <c r="AU77" s="326"/>
      <c r="AV77" s="326"/>
      <c r="AW77" s="326"/>
      <c r="AX77" s="326"/>
      <c r="AY77" s="326"/>
      <c r="AZ77" s="326"/>
    </row>
    <row r="78" spans="1:52">
      <c r="A78" s="19"/>
      <c r="B78" s="191" t="str">
        <f>"Inflow for wells built in Year "&amp;Cashflow!M$164</f>
        <v>Inflow for wells built in Year 2027</v>
      </c>
      <c r="C78" s="1163"/>
      <c r="D78" s="1163"/>
      <c r="E78" s="1163"/>
      <c r="F78" s="1163"/>
      <c r="G78" s="1163"/>
      <c r="H78" s="1163"/>
      <c r="I78" s="1163"/>
      <c r="J78" s="1163"/>
      <c r="K78" s="1163"/>
      <c r="L78" s="1163"/>
      <c r="M78" s="1162">
        <f ca="1">IF(Cashflow!M$111="C/I",0,IF($M$31=0,0,IF(M$67&lt;$Q$7,0,$M$31*$J$5*$Q$4*2*PI()*$AE$6/(L$41*(LN(SQRT($J$4/(M$32*PI()))/($J$10/2))-(1/2)+C$64)))))</f>
        <v>0.16314018037780764</v>
      </c>
      <c r="N78" s="1162">
        <f ca="1">IF(Cashflow!N$111="C/I",0,IF($M$31=0,0,IF(N$67&lt;$Q$7,0,$M$31*$J$5*$Q$4*2*PI()*$AE$6/(M$41*(LN(SQRT($J$4/(N$32*PI()))/($J$10/2))-(1/2)+D$64)))))</f>
        <v>0.14041466407229047</v>
      </c>
      <c r="O78" s="1162">
        <f ca="1">IF(Cashflow!O$111="C/I",0,IF($M$31=0,0,IF(O$67&lt;$Q$7,0,$M$31*$J$5*$Q$4*2*PI()*$AE$6/(N$41*(LN(SQRT($J$4/(O$32*PI()))/($J$10/2))-(1/2)+E$64)))))</f>
        <v>0.12188382488718603</v>
      </c>
      <c r="P78" s="1162">
        <f ca="1">IF(Cashflow!P$111="C/I",0,IF($M$31=0,0,IF(P$67&lt;$Q$7,0,$M$31*$J$5*$Q$4*2*PI()*$AE$6/(O$41*(LN(SQRT($J$4/(P$32*PI()))/($J$10/2))-(1/2)+F$64)))))</f>
        <v>0.10767386290674356</v>
      </c>
      <c r="Q78" s="1162">
        <f ca="1">IF(Cashflow!Q$111="C/I",0,IF($M$31=0,0,IF(Q$67&lt;$Q$7,0,$M$31*$J$5*$Q$4*2*PI()*$AE$6/(P$41*(LN(SQRT($J$4/(Q$32*PI()))/($J$10/2))-(1/2)+G$64)))))</f>
        <v>9.6431310741739912E-2</v>
      </c>
      <c r="R78" s="1162">
        <f ca="1">IF(Cashflow!R$111="C/I",0,IF($M$31=0,0,IF(R$67&lt;$Q$7,0,$M$31*$J$5*$Q$4*2*PI()*$AE$6/(Q$41*(LN(SQRT($J$4/(R$32*PI()))/($J$10/2))-(1/2)+H$64)))))</f>
        <v>8.7314537075971546E-2</v>
      </c>
      <c r="S78" s="1162">
        <f ca="1">IF(Cashflow!S$111="C/I",0,IF($M$31=0,0,IF(S$67&lt;$Q$7,0,$M$31*$J$5*$Q$4*2*PI()*$AE$6/(R$41*(LN(SQRT($J$4/(S$32*PI()))/($J$10/2))-(1/2)+I$64)))))</f>
        <v>7.9772696058946449E-2</v>
      </c>
      <c r="T78" s="1162">
        <f ca="1">IF(Cashflow!T$111="C/I",0,IF($M$31=0,0,IF(T$67&lt;$Q$7,0,$M$31*$J$5*$Q$4*2*PI()*$AE$6/(S$41*(LN(SQRT($J$4/(T$32*PI()))/($J$10/2))-(1/2)+J$64)))))</f>
        <v>7.3430128450195864E-2</v>
      </c>
      <c r="U78" s="1162">
        <f ca="1">IF(Cashflow!U$111="C/I",0,IF($M$31=0,0,IF(U$67&lt;$Q$7,0,$M$31*$J$5*$Q$4*2*PI()*$AE$6/(T$41*(LN(SQRT($J$4/(U$32*PI()))/($J$10/2))-(1/2)+K$64)))))</f>
        <v>0.16262788379610674</v>
      </c>
      <c r="V78" s="1162">
        <f ca="1">IF(Cashflow!V$111="C/I",0,IF($M$31=0,0,IF(V$67&lt;$Q$7,0,$M$31*$J$5*$Q$4*2*PI()*$AE$6/(U$41*(LN(SQRT($J$4/(V$32*PI()))/($J$10/2))-(1/2)+L$64)))))</f>
        <v>0.13537444210522398</v>
      </c>
      <c r="W78" s="1162">
        <f ca="1">IF(Cashflow!W$111="C/I",0,IF($M$31=0,0,IF(W$67&lt;$Q$7,0,$M$31*$J$5*$Q$4*2*PI()*$AE$6/(V$41*(LN(SQRT($J$4/(W$32*PI()))/($J$10/2))-(1/2)+M$64)))))</f>
        <v>0.11548053534646552</v>
      </c>
      <c r="X78" s="1162">
        <f ca="1">IF(Cashflow!X$111="C/I",0,IF($M$31=0,0,IF(X$67&lt;$Q$7,0,$M$31*$J$5*$Q$4*2*PI()*$AE$6/(W$41*(LN(SQRT($J$4/(X$32*PI()))/($J$10/2))-(1/2)+N$64)))))</f>
        <v>0.10021175305428205</v>
      </c>
      <c r="Y78" s="1162">
        <f ca="1">IF(Cashflow!Y$111="C/I",0,IF($M$31=0,0,IF(Y$67&lt;$Q$7,0,$M$31*$J$5*$Q$4*2*PI()*$AE$6/(X$41*(LN(SQRT($J$4/(Y$32*PI()))/($J$10/2))-(1/2)+O$64)))))</f>
        <v>8.8175638091166242E-2</v>
      </c>
      <c r="Z78" s="1162">
        <f ca="1">IF(Cashflow!Z$111="C/I",0,IF($M$31=0,0,IF(Z$67&lt;$Q$7,0,$M$31*$J$5*$Q$4*2*PI()*$AE$6/(Y$41*(LN(SQRT($J$4/(Z$32*PI()))/($J$10/2))-(1/2)+P$64)))))</f>
        <v>7.8307686903189275E-2</v>
      </c>
      <c r="AA78" s="1162">
        <f ca="1">IF(Cashflow!AA$111="C/I",0,IF($M$31=0,0,IF(AA$67&lt;$Q$7,0,$M$31*$J$5*$Q$4*2*PI()*$AE$6/(Z$41*(LN(SQRT($J$4/(AA$32*PI()))/($J$10/2))-(1/2)+Q$64)))))</f>
        <v>7.0252544360556585E-2</v>
      </c>
      <c r="AB78" s="1162">
        <f ca="1">IF(Cashflow!AB$111="C/I",0,IF($M$31=0,0,IF(AB$67&lt;$Q$7,0,$M$31*$J$5*$Q$4*2*PI()*$AE$6/(AA$41*(LN(SQRT($J$4/(AB$32*PI()))/($J$10/2))-(1/2)+R$64)))))</f>
        <v>6.347121563236266E-2</v>
      </c>
      <c r="AC78" s="1162">
        <f ca="1">IF(Cashflow!AC$111="C/I",0,IF($M$31=0,0,IF(AC$67&lt;$Q$7,0,$M$31*$J$5*$Q$4*2*PI()*$AE$6/(AB$41*(LN(SQRT($J$4/(AC$32*PI()))/($J$10/2))-(1/2)+S$64)))))</f>
        <v>0.1406409762630271</v>
      </c>
      <c r="AD78" s="1162">
        <f ca="1">IF(Cashflow!AD$111="C/I",0,IF($M$31=0,0,IF(AD$67&lt;$Q$7,0,$M$31*$J$5*$Q$4*2*PI()*$AE$6/(AC$41*(LN(SQRT($J$4/(AD$32*PI()))/($J$10/2))-(1/2)+T$64)))))</f>
        <v>0.11674210638248833</v>
      </c>
      <c r="AE78" s="1162">
        <f ca="1">IF(Cashflow!AE$111="C/I",0,IF($M$31=0,0,IF(AE$67&lt;$Q$7,0,$M$31*$J$5*$Q$4*2*PI()*$AE$6/(AD$41*(LN(SQRT($J$4/(AE$32*PI()))/($J$10/2))-(1/2)+U$64)))))</f>
        <v>9.9268043094309269E-2</v>
      </c>
      <c r="AF78" s="1162">
        <f ca="1">IF(Cashflow!AF$111="C/I",0,IF($M$31=0,0,IF(AF$67&lt;$Q$7,0,$M$31*$J$5*$Q$4*2*PI()*$AE$6/(AE$41*(LN(SQRT($J$4/(AF$32*PI()))/($J$10/2))-(1/2)+V$64)))))</f>
        <v>8.5866370628743374E-2</v>
      </c>
      <c r="AG78" s="1162">
        <f ca="1">IF(Cashflow!AG$111="C/I",0,IF($M$31=0,0,IF(AG$67&lt;$Q$7,0,$M$31*$J$5*$Q$4*2*PI()*$AE$6/(AF$41*(LN(SQRT($J$4/(AG$32*PI()))/($J$10/2))-(1/2)+W$64)))))</f>
        <v>7.5394744348815684E-2</v>
      </c>
      <c r="AH78" s="19"/>
      <c r="AI78" s="19"/>
      <c r="AJ78" s="19"/>
      <c r="AK78" s="21"/>
      <c r="AL78" s="21"/>
      <c r="AM78" s="19"/>
      <c r="AN78" s="19"/>
      <c r="AO78" s="326"/>
      <c r="AP78" s="326"/>
      <c r="AQ78" s="326"/>
      <c r="AR78" s="326"/>
      <c r="AS78" s="326"/>
      <c r="AT78" s="326"/>
      <c r="AU78" s="326"/>
      <c r="AV78" s="326"/>
      <c r="AW78" s="326"/>
      <c r="AX78" s="326"/>
      <c r="AY78" s="326"/>
      <c r="AZ78" s="326"/>
    </row>
    <row r="79" spans="1:52">
      <c r="A79" s="19"/>
      <c r="B79" s="191" t="str">
        <f>"Inflow for wells built in Year "&amp;Cashflow!N$164</f>
        <v>Inflow for wells built in Year 2028</v>
      </c>
      <c r="C79" s="1163"/>
      <c r="D79" s="1163"/>
      <c r="E79" s="1163"/>
      <c r="F79" s="1163"/>
      <c r="G79" s="1163"/>
      <c r="H79" s="1163"/>
      <c r="I79" s="1163"/>
      <c r="J79" s="1163"/>
      <c r="K79" s="1163"/>
      <c r="L79" s="1163"/>
      <c r="M79" s="1163"/>
      <c r="N79" s="1162">
        <f ca="1">IF(Cashflow!N$111="C/I",0,IF($N$31=0,0,IF(N$67&lt;$Q$7,0,$N$31*$J$5*$Q$4*2*PI()*$AE$6/(M$41*(LN(SQRT($J$4/(N$32*PI()))/($J$10/2))-(1/2)+C$64)))))</f>
        <v>0.33118107253742191</v>
      </c>
      <c r="O79" s="1162">
        <f ca="1">IF(Cashflow!O$111="C/I",0,IF($N$31=0,0,IF(O$67&lt;$Q$7,0,$N$31*$J$5*$Q$4*2*PI()*$AE$6/(N$41*(LN(SQRT($J$4/(O$32*PI()))/($J$10/2))-(1/2)+D$64)))))</f>
        <v>0.28082932814458095</v>
      </c>
      <c r="P79" s="1162">
        <f ca="1">IF(Cashflow!P$111="C/I",0,IF($N$31=0,0,IF(P$67&lt;$Q$7,0,$N$31*$J$5*$Q$4*2*PI()*$AE$6/(O$41*(LN(SQRT($J$4/(P$32*PI()))/($J$10/2))-(1/2)+E$64)))))</f>
        <v>0.24376764977437207</v>
      </c>
      <c r="Q79" s="1162">
        <f ca="1">IF(Cashflow!Q$111="C/I",0,IF($N$31=0,0,IF(Q$67&lt;$Q$7,0,$N$31*$J$5*$Q$4*2*PI()*$AE$6/(P$41*(LN(SQRT($J$4/(Q$32*PI()))/($J$10/2))-(1/2)+F$64)))))</f>
        <v>0.21534772581348713</v>
      </c>
      <c r="R79" s="1162">
        <f ca="1">IF(Cashflow!R$111="C/I",0,IF($N$31=0,0,IF(R$67&lt;$Q$7,0,$N$31*$J$5*$Q$4*2*PI()*$AE$6/(Q$41*(LN(SQRT($J$4/(R$32*PI()))/($J$10/2))-(1/2)+G$64)))))</f>
        <v>0.19286262148347982</v>
      </c>
      <c r="S79" s="1162">
        <f ca="1">IF(Cashflow!S$111="C/I",0,IF($N$31=0,0,IF(S$67&lt;$Q$7,0,$N$31*$J$5*$Q$4*2*PI()*$AE$6/(R$41*(LN(SQRT($J$4/(S$32*PI()))/($J$10/2))-(1/2)+H$64)))))</f>
        <v>0.17462907415194309</v>
      </c>
      <c r="T79" s="1162">
        <f ca="1">IF(Cashflow!T$111="C/I",0,IF($N$31=0,0,IF(T$67&lt;$Q$7,0,$N$31*$J$5*$Q$4*2*PI()*$AE$6/(S$41*(LN(SQRT($J$4/(T$32*PI()))/($J$10/2))-(1/2)+I$64)))))</f>
        <v>0.1595453921178929</v>
      </c>
      <c r="U79" s="1162">
        <f ca="1">IF(Cashflow!U$111="C/I",0,IF($N$31=0,0,IF(U$67&lt;$Q$7,0,$N$31*$J$5*$Q$4*2*PI()*$AE$6/(T$41*(LN(SQRT($J$4/(U$32*PI()))/($J$10/2))-(1/2)+J$64)))))</f>
        <v>0.14423271602132129</v>
      </c>
      <c r="V79" s="1162">
        <f ca="1">IF(Cashflow!V$111="C/I",0,IF($N$31=0,0,IF(V$67&lt;$Q$7,0,$N$31*$J$5*$Q$4*2*PI()*$AE$6/(U$41*(LN(SQRT($J$4/(V$32*PI()))/($J$10/2))-(1/2)+K$64)))))</f>
        <v>0.3192932392551347</v>
      </c>
      <c r="W79" s="1162">
        <f ca="1">IF(Cashflow!W$111="C/I",0,IF($N$31=0,0,IF(W$67&lt;$Q$7,0,$N$31*$J$5*$Q$4*2*PI()*$AE$6/(V$41*(LN(SQRT($J$4/(W$32*PI()))/($J$10/2))-(1/2)+L$64)))))</f>
        <v>0.26607567644961505</v>
      </c>
      <c r="X79" s="1162">
        <f ca="1">IF(Cashflow!X$111="C/I",0,IF($N$31=0,0,IF(X$67&lt;$Q$7,0,$N$31*$J$5*$Q$4*2*PI()*$AE$6/(W$41*(LN(SQRT($J$4/(X$32*PI()))/($J$10/2))-(1/2)+M$64)))))</f>
        <v>0.22687384721183015</v>
      </c>
      <c r="Y79" s="1162">
        <f ca="1">IF(Cashflow!Y$111="C/I",0,IF($N$31=0,0,IF(Y$67&lt;$Q$7,0,$N$31*$J$5*$Q$4*2*PI()*$AE$6/(X$41*(LN(SQRT($J$4/(Y$32*PI()))/($J$10/2))-(1/2)+N$64)))))</f>
        <v>0.19691138686209594</v>
      </c>
      <c r="Z79" s="1162">
        <f ca="1">IF(Cashflow!Z$111="C/I",0,IF($N$31=0,0,IF(Z$67&lt;$Q$7,0,$N$31*$J$5*$Q$4*2*PI()*$AE$6/(Y$41*(LN(SQRT($J$4/(Z$32*PI()))/($J$10/2))-(1/2)+O$64)))))</f>
        <v>0.17296805645680735</v>
      </c>
      <c r="AA79" s="1162">
        <f ca="1">IF(Cashflow!AA$111="C/I",0,IF($N$31=0,0,IF(AA$67&lt;$Q$7,0,$N$31*$J$5*$Q$4*2*PI()*$AE$6/(Z$41*(LN(SQRT($J$4/(AA$32*PI()))/($J$10/2))-(1/2)+P$64)))))</f>
        <v>0.15378866936422722</v>
      </c>
      <c r="AB79" s="1162">
        <f ca="1">IF(Cashflow!AB$111="C/I",0,IF($N$31=0,0,IF(AB$67&lt;$Q$7,0,$N$31*$J$5*$Q$4*2*PI()*$AE$6/(AA$41*(LN(SQRT($J$4/(AB$32*PI()))/($J$10/2))-(1/2)+Q$64)))))</f>
        <v>0.13790715337142548</v>
      </c>
      <c r="AC79" s="1162">
        <f ca="1">IF(Cashflow!AC$111="C/I",0,IF($N$31=0,0,IF(AC$67&lt;$Q$7,0,$N$31*$J$5*$Q$4*2*PI()*$AE$6/(AB$41*(LN(SQRT($J$4/(AC$32*PI()))/($J$10/2))-(1/2)+R$64)))))</f>
        <v>0.12473279192231729</v>
      </c>
      <c r="AD79" s="1162">
        <f ca="1">IF(Cashflow!AD$111="C/I",0,IF($N$31=0,0,IF(AD$67&lt;$Q$7,0,$N$31*$J$5*$Q$4*2*PI()*$AE$6/(AC$41*(LN(SQRT($J$4/(AD$32*PI()))/($J$10/2))-(1/2)+S$64)))))</f>
        <v>0.27534713882964046</v>
      </c>
      <c r="AE79" s="1162">
        <f ca="1">IF(Cashflow!AE$111="C/I",0,IF($N$31=0,0,IF(AE$67&lt;$Q$7,0,$N$31*$J$5*$Q$4*2*PI()*$AE$6/(AD$41*(LN(SQRT($J$4/(AE$32*PI()))/($J$10/2))-(1/2)+T$64)))))</f>
        <v>0.22872089774180532</v>
      </c>
      <c r="AF79" s="1162">
        <f ca="1">IF(Cashflow!AF$111="C/I",0,IF($N$31=0,0,IF(AF$67&lt;$Q$7,0,$N$31*$J$5*$Q$4*2*PI()*$AE$6/(AE$41*(LN(SQRT($J$4/(AF$32*PI()))/($J$10/2))-(1/2)+U$64)))))</f>
        <v>0.19439669756208791</v>
      </c>
      <c r="AG79" s="1162">
        <f ca="1">IF(Cashflow!AG$111="C/I",0,IF($N$31=0,0,IF(AG$67&lt;$Q$7,0,$N$31*$J$5*$Q$4*2*PI()*$AE$6/(AF$41*(LN(SQRT($J$4/(AG$32*PI()))/($J$10/2))-(1/2)+V$64)))))</f>
        <v>0.16836944980754046</v>
      </c>
      <c r="AH79" s="19"/>
      <c r="AI79" s="19"/>
      <c r="AJ79" s="19"/>
      <c r="AK79" s="21"/>
      <c r="AL79" s="21"/>
      <c r="AM79" s="19"/>
      <c r="AN79" s="19"/>
      <c r="AO79" s="326"/>
      <c r="AP79" s="326"/>
      <c r="AQ79" s="326"/>
      <c r="AR79" s="326"/>
      <c r="AS79" s="326"/>
      <c r="AT79" s="326"/>
      <c r="AU79" s="326"/>
      <c r="AV79" s="326"/>
      <c r="AW79" s="326"/>
      <c r="AX79" s="326"/>
      <c r="AY79" s="326"/>
      <c r="AZ79" s="326"/>
    </row>
    <row r="80" spans="1:52">
      <c r="A80" s="19"/>
      <c r="B80" s="191" t="str">
        <f>"Inflow for wells built in Year "&amp;Cashflow!O$164</f>
        <v>Inflow for wells built in Year 2029</v>
      </c>
      <c r="C80" s="1163"/>
      <c r="D80" s="1163"/>
      <c r="E80" s="1163"/>
      <c r="F80" s="1163"/>
      <c r="G80" s="1163"/>
      <c r="H80" s="1163"/>
      <c r="I80" s="1163"/>
      <c r="J80" s="1163"/>
      <c r="K80" s="1163"/>
      <c r="L80" s="1163"/>
      <c r="M80" s="1163"/>
      <c r="N80" s="1163"/>
      <c r="O80" s="1162">
        <f ca="1">IF(Cashflow!O$111="C/I",0,IF($O$31=0,0,IF(O$67&lt;$Q$7,0,$O$31*$J$5*$Q$4*2*PI()*$AE$6/(N$41*(LN(SQRT($J$4/(O$32*PI()))/($J$10/2))-(1/2)+C$64)))))</f>
        <v>0</v>
      </c>
      <c r="P80" s="1162">
        <f ca="1">IF(Cashflow!P$111="C/I",0,IF($O$31=0,0,IF(P$67&lt;$Q$7,0,$O$31*$J$5*$Q$4*2*PI()*$AE$6/(O$41*(LN(SQRT($J$4/(P$32*PI()))/($J$10/2))-(1/2)+D$64)))))</f>
        <v>0</v>
      </c>
      <c r="Q80" s="1162">
        <f ca="1">IF(Cashflow!Q$111="C/I",0,IF($O$31=0,0,IF(Q$67&lt;$Q$7,0,$O$31*$J$5*$Q$4*2*PI()*$AE$6/(P$41*(LN(SQRT($J$4/(Q$32*PI()))/($J$10/2))-(1/2)+E$64)))))</f>
        <v>0</v>
      </c>
      <c r="R80" s="1162">
        <f ca="1">IF(Cashflow!R$111="C/I",0,IF($O$31=0,0,IF(R$67&lt;$Q$7,0,$O$31*$J$5*$Q$4*2*PI()*$AE$6/(Q$41*(LN(SQRT($J$4/(R$32*PI()))/($J$10/2))-(1/2)+F$64)))))</f>
        <v>0</v>
      </c>
      <c r="S80" s="1162">
        <f ca="1">IF(Cashflow!S$111="C/I",0,IF($O$31=0,0,IF(S$67&lt;$Q$7,0,$O$31*$J$5*$Q$4*2*PI()*$AE$6/(R$41*(LN(SQRT($J$4/(S$32*PI()))/($J$10/2))-(1/2)+G$64)))))</f>
        <v>0</v>
      </c>
      <c r="T80" s="1162">
        <f ca="1">IF(Cashflow!T$111="C/I",0,IF($O$31=0,0,IF(T$67&lt;$Q$7,0,$O$31*$J$5*$Q$4*2*PI()*$AE$6/(S$41*(LN(SQRT($J$4/(T$32*PI()))/($J$10/2))-(1/2)+H$64)))))</f>
        <v>0</v>
      </c>
      <c r="U80" s="1162">
        <f ca="1">IF(Cashflow!U$111="C/I",0,IF($O$31=0,0,IF(U$67&lt;$Q$7,0,$O$31*$J$5*$Q$4*2*PI()*$AE$6/(T$41*(LN(SQRT($J$4/(U$32*PI()))/($J$10/2))-(1/2)+I$64)))))</f>
        <v>0</v>
      </c>
      <c r="V80" s="1162">
        <f ca="1">IF(Cashflow!V$111="C/I",0,IF($O$31=0,0,IF(V$67&lt;$Q$7,0,$O$31*$J$5*$Q$4*2*PI()*$AE$6/(U$41*(LN(SQRT($J$4/(V$32*PI()))/($J$10/2))-(1/2)+J$64)))))</f>
        <v>0</v>
      </c>
      <c r="W80" s="1162">
        <f ca="1">IF(Cashflow!W$111="C/I",0,IF($O$31=0,0,IF(W$67&lt;$Q$7,0,$O$31*$J$5*$Q$4*2*PI()*$AE$6/(V$41*(LN(SQRT($J$4/(W$32*PI()))/($J$10/2))-(1/2)+K$64)))))</f>
        <v>0</v>
      </c>
      <c r="X80" s="1162">
        <f ca="1">IF(Cashflow!X$111="C/I",0,IF($O$31=0,0,IF(X$67&lt;$Q$7,0,$O$31*$J$5*$Q$4*2*PI()*$AE$6/(W$41*(LN(SQRT($J$4/(X$32*PI()))/($J$10/2))-(1/2)+L$64)))))</f>
        <v>0</v>
      </c>
      <c r="Y80" s="1162">
        <f ca="1">IF(Cashflow!Y$111="C/I",0,IF($O$31=0,0,IF(Y$67&lt;$Q$7,0,$O$31*$J$5*$Q$4*2*PI()*$AE$6/(X$41*(LN(SQRT($J$4/(Y$32*PI()))/($J$10/2))-(1/2)+M$64)))))</f>
        <v>0</v>
      </c>
      <c r="Z80" s="1162">
        <f ca="1">IF(Cashflow!Z$111="C/I",0,IF($O$31=0,0,IF(Z$67&lt;$Q$7,0,$O$31*$J$5*$Q$4*2*PI()*$AE$6/(Y$41*(LN(SQRT($J$4/(Z$32*PI()))/($J$10/2))-(1/2)+N$64)))))</f>
        <v>0</v>
      </c>
      <c r="AA80" s="1162">
        <f ca="1">IF(Cashflow!AA$111="C/I",0,IF($O$31=0,0,IF(AA$67&lt;$Q$7,0,$O$31*$J$5*$Q$4*2*PI()*$AE$6/(Z$41*(LN(SQRT($J$4/(AA$32*PI()))/($J$10/2))-(1/2)+O$64)))))</f>
        <v>0</v>
      </c>
      <c r="AB80" s="1162">
        <f ca="1">IF(Cashflow!AB$111="C/I",0,IF($O$31=0,0,IF(AB$67&lt;$Q$7,0,$O$31*$J$5*$Q$4*2*PI()*$AE$6/(AA$41*(LN(SQRT($J$4/(AB$32*PI()))/($J$10/2))-(1/2)+P$64)))))</f>
        <v>0</v>
      </c>
      <c r="AC80" s="1162">
        <f ca="1">IF(Cashflow!AC$111="C/I",0,IF($O$31=0,0,IF(AC$67&lt;$Q$7,0,$O$31*$J$5*$Q$4*2*PI()*$AE$6/(AB$41*(LN(SQRT($J$4/(AC$32*PI()))/($J$10/2))-(1/2)+Q$64)))))</f>
        <v>0</v>
      </c>
      <c r="AD80" s="1162">
        <f ca="1">IF(Cashflow!AD$111="C/I",0,IF($O$31=0,0,IF(AD$67&lt;$Q$7,0,$O$31*$J$5*$Q$4*2*PI()*$AE$6/(AC$41*(LN(SQRT($J$4/(AD$32*PI()))/($J$10/2))-(1/2)+R$64)))))</f>
        <v>0</v>
      </c>
      <c r="AE80" s="1162">
        <f ca="1">IF(Cashflow!AE$111="C/I",0,IF($O$31=0,0,IF(AE$67&lt;$Q$7,0,$O$31*$J$5*$Q$4*2*PI()*$AE$6/(AD$41*(LN(SQRT($J$4/(AE$32*PI()))/($J$10/2))-(1/2)+S$64)))))</f>
        <v>0</v>
      </c>
      <c r="AF80" s="1162">
        <f ca="1">IF(Cashflow!AF$111="C/I",0,IF($O$31=0,0,IF(AF$67&lt;$Q$7,0,$O$31*$J$5*$Q$4*2*PI()*$AE$6/(AE$41*(LN(SQRT($J$4/(AF$32*PI()))/($J$10/2))-(1/2)+T$64)))))</f>
        <v>0</v>
      </c>
      <c r="AG80" s="1162">
        <f ca="1">IF(Cashflow!AG$111="C/I",0,IF($O$31=0,0,IF(AG$67&lt;$Q$7,0,$O$31*$J$5*$Q$4*2*PI()*$AE$6/(AF$41*(LN(SQRT($J$4/(AG$32*PI()))/($J$10/2))-(1/2)+U$64)))))</f>
        <v>0</v>
      </c>
      <c r="AH80" s="19"/>
      <c r="AI80" s="19"/>
      <c r="AJ80" s="19"/>
      <c r="AK80" s="21"/>
      <c r="AL80" s="21"/>
      <c r="AM80" s="19"/>
      <c r="AN80" s="19"/>
      <c r="AO80" s="326"/>
      <c r="AP80" s="326"/>
      <c r="AQ80" s="326"/>
      <c r="AR80" s="326"/>
      <c r="AS80" s="326"/>
      <c r="AT80" s="326"/>
      <c r="AU80" s="326"/>
      <c r="AV80" s="326"/>
      <c r="AW80" s="326"/>
      <c r="AX80" s="326"/>
      <c r="AY80" s="326"/>
      <c r="AZ80" s="326"/>
    </row>
    <row r="81" spans="1:52">
      <c r="A81" s="19"/>
      <c r="B81" s="191" t="str">
        <f>"Inflow for wells built in Year "&amp;Cashflow!P$164</f>
        <v>Inflow for wells built in Year 2030</v>
      </c>
      <c r="C81" s="1163"/>
      <c r="D81" s="1163"/>
      <c r="E81" s="1163"/>
      <c r="F81" s="1163"/>
      <c r="G81" s="1163"/>
      <c r="H81" s="1163"/>
      <c r="I81" s="1163"/>
      <c r="J81" s="1163"/>
      <c r="K81" s="1163"/>
      <c r="L81" s="1163"/>
      <c r="M81" s="1163"/>
      <c r="N81" s="1163"/>
      <c r="O81" s="1163"/>
      <c r="P81" s="1162">
        <f ca="1">IF(Cashflow!P$111="C/I",0,IF($P$31=0,0,IF(P$67&lt;$Q$7,0,$P$31*$J$5*$Q$4*2*PI()*$AE$6/(O$41*(LN(SQRT($J$4/(P$32*PI()))/($J$10/2))-(1/2)+C$64)))))</f>
        <v>0</v>
      </c>
      <c r="Q81" s="1162">
        <f ca="1">IF(Cashflow!Q$111="C/I",0,IF($P$31=0,0,IF(Q$67&lt;$Q$7,0,$P$31*$J$5*$Q$4*2*PI()*$AE$6/(P$41*(LN(SQRT($J$4/(Q$32*PI()))/($J$10/2))-(1/2)+D$64)))))</f>
        <v>0</v>
      </c>
      <c r="R81" s="1162">
        <f ca="1">IF(Cashflow!R$111="C/I",0,IF($P$31=0,0,IF(R$67&lt;$Q$7,0,$P$31*$J$5*$Q$4*2*PI()*$AE$6/(Q$41*(LN(SQRT($J$4/(R$32*PI()))/($J$10/2))-(1/2)+E$64)))))</f>
        <v>0</v>
      </c>
      <c r="S81" s="1162">
        <f ca="1">IF(Cashflow!S$111="C/I",0,IF($P$31=0,0,IF(S$67&lt;$Q$7,0,$P$31*$J$5*$Q$4*2*PI()*$AE$6/(R$41*(LN(SQRT($J$4/(S$32*PI()))/($J$10/2))-(1/2)+F$64)))))</f>
        <v>0</v>
      </c>
      <c r="T81" s="1162">
        <f ca="1">IF(Cashflow!T$111="C/I",0,IF($P$31=0,0,IF(T$67&lt;$Q$7,0,$P$31*$J$5*$Q$4*2*PI()*$AE$6/(S$41*(LN(SQRT($J$4/(T$32*PI()))/($J$10/2))-(1/2)+G$64)))))</f>
        <v>0</v>
      </c>
      <c r="U81" s="1162">
        <f ca="1">IF(Cashflow!U$111="C/I",0,IF($P$31=0,0,IF(U$67&lt;$Q$7,0,$P$31*$J$5*$Q$4*2*PI()*$AE$6/(T$41*(LN(SQRT($J$4/(U$32*PI()))/($J$10/2))-(1/2)+H$64)))))</f>
        <v>0</v>
      </c>
      <c r="V81" s="1162">
        <f ca="1">IF(Cashflow!V$111="C/I",0,IF($P$31=0,0,IF(V$67&lt;$Q$7,0,$P$31*$J$5*$Q$4*2*PI()*$AE$6/(U$41*(LN(SQRT($J$4/(V$32*PI()))/($J$10/2))-(1/2)+I$64)))))</f>
        <v>0</v>
      </c>
      <c r="W81" s="1162">
        <f ca="1">IF(Cashflow!W$111="C/I",0,IF($P$31=0,0,IF(W$67&lt;$Q$7,0,$P$31*$J$5*$Q$4*2*PI()*$AE$6/(V$41*(LN(SQRT($J$4/(W$32*PI()))/($J$10/2))-(1/2)+J$64)))))</f>
        <v>0</v>
      </c>
      <c r="X81" s="1162">
        <f ca="1">IF(Cashflow!X$111="C/I",0,IF($P$31=0,0,IF(X$67&lt;$Q$7,0,$P$31*$J$5*$Q$4*2*PI()*$AE$6/(W$41*(LN(SQRT($J$4/(X$32*PI()))/($J$10/2))-(1/2)+K$64)))))</f>
        <v>0</v>
      </c>
      <c r="Y81" s="1162">
        <f ca="1">IF(Cashflow!Y$111="C/I",0,IF($P$31=0,0,IF(Y$67&lt;$Q$7,0,$P$31*$J$5*$Q$4*2*PI()*$AE$6/(X$41*(LN(SQRT($J$4/(Y$32*PI()))/($J$10/2))-(1/2)+L$64)))))</f>
        <v>0</v>
      </c>
      <c r="Z81" s="1162">
        <f ca="1">IF(Cashflow!Z$111="C/I",0,IF($P$31=0,0,IF(Z$67&lt;$Q$7,0,$P$31*$J$5*$Q$4*2*PI()*$AE$6/(Y$41*(LN(SQRT($J$4/(Z$32*PI()))/($J$10/2))-(1/2)+M$64)))))</f>
        <v>0</v>
      </c>
      <c r="AA81" s="1162">
        <f ca="1">IF(Cashflow!AA$111="C/I",0,IF($P$31=0,0,IF(AA$67&lt;$Q$7,0,$P$31*$J$5*$Q$4*2*PI()*$AE$6/(Z$41*(LN(SQRT($J$4/(AA$32*PI()))/($J$10/2))-(1/2)+N$64)))))</f>
        <v>0</v>
      </c>
      <c r="AB81" s="1162">
        <f ca="1">IF(Cashflow!AB$111="C/I",0,IF($P$31=0,0,IF(AB$67&lt;$Q$7,0,$P$31*$J$5*$Q$4*2*PI()*$AE$6/(AA$41*(LN(SQRT($J$4/(AB$32*PI()))/($J$10/2))-(1/2)+O$64)))))</f>
        <v>0</v>
      </c>
      <c r="AC81" s="1162">
        <f ca="1">IF(Cashflow!AC$111="C/I",0,IF($P$31=0,0,IF(AC$67&lt;$Q$7,0,$P$31*$J$5*$Q$4*2*PI()*$AE$6/(AB$41*(LN(SQRT($J$4/(AC$32*PI()))/($J$10/2))-(1/2)+P$64)))))</f>
        <v>0</v>
      </c>
      <c r="AD81" s="1162">
        <f ca="1">IF(Cashflow!AD$111="C/I",0,IF($P$31=0,0,IF(AD$67&lt;$Q$7,0,$P$31*$J$5*$Q$4*2*PI()*$AE$6/(AC$41*(LN(SQRT($J$4/(AD$32*PI()))/($J$10/2))-(1/2)+Q$64)))))</f>
        <v>0</v>
      </c>
      <c r="AE81" s="1162">
        <f ca="1">IF(Cashflow!AE$111="C/I",0,IF($P$31=0,0,IF(AE$67&lt;$Q$7,0,$P$31*$J$5*$Q$4*2*PI()*$AE$6/(AD$41*(LN(SQRT($J$4/(AE$32*PI()))/($J$10/2))-(1/2)+R$64)))))</f>
        <v>0</v>
      </c>
      <c r="AF81" s="1162">
        <f ca="1">IF(Cashflow!AF$111="C/I",0,IF($P$31=0,0,IF(AF$67&lt;$Q$7,0,$P$31*$J$5*$Q$4*2*PI()*$AE$6/(AE$41*(LN(SQRT($J$4/(AF$32*PI()))/($J$10/2))-(1/2)+S$64)))))</f>
        <v>0</v>
      </c>
      <c r="AG81" s="1162">
        <f ca="1">IF(Cashflow!AG$111="C/I",0,IF($P$31=0,0,IF(AG$67&lt;$Q$7,0,$P$31*$J$5*$Q$4*2*PI()*$AE$6/(AF$41*(LN(SQRT($J$4/(AG$32*PI()))/($J$10/2))-(1/2)+T$64)))))</f>
        <v>0</v>
      </c>
      <c r="AH81" s="19"/>
      <c r="AI81" s="19"/>
      <c r="AJ81" s="19"/>
      <c r="AK81" s="21"/>
      <c r="AL81" s="21"/>
      <c r="AM81" s="19"/>
      <c r="AN81" s="19"/>
      <c r="AO81" s="326"/>
      <c r="AP81" s="326"/>
      <c r="AQ81" s="326"/>
      <c r="AR81" s="326"/>
      <c r="AS81" s="326"/>
      <c r="AT81" s="326"/>
      <c r="AU81" s="326"/>
      <c r="AV81" s="326"/>
      <c r="AW81" s="326"/>
      <c r="AX81" s="326"/>
      <c r="AY81" s="326"/>
      <c r="AZ81" s="326"/>
    </row>
    <row r="82" spans="1:52">
      <c r="A82" s="19"/>
      <c r="B82" s="191" t="str">
        <f>"Inflow for wells built in Year "&amp;Cashflow!Q$164</f>
        <v>Inflow for wells built in Year 2031</v>
      </c>
      <c r="C82" s="1163"/>
      <c r="D82" s="1163"/>
      <c r="E82" s="1163"/>
      <c r="F82" s="1163"/>
      <c r="G82" s="1163"/>
      <c r="H82" s="1163"/>
      <c r="I82" s="1163"/>
      <c r="J82" s="1163"/>
      <c r="K82" s="1163"/>
      <c r="L82" s="1163"/>
      <c r="M82" s="1163"/>
      <c r="N82" s="1163"/>
      <c r="O82" s="1163"/>
      <c r="P82" s="1163"/>
      <c r="Q82" s="1162">
        <f ca="1">IF(Cashflow!Q$111="C/I",0,IF($Q$31=0,0,IF(Q$67&lt;$Q$7,0,$Q$31*$J$5*$Q$4*2*PI()*$AE$6/(P$41*(LN(SQRT($J$4/(Q$32*PI()))/($J$10/2))-(1/2)+C$64)))))</f>
        <v>0</v>
      </c>
      <c r="R82" s="1162">
        <f ca="1">IF(Cashflow!R$111="C/I",0,IF($Q$31=0,0,IF(R$67&lt;$Q$7,0,$Q$31*$J$5*$Q$4*2*PI()*$AE$6/(Q$41*(LN(SQRT($J$4/(R$32*PI()))/($J$10/2))-(1/2)+D$64)))))</f>
        <v>0</v>
      </c>
      <c r="S82" s="1162">
        <f ca="1">IF(Cashflow!S$111="C/I",0,IF($Q$31=0,0,IF(S$67&lt;$Q$7,0,$Q$31*$J$5*$Q$4*2*PI()*$AE$6/(R$41*(LN(SQRT($J$4/(S$32*PI()))/($J$10/2))-(1/2)+E$64)))))</f>
        <v>0</v>
      </c>
      <c r="T82" s="1162">
        <f ca="1">IF(Cashflow!T$111="C/I",0,IF($Q$31=0,0,IF(T$67&lt;$Q$7,0,$Q$31*$J$5*$Q$4*2*PI()*$AE$6/(S$41*(LN(SQRT($J$4/(T$32*PI()))/($J$10/2))-(1/2)+F$64)))))</f>
        <v>0</v>
      </c>
      <c r="U82" s="1162">
        <f ca="1">IF(Cashflow!U$111="C/I",0,IF($Q$31=0,0,IF(U$67&lt;$Q$7,0,$Q$31*$J$5*$Q$4*2*PI()*$AE$6/(T$41*(LN(SQRT($J$4/(U$32*PI()))/($J$10/2))-(1/2)+G$64)))))</f>
        <v>0</v>
      </c>
      <c r="V82" s="1162">
        <f ca="1">IF(Cashflow!V$111="C/I",0,IF($Q$31=0,0,IF(V$67&lt;$Q$7,0,$Q$31*$J$5*$Q$4*2*PI()*$AE$6/(U$41*(LN(SQRT($J$4/(V$32*PI()))/($J$10/2))-(1/2)+H$64)))))</f>
        <v>0</v>
      </c>
      <c r="W82" s="1162">
        <f ca="1">IF(Cashflow!W$111="C/I",0,IF($Q$31=0,0,IF(W$67&lt;$Q$7,0,$Q$31*$J$5*$Q$4*2*PI()*$AE$6/(V$41*(LN(SQRT($J$4/(W$32*PI()))/($J$10/2))-(1/2)+I$64)))))</f>
        <v>0</v>
      </c>
      <c r="X82" s="1162">
        <f ca="1">IF(Cashflow!X$111="C/I",0,IF($Q$31=0,0,IF(X$67&lt;$Q$7,0,$Q$31*$J$5*$Q$4*2*PI()*$AE$6/(W$41*(LN(SQRT($J$4/(X$32*PI()))/($J$10/2))-(1/2)+J$64)))))</f>
        <v>0</v>
      </c>
      <c r="Y82" s="1162">
        <f ca="1">IF(Cashflow!Y$111="C/I",0,IF($Q$31=0,0,IF(Y$67&lt;$Q$7,0,$Q$31*$J$5*$Q$4*2*PI()*$AE$6/(X$41*(LN(SQRT($J$4/(Y$32*PI()))/($J$10/2))-(1/2)+K$64)))))</f>
        <v>0</v>
      </c>
      <c r="Z82" s="1162">
        <f ca="1">IF(Cashflow!Z$111="C/I",0,IF($Q$31=0,0,IF(Z$67&lt;$Q$7,0,$Q$31*$J$5*$Q$4*2*PI()*$AE$6/(Y$41*(LN(SQRT($J$4/(Z$32*PI()))/($J$10/2))-(1/2)+L$64)))))</f>
        <v>0</v>
      </c>
      <c r="AA82" s="1162">
        <f ca="1">IF(Cashflow!AA$111="C/I",0,IF($Q$31=0,0,IF(AA$67&lt;$Q$7,0,$Q$31*$J$5*$Q$4*2*PI()*$AE$6/(Z$41*(LN(SQRT($J$4/(AA$32*PI()))/($J$10/2))-(1/2)+M$64)))))</f>
        <v>0</v>
      </c>
      <c r="AB82" s="1162">
        <f ca="1">IF(Cashflow!AB$111="C/I",0,IF($Q$31=0,0,IF(AB$67&lt;$Q$7,0,$Q$31*$J$5*$Q$4*2*PI()*$AE$6/(AA$41*(LN(SQRT($J$4/(AB$32*PI()))/($J$10/2))-(1/2)+N$64)))))</f>
        <v>0</v>
      </c>
      <c r="AC82" s="1162">
        <f ca="1">IF(Cashflow!AC$111="C/I",0,IF($Q$31=0,0,IF(AC$67&lt;$Q$7,0,$Q$31*$J$5*$Q$4*2*PI()*$AE$6/(AB$41*(LN(SQRT($J$4/(AC$32*PI()))/($J$10/2))-(1/2)+O$64)))))</f>
        <v>0</v>
      </c>
      <c r="AD82" s="1162">
        <f ca="1">IF(Cashflow!AD$111="C/I",0,IF($Q$31=0,0,IF(AD$67&lt;$Q$7,0,$Q$31*$J$5*$Q$4*2*PI()*$AE$6/(AC$41*(LN(SQRT($J$4/(AD$32*PI()))/($J$10/2))-(1/2)+P$64)))))</f>
        <v>0</v>
      </c>
      <c r="AE82" s="1162">
        <f ca="1">IF(Cashflow!AE$111="C/I",0,IF($Q$31=0,0,IF(AE$67&lt;$Q$7,0,$Q$31*$J$5*$Q$4*2*PI()*$AE$6/(AD$41*(LN(SQRT($J$4/(AE$32*PI()))/($J$10/2))-(1/2)+Q$64)))))</f>
        <v>0</v>
      </c>
      <c r="AF82" s="1162">
        <f ca="1">IF(Cashflow!AF$111="C/I",0,IF($Q$31=0,0,IF(AF$67&lt;$Q$7,0,$Q$31*$J$5*$Q$4*2*PI()*$AE$6/(AE$41*(LN(SQRT($J$4/(AF$32*PI()))/($J$10/2))-(1/2)+R$64)))))</f>
        <v>0</v>
      </c>
      <c r="AG82" s="1162">
        <f ca="1">IF(Cashflow!AG$111="C/I",0,IF($Q$31=0,0,IF(AG$67&lt;$Q$7,0,$Q$31*$J$5*$Q$4*2*PI()*$AE$6/(AF$41*(LN(SQRT($J$4/(AG$32*PI()))/($J$10/2))-(1/2)+S$64)))))</f>
        <v>0</v>
      </c>
      <c r="AH82" s="19"/>
      <c r="AI82" s="19"/>
      <c r="AJ82" s="19"/>
      <c r="AK82" s="21"/>
      <c r="AL82" s="21"/>
      <c r="AM82" s="19"/>
      <c r="AN82" s="19"/>
      <c r="AO82" s="326"/>
      <c r="AP82" s="326"/>
      <c r="AQ82" s="326"/>
      <c r="AR82" s="326"/>
      <c r="AS82" s="326"/>
      <c r="AT82" s="326"/>
      <c r="AU82" s="326"/>
      <c r="AV82" s="326"/>
      <c r="AW82" s="326"/>
      <c r="AX82" s="326"/>
      <c r="AY82" s="326"/>
      <c r="AZ82" s="326"/>
    </row>
    <row r="83" spans="1:52">
      <c r="A83" s="19"/>
      <c r="B83" s="191" t="str">
        <f>"Inflow for wells built in Year "&amp;Cashflow!R$164</f>
        <v>Inflow for wells built in Year 2032</v>
      </c>
      <c r="C83" s="1163"/>
      <c r="D83" s="1163"/>
      <c r="E83" s="1163"/>
      <c r="F83" s="1163"/>
      <c r="G83" s="1163"/>
      <c r="H83" s="1163"/>
      <c r="I83" s="1163"/>
      <c r="J83" s="1163"/>
      <c r="K83" s="1163"/>
      <c r="L83" s="1163"/>
      <c r="M83" s="1163"/>
      <c r="N83" s="1163"/>
      <c r="O83" s="1163"/>
      <c r="P83" s="1163"/>
      <c r="Q83" s="1163"/>
      <c r="R83" s="1162">
        <f ca="1">IF(Cashflow!R$111="C/I",0,IF($R$31=0,0,IF(R$67&lt;$Q$7,0,$R$31*$J$5*$Q$4*2*PI()*$AE$6/(Q$41*(LN(SQRT($J$4/(R$32*PI()))/($J$10/2))-(1/2)+C$64)))))</f>
        <v>0</v>
      </c>
      <c r="S83" s="1162">
        <f ca="1">IF(Cashflow!S$111="C/I",0,IF($R$31=0,0,IF(S$67&lt;$Q$7,0,$R$31*$J$5*$Q$4*2*PI()*$AE$6/(R$41*(LN(SQRT($J$4/(S$32*PI()))/($J$10/2))-(1/2)+D$64)))))</f>
        <v>0</v>
      </c>
      <c r="T83" s="1162">
        <f ca="1">IF(Cashflow!T$111="C/I",0,IF($R$31=0,0,IF(T$67&lt;$Q$7,0,$R$31*$J$5*$Q$4*2*PI()*$AE$6/(S$41*(LN(SQRT($J$4/(T$32*PI()))/($J$10/2))-(1/2)+E$64)))))</f>
        <v>0</v>
      </c>
      <c r="U83" s="1162">
        <f ca="1">IF(Cashflow!U$111="C/I",0,IF($R$31=0,0,IF(U$67&lt;$Q$7,0,$R$31*$J$5*$Q$4*2*PI()*$AE$6/(T$41*(LN(SQRT($J$4/(U$32*PI()))/($J$10/2))-(1/2)+F$64)))))</f>
        <v>0</v>
      </c>
      <c r="V83" s="1162">
        <f ca="1">IF(Cashflow!V$111="C/I",0,IF($R$31=0,0,IF(V$67&lt;$Q$7,0,$R$31*$J$5*$Q$4*2*PI()*$AE$6/(U$41*(LN(SQRT($J$4/(V$32*PI()))/($J$10/2))-(1/2)+G$64)))))</f>
        <v>0</v>
      </c>
      <c r="W83" s="1162">
        <f ca="1">IF(Cashflow!W$111="C/I",0,IF($R$31=0,0,IF(W$67&lt;$Q$7,0,$R$31*$J$5*$Q$4*2*PI()*$AE$6/(V$41*(LN(SQRT($J$4/(W$32*PI()))/($J$10/2))-(1/2)+H$64)))))</f>
        <v>0</v>
      </c>
      <c r="X83" s="1162">
        <f ca="1">IF(Cashflow!X$111="C/I",0,IF($R$31=0,0,IF(X$67&lt;$Q$7,0,$R$31*$J$5*$Q$4*2*PI()*$AE$6/(W$41*(LN(SQRT($J$4/(X$32*PI()))/($J$10/2))-(1/2)+I$64)))))</f>
        <v>0</v>
      </c>
      <c r="Y83" s="1162">
        <f ca="1">IF(Cashflow!Y$111="C/I",0,IF($R$31=0,0,IF(Y$67&lt;$Q$7,0,$R$31*$J$5*$Q$4*2*PI()*$AE$6/(X$41*(LN(SQRT($J$4/(Y$32*PI()))/($J$10/2))-(1/2)+J$64)))))</f>
        <v>0</v>
      </c>
      <c r="Z83" s="1162">
        <f ca="1">IF(Cashflow!Z$111="C/I",0,IF($R$31=0,0,IF(Z$67&lt;$Q$7,0,$R$31*$J$5*$Q$4*2*PI()*$AE$6/(Y$41*(LN(SQRT($J$4/(Z$32*PI()))/($J$10/2))-(1/2)+K$64)))))</f>
        <v>0</v>
      </c>
      <c r="AA83" s="1162">
        <f ca="1">IF(Cashflow!AA$111="C/I",0,IF($R$31=0,0,IF(AA$67&lt;$Q$7,0,$R$31*$J$5*$Q$4*2*PI()*$AE$6/(Z$41*(LN(SQRT($J$4/(AA$32*PI()))/($J$10/2))-(1/2)+L$64)))))</f>
        <v>0</v>
      </c>
      <c r="AB83" s="1162">
        <f ca="1">IF(Cashflow!AB$111="C/I",0,IF($R$31=0,0,IF(AB$67&lt;$Q$7,0,$R$31*$J$5*$Q$4*2*PI()*$AE$6/(AA$41*(LN(SQRT($J$4/(AB$32*PI()))/($J$10/2))-(1/2)+M$64)))))</f>
        <v>0</v>
      </c>
      <c r="AC83" s="1162">
        <f ca="1">IF(Cashflow!AC$111="C/I",0,IF($R$31=0,0,IF(AC$67&lt;$Q$7,0,$R$31*$J$5*$Q$4*2*PI()*$AE$6/(AB$41*(LN(SQRT($J$4/(AC$32*PI()))/($J$10/2))-(1/2)+N$64)))))</f>
        <v>0</v>
      </c>
      <c r="AD83" s="1162">
        <f ca="1">IF(Cashflow!AD$111="C/I",0,IF($R$31=0,0,IF(AD$67&lt;$Q$7,0,$R$31*$J$5*$Q$4*2*PI()*$AE$6/(AC$41*(LN(SQRT($J$4/(AD$32*PI()))/($J$10/2))-(1/2)+O$64)))))</f>
        <v>0</v>
      </c>
      <c r="AE83" s="1162">
        <f ca="1">IF(Cashflow!AE$111="C/I",0,IF($R$31=0,0,IF(AE$67&lt;$Q$7,0,$R$31*$J$5*$Q$4*2*PI()*$AE$6/(AD$41*(LN(SQRT($J$4/(AE$32*PI()))/($J$10/2))-(1/2)+P$64)))))</f>
        <v>0</v>
      </c>
      <c r="AF83" s="1162">
        <f ca="1">IF(Cashflow!AF$111="C/I",0,IF($R$31=0,0,IF(AF$67&lt;$Q$7,0,$R$31*$J$5*$Q$4*2*PI()*$AE$6/(AE$41*(LN(SQRT($J$4/(AF$32*PI()))/($J$10/2))-(1/2)+Q$64)))))</f>
        <v>0</v>
      </c>
      <c r="AG83" s="1162">
        <f ca="1">IF(Cashflow!AG$111="C/I",0,IF($R$31=0,0,IF(AG$67&lt;$Q$7,0,$R$31*$J$5*$Q$4*2*PI()*$AE$6/(AF$41*(LN(SQRT($J$4/(AG$32*PI()))/($J$10/2))-(1/2)+R$64)))))</f>
        <v>0</v>
      </c>
      <c r="AH83" s="19"/>
      <c r="AI83" s="19"/>
      <c r="AJ83" s="19"/>
      <c r="AK83" s="21"/>
      <c r="AL83" s="21"/>
      <c r="AM83" s="19"/>
      <c r="AN83" s="19"/>
      <c r="AO83" s="326"/>
      <c r="AP83" s="326"/>
      <c r="AQ83" s="326"/>
      <c r="AR83" s="326"/>
      <c r="AS83" s="326"/>
      <c r="AT83" s="326"/>
      <c r="AU83" s="326"/>
      <c r="AV83" s="326"/>
      <c r="AW83" s="326"/>
      <c r="AX83" s="326"/>
      <c r="AY83" s="326"/>
      <c r="AZ83" s="326"/>
    </row>
    <row r="84" spans="1:52">
      <c r="A84" s="19"/>
      <c r="B84" s="191" t="str">
        <f>"Inflow for wells built in Year "&amp;Cashflow!S$164</f>
        <v>Inflow for wells built in Year 2033</v>
      </c>
      <c r="C84" s="1163"/>
      <c r="D84" s="1163"/>
      <c r="E84" s="1163"/>
      <c r="F84" s="1163"/>
      <c r="G84" s="1163"/>
      <c r="H84" s="1163"/>
      <c r="I84" s="1163"/>
      <c r="J84" s="1163"/>
      <c r="K84" s="1163"/>
      <c r="L84" s="1163"/>
      <c r="M84" s="1163"/>
      <c r="N84" s="1163"/>
      <c r="O84" s="1163"/>
      <c r="P84" s="1163"/>
      <c r="Q84" s="1163"/>
      <c r="R84" s="1163"/>
      <c r="S84" s="1162">
        <f ca="1">IF(Cashflow!S$111="C/I",0,IF($S$31=0,0,IF(S$67&lt;$Q$7,0,$S$31*$J$5*$Q$4*2*PI()*$AE$6/(R$41*(LN(SQRT($J$4/(S$32*PI()))/($J$10/2))-(1/2)+C$64)))))</f>
        <v>0</v>
      </c>
      <c r="T84" s="1162">
        <f ca="1">IF(Cashflow!T$111="C/I",0,IF($S$31=0,0,IF(T$67&lt;$Q$7,0,$S$31*$J$5*$Q$4*2*PI()*$AE$6/(S$41*(LN(SQRT($J$4/(T$32*PI()))/($J$10/2))-(1/2)+D$64)))))</f>
        <v>0</v>
      </c>
      <c r="U84" s="1162">
        <f ca="1">IF(Cashflow!U$111="C/I",0,IF($S$31=0,0,IF(U$67&lt;$Q$7,0,$S$31*$J$5*$Q$4*2*PI()*$AE$6/(T$41*(LN(SQRT($J$4/(U$32*PI()))/($J$10/2))-(1/2)+E$64)))))</f>
        <v>0</v>
      </c>
      <c r="V84" s="1162">
        <f ca="1">IF(Cashflow!V$111="C/I",0,IF($S$31=0,0,IF(V$67&lt;$Q$7,0,$S$31*$J$5*$Q$4*2*PI()*$AE$6/(U$41*(LN(SQRT($J$4/(V$32*PI()))/($J$10/2))-(1/2)+F$64)))))</f>
        <v>0</v>
      </c>
      <c r="W84" s="1162">
        <f ca="1">IF(Cashflow!W$111="C/I",0,IF($S$31=0,0,IF(W$67&lt;$Q$7,0,$S$31*$J$5*$Q$4*2*PI()*$AE$6/(V$41*(LN(SQRT($J$4/(W$32*PI()))/($J$10/2))-(1/2)+G$64)))))</f>
        <v>0</v>
      </c>
      <c r="X84" s="1162">
        <f ca="1">IF(Cashflow!X$111="C/I",0,IF($S$31=0,0,IF(X$67&lt;$Q$7,0,$S$31*$J$5*$Q$4*2*PI()*$AE$6/(W$41*(LN(SQRT($J$4/(X$32*PI()))/($J$10/2))-(1/2)+H$64)))))</f>
        <v>0</v>
      </c>
      <c r="Y84" s="1162">
        <f ca="1">IF(Cashflow!Y$111="C/I",0,IF($S$31=0,0,IF(Y$67&lt;$Q$7,0,$S$31*$J$5*$Q$4*2*PI()*$AE$6/(X$41*(LN(SQRT($J$4/(Y$32*PI()))/($J$10/2))-(1/2)+I$64)))))</f>
        <v>0</v>
      </c>
      <c r="Z84" s="1162">
        <f ca="1">IF(Cashflow!Z$111="C/I",0,IF($S$31=0,0,IF(Z$67&lt;$Q$7,0,$S$31*$J$5*$Q$4*2*PI()*$AE$6/(Y$41*(LN(SQRT($J$4/(Z$32*PI()))/($J$10/2))-(1/2)+J$64)))))</f>
        <v>0</v>
      </c>
      <c r="AA84" s="1162">
        <f ca="1">IF(Cashflow!AA$111="C/I",0,IF($S$31=0,0,IF(AA$67&lt;$Q$7,0,$S$31*$J$5*$Q$4*2*PI()*$AE$6/(Z$41*(LN(SQRT($J$4/(AA$32*PI()))/($J$10/2))-(1/2)+K$64)))))</f>
        <v>0</v>
      </c>
      <c r="AB84" s="1162">
        <f ca="1">IF(Cashflow!AB$111="C/I",0,IF($S$31=0,0,IF(AB$67&lt;$Q$7,0,$S$31*$J$5*$Q$4*2*PI()*$AE$6/(AA$41*(LN(SQRT($J$4/(AB$32*PI()))/($J$10/2))-(1/2)+L$64)))))</f>
        <v>0</v>
      </c>
      <c r="AC84" s="1162">
        <f ca="1">IF(Cashflow!AC$111="C/I",0,IF($S$31=0,0,IF(AC$67&lt;$Q$7,0,$S$31*$J$5*$Q$4*2*PI()*$AE$6/(AB$41*(LN(SQRT($J$4/(AC$32*PI()))/($J$10/2))-(1/2)+M$64)))))</f>
        <v>0</v>
      </c>
      <c r="AD84" s="1162">
        <f ca="1">IF(Cashflow!AD$111="C/I",0,IF($S$31=0,0,IF(AD$67&lt;$Q$7,0,$S$31*$J$5*$Q$4*2*PI()*$AE$6/(AC$41*(LN(SQRT($J$4/(AD$32*PI()))/($J$10/2))-(1/2)+N$64)))))</f>
        <v>0</v>
      </c>
      <c r="AE84" s="1162">
        <f ca="1">IF(Cashflow!AE$111="C/I",0,IF($S$31=0,0,IF(AE$67&lt;$Q$7,0,$S$31*$J$5*$Q$4*2*PI()*$AE$6/(AD$41*(LN(SQRT($J$4/(AE$32*PI()))/($J$10/2))-(1/2)+O$64)))))</f>
        <v>0</v>
      </c>
      <c r="AF84" s="1162">
        <f ca="1">IF(Cashflow!AF$111="C/I",0,IF($S$31=0,0,IF(AF$67&lt;$Q$7,0,$S$31*$J$5*$Q$4*2*PI()*$AE$6/(AE$41*(LN(SQRT($J$4/(AF$32*PI()))/($J$10/2))-(1/2)+P$64)))))</f>
        <v>0</v>
      </c>
      <c r="AG84" s="1162">
        <f ca="1">IF(Cashflow!AG$111="C/I",0,IF($S$31=0,0,IF(AG$67&lt;$Q$7,0,$S$31*$J$5*$Q$4*2*PI()*$AE$6/(AF$41*(LN(SQRT($J$4/(AG$32*PI()))/($J$10/2))-(1/2)+Q$64)))))</f>
        <v>0</v>
      </c>
      <c r="AH84" s="19"/>
      <c r="AI84" s="19"/>
      <c r="AJ84" s="19"/>
      <c r="AK84" s="21"/>
      <c r="AL84" s="21"/>
      <c r="AM84" s="19"/>
      <c r="AN84" s="19"/>
      <c r="AO84" s="326"/>
      <c r="AP84" s="326"/>
      <c r="AQ84" s="326"/>
      <c r="AR84" s="326"/>
      <c r="AS84" s="326"/>
      <c r="AT84" s="326"/>
      <c r="AU84" s="326"/>
      <c r="AV84" s="326"/>
      <c r="AW84" s="326"/>
      <c r="AX84" s="326"/>
      <c r="AY84" s="326"/>
      <c r="AZ84" s="326"/>
    </row>
    <row r="85" spans="1:52">
      <c r="A85" s="19"/>
      <c r="B85" s="191" t="str">
        <f>"Inflow for wells built in Year "&amp;Cashflow!T$164</f>
        <v>Inflow for wells built in Year 2034</v>
      </c>
      <c r="C85" s="1163"/>
      <c r="D85" s="1163"/>
      <c r="E85" s="1163"/>
      <c r="F85" s="1163"/>
      <c r="G85" s="1163"/>
      <c r="H85" s="1163"/>
      <c r="I85" s="1163"/>
      <c r="J85" s="1163"/>
      <c r="K85" s="1163"/>
      <c r="L85" s="1163"/>
      <c r="M85" s="1163"/>
      <c r="N85" s="1163"/>
      <c r="O85" s="1163"/>
      <c r="P85" s="1163"/>
      <c r="Q85" s="1163"/>
      <c r="R85" s="1163"/>
      <c r="S85" s="1163"/>
      <c r="T85" s="1162">
        <f ca="1">IF(Cashflow!T$111="C/I",0,IF($T$31=0,0,IF(T$67&lt;$Q$7,0,$T$31*$J$5*$Q$4*2*PI()*$AE$6/(S$41*(LN(SQRT($J$4/(T$32*PI()))/($J$10/2))-(1/2)+C$64)))))</f>
        <v>0</v>
      </c>
      <c r="U85" s="1162">
        <f ca="1">IF(Cashflow!U$111="C/I",0,IF($T$31=0,0,IF(U$67&lt;$Q$7,0,$T$31*$J$5*$Q$4*2*PI()*$AE$6/(T$41*(LN(SQRT($J$4/(U$32*PI()))/($J$10/2))-(1/2)+D$64)))))</f>
        <v>0</v>
      </c>
      <c r="V85" s="1162">
        <f ca="1">IF(Cashflow!V$111="C/I",0,IF($T$31=0,0,IF(V$67&lt;$Q$7,0,$T$31*$J$5*$Q$4*2*PI()*$AE$6/(U$41*(LN(SQRT($J$4/(V$32*PI()))/($J$10/2))-(1/2)+E$64)))))</f>
        <v>0</v>
      </c>
      <c r="W85" s="1162">
        <f ca="1">IF(Cashflow!W$111="C/I",0,IF($T$31=0,0,IF(W$67&lt;$Q$7,0,$T$31*$J$5*$Q$4*2*PI()*$AE$6/(V$41*(LN(SQRT($J$4/(W$32*PI()))/($J$10/2))-(1/2)+F$64)))))</f>
        <v>0</v>
      </c>
      <c r="X85" s="1162">
        <f ca="1">IF(Cashflow!X$111="C/I",0,IF($T$31=0,0,IF(X$67&lt;$Q$7,0,$T$31*$J$5*$Q$4*2*PI()*$AE$6/(W$41*(LN(SQRT($J$4/(X$32*PI()))/($J$10/2))-(1/2)+G$64)))))</f>
        <v>0</v>
      </c>
      <c r="Y85" s="1162">
        <f ca="1">IF(Cashflow!Y$111="C/I",0,IF($T$31=0,0,IF(Y$67&lt;$Q$7,0,$T$31*$J$5*$Q$4*2*PI()*$AE$6/(X$41*(LN(SQRT($J$4/(Y$32*PI()))/($J$10/2))-(1/2)+H$64)))))</f>
        <v>0</v>
      </c>
      <c r="Z85" s="1162">
        <f ca="1">IF(Cashflow!Z$111="C/I",0,IF($T$31=0,0,IF(Z$67&lt;$Q$7,0,$T$31*$J$5*$Q$4*2*PI()*$AE$6/(Y$41*(LN(SQRT($J$4/(Z$32*PI()))/($J$10/2))-(1/2)+I$64)))))</f>
        <v>0</v>
      </c>
      <c r="AA85" s="1162">
        <f ca="1">IF(Cashflow!AA$111="C/I",0,IF($T$31=0,0,IF(AA$67&lt;$Q$7,0,$T$31*$J$5*$Q$4*2*PI()*$AE$6/(Z$41*(LN(SQRT($J$4/(AA$32*PI()))/($J$10/2))-(1/2)+J$64)))))</f>
        <v>0</v>
      </c>
      <c r="AB85" s="1162">
        <f ca="1">IF(Cashflow!AB$111="C/I",0,IF($T$31=0,0,IF(AB$67&lt;$Q$7,0,$T$31*$J$5*$Q$4*2*PI()*$AE$6/(AA$41*(LN(SQRT($J$4/(AB$32*PI()))/($J$10/2))-(1/2)+K$64)))))</f>
        <v>0</v>
      </c>
      <c r="AC85" s="1162">
        <f ca="1">IF(Cashflow!AC$111="C/I",0,IF($T$31=0,0,IF(AC$67&lt;$Q$7,0,$T$31*$J$5*$Q$4*2*PI()*$AE$6/(AB$41*(LN(SQRT($J$4/(AC$32*PI()))/($J$10/2))-(1/2)+L$64)))))</f>
        <v>0</v>
      </c>
      <c r="AD85" s="1162">
        <f ca="1">IF(Cashflow!AD$111="C/I",0,IF($T$31=0,0,IF(AD$67&lt;$Q$7,0,$T$31*$J$5*$Q$4*2*PI()*$AE$6/(AC$41*(LN(SQRT($J$4/(AD$32*PI()))/($J$10/2))-(1/2)+M$64)))))</f>
        <v>0</v>
      </c>
      <c r="AE85" s="1162">
        <f ca="1">IF(Cashflow!AE$111="C/I",0,IF($T$31=0,0,IF(AE$67&lt;$Q$7,0,$T$31*$J$5*$Q$4*2*PI()*$AE$6/(AD$41*(LN(SQRT($J$4/(AE$32*PI()))/($J$10/2))-(1/2)+N$64)))))</f>
        <v>0</v>
      </c>
      <c r="AF85" s="1162">
        <f ca="1">IF(Cashflow!AF$111="C/I",0,IF($T$31=0,0,IF(AF$67&lt;$Q$7,0,$T$31*$J$5*$Q$4*2*PI()*$AE$6/(AE$41*(LN(SQRT($J$4/(AF$32*PI()))/($J$10/2))-(1/2)+O$64)))))</f>
        <v>0</v>
      </c>
      <c r="AG85" s="1162">
        <f ca="1">IF(Cashflow!AG$111="C/I",0,IF($T$31=0,0,IF(AG$67&lt;$Q$7,0,$T$31*$J$5*$Q$4*2*PI()*$AE$6/(AF$41*(LN(SQRT($J$4/(AG$32*PI()))/($J$10/2))-(1/2)+P$64)))))</f>
        <v>0</v>
      </c>
      <c r="AH85" s="19"/>
      <c r="AI85" s="19"/>
      <c r="AJ85" s="19"/>
      <c r="AK85" s="21"/>
      <c r="AL85" s="21"/>
      <c r="AM85" s="19"/>
      <c r="AN85" s="19"/>
      <c r="AO85" s="326"/>
      <c r="AP85" s="326"/>
      <c r="AQ85" s="326"/>
      <c r="AR85" s="326"/>
      <c r="AS85" s="326"/>
      <c r="AT85" s="326"/>
      <c r="AU85" s="326"/>
      <c r="AV85" s="326"/>
      <c r="AW85" s="326"/>
      <c r="AX85" s="326"/>
      <c r="AY85" s="326"/>
      <c r="AZ85" s="326"/>
    </row>
    <row r="86" spans="1:52">
      <c r="A86" s="19"/>
      <c r="B86" s="191" t="str">
        <f>"Inflow for wells built in Year "&amp;Cashflow!U$164</f>
        <v>Inflow for wells built in Year 2035</v>
      </c>
      <c r="C86" s="1163"/>
      <c r="D86" s="1163"/>
      <c r="E86" s="1163"/>
      <c r="F86" s="1163"/>
      <c r="G86" s="1163"/>
      <c r="H86" s="1163"/>
      <c r="I86" s="1163"/>
      <c r="J86" s="1163"/>
      <c r="K86" s="1163"/>
      <c r="L86" s="1163"/>
      <c r="M86" s="1163"/>
      <c r="N86" s="1163"/>
      <c r="O86" s="1163"/>
      <c r="P86" s="1163"/>
      <c r="Q86" s="1163"/>
      <c r="R86" s="1163"/>
      <c r="S86" s="1163"/>
      <c r="T86" s="1163"/>
      <c r="U86" s="1162">
        <f ca="1">IF(Cashflow!U$111="C/I",0,IF($U$31=0,0,IF(U$67&lt;$Q$7,0,$U$31*$J$5*$Q$4*2*PI()*$AE$6/(T$41*(LN(SQRT($J$4/(U$32*PI()))/($J$10/2))-(1/2)+C$64)))))</f>
        <v>0</v>
      </c>
      <c r="V86" s="1162">
        <f ca="1">IF(Cashflow!V$111="C/I",0,IF($U$31=0,0,IF(V$67&lt;$Q$7,0,$U$31*$J$5*$Q$4*2*PI()*$AE$6/(U$41*(LN(SQRT($J$4/(V$32*PI()))/($J$10/2))-(1/2)+D$64)))))</f>
        <v>0</v>
      </c>
      <c r="W86" s="1162">
        <f ca="1">IF(Cashflow!W$111="C/I",0,IF($U$31=0,0,IF(W$67&lt;$Q$7,0,$U$31*$J$5*$Q$4*2*PI()*$AE$6/(V$41*(LN(SQRT($J$4/(W$32*PI()))/($J$10/2))-(1/2)+E$64)))))</f>
        <v>0</v>
      </c>
      <c r="X86" s="1162">
        <f ca="1">IF(Cashflow!X$111="C/I",0,IF($U$31=0,0,IF(X$67&lt;$Q$7,0,$U$31*$J$5*$Q$4*2*PI()*$AE$6/(W$41*(LN(SQRT($J$4/(X$32*PI()))/($J$10/2))-(1/2)+F$64)))))</f>
        <v>0</v>
      </c>
      <c r="Y86" s="1162">
        <f ca="1">IF(Cashflow!Y$111="C/I",0,IF($U$31=0,0,IF(Y$67&lt;$Q$7,0,$U$31*$J$5*$Q$4*2*PI()*$AE$6/(X$41*(LN(SQRT($J$4/(Y$32*PI()))/($J$10/2))-(1/2)+G$64)))))</f>
        <v>0</v>
      </c>
      <c r="Z86" s="1162">
        <f ca="1">IF(Cashflow!Z$111="C/I",0,IF($U$31=0,0,IF(Z$67&lt;$Q$7,0,$U$31*$J$5*$Q$4*2*PI()*$AE$6/(Y$41*(LN(SQRT($J$4/(Z$32*PI()))/($J$10/2))-(1/2)+H$64)))))</f>
        <v>0</v>
      </c>
      <c r="AA86" s="1162">
        <f ca="1">IF(Cashflow!AA$111="C/I",0,IF($U$31=0,0,IF(AA$67&lt;$Q$7,0,$U$31*$J$5*$Q$4*2*PI()*$AE$6/(Z$41*(LN(SQRT($J$4/(AA$32*PI()))/($J$10/2))-(1/2)+I$64)))))</f>
        <v>0</v>
      </c>
      <c r="AB86" s="1162">
        <f ca="1">IF(Cashflow!AB$111="C/I",0,IF($U$31=0,0,IF(AB$67&lt;$Q$7,0,$U$31*$J$5*$Q$4*2*PI()*$AE$6/(AA$41*(LN(SQRT($J$4/(AB$32*PI()))/($J$10/2))-(1/2)+J$64)))))</f>
        <v>0</v>
      </c>
      <c r="AC86" s="1162">
        <f ca="1">IF(Cashflow!AC$111="C/I",0,IF($U$31=0,0,IF(AC$67&lt;$Q$7,0,$U$31*$J$5*$Q$4*2*PI()*$AE$6/(AB$41*(LN(SQRT($J$4/(AC$32*PI()))/($J$10/2))-(1/2)+K$64)))))</f>
        <v>0</v>
      </c>
      <c r="AD86" s="1162">
        <f ca="1">IF(Cashflow!AD$111="C/I",0,IF($U$31=0,0,IF(AD$67&lt;$Q$7,0,$U$31*$J$5*$Q$4*2*PI()*$AE$6/(AC$41*(LN(SQRT($J$4/(AD$32*PI()))/($J$10/2))-(1/2)+L$64)))))</f>
        <v>0</v>
      </c>
      <c r="AE86" s="1162">
        <f ca="1">IF(Cashflow!AE$111="C/I",0,IF($U$31=0,0,IF(AE$67&lt;$Q$7,0,$U$31*$J$5*$Q$4*2*PI()*$AE$6/(AD$41*(LN(SQRT($J$4/(AE$32*PI()))/($J$10/2))-(1/2)+M$64)))))</f>
        <v>0</v>
      </c>
      <c r="AF86" s="1162">
        <f ca="1">IF(Cashflow!AF$111="C/I",0,IF($U$31=0,0,IF(AF$67&lt;$Q$7,0,$U$31*$J$5*$Q$4*2*PI()*$AE$6/(AE$41*(LN(SQRT($J$4/(AF$32*PI()))/($J$10/2))-(1/2)+N$64)))))</f>
        <v>0</v>
      </c>
      <c r="AG86" s="1162">
        <f ca="1">IF(Cashflow!AG$111="C/I",0,IF($U$31=0,0,IF(AG$67&lt;$Q$7,0,$U$31*$J$5*$Q$4*2*PI()*$AE$6/(AF$41*(LN(SQRT($J$4/(AG$32*PI()))/($J$10/2))-(1/2)+O$64)))))</f>
        <v>0</v>
      </c>
      <c r="AH86" s="19"/>
      <c r="AI86" s="19"/>
      <c r="AJ86" s="19"/>
      <c r="AK86" s="21"/>
      <c r="AL86" s="21"/>
      <c r="AM86" s="19"/>
      <c r="AN86" s="19"/>
      <c r="AO86" s="326"/>
      <c r="AP86" s="326"/>
      <c r="AQ86" s="326"/>
      <c r="AR86" s="326"/>
      <c r="AS86" s="326"/>
      <c r="AT86" s="326"/>
      <c r="AU86" s="326"/>
      <c r="AV86" s="326"/>
      <c r="AW86" s="326"/>
      <c r="AX86" s="326"/>
      <c r="AY86" s="326"/>
      <c r="AZ86" s="326"/>
    </row>
    <row r="87" spans="1:52">
      <c r="A87" s="19"/>
      <c r="B87" s="191" t="str">
        <f>"Inflow for wells built in Year "&amp;Cashflow!V$164</f>
        <v>Inflow for wells built in Year 2036</v>
      </c>
      <c r="C87" s="1163"/>
      <c r="D87" s="1163"/>
      <c r="E87" s="1163"/>
      <c r="F87" s="1163"/>
      <c r="G87" s="1163"/>
      <c r="H87" s="1163"/>
      <c r="I87" s="1163"/>
      <c r="J87" s="1163"/>
      <c r="K87" s="1163"/>
      <c r="L87" s="1163"/>
      <c r="M87" s="1163"/>
      <c r="N87" s="1163"/>
      <c r="O87" s="1163"/>
      <c r="P87" s="1163"/>
      <c r="Q87" s="1163"/>
      <c r="R87" s="1163"/>
      <c r="S87" s="1163"/>
      <c r="T87" s="1163"/>
      <c r="U87" s="1163"/>
      <c r="V87" s="1162">
        <f ca="1">IF(Cashflow!V$111="C/I",0,IF($V$31=0,0,IF(V$67&lt;$Q$7,0,$V$31*$J$5*$Q$4*2*PI()*$AE$6/(U$41*(LN(SQRT($J$4/(V$32*PI()))/($J$10/2))-(1/2)+C$64)))))</f>
        <v>0</v>
      </c>
      <c r="W87" s="1162">
        <f ca="1">IF(Cashflow!W$111="C/I",0,IF($V$31=0,0,IF(W$67&lt;$Q$7,0,$V$31*$J$5*$Q$4*2*PI()*$AE$6/(V$41*(LN(SQRT($J$4/(W$32*PI()))/($J$10/2))-(1/2)+D$64)))))</f>
        <v>0</v>
      </c>
      <c r="X87" s="1162">
        <f ca="1">IF(Cashflow!X$111="C/I",0,IF($V$31=0,0,IF(X$67&lt;$Q$7,0,$V$31*$J$5*$Q$4*2*PI()*$AE$6/(W$41*(LN(SQRT($J$4/(X$32*PI()))/($J$10/2))-(1/2)+E$64)))))</f>
        <v>0</v>
      </c>
      <c r="Y87" s="1162">
        <f ca="1">IF(Cashflow!Y$111="C/I",0,IF($V$31=0,0,IF(Y$67&lt;$Q$7,0,$V$31*$J$5*$Q$4*2*PI()*$AE$6/(X$41*(LN(SQRT($J$4/(Y$32*PI()))/($J$10/2))-(1/2)+F$64)))))</f>
        <v>0</v>
      </c>
      <c r="Z87" s="1162">
        <f ca="1">IF(Cashflow!Z$111="C/I",0,IF($V$31=0,0,IF(Z$67&lt;$Q$7,0,$V$31*$J$5*$Q$4*2*PI()*$AE$6/(Y$41*(LN(SQRT($J$4/(Z$32*PI()))/($J$10/2))-(1/2)+G$64)))))</f>
        <v>0</v>
      </c>
      <c r="AA87" s="1162">
        <f ca="1">IF(Cashflow!AA$111="C/I",0,IF($V$31=0,0,IF(AA$67&lt;$Q$7,0,$V$31*$J$5*$Q$4*2*PI()*$AE$6/(Z$41*(LN(SQRT($J$4/(AA$32*PI()))/($J$10/2))-(1/2)+H$64)))))</f>
        <v>0</v>
      </c>
      <c r="AB87" s="1162">
        <f ca="1">IF(Cashflow!AB$111="C/I",0,IF($V$31=0,0,IF(AB$67&lt;$Q$7,0,$V$31*$J$5*$Q$4*2*PI()*$AE$6/(AA$41*(LN(SQRT($J$4/(AB$32*PI()))/($J$10/2))-(1/2)+I$64)))))</f>
        <v>0</v>
      </c>
      <c r="AC87" s="1162">
        <f ca="1">IF(Cashflow!AC$111="C/I",0,IF($V$31=0,0,IF(AC$67&lt;$Q$7,0,$V$31*$J$5*$Q$4*2*PI()*$AE$6/(AB$41*(LN(SQRT($J$4/(AC$32*PI()))/($J$10/2))-(1/2)+J$64)))))</f>
        <v>0</v>
      </c>
      <c r="AD87" s="1162">
        <f ca="1">IF(Cashflow!AD$111="C/I",0,IF($V$31=0,0,IF(AD$67&lt;$Q$7,0,$V$31*$J$5*$Q$4*2*PI()*$AE$6/(AC$41*(LN(SQRT($J$4/(AD$32*PI()))/($J$10/2))-(1/2)+K$64)))))</f>
        <v>0</v>
      </c>
      <c r="AE87" s="1162">
        <f ca="1">IF(Cashflow!AE$111="C/I",0,IF($V$31=0,0,IF(AE$67&lt;$Q$7,0,$V$31*$J$5*$Q$4*2*PI()*$AE$6/(AD$41*(LN(SQRT($J$4/(AE$32*PI()))/($J$10/2))-(1/2)+L$64)))))</f>
        <v>0</v>
      </c>
      <c r="AF87" s="1162">
        <f ca="1">IF(Cashflow!AF$111="C/I",0,IF($V$31=0,0,IF(AF$67&lt;$Q$7,0,$V$31*$J$5*$Q$4*2*PI()*$AE$6/(AE$41*(LN(SQRT($J$4/(AF$32*PI()))/($J$10/2))-(1/2)+M$64)))))</f>
        <v>0</v>
      </c>
      <c r="AG87" s="1162">
        <f ca="1">IF(Cashflow!AG$111="C/I",0,IF($V$31=0,0,IF(AG$67&lt;$Q$7,0,$V$31*$J$5*$Q$4*2*PI()*$AE$6/(AF$41*(LN(SQRT($J$4/(AG$32*PI()))/($J$10/2))-(1/2)+N$64)))))</f>
        <v>0</v>
      </c>
      <c r="AH87" s="19"/>
      <c r="AI87" s="19"/>
      <c r="AJ87" s="19"/>
      <c r="AK87" s="21"/>
      <c r="AL87" s="21"/>
      <c r="AM87" s="19"/>
      <c r="AN87" s="19"/>
      <c r="AO87" s="326"/>
      <c r="AP87" s="326"/>
      <c r="AQ87" s="326"/>
      <c r="AR87" s="326"/>
      <c r="AS87" s="326"/>
      <c r="AT87" s="326"/>
      <c r="AU87" s="326"/>
      <c r="AV87" s="326"/>
      <c r="AW87" s="326"/>
      <c r="AX87" s="326"/>
      <c r="AY87" s="326"/>
      <c r="AZ87" s="326"/>
    </row>
    <row r="88" spans="1:52">
      <c r="A88" s="19"/>
      <c r="B88" s="191" t="str">
        <f>"Inflow for wells built in Year "&amp;Cashflow!W$164</f>
        <v>Inflow for wells built in Year 2037</v>
      </c>
      <c r="C88" s="1163"/>
      <c r="D88" s="1163"/>
      <c r="E88" s="1163"/>
      <c r="F88" s="1163"/>
      <c r="G88" s="1163"/>
      <c r="H88" s="1163"/>
      <c r="I88" s="1163"/>
      <c r="J88" s="1163"/>
      <c r="K88" s="1163"/>
      <c r="L88" s="1163"/>
      <c r="M88" s="1163"/>
      <c r="N88" s="1163"/>
      <c r="O88" s="1163"/>
      <c r="P88" s="1163"/>
      <c r="Q88" s="1163"/>
      <c r="R88" s="1163"/>
      <c r="S88" s="1163"/>
      <c r="T88" s="1163"/>
      <c r="U88" s="1163"/>
      <c r="V88" s="1163"/>
      <c r="W88" s="1162">
        <f ca="1">IF(Cashflow!W$111="C/I",0,IF($W$31=0,0,IF(W$67&lt;$Q$7,0,$W$31*$J$5*$Q$4*2*PI()*$AE$6/(V$41*(LN(SQRT($J$4/(W$32*PI()))/($J$10/2))-(1/2)+C$64)))))</f>
        <v>0</v>
      </c>
      <c r="X88" s="1162">
        <f ca="1">IF(Cashflow!X$111="C/I",0,IF($W$31=0,0,IF(X$67&lt;$Q$7,0,$W$31*$J$5*$Q$4*2*PI()*$AE$6/(W$41*(LN(SQRT($J$4/(X$32*PI()))/($J$10/2))-(1/2)+D$64)))))</f>
        <v>0</v>
      </c>
      <c r="Y88" s="1162">
        <f ca="1">IF(Cashflow!Y$111="C/I",0,IF($W$31=0,0,IF(Y$67&lt;$Q$7,0,$W$31*$J$5*$Q$4*2*PI()*$AE$6/(X$41*(LN(SQRT($J$4/(Y$32*PI()))/($J$10/2))-(1/2)+E$64)))))</f>
        <v>0</v>
      </c>
      <c r="Z88" s="1162">
        <f ca="1">IF(Cashflow!Z$111="C/I",0,IF($W$31=0,0,IF(Z$67&lt;$Q$7,0,$W$31*$J$5*$Q$4*2*PI()*$AE$6/(Y$41*(LN(SQRT($J$4/(Z$32*PI()))/($J$10/2))-(1/2)+F$64)))))</f>
        <v>0</v>
      </c>
      <c r="AA88" s="1162">
        <f ca="1">IF(Cashflow!AA$111="C/I",0,IF($W$31=0,0,IF(AA$67&lt;$Q$7,0,$W$31*$J$5*$Q$4*2*PI()*$AE$6/(Z$41*(LN(SQRT($J$4/(AA$32*PI()))/($J$10/2))-(1/2)+G$64)))))</f>
        <v>0</v>
      </c>
      <c r="AB88" s="1162">
        <f ca="1">IF(Cashflow!AB$111="C/I",0,IF($W$31=0,0,IF(AB$67&lt;$Q$7,0,$W$31*$J$5*$Q$4*2*PI()*$AE$6/(AA$41*(LN(SQRT($J$4/(AB$32*PI()))/($J$10/2))-(1/2)+H$64)))))</f>
        <v>0</v>
      </c>
      <c r="AC88" s="1162">
        <f ca="1">IF(Cashflow!AC$111="C/I",0,IF($W$31=0,0,IF(AC$67&lt;$Q$7,0,$W$31*$J$5*$Q$4*2*PI()*$AE$6/(AB$41*(LN(SQRT($J$4/(AC$32*PI()))/($J$10/2))-(1/2)+I$64)))))</f>
        <v>0</v>
      </c>
      <c r="AD88" s="1162">
        <f ca="1">IF(Cashflow!AD$111="C/I",0,IF($W$31=0,0,IF(AD$67&lt;$Q$7,0,$W$31*$J$5*$Q$4*2*PI()*$AE$6/(AC$41*(LN(SQRT($J$4/(AD$32*PI()))/($J$10/2))-(1/2)+J$64)))))</f>
        <v>0</v>
      </c>
      <c r="AE88" s="1162">
        <f ca="1">IF(Cashflow!AE$111="C/I",0,IF($W$31=0,0,IF(AE$67&lt;$Q$7,0,$W$31*$J$5*$Q$4*2*PI()*$AE$6/(AD$41*(LN(SQRT($J$4/(AE$32*PI()))/($J$10/2))-(1/2)+K$64)))))</f>
        <v>0</v>
      </c>
      <c r="AF88" s="1162">
        <f ca="1">IF(Cashflow!AF$111="C/I",0,IF($W$31=0,0,IF(AF$67&lt;$Q$7,0,$W$31*$J$5*$Q$4*2*PI()*$AE$6/(AE$41*(LN(SQRT($J$4/(AF$32*PI()))/($J$10/2))-(1/2)+L$64)))))</f>
        <v>0</v>
      </c>
      <c r="AG88" s="1162">
        <f ca="1">IF(Cashflow!AG$111="C/I",0,IF($W$31=0,0,IF(AG$67&lt;$Q$7,0,$W$31*$J$5*$Q$4*2*PI()*$AE$6/(AF$41*(LN(SQRT($J$4/(AG$32*PI()))/($J$10/2))-(1/2)+M$64)))))</f>
        <v>0</v>
      </c>
      <c r="AH88" s="19"/>
      <c r="AI88" s="19"/>
      <c r="AJ88" s="19"/>
      <c r="AK88" s="21"/>
      <c r="AL88" s="21"/>
      <c r="AM88" s="19"/>
      <c r="AN88" s="19"/>
      <c r="AO88" s="326"/>
      <c r="AP88" s="326"/>
      <c r="AQ88" s="326"/>
      <c r="AR88" s="326"/>
      <c r="AS88" s="326"/>
      <c r="AT88" s="326"/>
      <c r="AU88" s="326"/>
      <c r="AV88" s="326"/>
      <c r="AW88" s="326"/>
      <c r="AX88" s="326"/>
      <c r="AY88" s="326"/>
      <c r="AZ88" s="326"/>
    </row>
    <row r="89" spans="1:52">
      <c r="A89" s="19"/>
      <c r="B89" s="191" t="str">
        <f>"Inflow for wells built in Year "&amp;Cashflow!X$164</f>
        <v>Inflow for wells built in Year 2038</v>
      </c>
      <c r="C89" s="1163"/>
      <c r="D89" s="1163"/>
      <c r="E89" s="1163"/>
      <c r="F89" s="1163"/>
      <c r="G89" s="1163"/>
      <c r="H89" s="1163"/>
      <c r="I89" s="1163"/>
      <c r="J89" s="1163"/>
      <c r="K89" s="1163"/>
      <c r="L89" s="1163"/>
      <c r="M89" s="1163"/>
      <c r="N89" s="1163"/>
      <c r="O89" s="1163"/>
      <c r="P89" s="1163"/>
      <c r="Q89" s="1163"/>
      <c r="R89" s="1163"/>
      <c r="S89" s="1163"/>
      <c r="T89" s="1163"/>
      <c r="U89" s="1163"/>
      <c r="V89" s="1163"/>
      <c r="W89" s="1163"/>
      <c r="X89" s="1162">
        <f ca="1">IF(Cashflow!X$111="C/I",0,IF($X$31=0,0,IF(X$67&lt;$Q$7,0,$X$31*$J$5*$Q$4*2*PI()*$AE$6/(W$41*(LN(SQRT($J$4/(X$32*PI()))/($J$10/2))-(1/2)+C$64)))))</f>
        <v>0</v>
      </c>
      <c r="Y89" s="1162">
        <f ca="1">IF(Cashflow!Y$111="C/I",0,IF($X$31=0,0,IF(Y$67&lt;$Q$7,0,$X$31*$J$5*$Q$4*2*PI()*$AE$6/(X$41*(LN(SQRT($J$4/(Y$32*PI()))/($J$10/2))-(1/2)+D$64)))))</f>
        <v>0</v>
      </c>
      <c r="Z89" s="1162">
        <f ca="1">IF(Cashflow!Z$111="C/I",0,IF($X$31=0,0,IF(Z$67&lt;$Q$7,0,$X$31*$J$5*$Q$4*2*PI()*$AE$6/(Y$41*(LN(SQRT($J$4/(Z$32*PI()))/($J$10/2))-(1/2)+E$64)))))</f>
        <v>0</v>
      </c>
      <c r="AA89" s="1162">
        <f ca="1">IF(Cashflow!AA$111="C/I",0,IF($X$31=0,0,IF(AA$67&lt;$Q$7,0,$X$31*$J$5*$Q$4*2*PI()*$AE$6/(Z$41*(LN(SQRT($J$4/(AA$32*PI()))/($J$10/2))-(1/2)+F$64)))))</f>
        <v>0</v>
      </c>
      <c r="AB89" s="1162">
        <f ca="1">IF(Cashflow!AB$111="C/I",0,IF($X$31=0,0,IF(AB$67&lt;$Q$7,0,$X$31*$J$5*$Q$4*2*PI()*$AE$6/(AA$41*(LN(SQRT($J$4/(AB$32*PI()))/($J$10/2))-(1/2)+G$64)))))</f>
        <v>0</v>
      </c>
      <c r="AC89" s="1162">
        <f ca="1">IF(Cashflow!AC$111="C/I",0,IF($X$31=0,0,IF(AC$67&lt;$Q$7,0,$X$31*$J$5*$Q$4*2*PI()*$AE$6/(AB$41*(LN(SQRT($J$4/(AC$32*PI()))/($J$10/2))-(1/2)+H$64)))))</f>
        <v>0</v>
      </c>
      <c r="AD89" s="1162">
        <f ca="1">IF(Cashflow!AD$111="C/I",0,IF($X$31=0,0,IF(AD$67&lt;$Q$7,0,$X$31*$J$5*$Q$4*2*PI()*$AE$6/(AC$41*(LN(SQRT($J$4/(AD$32*PI()))/($J$10/2))-(1/2)+I$64)))))</f>
        <v>0</v>
      </c>
      <c r="AE89" s="1162">
        <f ca="1">IF(Cashflow!AE$111="C/I",0,IF($X$31=0,0,IF(AE$67&lt;$Q$7,0,$X$31*$J$5*$Q$4*2*PI()*$AE$6/(AD$41*(LN(SQRT($J$4/(AE$32*PI()))/($J$10/2))-(1/2)+J$64)))))</f>
        <v>0</v>
      </c>
      <c r="AF89" s="1162">
        <f ca="1">IF(Cashflow!AF$111="C/I",0,IF($X$31=0,0,IF(AF$67&lt;$Q$7,0,$X$31*$J$5*$Q$4*2*PI()*$AE$6/(AE$41*(LN(SQRT($J$4/(AF$32*PI()))/($J$10/2))-(1/2)+K$64)))))</f>
        <v>0</v>
      </c>
      <c r="AG89" s="1162">
        <f ca="1">IF(Cashflow!AG$111="C/I",0,IF($X$31=0,0,IF(AG$67&lt;$Q$7,0,$X$31*$J$5*$Q$4*2*PI()*$AE$6/(AF$41*(LN(SQRT($J$4/(AG$32*PI()))/($J$10/2))-(1/2)+L$64)))))</f>
        <v>0</v>
      </c>
      <c r="AH89" s="19"/>
      <c r="AI89" s="19"/>
      <c r="AJ89" s="19"/>
      <c r="AK89" s="19"/>
      <c r="AL89" s="19"/>
      <c r="AM89" s="21"/>
      <c r="AN89" s="19"/>
      <c r="AO89" s="326"/>
      <c r="AP89" s="326"/>
      <c r="AQ89" s="326"/>
      <c r="AR89" s="326"/>
      <c r="AS89" s="326"/>
      <c r="AT89" s="326"/>
      <c r="AU89" s="326"/>
      <c r="AV89" s="326"/>
      <c r="AW89" s="326"/>
      <c r="AX89" s="326"/>
      <c r="AY89" s="326"/>
      <c r="AZ89" s="326"/>
    </row>
    <row r="90" spans="1:52">
      <c r="A90" s="19"/>
      <c r="B90" s="191" t="str">
        <f>"Inflow for wells built in Year "&amp;Cashflow!Y$164</f>
        <v>Inflow for wells built in Year 2039</v>
      </c>
      <c r="C90" s="1163"/>
      <c r="D90" s="1163"/>
      <c r="E90" s="1163"/>
      <c r="F90" s="1163"/>
      <c r="G90" s="1163"/>
      <c r="H90" s="1163"/>
      <c r="I90" s="1163"/>
      <c r="J90" s="1163"/>
      <c r="K90" s="1163"/>
      <c r="L90" s="1163"/>
      <c r="M90" s="1163"/>
      <c r="N90" s="1163"/>
      <c r="O90" s="1163"/>
      <c r="P90" s="1163"/>
      <c r="Q90" s="1163"/>
      <c r="R90" s="1163"/>
      <c r="S90" s="1163"/>
      <c r="T90" s="1163"/>
      <c r="U90" s="1163"/>
      <c r="V90" s="1163"/>
      <c r="W90" s="1163"/>
      <c r="X90" s="1163"/>
      <c r="Y90" s="1162">
        <f ca="1">IF(Cashflow!Y$111="C/I",0,IF($Y$31=0,0,IF(Y$67&lt;$Q$7,0,$Y$31*$J$5*$Q$4*2*PI()*$AE$6/(X$41*(LN(SQRT($J$4/(Y$32*PI()))/($J$10/2))-(1/2)+C$64)))))</f>
        <v>0</v>
      </c>
      <c r="Z90" s="1162">
        <f ca="1">IF(Cashflow!Z$111="C/I",0,IF($Y$31=0,0,IF(Z$67&lt;$Q$7,0,$Y$31*$J$5*$Q$4*2*PI()*$AE$6/(Y$41*(LN(SQRT($J$4/(Z$32*PI()))/($J$10/2))-(1/2)+D$64)))))</f>
        <v>0</v>
      </c>
      <c r="AA90" s="1162">
        <f ca="1">IF(Cashflow!AA$111="C/I",0,IF($Y$31=0,0,IF(AA$67&lt;$Q$7,0,$Y$31*$J$5*$Q$4*2*PI()*$AE$6/(Z$41*(LN(SQRT($J$4/(AA$32*PI()))/($J$10/2))-(1/2)+E$64)))))</f>
        <v>0</v>
      </c>
      <c r="AB90" s="1162">
        <f ca="1">IF(Cashflow!AB$111="C/I",0,IF($Y$31=0,0,IF(AB$67&lt;$Q$7,0,$Y$31*$J$5*$Q$4*2*PI()*$AE$6/(AA$41*(LN(SQRT($J$4/(AB$32*PI()))/($J$10/2))-(1/2)+F$64)))))</f>
        <v>0</v>
      </c>
      <c r="AC90" s="1162">
        <f ca="1">IF(Cashflow!AC$111="C/I",0,IF($Y$31=0,0,IF(AC$67&lt;$Q$7,0,$Y$31*$J$5*$Q$4*2*PI()*$AE$6/(AB$41*(LN(SQRT($J$4/(AC$32*PI()))/($J$10/2))-(1/2)+G$64)))))</f>
        <v>0</v>
      </c>
      <c r="AD90" s="1162">
        <f ca="1">IF(Cashflow!AD$111="C/I",0,IF($Y$31=0,0,IF(AD$67&lt;$Q$7,0,$Y$31*$J$5*$Q$4*2*PI()*$AE$6/(AC$41*(LN(SQRT($J$4/(AD$32*PI()))/($J$10/2))-(1/2)+H$64)))))</f>
        <v>0</v>
      </c>
      <c r="AE90" s="1162">
        <f ca="1">IF(Cashflow!AE$111="C/I",0,IF($Y$31=0,0,IF(AE$67&lt;$Q$7,0,$Y$31*$J$5*$Q$4*2*PI()*$AE$6/(AD$41*(LN(SQRT($J$4/(AE$32*PI()))/($J$10/2))-(1/2)+I$64)))))</f>
        <v>0</v>
      </c>
      <c r="AF90" s="1162">
        <f ca="1">IF(Cashflow!AF$111="C/I",0,IF($Y$31=0,0,IF(AF$67&lt;$Q$7,0,$Y$31*$J$5*$Q$4*2*PI()*$AE$6/(AE$41*(LN(SQRT($J$4/(AF$32*PI()))/($J$10/2))-(1/2)+J$64)))))</f>
        <v>0</v>
      </c>
      <c r="AG90" s="1162">
        <f ca="1">IF(Cashflow!AG$111="C/I",0,IF($Y$31=0,0,IF(AG$67&lt;$Q$7,0,$Y$31*$J$5*$Q$4*2*PI()*$AE$6/(AF$41*(LN(SQRT($J$4/(AG$32*PI()))/($J$10/2))-(1/2)+K$64)))))</f>
        <v>0</v>
      </c>
      <c r="AH90" s="19"/>
      <c r="AI90" s="19"/>
      <c r="AJ90" s="19"/>
      <c r="AK90" s="19"/>
      <c r="AL90" s="19"/>
      <c r="AM90" s="21"/>
      <c r="AN90" s="19"/>
      <c r="AO90" s="326"/>
      <c r="AP90" s="326"/>
      <c r="AQ90" s="326"/>
      <c r="AR90" s="326"/>
      <c r="AS90" s="326"/>
      <c r="AT90" s="326"/>
      <c r="AU90" s="326"/>
      <c r="AV90" s="326"/>
      <c r="AW90" s="326"/>
      <c r="AX90" s="326"/>
      <c r="AY90" s="326"/>
      <c r="AZ90" s="326"/>
    </row>
    <row r="91" spans="1:52">
      <c r="A91" s="19"/>
      <c r="B91" s="191" t="str">
        <f>"Inflow for wells built in Year "&amp;Cashflow!Z$164</f>
        <v>Inflow for wells built in Year 2040</v>
      </c>
      <c r="C91" s="1163"/>
      <c r="D91" s="1163"/>
      <c r="E91" s="1163"/>
      <c r="F91" s="1163"/>
      <c r="G91" s="1163"/>
      <c r="H91" s="1163"/>
      <c r="I91" s="1163"/>
      <c r="J91" s="1163"/>
      <c r="K91" s="1163"/>
      <c r="L91" s="1163"/>
      <c r="M91" s="1163"/>
      <c r="N91" s="1163"/>
      <c r="O91" s="1163"/>
      <c r="P91" s="1163"/>
      <c r="Q91" s="1163"/>
      <c r="R91" s="1163"/>
      <c r="S91" s="1163"/>
      <c r="T91" s="1163"/>
      <c r="U91" s="1163"/>
      <c r="V91" s="1163"/>
      <c r="W91" s="1163"/>
      <c r="X91" s="1163"/>
      <c r="Y91" s="1163"/>
      <c r="Z91" s="1162">
        <f ca="1">IF(Cashflow!Z$111="C/I",0,IF($Z$31=0,0,IF(Z$67&lt;$Q$7,0,$Z$31*$J$5*$Q$4*2*PI()*$AE$6/(Y$41*(LN(SQRT($J$4/(Z$32*PI()))/($J$10/2))-(1/2)+C$64)))))</f>
        <v>0</v>
      </c>
      <c r="AA91" s="1162">
        <f ca="1">IF(Cashflow!AA$111="C/I",0,IF($Z$31=0,0,IF(AA$67&lt;$Q$7,0,$Z$31*$J$5*$Q$4*2*PI()*$AE$6/(Z$41*(LN(SQRT($J$4/(AA$32*PI()))/($J$10/2))-(1/2)+D$64)))))</f>
        <v>0</v>
      </c>
      <c r="AB91" s="1162">
        <f ca="1">IF(Cashflow!AB$111="C/I",0,IF($Z$31=0,0,IF(AB$67&lt;$Q$7,0,$Z$31*$J$5*$Q$4*2*PI()*$AE$6/(AA$41*(LN(SQRT($J$4/(AB$32*PI()))/($J$10/2))-(1/2)+E$64)))))</f>
        <v>0</v>
      </c>
      <c r="AC91" s="1162">
        <f ca="1">IF(Cashflow!AC$111="C/I",0,IF($Z$31=0,0,IF(AC$67&lt;$Q$7,0,$Z$31*$J$5*$Q$4*2*PI()*$AE$6/(AB$41*(LN(SQRT($J$4/(AC$32*PI()))/($J$10/2))-(1/2)+F$64)))))</f>
        <v>0</v>
      </c>
      <c r="AD91" s="1162">
        <f ca="1">IF(Cashflow!AD$111="C/I",0,IF($Z$31=0,0,IF(AD$67&lt;$Q$7,0,$Z$31*$J$5*$Q$4*2*PI()*$AE$6/(AC$41*(LN(SQRT($J$4/(AD$32*PI()))/($J$10/2))-(1/2)+G$64)))))</f>
        <v>0</v>
      </c>
      <c r="AE91" s="1162">
        <f ca="1">IF(Cashflow!AE$111="C/I",0,IF($Z$31=0,0,IF(AE$67&lt;$Q$7,0,$Z$31*$J$5*$Q$4*2*PI()*$AE$6/(AD$41*(LN(SQRT($J$4/(AE$32*PI()))/($J$10/2))-(1/2)+H$64)))))</f>
        <v>0</v>
      </c>
      <c r="AF91" s="1162">
        <f ca="1">IF(Cashflow!AF$111="C/I",0,IF($Z$31=0,0,IF(AF$67&lt;$Q$7,0,$Z$31*$J$5*$Q$4*2*PI()*$AE$6/(AE$41*(LN(SQRT($J$4/(AF$32*PI()))/($J$10/2))-(1/2)+I$64)))))</f>
        <v>0</v>
      </c>
      <c r="AG91" s="1162">
        <f ca="1">IF(Cashflow!AG$111="C/I",0,IF($Z$31=0,0,IF(AG$67&lt;$Q$7,0,$Z$31*$J$5*$Q$4*2*PI()*$AE$6/(AF$41*(LN(SQRT($J$4/(AG$32*PI()))/($J$10/2))-(1/2)+J$64)))))</f>
        <v>0</v>
      </c>
      <c r="AH91" s="19"/>
      <c r="AI91" s="19"/>
      <c r="AJ91" s="19"/>
      <c r="AK91" s="19"/>
      <c r="AL91" s="19"/>
      <c r="AM91" s="21"/>
      <c r="AN91" s="19"/>
      <c r="AO91" s="326"/>
      <c r="AP91" s="326"/>
      <c r="AQ91" s="326"/>
      <c r="AR91" s="326"/>
      <c r="AS91" s="326"/>
      <c r="AT91" s="326"/>
      <c r="AU91" s="326"/>
      <c r="AV91" s="326"/>
      <c r="AW91" s="326"/>
      <c r="AX91" s="326"/>
      <c r="AY91" s="326"/>
      <c r="AZ91" s="326"/>
    </row>
    <row r="92" spans="1:52">
      <c r="A92" s="19"/>
      <c r="B92" s="191" t="str">
        <f>"Inflow for wells built in Year "&amp;Cashflow!AA$164</f>
        <v>Inflow for wells built in Year 2041</v>
      </c>
      <c r="C92" s="1163"/>
      <c r="D92" s="1163"/>
      <c r="E92" s="1163"/>
      <c r="F92" s="1163"/>
      <c r="G92" s="1163"/>
      <c r="H92" s="1163"/>
      <c r="I92" s="1163"/>
      <c r="J92" s="1163"/>
      <c r="K92" s="1163"/>
      <c r="L92" s="1163"/>
      <c r="M92" s="1163"/>
      <c r="N92" s="1163"/>
      <c r="O92" s="1163"/>
      <c r="P92" s="1163"/>
      <c r="Q92" s="1163"/>
      <c r="R92" s="1163"/>
      <c r="S92" s="1163"/>
      <c r="T92" s="1163"/>
      <c r="U92" s="1163"/>
      <c r="V92" s="1163"/>
      <c r="W92" s="1163"/>
      <c r="X92" s="1163"/>
      <c r="Y92" s="1163"/>
      <c r="Z92" s="1163"/>
      <c r="AA92" s="1162">
        <f ca="1">IF(Cashflow!AA$111="C/I",0,IF($AA$31=0,0,IF(AA$67&lt;$Q$7,0,$AA$31*$J$5*$Q$4*2*PI()*$AE$6/(Z$41*(LN(SQRT($J$4/(AA$32*PI()))/($J$10/2))-(1/2)+C$64)))))</f>
        <v>0</v>
      </c>
      <c r="AB92" s="1162">
        <f ca="1">IF(Cashflow!AB$111="C/I",0,IF($AA$31=0,0,IF(AB$67&lt;$Q$7,0,$AA$31*$J$5*$Q$4*2*PI()*$AE$6/(AA$41*(LN(SQRT($J$4/(AB$32*PI()))/($J$10/2))-(1/2)+D$64)))))</f>
        <v>0</v>
      </c>
      <c r="AC92" s="1162">
        <f ca="1">IF(Cashflow!AC$111="C/I",0,IF($AA$31=0,0,IF(AC$67&lt;$Q$7,0,$AA$31*$J$5*$Q$4*2*PI()*$AE$6/(AB$41*(LN(SQRT($J$4/(AC$32*PI()))/($J$10/2))-(1/2)+E$64)))))</f>
        <v>0</v>
      </c>
      <c r="AD92" s="1162">
        <f ca="1">IF(Cashflow!AD$111="C/I",0,IF($AA$31=0,0,IF(AD$67&lt;$Q$7,0,$AA$31*$J$5*$Q$4*2*PI()*$AE$6/(AC$41*(LN(SQRT($J$4/(AD$32*PI()))/($J$10/2))-(1/2)+F$64)))))</f>
        <v>0</v>
      </c>
      <c r="AE92" s="1162">
        <f ca="1">IF(Cashflow!AE$111="C/I",0,IF($AA$31=0,0,IF(AE$67&lt;$Q$7,0,$AA$31*$J$5*$Q$4*2*PI()*$AE$6/(AD$41*(LN(SQRT($J$4/(AE$32*PI()))/($J$10/2))-(1/2)+G$64)))))</f>
        <v>0</v>
      </c>
      <c r="AF92" s="1162">
        <f ca="1">IF(Cashflow!AF$111="C/I",0,IF($AA$31=0,0,IF(AF$67&lt;$Q$7,0,$AA$31*$J$5*$Q$4*2*PI()*$AE$6/(AE$41*(LN(SQRT($J$4/(AF$32*PI()))/($J$10/2))-(1/2)+H$64)))))</f>
        <v>0</v>
      </c>
      <c r="AG92" s="1162">
        <f ca="1">IF(Cashflow!AG$111="C/I",0,IF($AA$31=0,0,IF(AG$67&lt;$Q$7,0,$AA$31*$J$5*$Q$4*2*PI()*$AE$6/(AF$41*(LN(SQRT($J$4/(AG$32*PI()))/($J$10/2))-(1/2)+I$64)))))</f>
        <v>0</v>
      </c>
      <c r="AH92" s="19"/>
      <c r="AI92" s="19"/>
      <c r="AJ92" s="19"/>
      <c r="AK92" s="19"/>
      <c r="AL92" s="19"/>
      <c r="AM92" s="21"/>
      <c r="AN92" s="19"/>
      <c r="AO92" s="326"/>
      <c r="AP92" s="326"/>
      <c r="AQ92" s="326"/>
      <c r="AR92" s="326"/>
      <c r="AS92" s="326"/>
      <c r="AT92" s="326"/>
      <c r="AU92" s="326"/>
      <c r="AV92" s="326"/>
      <c r="AW92" s="326"/>
      <c r="AX92" s="326"/>
      <c r="AY92" s="326"/>
      <c r="AZ92" s="326"/>
    </row>
    <row r="93" spans="1:52">
      <c r="A93" s="19"/>
      <c r="B93" s="191" t="str">
        <f>"Inflow for wells built in Year "&amp;Cashflow!AB$164</f>
        <v>Inflow for wells built in Year 2042</v>
      </c>
      <c r="C93" s="1163"/>
      <c r="D93" s="1163"/>
      <c r="E93" s="1163"/>
      <c r="F93" s="1163"/>
      <c r="G93" s="1163"/>
      <c r="H93" s="1163"/>
      <c r="I93" s="1163"/>
      <c r="J93" s="1163"/>
      <c r="K93" s="1163"/>
      <c r="L93" s="1163"/>
      <c r="M93" s="1163"/>
      <c r="N93" s="1163"/>
      <c r="O93" s="1163"/>
      <c r="P93" s="1163"/>
      <c r="Q93" s="1163"/>
      <c r="R93" s="1163"/>
      <c r="S93" s="1163"/>
      <c r="T93" s="1163"/>
      <c r="U93" s="1163"/>
      <c r="V93" s="1163"/>
      <c r="W93" s="1163"/>
      <c r="X93" s="1163"/>
      <c r="Y93" s="1163"/>
      <c r="Z93" s="1163"/>
      <c r="AA93" s="1163"/>
      <c r="AB93" s="1162">
        <f ca="1">IF(Cashflow!AB$111="C/I",0,IF($AB$31=0,0,IF(AB$67&lt;$Q$7,0,$AB$31*$J$5*$Q$4*2*PI()*$AE$6/(AA$41*(LN(SQRT($J$4/(AB$32*PI()))/($J$10/2))-(1/2)+C$64)))))</f>
        <v>0</v>
      </c>
      <c r="AC93" s="1162">
        <f ca="1">IF(Cashflow!AC$111="C/I",0,IF($AB$31=0,0,IF(AC$67&lt;$Q$7,0,$AB$31*$J$5*$Q$4*2*PI()*$AE$6/(AB$41*(LN(SQRT($J$4/(AC$32*PI()))/($J$10/2))-(1/2)+D$64)))))</f>
        <v>0</v>
      </c>
      <c r="AD93" s="1162">
        <f ca="1">IF(Cashflow!AD$111="C/I",0,IF($AB$31=0,0,IF(AD$67&lt;$Q$7,0,$AB$31*$J$5*$Q$4*2*PI()*$AE$6/(AC$41*(LN(SQRT($J$4/(AD$32*PI()))/($J$10/2))-(1/2)+E$64)))))</f>
        <v>0</v>
      </c>
      <c r="AE93" s="1162">
        <f ca="1">IF(Cashflow!AE$111="C/I",0,IF($AB$31=0,0,IF(AE$67&lt;$Q$7,0,$AB$31*$J$5*$Q$4*2*PI()*$AE$6/(AD$41*(LN(SQRT($J$4/(AE$32*PI()))/($J$10/2))-(1/2)+F$64)))))</f>
        <v>0</v>
      </c>
      <c r="AF93" s="1162">
        <f ca="1">IF(Cashflow!AF$111="C/I",0,IF($AB$31=0,0,IF(AF$67&lt;$Q$7,0,$AB$31*$J$5*$Q$4*2*PI()*$AE$6/(AE$41*(LN(SQRT($J$4/(AF$32*PI()))/($J$10/2))-(1/2)+G$64)))))</f>
        <v>0</v>
      </c>
      <c r="AG93" s="1162">
        <f ca="1">IF(Cashflow!AG$111="C/I",0,IF($AB$31=0,0,IF(AG$67&lt;$Q$7,0,$AB$31*$J$5*$Q$4*2*PI()*$AE$6/(AF$41*(LN(SQRT($J$4/(AG$32*PI()))/($J$10/2))-(1/2)+H$64)))))</f>
        <v>0</v>
      </c>
      <c r="AH93" s="19"/>
      <c r="AI93" s="19"/>
      <c r="AJ93" s="19"/>
      <c r="AK93" s="19"/>
      <c r="AL93" s="19"/>
      <c r="AM93" s="21"/>
      <c r="AN93" s="19"/>
      <c r="AO93" s="326"/>
      <c r="AP93" s="326"/>
      <c r="AQ93" s="326"/>
      <c r="AR93" s="326"/>
      <c r="AS93" s="326"/>
      <c r="AT93" s="326"/>
      <c r="AU93" s="326"/>
      <c r="AV93" s="326"/>
      <c r="AW93" s="326"/>
      <c r="AX93" s="326"/>
      <c r="AY93" s="326"/>
      <c r="AZ93" s="326"/>
    </row>
    <row r="94" spans="1:52">
      <c r="A94" s="19"/>
      <c r="B94" s="191" t="str">
        <f>"Inflow for wells built in Year "&amp;Cashflow!AC$164</f>
        <v>Inflow for wells built in Year 2043</v>
      </c>
      <c r="C94" s="1163"/>
      <c r="D94" s="1163"/>
      <c r="E94" s="1163"/>
      <c r="F94" s="1163"/>
      <c r="G94" s="1163"/>
      <c r="H94" s="1163"/>
      <c r="I94" s="1163"/>
      <c r="J94" s="1163"/>
      <c r="K94" s="1163"/>
      <c r="L94" s="1163"/>
      <c r="M94" s="1163"/>
      <c r="N94" s="1163"/>
      <c r="O94" s="1163"/>
      <c r="P94" s="1163"/>
      <c r="Q94" s="1163"/>
      <c r="R94" s="1163"/>
      <c r="S94" s="1163"/>
      <c r="T94" s="1163"/>
      <c r="U94" s="1163"/>
      <c r="V94" s="1163"/>
      <c r="W94" s="1163"/>
      <c r="X94" s="1163"/>
      <c r="Y94" s="1163"/>
      <c r="Z94" s="1163"/>
      <c r="AA94" s="1163"/>
      <c r="AB94" s="1163"/>
      <c r="AC94" s="1162">
        <f ca="1">IF(Cashflow!AC$111="C/I",0,IF($AC$31=0,0,IF(AC$67&lt;$Q$7,0,$AC$31*$J$5*$Q$4*2*PI()*$AE$6/(AB$41*(LN(SQRT($J$4/(AC$32*PI()))/($J$10/2))-(1/2)+C$64)))))</f>
        <v>0</v>
      </c>
      <c r="AD94" s="1162">
        <f ca="1">IF(Cashflow!AD$111="C/I",0,IF($AC$31=0,0,IF(AD$67&lt;$Q$7,0,$AC$31*$J$5*$Q$4*2*PI()*$AE$6/(AC$41*(LN(SQRT($J$4/(AD$32*PI()))/($J$10/2))-(1/2)+D$64)))))</f>
        <v>0</v>
      </c>
      <c r="AE94" s="1162">
        <f ca="1">IF(Cashflow!AE$111="C/I",0,IF($AC$31=0,0,IF(AE$67&lt;$Q$7,0,$AC$31*$J$5*$Q$4*2*PI()*$AE$6/(AD$41*(LN(SQRT($J$4/(AE$32*PI()))/($J$10/2))-(1/2)+E$64)))))</f>
        <v>0</v>
      </c>
      <c r="AF94" s="1162">
        <f ca="1">IF(Cashflow!AF$111="C/I",0,IF($AC$31=0,0,IF(AF$67&lt;$Q$7,0,$AC$31*$J$5*$Q$4*2*PI()*$AE$6/(AE$41*(LN(SQRT($J$4/(AF$32*PI()))/($J$10/2))-(1/2)+F$64)))))</f>
        <v>0</v>
      </c>
      <c r="AG94" s="1162">
        <f ca="1">IF(Cashflow!AG$111="C/I",0,IF($AC$31=0,0,IF(AG$67&lt;$Q$7,0,$AC$31*$J$5*$Q$4*2*PI()*$AE$6/(AF$41*(LN(SQRT($J$4/(AG$32*PI()))/($J$10/2))-(1/2)+G$64)))))</f>
        <v>0</v>
      </c>
      <c r="AH94" s="19"/>
      <c r="AI94" s="19"/>
      <c r="AJ94" s="19"/>
      <c r="AK94" s="19"/>
      <c r="AL94" s="19"/>
      <c r="AM94" s="21"/>
      <c r="AN94" s="19"/>
      <c r="AO94" s="326"/>
      <c r="AP94" s="326"/>
      <c r="AQ94" s="326"/>
      <c r="AR94" s="326"/>
      <c r="AS94" s="326"/>
      <c r="AT94" s="326"/>
      <c r="AU94" s="326"/>
      <c r="AV94" s="326"/>
      <c r="AW94" s="326"/>
      <c r="AX94" s="326"/>
      <c r="AY94" s="326"/>
      <c r="AZ94" s="326"/>
    </row>
    <row r="95" spans="1:52">
      <c r="A95" s="19"/>
      <c r="B95" s="191" t="str">
        <f>"Inflow for wells built in Year "&amp;Cashflow!AD$164</f>
        <v>Inflow for wells built in Year 2044</v>
      </c>
      <c r="C95" s="1163"/>
      <c r="D95" s="1163"/>
      <c r="E95" s="1163"/>
      <c r="F95" s="1163"/>
      <c r="G95" s="1163"/>
      <c r="H95" s="1163"/>
      <c r="I95" s="1163"/>
      <c r="J95" s="1163"/>
      <c r="K95" s="1163"/>
      <c r="L95" s="1163"/>
      <c r="M95" s="1163"/>
      <c r="N95" s="1163"/>
      <c r="O95" s="1163"/>
      <c r="P95" s="1163"/>
      <c r="Q95" s="1163"/>
      <c r="R95" s="1163"/>
      <c r="S95" s="1163"/>
      <c r="T95" s="1163"/>
      <c r="U95" s="1163"/>
      <c r="V95" s="1163"/>
      <c r="W95" s="1163"/>
      <c r="X95" s="1163"/>
      <c r="Y95" s="1163"/>
      <c r="Z95" s="1163"/>
      <c r="AA95" s="1163"/>
      <c r="AB95" s="1163"/>
      <c r="AC95" s="1163"/>
      <c r="AD95" s="1162">
        <f ca="1">IF(Cashflow!AD$111="C/I",0,IF($AD$31=0,0,IF(AD$67&lt;$Q$7,0,$AD$31*$J$5*$Q$4*2*PI()*$AE$6/(AC$41*(LN(SQRT($J$4/(AD$32*PI()))/($J$10/2))-(1/2)+C$64)))))</f>
        <v>0</v>
      </c>
      <c r="AE95" s="1162">
        <f ca="1">IF(Cashflow!AE$111="C/I",0,IF($AD$31=0,0,IF(AE$67&lt;$Q$7,0,$AD$31*$J$5*$Q$4*2*PI()*$AE$6/(AD$41*(LN(SQRT($J$4/(AE$32*PI()))/($J$10/2))-(1/2)+D$64)))))</f>
        <v>0</v>
      </c>
      <c r="AF95" s="1162">
        <f ca="1">IF(Cashflow!AF$111="C/I",0,IF($AD$31=0,0,IF(AF$67&lt;$Q$7,0,$AD$31*$J$5*$Q$4*2*PI()*$AE$6/(AE$41*(LN(SQRT($J$4/(AF$32*PI()))/($J$10/2))-(1/2)+E$64)))))</f>
        <v>0</v>
      </c>
      <c r="AG95" s="1162">
        <f ca="1">IF(Cashflow!AG$111="C/I",0,IF($AD$31=0,0,IF(AG$67&lt;$Q$7,0,$AD$31*$J$5*$Q$4*2*PI()*$AE$6/(AF$41*(LN(SQRT($J$4/(AG$32*PI()))/($J$10/2))-(1/2)+F$64)))))</f>
        <v>0</v>
      </c>
      <c r="AH95" s="19"/>
      <c r="AI95" s="19"/>
      <c r="AJ95" s="19"/>
      <c r="AK95" s="21"/>
      <c r="AL95" s="21"/>
      <c r="AM95" s="19"/>
      <c r="AN95" s="19"/>
      <c r="AO95" s="326"/>
      <c r="AP95" s="326"/>
      <c r="AQ95" s="326"/>
      <c r="AR95" s="326"/>
      <c r="AS95" s="326"/>
      <c r="AT95" s="326"/>
      <c r="AU95" s="326"/>
      <c r="AV95" s="326"/>
      <c r="AW95" s="326"/>
      <c r="AX95" s="326"/>
      <c r="AY95" s="326"/>
      <c r="AZ95" s="326"/>
    </row>
    <row r="96" spans="1:52">
      <c r="A96" s="19"/>
      <c r="B96" s="191" t="str">
        <f>"Inflow for wells built in Year "&amp;Cashflow!AE$164</f>
        <v>Inflow for wells built in Year 2045</v>
      </c>
      <c r="C96" s="1163"/>
      <c r="D96" s="1163"/>
      <c r="E96" s="1163"/>
      <c r="F96" s="1163"/>
      <c r="G96" s="1163"/>
      <c r="H96" s="1163"/>
      <c r="I96" s="1163"/>
      <c r="J96" s="1163"/>
      <c r="K96" s="1163"/>
      <c r="L96" s="1163"/>
      <c r="M96" s="1163"/>
      <c r="N96" s="1163"/>
      <c r="O96" s="1163"/>
      <c r="P96" s="1163"/>
      <c r="Q96" s="1163"/>
      <c r="R96" s="1163"/>
      <c r="S96" s="1163"/>
      <c r="T96" s="1163"/>
      <c r="U96" s="1163"/>
      <c r="V96" s="1163"/>
      <c r="W96" s="1163"/>
      <c r="X96" s="1163"/>
      <c r="Y96" s="1163"/>
      <c r="Z96" s="1163"/>
      <c r="AA96" s="1163"/>
      <c r="AB96" s="1163"/>
      <c r="AC96" s="1163"/>
      <c r="AD96" s="1163"/>
      <c r="AE96" s="1162">
        <f ca="1">IF(Cashflow!AE$111="C/I",0,IF($AE$31=0,0,IF(AE$67&lt;$Q$7,0,$AE$31*$J$5*$Q$4*2*PI()*$AE$6/(AD$41*(LN(SQRT($J$4/(AE$32*PI()))/($J$10/2))-(1/2)+C$64)))))</f>
        <v>0</v>
      </c>
      <c r="AF96" s="1162">
        <f ca="1">IF(Cashflow!AF$111="C/I",0,IF($AE$31=0,0,IF(AF$67&lt;$Q$7,0,$AE$31*$J$5*$Q$4*2*PI()*$AE$6/(AE$41*(LN(SQRT($J$4/(AF$32*PI()))/($J$10/2))-(1/2)+D$64)))))</f>
        <v>0</v>
      </c>
      <c r="AG96" s="1162">
        <f ca="1">IF(Cashflow!AG$111="C/I",0,IF($AE$31=0,0,IF(AG$67&lt;$Q$7,0,$AE$31*$J$5*$Q$4*2*PI()*$AE$6/(AF$41*(LN(SQRT($J$4/(AG$32*PI()))/($J$10/2))-(1/2)+E$64)))))</f>
        <v>0</v>
      </c>
      <c r="AH96" s="19"/>
      <c r="AI96" s="19"/>
      <c r="AJ96" s="19"/>
      <c r="AK96" s="19"/>
      <c r="AL96" s="19"/>
      <c r="AM96" s="21"/>
      <c r="AN96" s="19"/>
      <c r="AO96" s="326"/>
      <c r="AP96" s="326"/>
      <c r="AQ96" s="326"/>
      <c r="AR96" s="326"/>
      <c r="AS96" s="326"/>
      <c r="AT96" s="326"/>
      <c r="AU96" s="326"/>
      <c r="AV96" s="326"/>
      <c r="AW96" s="326"/>
      <c r="AX96" s="326"/>
      <c r="AY96" s="326"/>
      <c r="AZ96" s="326"/>
    </row>
    <row r="97" spans="1:52">
      <c r="A97" s="19"/>
      <c r="B97" s="191" t="str">
        <f>"Inflow for wells built in Year "&amp;Cashflow!AF$164</f>
        <v>Inflow for wells built in Year 2046</v>
      </c>
      <c r="C97" s="1163"/>
      <c r="D97" s="1163"/>
      <c r="E97" s="1163"/>
      <c r="F97" s="1163"/>
      <c r="G97" s="1163"/>
      <c r="H97" s="1163"/>
      <c r="I97" s="1163"/>
      <c r="J97" s="1163"/>
      <c r="K97" s="1163"/>
      <c r="L97" s="1163"/>
      <c r="M97" s="1163"/>
      <c r="N97" s="1163"/>
      <c r="O97" s="1163"/>
      <c r="P97" s="1163"/>
      <c r="Q97" s="1163"/>
      <c r="R97" s="1163"/>
      <c r="S97" s="1163"/>
      <c r="T97" s="1163"/>
      <c r="U97" s="1163"/>
      <c r="V97" s="1163"/>
      <c r="W97" s="1163"/>
      <c r="X97" s="1163"/>
      <c r="Y97" s="1163"/>
      <c r="Z97" s="1163"/>
      <c r="AA97" s="1163"/>
      <c r="AB97" s="1163"/>
      <c r="AC97" s="1163"/>
      <c r="AD97" s="1163"/>
      <c r="AE97" s="1163"/>
      <c r="AF97" s="1162">
        <f ca="1">IF(Cashflow!AF$111="C/I",0,IF($AF$31=0,0,IF(AF$67&lt;$Q$7,0,$AF$31*$J$5*$Q$4*2*PI()*$AE$6/(AE$41*(LN(SQRT($J$4/(AF$32*PI()))/($J$10/2))-(1/2)+C$64)))))</f>
        <v>0</v>
      </c>
      <c r="AG97" s="1162">
        <f ca="1">IF(Cashflow!AG$111="C/I",0,IF($AF$31=0,0,IF(AG$67&lt;$Q$7,0,$AF$31*$J$5*$Q$4*2*PI()*$AE$6/(AF$41*(LN(SQRT($J$4/(AG$32*PI()))/($J$10/2))-(1/2)+D$64)))))</f>
        <v>0</v>
      </c>
      <c r="AH97" s="19"/>
      <c r="AI97" s="19"/>
      <c r="AJ97" s="19"/>
      <c r="AK97" s="19"/>
      <c r="AL97" s="19"/>
      <c r="AM97" s="21"/>
      <c r="AN97" s="19"/>
      <c r="AO97" s="326"/>
      <c r="AP97" s="326"/>
      <c r="AQ97" s="326"/>
      <c r="AR97" s="326"/>
      <c r="AS97" s="326"/>
      <c r="AT97" s="326"/>
      <c r="AU97" s="326"/>
      <c r="AV97" s="326"/>
      <c r="AW97" s="326"/>
      <c r="AX97" s="326"/>
      <c r="AY97" s="326"/>
      <c r="AZ97" s="326"/>
    </row>
    <row r="98" spans="1:52">
      <c r="A98" s="19"/>
      <c r="B98" s="191" t="str">
        <f>"Inflow for wells built in Year "&amp;Cashflow!AG$164</f>
        <v>Inflow for wells built in Year 2047</v>
      </c>
      <c r="C98" s="1163"/>
      <c r="D98" s="1163"/>
      <c r="E98" s="1163"/>
      <c r="F98" s="1163"/>
      <c r="G98" s="1163"/>
      <c r="H98" s="1163"/>
      <c r="I98" s="1163"/>
      <c r="J98" s="1163"/>
      <c r="K98" s="1163"/>
      <c r="L98" s="1163"/>
      <c r="M98" s="1163"/>
      <c r="N98" s="1163"/>
      <c r="O98" s="1163"/>
      <c r="P98" s="1163"/>
      <c r="Q98" s="1163"/>
      <c r="R98" s="1163"/>
      <c r="S98" s="1163"/>
      <c r="T98" s="1163"/>
      <c r="U98" s="1163"/>
      <c r="V98" s="1163"/>
      <c r="W98" s="1163"/>
      <c r="X98" s="1163"/>
      <c r="Y98" s="1163"/>
      <c r="Z98" s="1163"/>
      <c r="AA98" s="1163"/>
      <c r="AB98" s="1163"/>
      <c r="AC98" s="1163"/>
      <c r="AD98" s="1163"/>
      <c r="AE98" s="1163"/>
      <c r="AF98" s="1163"/>
      <c r="AG98" s="1162">
        <f ca="1">IF(Cashflow!AG$111="C/I",0,IF($AG$31=0,0,IF(AG$67&lt;$Q$7,0,$AG$31*$J$5*$Q$4*2*PI()*$AE$6/(AF$41*(LN(SQRT($J$4/(AG$32*PI()))/($J$10/2))-(1/2)+C$64)))))</f>
        <v>0</v>
      </c>
      <c r="AH98" s="19"/>
      <c r="AI98" s="19"/>
      <c r="AJ98" s="19"/>
      <c r="AK98" s="19"/>
      <c r="AL98" s="19"/>
      <c r="AM98" s="21"/>
      <c r="AN98" s="19"/>
      <c r="AO98" s="326"/>
      <c r="AP98" s="326"/>
      <c r="AQ98" s="326"/>
      <c r="AR98" s="326"/>
      <c r="AS98" s="326"/>
      <c r="AT98" s="326"/>
      <c r="AU98" s="326"/>
      <c r="AV98" s="326"/>
      <c r="AW98" s="326"/>
      <c r="AX98" s="326"/>
      <c r="AY98" s="326"/>
      <c r="AZ98" s="326"/>
    </row>
    <row r="99" spans="1:52">
      <c r="A99" s="19"/>
      <c r="B99" s="71" t="s">
        <v>528</v>
      </c>
      <c r="C99" s="1161">
        <f t="shared" ref="C99:AG99" si="11">SUM(C68:C98)</f>
        <v>0</v>
      </c>
      <c r="D99" s="1161">
        <f t="shared" si="11"/>
        <v>0</v>
      </c>
      <c r="E99" s="1161">
        <f t="shared" si="11"/>
        <v>0</v>
      </c>
      <c r="F99" s="1161">
        <f t="shared" si="11"/>
        <v>0</v>
      </c>
      <c r="G99" s="1161">
        <f t="shared" si="11"/>
        <v>0</v>
      </c>
      <c r="H99" s="1161">
        <f t="shared" si="11"/>
        <v>0</v>
      </c>
      <c r="I99" s="1161">
        <f t="shared" si="11"/>
        <v>0</v>
      </c>
      <c r="J99" s="1161">
        <f t="shared" si="11"/>
        <v>0</v>
      </c>
      <c r="K99" s="1161">
        <f t="shared" si="11"/>
        <v>0.58254927641221976</v>
      </c>
      <c r="L99" s="1161">
        <f t="shared" ca="1" si="11"/>
        <v>0.80643230941370159</v>
      </c>
      <c r="M99" s="1161">
        <f t="shared" ca="1" si="11"/>
        <v>0.86984883047502337</v>
      </c>
      <c r="N99" s="1161">
        <f t="shared" ca="1" si="11"/>
        <v>1.1032144078502792</v>
      </c>
      <c r="O99" s="1161">
        <f t="shared" ca="1" si="11"/>
        <v>0.96889395979788362</v>
      </c>
      <c r="P99" s="1161">
        <f t="shared" ca="1" si="11"/>
        <v>0.86459419180865571</v>
      </c>
      <c r="Q99" s="1161">
        <f t="shared" ca="1" si="11"/>
        <v>0.87863159993521933</v>
      </c>
      <c r="R99" s="1161">
        <f t="shared" ca="1" si="11"/>
        <v>0.98474841573725258</v>
      </c>
      <c r="S99" s="1161">
        <f t="shared" ca="1" si="11"/>
        <v>0.96956571641175915</v>
      </c>
      <c r="T99" s="1161">
        <f t="shared" ca="1" si="11"/>
        <v>1.0560127698589168</v>
      </c>
      <c r="U99" s="1161">
        <f t="shared" ca="1" si="11"/>
        <v>1.008569498161852</v>
      </c>
      <c r="V99" s="1161">
        <f t="shared" ca="1" si="11"/>
        <v>1.0636142312621097</v>
      </c>
      <c r="W99" s="1161">
        <f t="shared" ca="1" si="11"/>
        <v>0.91799213944080582</v>
      </c>
      <c r="X99" s="1161">
        <f t="shared" ca="1" si="11"/>
        <v>0.80467531583534557</v>
      </c>
      <c r="Y99" s="1161">
        <f t="shared" ca="1" si="11"/>
        <v>0.80341023445008486</v>
      </c>
      <c r="Z99" s="1161">
        <f t="shared" ca="1" si="11"/>
        <v>0.88316760530802363</v>
      </c>
      <c r="AA99" s="1161">
        <f t="shared" ca="1" si="11"/>
        <v>0.85385679396318914</v>
      </c>
      <c r="AB99" s="1161">
        <f t="shared" ca="1" si="11"/>
        <v>0.91279173332380414</v>
      </c>
      <c r="AC99" s="1161">
        <f t="shared" ca="1" si="11"/>
        <v>0.87221327326888543</v>
      </c>
      <c r="AD99" s="1161">
        <f t="shared" ca="1" si="11"/>
        <v>0.91722310212304259</v>
      </c>
      <c r="AE99" s="1161">
        <f t="shared" ca="1" si="11"/>
        <v>0.78911379294221629</v>
      </c>
      <c r="AF99" s="1161">
        <f t="shared" ca="1" si="11"/>
        <v>0.68948548248519537</v>
      </c>
      <c r="AG99" s="1161">
        <f t="shared" ca="1" si="11"/>
        <v>0.68695742435069074</v>
      </c>
      <c r="AH99" s="19"/>
      <c r="AI99" s="19"/>
      <c r="AJ99" s="19"/>
      <c r="AK99" s="19"/>
      <c r="AL99" s="19"/>
      <c r="AM99" s="21"/>
      <c r="AN99" s="19"/>
      <c r="AO99" s="326"/>
      <c r="AP99" s="326"/>
      <c r="AQ99" s="326"/>
      <c r="AR99" s="326"/>
      <c r="AS99" s="326"/>
      <c r="AT99" s="326"/>
      <c r="AU99" s="326"/>
      <c r="AV99" s="326"/>
      <c r="AW99" s="326"/>
      <c r="AX99" s="326"/>
      <c r="AY99" s="326"/>
      <c r="AZ99" s="326"/>
    </row>
    <row r="100" spans="1:52">
      <c r="A100" s="19"/>
      <c r="B100" s="28"/>
      <c r="C100" s="164"/>
      <c r="D100" s="19"/>
      <c r="E100" s="19"/>
      <c r="F100" s="19"/>
      <c r="G100" s="19"/>
      <c r="H100" s="19"/>
      <c r="I100" s="19"/>
      <c r="J100" s="132"/>
      <c r="K100" s="137"/>
      <c r="L100" s="132"/>
      <c r="M100" s="137"/>
      <c r="N100" s="28"/>
      <c r="O100" s="28"/>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21"/>
      <c r="AN100" s="19"/>
      <c r="AO100" s="326"/>
      <c r="AP100" s="326"/>
      <c r="AQ100" s="326"/>
      <c r="AR100" s="326"/>
      <c r="AS100" s="326"/>
      <c r="AT100" s="326"/>
      <c r="AU100" s="326"/>
      <c r="AV100" s="326"/>
      <c r="AW100" s="326"/>
      <c r="AX100" s="326"/>
      <c r="AY100" s="326"/>
      <c r="AZ100" s="326"/>
    </row>
    <row r="101" spans="1:52" ht="15" thickBot="1">
      <c r="A101" s="19"/>
      <c r="B101" s="458" t="s">
        <v>744</v>
      </c>
      <c r="C101" s="32">
        <f>Cashflow!C$30</f>
        <v>2017</v>
      </c>
      <c r="D101" s="32">
        <f>Cashflow!D$30</f>
        <v>2018</v>
      </c>
      <c r="E101" s="32">
        <f>Cashflow!E$30</f>
        <v>2019</v>
      </c>
      <c r="F101" s="32">
        <f>Cashflow!F$30</f>
        <v>2020</v>
      </c>
      <c r="G101" s="32">
        <f>Cashflow!G$30</f>
        <v>2021</v>
      </c>
      <c r="H101" s="32">
        <f>Cashflow!H$30</f>
        <v>2022</v>
      </c>
      <c r="I101" s="32">
        <f>Cashflow!I$30</f>
        <v>2023</v>
      </c>
      <c r="J101" s="32">
        <f>Cashflow!J$30</f>
        <v>2024</v>
      </c>
      <c r="K101" s="32">
        <f>Cashflow!K$30</f>
        <v>2025</v>
      </c>
      <c r="L101" s="32">
        <f>Cashflow!L$30</f>
        <v>2026</v>
      </c>
      <c r="M101" s="32">
        <f>Cashflow!M$30</f>
        <v>2027</v>
      </c>
      <c r="N101" s="32">
        <f>Cashflow!N$30</f>
        <v>2028</v>
      </c>
      <c r="O101" s="32">
        <f>Cashflow!O$30</f>
        <v>2029</v>
      </c>
      <c r="P101" s="32">
        <f>Cashflow!P$30</f>
        <v>2030</v>
      </c>
      <c r="Q101" s="32">
        <f>Cashflow!Q$30</f>
        <v>2031</v>
      </c>
      <c r="R101" s="32">
        <f>Cashflow!R$30</f>
        <v>2032</v>
      </c>
      <c r="S101" s="32">
        <f>Cashflow!S$30</f>
        <v>2033</v>
      </c>
      <c r="T101" s="32">
        <f>Cashflow!T$30</f>
        <v>2034</v>
      </c>
      <c r="U101" s="32">
        <f>Cashflow!U$30</f>
        <v>2035</v>
      </c>
      <c r="V101" s="32">
        <f>Cashflow!V$30</f>
        <v>2036</v>
      </c>
      <c r="W101" s="32">
        <f>Cashflow!W$30</f>
        <v>2037</v>
      </c>
      <c r="X101" s="32">
        <f>Cashflow!X$30</f>
        <v>2038</v>
      </c>
      <c r="Y101" s="32">
        <f>Cashflow!Y$30</f>
        <v>2039</v>
      </c>
      <c r="Z101" s="32">
        <f>Cashflow!Z$30</f>
        <v>2040</v>
      </c>
      <c r="AA101" s="32">
        <f>Cashflow!AA$30</f>
        <v>2041</v>
      </c>
      <c r="AB101" s="32">
        <f>Cashflow!AB$30</f>
        <v>2042</v>
      </c>
      <c r="AC101" s="32">
        <f>Cashflow!AC$30</f>
        <v>2043</v>
      </c>
      <c r="AD101" s="32">
        <f>Cashflow!AD$30</f>
        <v>2044</v>
      </c>
      <c r="AE101" s="32">
        <f>Cashflow!AE$30</f>
        <v>2045</v>
      </c>
      <c r="AF101" s="32">
        <f>Cashflow!AF$30</f>
        <v>2046</v>
      </c>
      <c r="AG101" s="32">
        <f>Cashflow!AG$30</f>
        <v>2047</v>
      </c>
      <c r="AH101" s="19"/>
      <c r="AI101" s="19"/>
      <c r="AJ101" s="19"/>
      <c r="AK101" s="21"/>
      <c r="AL101" s="21"/>
      <c r="AM101" s="19"/>
      <c r="AN101" s="19"/>
      <c r="AO101" s="326"/>
      <c r="AP101" s="326"/>
      <c r="AQ101" s="326"/>
      <c r="AR101" s="326"/>
      <c r="AS101" s="326"/>
      <c r="AT101" s="326"/>
      <c r="AU101" s="326"/>
      <c r="AV101" s="326"/>
      <c r="AW101" s="326"/>
      <c r="AX101" s="326"/>
      <c r="AY101" s="326"/>
      <c r="AZ101" s="326"/>
    </row>
    <row r="102" spans="1:52" ht="15" thickTop="1">
      <c r="A102" s="19"/>
      <c r="B102" s="191" t="str">
        <f>"Inflow for single well built in Year "&amp;Cashflow!C$164</f>
        <v>Inflow for single well built in Year 2017</v>
      </c>
      <c r="C102" s="562">
        <f t="shared" ref="C102:AG102" si="12">IF($C$31=0,0,C68/$C$31)</f>
        <v>0</v>
      </c>
      <c r="D102" s="562">
        <f t="shared" si="12"/>
        <v>0</v>
      </c>
      <c r="E102" s="562">
        <f t="shared" si="12"/>
        <v>0</v>
      </c>
      <c r="F102" s="562">
        <f t="shared" si="12"/>
        <v>0</v>
      </c>
      <c r="G102" s="562">
        <f t="shared" si="12"/>
        <v>0</v>
      </c>
      <c r="H102" s="562">
        <f t="shared" si="12"/>
        <v>0</v>
      </c>
      <c r="I102" s="562">
        <f t="shared" si="12"/>
        <v>0</v>
      </c>
      <c r="J102" s="562">
        <f t="shared" si="12"/>
        <v>0</v>
      </c>
      <c r="K102" s="562">
        <f t="shared" si="12"/>
        <v>0</v>
      </c>
      <c r="L102" s="562">
        <f t="shared" si="12"/>
        <v>0</v>
      </c>
      <c r="M102" s="562">
        <f t="shared" si="12"/>
        <v>0</v>
      </c>
      <c r="N102" s="562">
        <f t="shared" si="12"/>
        <v>0</v>
      </c>
      <c r="O102" s="562">
        <f t="shared" si="12"/>
        <v>0</v>
      </c>
      <c r="P102" s="562">
        <f t="shared" si="12"/>
        <v>0</v>
      </c>
      <c r="Q102" s="562">
        <f t="shared" si="12"/>
        <v>0</v>
      </c>
      <c r="R102" s="562">
        <f t="shared" si="12"/>
        <v>0</v>
      </c>
      <c r="S102" s="562">
        <f t="shared" si="12"/>
        <v>0</v>
      </c>
      <c r="T102" s="562">
        <f t="shared" si="12"/>
        <v>0</v>
      </c>
      <c r="U102" s="562">
        <f t="shared" si="12"/>
        <v>0</v>
      </c>
      <c r="V102" s="562">
        <f t="shared" si="12"/>
        <v>0</v>
      </c>
      <c r="W102" s="562">
        <f t="shared" si="12"/>
        <v>0</v>
      </c>
      <c r="X102" s="562">
        <f t="shared" si="12"/>
        <v>0</v>
      </c>
      <c r="Y102" s="562">
        <f t="shared" si="12"/>
        <v>0</v>
      </c>
      <c r="Z102" s="562">
        <f t="shared" si="12"/>
        <v>0</v>
      </c>
      <c r="AA102" s="562">
        <f t="shared" si="12"/>
        <v>0</v>
      </c>
      <c r="AB102" s="562">
        <f t="shared" si="12"/>
        <v>0</v>
      </c>
      <c r="AC102" s="562">
        <f t="shared" si="12"/>
        <v>0</v>
      </c>
      <c r="AD102" s="562">
        <f t="shared" si="12"/>
        <v>0</v>
      </c>
      <c r="AE102" s="562">
        <f t="shared" si="12"/>
        <v>0</v>
      </c>
      <c r="AF102" s="562">
        <f t="shared" si="12"/>
        <v>0</v>
      </c>
      <c r="AG102" s="562">
        <f t="shared" si="12"/>
        <v>0</v>
      </c>
      <c r="AH102" s="19"/>
      <c r="AI102" s="19"/>
      <c r="AJ102" s="19"/>
      <c r="AK102" s="21"/>
      <c r="AL102" s="21"/>
      <c r="AM102" s="19"/>
      <c r="AN102" s="19"/>
      <c r="AO102" s="326"/>
      <c r="AP102" s="326"/>
      <c r="AQ102" s="326"/>
      <c r="AR102" s="326"/>
      <c r="AS102" s="326"/>
      <c r="AT102" s="326"/>
      <c r="AU102" s="326"/>
      <c r="AV102" s="326"/>
      <c r="AW102" s="326"/>
      <c r="AX102" s="326"/>
      <c r="AY102" s="326"/>
      <c r="AZ102" s="326"/>
    </row>
    <row r="103" spans="1:52">
      <c r="A103" s="19"/>
      <c r="B103" s="191" t="str">
        <f>"Inflow for single well built in Year "&amp;Cashflow!D$164</f>
        <v>Inflow for single well built in Year 2018</v>
      </c>
      <c r="C103" s="563"/>
      <c r="D103" s="562">
        <f t="shared" ref="D103:AG103" si="13">IF($D$31=0,0,D69/$D$31)</f>
        <v>0</v>
      </c>
      <c r="E103" s="562">
        <f t="shared" si="13"/>
        <v>0</v>
      </c>
      <c r="F103" s="562">
        <f t="shared" si="13"/>
        <v>0</v>
      </c>
      <c r="G103" s="562">
        <f t="shared" si="13"/>
        <v>0</v>
      </c>
      <c r="H103" s="562">
        <f t="shared" si="13"/>
        <v>0</v>
      </c>
      <c r="I103" s="562">
        <f t="shared" si="13"/>
        <v>0</v>
      </c>
      <c r="J103" s="562">
        <f t="shared" si="13"/>
        <v>0</v>
      </c>
      <c r="K103" s="562">
        <f t="shared" si="13"/>
        <v>0</v>
      </c>
      <c r="L103" s="562">
        <f t="shared" si="13"/>
        <v>0</v>
      </c>
      <c r="M103" s="562">
        <f t="shared" si="13"/>
        <v>0</v>
      </c>
      <c r="N103" s="562">
        <f t="shared" si="13"/>
        <v>0</v>
      </c>
      <c r="O103" s="562">
        <f t="shared" si="13"/>
        <v>0</v>
      </c>
      <c r="P103" s="562">
        <f t="shared" si="13"/>
        <v>0</v>
      </c>
      <c r="Q103" s="562">
        <f t="shared" si="13"/>
        <v>0</v>
      </c>
      <c r="R103" s="562">
        <f t="shared" si="13"/>
        <v>0</v>
      </c>
      <c r="S103" s="562">
        <f t="shared" si="13"/>
        <v>0</v>
      </c>
      <c r="T103" s="562">
        <f t="shared" si="13"/>
        <v>0</v>
      </c>
      <c r="U103" s="562">
        <f t="shared" si="13"/>
        <v>0</v>
      </c>
      <c r="V103" s="562">
        <f t="shared" si="13"/>
        <v>0</v>
      </c>
      <c r="W103" s="562">
        <f t="shared" si="13"/>
        <v>0</v>
      </c>
      <c r="X103" s="562">
        <f t="shared" si="13"/>
        <v>0</v>
      </c>
      <c r="Y103" s="562">
        <f t="shared" si="13"/>
        <v>0</v>
      </c>
      <c r="Z103" s="562">
        <f t="shared" si="13"/>
        <v>0</v>
      </c>
      <c r="AA103" s="562">
        <f t="shared" si="13"/>
        <v>0</v>
      </c>
      <c r="AB103" s="562">
        <f t="shared" si="13"/>
        <v>0</v>
      </c>
      <c r="AC103" s="562">
        <f t="shared" si="13"/>
        <v>0</v>
      </c>
      <c r="AD103" s="562">
        <f t="shared" si="13"/>
        <v>0</v>
      </c>
      <c r="AE103" s="562">
        <f t="shared" si="13"/>
        <v>0</v>
      </c>
      <c r="AF103" s="562">
        <f t="shared" si="13"/>
        <v>0</v>
      </c>
      <c r="AG103" s="562">
        <f t="shared" si="13"/>
        <v>0</v>
      </c>
      <c r="AH103" s="19"/>
      <c r="AI103" s="19"/>
      <c r="AJ103" s="19"/>
      <c r="AK103" s="21"/>
      <c r="AL103" s="21"/>
      <c r="AM103" s="19"/>
      <c r="AN103" s="19"/>
      <c r="AO103" s="326"/>
      <c r="AP103" s="326"/>
      <c r="AQ103" s="326"/>
      <c r="AR103" s="326"/>
      <c r="AS103" s="326"/>
      <c r="AT103" s="326"/>
      <c r="AU103" s="326"/>
      <c r="AV103" s="326"/>
      <c r="AW103" s="326"/>
      <c r="AX103" s="326"/>
      <c r="AY103" s="326"/>
      <c r="AZ103" s="326"/>
    </row>
    <row r="104" spans="1:52">
      <c r="A104" s="19"/>
      <c r="B104" s="191" t="str">
        <f>"Inflow for single well built in Year "&amp;Cashflow!E$164</f>
        <v>Inflow for single well built in Year 2019</v>
      </c>
      <c r="C104" s="563"/>
      <c r="D104" s="563"/>
      <c r="E104" s="562">
        <f t="shared" ref="E104:AG104" si="14">IF($E$31=0,0,E70/$E$31)</f>
        <v>0</v>
      </c>
      <c r="F104" s="562">
        <f t="shared" si="14"/>
        <v>0</v>
      </c>
      <c r="G104" s="562">
        <f t="shared" si="14"/>
        <v>0</v>
      </c>
      <c r="H104" s="562">
        <f t="shared" si="14"/>
        <v>0</v>
      </c>
      <c r="I104" s="562">
        <f t="shared" si="14"/>
        <v>0</v>
      </c>
      <c r="J104" s="562">
        <f t="shared" si="14"/>
        <v>0</v>
      </c>
      <c r="K104" s="562">
        <f t="shared" si="14"/>
        <v>0</v>
      </c>
      <c r="L104" s="562">
        <f t="shared" si="14"/>
        <v>0</v>
      </c>
      <c r="M104" s="562">
        <f t="shared" si="14"/>
        <v>0</v>
      </c>
      <c r="N104" s="562">
        <f t="shared" si="14"/>
        <v>0</v>
      </c>
      <c r="O104" s="562">
        <f t="shared" si="14"/>
        <v>0</v>
      </c>
      <c r="P104" s="562">
        <f t="shared" si="14"/>
        <v>0</v>
      </c>
      <c r="Q104" s="562">
        <f t="shared" si="14"/>
        <v>0</v>
      </c>
      <c r="R104" s="562">
        <f t="shared" si="14"/>
        <v>0</v>
      </c>
      <c r="S104" s="562">
        <f t="shared" si="14"/>
        <v>0</v>
      </c>
      <c r="T104" s="562">
        <f t="shared" si="14"/>
        <v>0</v>
      </c>
      <c r="U104" s="562">
        <f t="shared" si="14"/>
        <v>0</v>
      </c>
      <c r="V104" s="562">
        <f t="shared" si="14"/>
        <v>0</v>
      </c>
      <c r="W104" s="562">
        <f t="shared" si="14"/>
        <v>0</v>
      </c>
      <c r="X104" s="562">
        <f t="shared" si="14"/>
        <v>0</v>
      </c>
      <c r="Y104" s="562">
        <f t="shared" si="14"/>
        <v>0</v>
      </c>
      <c r="Z104" s="562">
        <f t="shared" si="14"/>
        <v>0</v>
      </c>
      <c r="AA104" s="562">
        <f t="shared" si="14"/>
        <v>0</v>
      </c>
      <c r="AB104" s="562">
        <f t="shared" si="14"/>
        <v>0</v>
      </c>
      <c r="AC104" s="562">
        <f t="shared" si="14"/>
        <v>0</v>
      </c>
      <c r="AD104" s="562">
        <f t="shared" si="14"/>
        <v>0</v>
      </c>
      <c r="AE104" s="562">
        <f t="shared" si="14"/>
        <v>0</v>
      </c>
      <c r="AF104" s="562">
        <f t="shared" si="14"/>
        <v>0</v>
      </c>
      <c r="AG104" s="562">
        <f t="shared" si="14"/>
        <v>0</v>
      </c>
      <c r="AH104" s="19"/>
      <c r="AI104" s="19"/>
      <c r="AJ104" s="19"/>
      <c r="AK104" s="21"/>
      <c r="AL104" s="21"/>
      <c r="AM104" s="19"/>
      <c r="AN104" s="19"/>
      <c r="AO104" s="326"/>
      <c r="AP104" s="326"/>
      <c r="AQ104" s="326"/>
      <c r="AR104" s="326"/>
      <c r="AS104" s="326"/>
      <c r="AT104" s="326"/>
      <c r="AU104" s="326"/>
      <c r="AV104" s="326"/>
      <c r="AW104" s="326"/>
      <c r="AX104" s="326"/>
      <c r="AY104" s="326"/>
      <c r="AZ104" s="326"/>
    </row>
    <row r="105" spans="1:52">
      <c r="A105" s="169"/>
      <c r="B105" s="191" t="str">
        <f>"Inflow for single well built in Year "&amp;Cashflow!F$164</f>
        <v>Inflow for single well built in Year 2020</v>
      </c>
      <c r="C105" s="563"/>
      <c r="D105" s="563"/>
      <c r="E105" s="563"/>
      <c r="F105" s="562">
        <f t="shared" ref="F105:AG105" si="15">IF($F$31=0,0,F71/$F$31)</f>
        <v>0</v>
      </c>
      <c r="G105" s="562">
        <f t="shared" si="15"/>
        <v>0</v>
      </c>
      <c r="H105" s="562">
        <f t="shared" si="15"/>
        <v>0</v>
      </c>
      <c r="I105" s="562">
        <f t="shared" si="15"/>
        <v>0</v>
      </c>
      <c r="J105" s="562">
        <f t="shared" si="15"/>
        <v>0</v>
      </c>
      <c r="K105" s="562">
        <f t="shared" si="15"/>
        <v>0</v>
      </c>
      <c r="L105" s="562">
        <f t="shared" si="15"/>
        <v>0</v>
      </c>
      <c r="M105" s="562">
        <f t="shared" si="15"/>
        <v>0</v>
      </c>
      <c r="N105" s="562">
        <f t="shared" si="15"/>
        <v>0</v>
      </c>
      <c r="O105" s="562">
        <f t="shared" si="15"/>
        <v>0</v>
      </c>
      <c r="P105" s="562">
        <f t="shared" si="15"/>
        <v>0</v>
      </c>
      <c r="Q105" s="562">
        <f t="shared" si="15"/>
        <v>0</v>
      </c>
      <c r="R105" s="562">
        <f t="shared" si="15"/>
        <v>0</v>
      </c>
      <c r="S105" s="562">
        <f t="shared" si="15"/>
        <v>0</v>
      </c>
      <c r="T105" s="562">
        <f t="shared" si="15"/>
        <v>0</v>
      </c>
      <c r="U105" s="562">
        <f t="shared" si="15"/>
        <v>0</v>
      </c>
      <c r="V105" s="562">
        <f t="shared" si="15"/>
        <v>0</v>
      </c>
      <c r="W105" s="562">
        <f t="shared" si="15"/>
        <v>0</v>
      </c>
      <c r="X105" s="562">
        <f t="shared" si="15"/>
        <v>0</v>
      </c>
      <c r="Y105" s="562">
        <f t="shared" si="15"/>
        <v>0</v>
      </c>
      <c r="Z105" s="562">
        <f t="shared" si="15"/>
        <v>0</v>
      </c>
      <c r="AA105" s="562">
        <f t="shared" si="15"/>
        <v>0</v>
      </c>
      <c r="AB105" s="562">
        <f t="shared" si="15"/>
        <v>0</v>
      </c>
      <c r="AC105" s="562">
        <f t="shared" si="15"/>
        <v>0</v>
      </c>
      <c r="AD105" s="562">
        <f t="shared" si="15"/>
        <v>0</v>
      </c>
      <c r="AE105" s="562">
        <f t="shared" si="15"/>
        <v>0</v>
      </c>
      <c r="AF105" s="562">
        <f t="shared" si="15"/>
        <v>0</v>
      </c>
      <c r="AG105" s="562">
        <f t="shared" si="15"/>
        <v>0</v>
      </c>
      <c r="AH105" s="19"/>
      <c r="AI105" s="19"/>
      <c r="AJ105" s="19"/>
      <c r="AK105" s="21"/>
      <c r="AL105" s="21"/>
      <c r="AM105" s="19"/>
      <c r="AN105" s="19"/>
      <c r="AO105" s="326"/>
      <c r="AP105" s="326"/>
      <c r="AQ105" s="326"/>
      <c r="AR105" s="326"/>
      <c r="AS105" s="326"/>
      <c r="AT105" s="326"/>
      <c r="AU105" s="326"/>
      <c r="AV105" s="326"/>
      <c r="AW105" s="326"/>
      <c r="AX105" s="326"/>
      <c r="AY105" s="326"/>
      <c r="AZ105" s="326"/>
    </row>
    <row r="106" spans="1:52">
      <c r="A106" s="169"/>
      <c r="B106" s="191" t="str">
        <f>"Inflow for single well built in Year "&amp;Cashflow!G$164</f>
        <v>Inflow for single well built in Year 2021</v>
      </c>
      <c r="C106" s="563"/>
      <c r="D106" s="563"/>
      <c r="E106" s="563"/>
      <c r="F106" s="563"/>
      <c r="G106" s="562">
        <f t="shared" ref="G106:AG106" si="16">IF($G$31=0,0,G72/$G$31)</f>
        <v>0</v>
      </c>
      <c r="H106" s="562">
        <f t="shared" si="16"/>
        <v>0</v>
      </c>
      <c r="I106" s="562">
        <f t="shared" si="16"/>
        <v>0</v>
      </c>
      <c r="J106" s="562">
        <f t="shared" si="16"/>
        <v>0</v>
      </c>
      <c r="K106" s="562">
        <f t="shared" si="16"/>
        <v>0</v>
      </c>
      <c r="L106" s="562">
        <f t="shared" si="16"/>
        <v>0</v>
      </c>
      <c r="M106" s="562">
        <f t="shared" si="16"/>
        <v>0</v>
      </c>
      <c r="N106" s="562">
        <f t="shared" si="16"/>
        <v>0</v>
      </c>
      <c r="O106" s="562">
        <f t="shared" si="16"/>
        <v>0</v>
      </c>
      <c r="P106" s="562">
        <f t="shared" si="16"/>
        <v>0</v>
      </c>
      <c r="Q106" s="562">
        <f t="shared" si="16"/>
        <v>0</v>
      </c>
      <c r="R106" s="562">
        <f t="shared" si="16"/>
        <v>0</v>
      </c>
      <c r="S106" s="562">
        <f t="shared" si="16"/>
        <v>0</v>
      </c>
      <c r="T106" s="562">
        <f t="shared" si="16"/>
        <v>0</v>
      </c>
      <c r="U106" s="562">
        <f t="shared" si="16"/>
        <v>0</v>
      </c>
      <c r="V106" s="562">
        <f t="shared" si="16"/>
        <v>0</v>
      </c>
      <c r="W106" s="562">
        <f t="shared" si="16"/>
        <v>0</v>
      </c>
      <c r="X106" s="562">
        <f t="shared" si="16"/>
        <v>0</v>
      </c>
      <c r="Y106" s="562">
        <f t="shared" si="16"/>
        <v>0</v>
      </c>
      <c r="Z106" s="562">
        <f t="shared" si="16"/>
        <v>0</v>
      </c>
      <c r="AA106" s="562">
        <f t="shared" si="16"/>
        <v>0</v>
      </c>
      <c r="AB106" s="562">
        <f t="shared" si="16"/>
        <v>0</v>
      </c>
      <c r="AC106" s="562">
        <f t="shared" si="16"/>
        <v>0</v>
      </c>
      <c r="AD106" s="562">
        <f t="shared" si="16"/>
        <v>0</v>
      </c>
      <c r="AE106" s="562">
        <f t="shared" si="16"/>
        <v>0</v>
      </c>
      <c r="AF106" s="562">
        <f t="shared" si="16"/>
        <v>0</v>
      </c>
      <c r="AG106" s="562">
        <f t="shared" si="16"/>
        <v>0</v>
      </c>
      <c r="AH106" s="19"/>
      <c r="AI106" s="19"/>
      <c r="AJ106" s="19"/>
      <c r="AK106" s="21"/>
      <c r="AL106" s="21"/>
      <c r="AM106" s="19"/>
      <c r="AN106" s="19"/>
      <c r="AO106" s="326"/>
      <c r="AP106" s="326"/>
      <c r="AQ106" s="326"/>
      <c r="AR106" s="326"/>
      <c r="AS106" s="326"/>
      <c r="AT106" s="326"/>
      <c r="AU106" s="326"/>
      <c r="AV106" s="326"/>
      <c r="AW106" s="326"/>
      <c r="AX106" s="326"/>
      <c r="AY106" s="326"/>
      <c r="AZ106" s="326"/>
    </row>
    <row r="107" spans="1:52">
      <c r="A107" s="169"/>
      <c r="B107" s="191" t="str">
        <f>"Inflow for single well built in Year "&amp;Cashflow!H$164</f>
        <v>Inflow for single well built in Year 2022</v>
      </c>
      <c r="C107" s="563"/>
      <c r="D107" s="563"/>
      <c r="E107" s="563"/>
      <c r="F107" s="563"/>
      <c r="G107" s="563"/>
      <c r="H107" s="562">
        <f t="shared" ref="H107:AG107" si="17">IF($H$31=0,0,H73/$H$31)</f>
        <v>0</v>
      </c>
      <c r="I107" s="562">
        <f t="shared" si="17"/>
        <v>0</v>
      </c>
      <c r="J107" s="562">
        <f t="shared" si="17"/>
        <v>0</v>
      </c>
      <c r="K107" s="562">
        <f t="shared" si="17"/>
        <v>0</v>
      </c>
      <c r="L107" s="562">
        <f t="shared" si="17"/>
        <v>0</v>
      </c>
      <c r="M107" s="562">
        <f t="shared" si="17"/>
        <v>0</v>
      </c>
      <c r="N107" s="562">
        <f t="shared" si="17"/>
        <v>0</v>
      </c>
      <c r="O107" s="562">
        <f t="shared" si="17"/>
        <v>0</v>
      </c>
      <c r="P107" s="562">
        <f t="shared" si="17"/>
        <v>0</v>
      </c>
      <c r="Q107" s="562">
        <f t="shared" si="17"/>
        <v>0</v>
      </c>
      <c r="R107" s="562">
        <f t="shared" si="17"/>
        <v>0</v>
      </c>
      <c r="S107" s="562">
        <f t="shared" si="17"/>
        <v>0</v>
      </c>
      <c r="T107" s="562">
        <f t="shared" si="17"/>
        <v>0</v>
      </c>
      <c r="U107" s="562">
        <f t="shared" si="17"/>
        <v>0</v>
      </c>
      <c r="V107" s="562">
        <f t="shared" si="17"/>
        <v>0</v>
      </c>
      <c r="W107" s="562">
        <f t="shared" si="17"/>
        <v>0</v>
      </c>
      <c r="X107" s="562">
        <f t="shared" si="17"/>
        <v>0</v>
      </c>
      <c r="Y107" s="562">
        <f t="shared" si="17"/>
        <v>0</v>
      </c>
      <c r="Z107" s="562">
        <f t="shared" si="17"/>
        <v>0</v>
      </c>
      <c r="AA107" s="562">
        <f t="shared" si="17"/>
        <v>0</v>
      </c>
      <c r="AB107" s="562">
        <f t="shared" si="17"/>
        <v>0</v>
      </c>
      <c r="AC107" s="562">
        <f t="shared" si="17"/>
        <v>0</v>
      </c>
      <c r="AD107" s="562">
        <f t="shared" si="17"/>
        <v>0</v>
      </c>
      <c r="AE107" s="562">
        <f t="shared" si="17"/>
        <v>0</v>
      </c>
      <c r="AF107" s="562">
        <f t="shared" si="17"/>
        <v>0</v>
      </c>
      <c r="AG107" s="562">
        <f t="shared" si="17"/>
        <v>0</v>
      </c>
      <c r="AH107" s="19"/>
      <c r="AI107" s="19"/>
      <c r="AJ107" s="19"/>
      <c r="AK107" s="21"/>
      <c r="AL107" s="21"/>
      <c r="AM107" s="19"/>
      <c r="AN107" s="19"/>
      <c r="AO107" s="326"/>
      <c r="AP107" s="326"/>
      <c r="AQ107" s="326"/>
      <c r="AR107" s="326"/>
      <c r="AS107" s="326"/>
      <c r="AT107" s="326"/>
      <c r="AU107" s="326"/>
      <c r="AV107" s="326"/>
      <c r="AW107" s="326"/>
      <c r="AX107" s="326"/>
      <c r="AY107" s="326"/>
      <c r="AZ107" s="326"/>
    </row>
    <row r="108" spans="1:52">
      <c r="A108" s="169"/>
      <c r="B108" s="191" t="str">
        <f>"Inflow for single well built in Year "&amp;Cashflow!I$164</f>
        <v>Inflow for single well built in Year 2023</v>
      </c>
      <c r="C108" s="563"/>
      <c r="D108" s="563"/>
      <c r="E108" s="563"/>
      <c r="F108" s="563"/>
      <c r="G108" s="563"/>
      <c r="H108" s="563"/>
      <c r="I108" s="562">
        <f t="shared" ref="I108:AG108" si="18">IF($I$31=0,0,I74/$I$31)</f>
        <v>0</v>
      </c>
      <c r="J108" s="562">
        <f t="shared" si="18"/>
        <v>0</v>
      </c>
      <c r="K108" s="562">
        <f t="shared" si="18"/>
        <v>0.12570959348315397</v>
      </c>
      <c r="L108" s="562">
        <f t="shared" ca="1" si="18"/>
        <v>0.10600354376429309</v>
      </c>
      <c r="M108" s="562">
        <f t="shared" ca="1" si="18"/>
        <v>9.5595155972183765E-2</v>
      </c>
      <c r="N108" s="562">
        <f t="shared" ca="1" si="18"/>
        <v>8.7314537075971546E-2</v>
      </c>
      <c r="O108" s="562">
        <f t="shared" ca="1" si="18"/>
        <v>7.9772696058946449E-2</v>
      </c>
      <c r="P108" s="562">
        <f t="shared" ca="1" si="18"/>
        <v>7.3430128450195864E-2</v>
      </c>
      <c r="Q108" s="562">
        <f t="shared" ca="1" si="18"/>
        <v>0.16559053626871095</v>
      </c>
      <c r="R108" s="562">
        <f t="shared" ca="1" si="18"/>
        <v>0.14041466407229047</v>
      </c>
      <c r="S108" s="562">
        <f t="shared" ca="1" si="18"/>
        <v>0.12188382488718603</v>
      </c>
      <c r="T108" s="562">
        <f t="shared" ca="1" si="18"/>
        <v>0.10767386290674356</v>
      </c>
      <c r="U108" s="562">
        <f t="shared" ca="1" si="18"/>
        <v>9.4706016122596506E-2</v>
      </c>
      <c r="V108" s="562">
        <f t="shared" ca="1" si="18"/>
        <v>8.4180358386572104E-2</v>
      </c>
      <c r="W108" s="562">
        <f t="shared" ca="1" si="18"/>
        <v>7.5581757098980892E-2</v>
      </c>
      <c r="X108" s="562">
        <f t="shared" ca="1" si="18"/>
        <v>6.8341208352193109E-2</v>
      </c>
      <c r="Y108" s="562">
        <f t="shared" ca="1" si="18"/>
        <v>0.15141400739077565</v>
      </c>
      <c r="Z108" s="562">
        <f t="shared" ca="1" si="18"/>
        <v>0.1259303194979125</v>
      </c>
      <c r="AA108" s="562">
        <f t="shared" ca="1" si="18"/>
        <v>0.10733808981953108</v>
      </c>
      <c r="AB108" s="562">
        <f t="shared" ca="1" si="18"/>
        <v>9.3070666152500051E-2</v>
      </c>
      <c r="AC108" s="562">
        <f t="shared" ca="1" si="18"/>
        <v>8.1901985407147146E-2</v>
      </c>
      <c r="AD108" s="562">
        <f t="shared" ca="1" si="18"/>
        <v>7.2594148505835024E-2</v>
      </c>
      <c r="AE108" s="562">
        <f t="shared" ca="1" si="18"/>
        <v>6.4970716479059762E-2</v>
      </c>
      <c r="AF108" s="562">
        <f t="shared" ca="1" si="18"/>
        <v>5.855811665530819E-2</v>
      </c>
      <c r="AG108" s="562">
        <f t="shared" ca="1" si="18"/>
        <v>0.12946683035346132</v>
      </c>
      <c r="AH108" s="19"/>
      <c r="AI108" s="19"/>
      <c r="AJ108" s="19"/>
      <c r="AK108" s="21"/>
      <c r="AL108" s="21"/>
      <c r="AM108" s="19"/>
      <c r="AN108" s="19"/>
      <c r="AO108" s="326"/>
      <c r="AP108" s="326"/>
      <c r="AQ108" s="326"/>
      <c r="AR108" s="326"/>
      <c r="AS108" s="326"/>
      <c r="AT108" s="326"/>
      <c r="AU108" s="326"/>
      <c r="AV108" s="326"/>
      <c r="AW108" s="326"/>
      <c r="AX108" s="326"/>
      <c r="AY108" s="326"/>
      <c r="AZ108" s="326"/>
    </row>
    <row r="109" spans="1:52">
      <c r="A109" s="169"/>
      <c r="B109" s="191" t="str">
        <f>"Inflow for single well built in Year "&amp;Cashflow!J$164</f>
        <v>Inflow for single well built in Year 2024</v>
      </c>
      <c r="C109" s="563"/>
      <c r="D109" s="563"/>
      <c r="E109" s="563"/>
      <c r="F109" s="563"/>
      <c r="G109" s="563"/>
      <c r="H109" s="563"/>
      <c r="I109" s="563"/>
      <c r="J109" s="562">
        <f t="shared" ref="J109:AG109" si="19">IF($J$31=0,0,J75/$J$31)</f>
        <v>0</v>
      </c>
      <c r="K109" s="562">
        <f t="shared" si="19"/>
        <v>0.14406762856055969</v>
      </c>
      <c r="L109" s="562">
        <f t="shared" ca="1" si="19"/>
        <v>0.11974791553718808</v>
      </c>
      <c r="M109" s="562">
        <f t="shared" ca="1" si="19"/>
        <v>0.10663242757899155</v>
      </c>
      <c r="N109" s="562">
        <f t="shared" ca="1" si="19"/>
        <v>9.6431310741739912E-2</v>
      </c>
      <c r="O109" s="562">
        <f t="shared" ca="1" si="19"/>
        <v>8.7314537075971546E-2</v>
      </c>
      <c r="P109" s="562">
        <f t="shared" ca="1" si="19"/>
        <v>7.9772696058946449E-2</v>
      </c>
      <c r="Q109" s="562">
        <f t="shared" ca="1" si="19"/>
        <v>7.3430128450195864E-2</v>
      </c>
      <c r="R109" s="562">
        <f t="shared" ca="1" si="19"/>
        <v>0.16559053626871095</v>
      </c>
      <c r="S109" s="562">
        <f t="shared" ca="1" si="19"/>
        <v>0.14041466407229047</v>
      </c>
      <c r="T109" s="562">
        <f t="shared" ca="1" si="19"/>
        <v>0.12188382488718603</v>
      </c>
      <c r="U109" s="562">
        <f t="shared" ca="1" si="19"/>
        <v>0.10574742288569154</v>
      </c>
      <c r="V109" s="562">
        <f t="shared" ca="1" si="19"/>
        <v>9.2969883020321137E-2</v>
      </c>
      <c r="W109" s="562">
        <f t="shared" ca="1" si="19"/>
        <v>8.2727379899628292E-2</v>
      </c>
      <c r="X109" s="562">
        <f t="shared" ca="1" si="19"/>
        <v>7.4244217697076509E-2</v>
      </c>
      <c r="Y109" s="562">
        <f t="shared" ca="1" si="19"/>
        <v>6.7143631891023847E-2</v>
      </c>
      <c r="Z109" s="562">
        <f t="shared" ca="1" si="19"/>
        <v>0.14850919792404044</v>
      </c>
      <c r="AA109" s="562">
        <f t="shared" ca="1" si="19"/>
        <v>0.12365744050222487</v>
      </c>
      <c r="AB109" s="562">
        <f t="shared" ca="1" si="19"/>
        <v>0.10535341139650532</v>
      </c>
      <c r="AC109" s="562">
        <f t="shared" ca="1" si="19"/>
        <v>9.1450619935441069E-2</v>
      </c>
      <c r="AD109" s="562">
        <f t="shared" ca="1" si="19"/>
        <v>8.0173922087077618E-2</v>
      </c>
      <c r="AE109" s="562">
        <f t="shared" ca="1" si="19"/>
        <v>7.1113154163317122E-2</v>
      </c>
      <c r="AF109" s="562">
        <f t="shared" ca="1" si="19"/>
        <v>6.3616106090520805E-2</v>
      </c>
      <c r="AG109" s="562">
        <f t="shared" ca="1" si="19"/>
        <v>5.74112880911705E-2</v>
      </c>
      <c r="AH109" s="19"/>
      <c r="AI109" s="19"/>
      <c r="AJ109" s="19"/>
      <c r="AK109" s="21"/>
      <c r="AL109" s="21"/>
      <c r="AM109" s="19"/>
      <c r="AN109" s="19"/>
      <c r="AO109" s="326"/>
      <c r="AP109" s="326"/>
      <c r="AQ109" s="326"/>
      <c r="AR109" s="326"/>
      <c r="AS109" s="326"/>
      <c r="AT109" s="326"/>
      <c r="AU109" s="326"/>
      <c r="AV109" s="326"/>
      <c r="AW109" s="326"/>
      <c r="AX109" s="326"/>
      <c r="AY109" s="326"/>
      <c r="AZ109" s="326"/>
    </row>
    <row r="110" spans="1:52">
      <c r="A110" s="169"/>
      <c r="B110" s="191" t="str">
        <f>"Inflow for single well built in Year "&amp;Cashflow!K$164</f>
        <v>Inflow for single well built in Year 2025</v>
      </c>
      <c r="C110" s="563"/>
      <c r="D110" s="563"/>
      <c r="E110" s="563"/>
      <c r="F110" s="563"/>
      <c r="G110" s="563"/>
      <c r="H110" s="563"/>
      <c r="I110" s="563"/>
      <c r="J110" s="563"/>
      <c r="K110" s="562">
        <f t="shared" ref="K110:AG110" si="20">IF($K$31=0,0,K76/$K$31)</f>
        <v>0.16870442580794642</v>
      </c>
      <c r="L110" s="562">
        <f t="shared" ca="1" si="20"/>
        <v>0.13758744124121017</v>
      </c>
      <c r="M110" s="562">
        <f t="shared" ca="1" si="20"/>
        <v>0.12055107128815831</v>
      </c>
      <c r="N110" s="562">
        <f t="shared" ca="1" si="20"/>
        <v>0.10767386290674356</v>
      </c>
      <c r="O110" s="562">
        <f t="shared" ca="1" si="20"/>
        <v>9.6431310741739912E-2</v>
      </c>
      <c r="P110" s="562">
        <f t="shared" ca="1" si="20"/>
        <v>8.7314537075971546E-2</v>
      </c>
      <c r="Q110" s="562">
        <f t="shared" ca="1" si="20"/>
        <v>7.9772696058946449E-2</v>
      </c>
      <c r="R110" s="562">
        <f t="shared" ca="1" si="20"/>
        <v>7.3430128450195864E-2</v>
      </c>
      <c r="S110" s="562">
        <f t="shared" ca="1" si="20"/>
        <v>0.16559053626871095</v>
      </c>
      <c r="T110" s="562">
        <f t="shared" ca="1" si="20"/>
        <v>0.14041466407229047</v>
      </c>
      <c r="U110" s="562">
        <f t="shared" ca="1" si="20"/>
        <v>0.11970314824159253</v>
      </c>
      <c r="V110" s="562">
        <f t="shared" ca="1" si="20"/>
        <v>0.10380888076483512</v>
      </c>
      <c r="W110" s="562">
        <f t="shared" ca="1" si="20"/>
        <v>9.1365194675542619E-2</v>
      </c>
      <c r="X110" s="562">
        <f t="shared" ca="1" si="20"/>
        <v>8.1263387337413062E-2</v>
      </c>
      <c r="Y110" s="562">
        <f t="shared" ca="1" si="20"/>
        <v>7.2943199912407927E-2</v>
      </c>
      <c r="Z110" s="562">
        <f t="shared" ca="1" si="20"/>
        <v>6.5855511584923865E-2</v>
      </c>
      <c r="AA110" s="562">
        <f t="shared" ca="1" si="20"/>
        <v>0.14582879944674154</v>
      </c>
      <c r="AB110" s="562">
        <f t="shared" ca="1" si="20"/>
        <v>0.12137101771955762</v>
      </c>
      <c r="AC110" s="562">
        <f t="shared" ca="1" si="20"/>
        <v>0.10351956403467913</v>
      </c>
      <c r="AD110" s="562">
        <f t="shared" ca="1" si="20"/>
        <v>8.9521088421370285E-2</v>
      </c>
      <c r="AE110" s="562">
        <f t="shared" ca="1" si="20"/>
        <v>7.8538292666906234E-2</v>
      </c>
      <c r="AF110" s="562">
        <f t="shared" ca="1" si="20"/>
        <v>6.9630476695500543E-2</v>
      </c>
      <c r="AG110" s="562">
        <f t="shared" ca="1" si="20"/>
        <v>6.2370219580316417E-2</v>
      </c>
      <c r="AH110" s="19"/>
      <c r="AI110" s="19"/>
      <c r="AJ110" s="19"/>
      <c r="AK110" s="21"/>
      <c r="AL110" s="21"/>
      <c r="AM110" s="19"/>
      <c r="AN110" s="19"/>
      <c r="AO110" s="326"/>
      <c r="AP110" s="326"/>
      <c r="AQ110" s="326"/>
      <c r="AR110" s="326"/>
      <c r="AS110" s="326"/>
      <c r="AT110" s="326"/>
      <c r="AU110" s="326"/>
      <c r="AV110" s="326"/>
      <c r="AW110" s="326"/>
      <c r="AX110" s="326"/>
      <c r="AY110" s="326"/>
      <c r="AZ110" s="326"/>
    </row>
    <row r="111" spans="1:52">
      <c r="A111" s="169"/>
      <c r="B111" s="191" t="str">
        <f>"Inflow for single well built in Year "&amp;Cashflow!L$164</f>
        <v>Inflow for single well built in Year 2026</v>
      </c>
      <c r="C111" s="563"/>
      <c r="D111" s="563"/>
      <c r="E111" s="563"/>
      <c r="F111" s="563"/>
      <c r="G111" s="563"/>
      <c r="H111" s="563"/>
      <c r="I111" s="563"/>
      <c r="J111" s="563"/>
      <c r="K111" s="563"/>
      <c r="L111" s="562">
        <f t="shared" ref="L111:AG111" ca="1" si="21">IF($L$31=0,0,L77/$L$31)</f>
        <v>0.16167274666691106</v>
      </c>
      <c r="M111" s="562">
        <f t="shared" ca="1" si="21"/>
        <v>0.13864878383944529</v>
      </c>
      <c r="N111" s="562">
        <f t="shared" ca="1" si="21"/>
        <v>0.12188382488718603</v>
      </c>
      <c r="O111" s="562">
        <f t="shared" ca="1" si="21"/>
        <v>0.10767386290674356</v>
      </c>
      <c r="P111" s="562">
        <f t="shared" ca="1" si="21"/>
        <v>9.6431310741739912E-2</v>
      </c>
      <c r="Q111" s="562">
        <f t="shared" ca="1" si="21"/>
        <v>8.7314537075971546E-2</v>
      </c>
      <c r="R111" s="562">
        <f t="shared" ca="1" si="21"/>
        <v>7.9772696058946449E-2</v>
      </c>
      <c r="S111" s="562">
        <f t="shared" ca="1" si="21"/>
        <v>7.3430128450195864E-2</v>
      </c>
      <c r="T111" s="562">
        <f t="shared" ca="1" si="21"/>
        <v>0.16559053626871095</v>
      </c>
      <c r="U111" s="562">
        <f t="shared" ca="1" si="21"/>
        <v>0.1379024441044259</v>
      </c>
      <c r="V111" s="562">
        <f t="shared" ca="1" si="21"/>
        <v>0.11750877235485074</v>
      </c>
      <c r="W111" s="562">
        <f t="shared" ca="1" si="21"/>
        <v>0.10201710803547261</v>
      </c>
      <c r="X111" s="562">
        <f t="shared" ca="1" si="21"/>
        <v>8.9748342242737117E-2</v>
      </c>
      <c r="Y111" s="562">
        <f t="shared" ca="1" si="21"/>
        <v>7.9839369205795666E-2</v>
      </c>
      <c r="Z111" s="562">
        <f t="shared" ca="1" si="21"/>
        <v>7.1543817508554902E-2</v>
      </c>
      <c r="AA111" s="562">
        <f t="shared" ca="1" si="21"/>
        <v>6.466690498384145E-2</v>
      </c>
      <c r="AB111" s="562">
        <f t="shared" ca="1" si="21"/>
        <v>0.14313242882747387</v>
      </c>
      <c r="AC111" s="562">
        <f t="shared" ca="1" si="21"/>
        <v>0.11925835788541626</v>
      </c>
      <c r="AD111" s="562">
        <f t="shared" ca="1" si="21"/>
        <v>0.10133538790477659</v>
      </c>
      <c r="AE111" s="562">
        <f t="shared" ca="1" si="21"/>
        <v>8.7694767316750716E-2</v>
      </c>
      <c r="AF111" s="562">
        <f t="shared" ca="1" si="21"/>
        <v>7.6900804381256918E-2</v>
      </c>
      <c r="AG111" s="562">
        <f t="shared" ca="1" si="21"/>
        <v>6.8266802039107954E-2</v>
      </c>
      <c r="AH111" s="19"/>
      <c r="AI111" s="19"/>
      <c r="AJ111" s="19"/>
      <c r="AK111" s="21"/>
      <c r="AL111" s="21"/>
      <c r="AM111" s="19"/>
      <c r="AN111" s="19"/>
      <c r="AO111" s="326"/>
      <c r="AP111" s="326"/>
      <c r="AQ111" s="326"/>
      <c r="AR111" s="326"/>
      <c r="AS111" s="326"/>
      <c r="AT111" s="326"/>
      <c r="AU111" s="326"/>
      <c r="AV111" s="326"/>
      <c r="AW111" s="326"/>
      <c r="AX111" s="326"/>
      <c r="AY111" s="326"/>
      <c r="AZ111" s="326"/>
    </row>
    <row r="112" spans="1:52">
      <c r="A112" s="19"/>
      <c r="B112" s="191" t="str">
        <f>"Inflow for single well built in Year "&amp;Cashflow!M$164</f>
        <v>Inflow for single well built in Year 2027</v>
      </c>
      <c r="C112" s="563"/>
      <c r="D112" s="563"/>
      <c r="E112" s="563"/>
      <c r="F112" s="563"/>
      <c r="G112" s="563"/>
      <c r="H112" s="563"/>
      <c r="I112" s="563"/>
      <c r="J112" s="563"/>
      <c r="K112" s="563"/>
      <c r="L112" s="563"/>
      <c r="M112" s="562">
        <f t="shared" ref="M112:AG112" ca="1" si="22">IF($M$31=0,0,M78/$M$31)</f>
        <v>0.16314018037780764</v>
      </c>
      <c r="N112" s="562">
        <f t="shared" ca="1" si="22"/>
        <v>0.14041466407229047</v>
      </c>
      <c r="O112" s="562">
        <f t="shared" ca="1" si="22"/>
        <v>0.12188382488718603</v>
      </c>
      <c r="P112" s="562">
        <f t="shared" ca="1" si="22"/>
        <v>0.10767386290674356</v>
      </c>
      <c r="Q112" s="562">
        <f t="shared" ca="1" si="22"/>
        <v>9.6431310741739912E-2</v>
      </c>
      <c r="R112" s="562">
        <f t="shared" ca="1" si="22"/>
        <v>8.7314537075971546E-2</v>
      </c>
      <c r="S112" s="562">
        <f t="shared" ca="1" si="22"/>
        <v>7.9772696058946449E-2</v>
      </c>
      <c r="T112" s="562">
        <f t="shared" ca="1" si="22"/>
        <v>7.3430128450195864E-2</v>
      </c>
      <c r="U112" s="562">
        <f t="shared" ca="1" si="22"/>
        <v>0.16262788379610674</v>
      </c>
      <c r="V112" s="562">
        <f t="shared" ca="1" si="22"/>
        <v>0.13537444210522398</v>
      </c>
      <c r="W112" s="562">
        <f t="shared" ca="1" si="22"/>
        <v>0.11548053534646552</v>
      </c>
      <c r="X112" s="562">
        <f t="shared" ca="1" si="22"/>
        <v>0.10021175305428205</v>
      </c>
      <c r="Y112" s="562">
        <f t="shared" ca="1" si="22"/>
        <v>8.8175638091166242E-2</v>
      </c>
      <c r="Z112" s="562">
        <f t="shared" ca="1" si="22"/>
        <v>7.8307686903189275E-2</v>
      </c>
      <c r="AA112" s="562">
        <f t="shared" ca="1" si="22"/>
        <v>7.0252544360556585E-2</v>
      </c>
      <c r="AB112" s="562">
        <f t="shared" ca="1" si="22"/>
        <v>6.347121563236266E-2</v>
      </c>
      <c r="AC112" s="562">
        <f t="shared" ca="1" si="22"/>
        <v>0.1406409762630271</v>
      </c>
      <c r="AD112" s="562">
        <f t="shared" ca="1" si="22"/>
        <v>0.11674210638248833</v>
      </c>
      <c r="AE112" s="562">
        <f t="shared" ca="1" si="22"/>
        <v>9.9268043094309269E-2</v>
      </c>
      <c r="AF112" s="562">
        <f t="shared" ca="1" si="22"/>
        <v>8.5866370628743374E-2</v>
      </c>
      <c r="AG112" s="562">
        <f t="shared" ca="1" si="22"/>
        <v>7.5394744348815684E-2</v>
      </c>
      <c r="AH112" s="19"/>
      <c r="AI112" s="19"/>
      <c r="AJ112" s="19"/>
      <c r="AK112" s="21"/>
      <c r="AL112" s="21"/>
      <c r="AM112" s="19"/>
      <c r="AN112" s="19"/>
      <c r="AO112" s="326"/>
      <c r="AP112" s="326"/>
      <c r="AQ112" s="326"/>
      <c r="AR112" s="326"/>
      <c r="AS112" s="326"/>
      <c r="AT112" s="326"/>
      <c r="AU112" s="326"/>
      <c r="AV112" s="326"/>
      <c r="AW112" s="326"/>
      <c r="AX112" s="326"/>
      <c r="AY112" s="326"/>
      <c r="AZ112" s="326"/>
    </row>
    <row r="113" spans="1:52">
      <c r="A113" s="19"/>
      <c r="B113" s="191" t="str">
        <f>"Inflow for single well built in Year "&amp;Cashflow!N$164</f>
        <v>Inflow for single well built in Year 2028</v>
      </c>
      <c r="C113" s="563"/>
      <c r="D113" s="563"/>
      <c r="E113" s="563"/>
      <c r="F113" s="563"/>
      <c r="G113" s="563"/>
      <c r="H113" s="563"/>
      <c r="I113" s="563"/>
      <c r="J113" s="563"/>
      <c r="K113" s="563"/>
      <c r="L113" s="563"/>
      <c r="M113" s="563"/>
      <c r="N113" s="562">
        <f t="shared" ref="N113:AG113" ca="1" si="23">IF($N$31=0,0,N79/$N$31)</f>
        <v>0.16559053626871095</v>
      </c>
      <c r="O113" s="562">
        <f t="shared" ca="1" si="23"/>
        <v>0.14041466407229047</v>
      </c>
      <c r="P113" s="562">
        <f t="shared" ca="1" si="23"/>
        <v>0.12188382488718603</v>
      </c>
      <c r="Q113" s="562">
        <f t="shared" ca="1" si="23"/>
        <v>0.10767386290674356</v>
      </c>
      <c r="R113" s="562">
        <f t="shared" ca="1" si="23"/>
        <v>9.6431310741739912E-2</v>
      </c>
      <c r="S113" s="562">
        <f t="shared" ca="1" si="23"/>
        <v>8.7314537075971546E-2</v>
      </c>
      <c r="T113" s="562">
        <f t="shared" ca="1" si="23"/>
        <v>7.9772696058946449E-2</v>
      </c>
      <c r="U113" s="562">
        <f t="shared" ca="1" si="23"/>
        <v>7.2116358010660644E-2</v>
      </c>
      <c r="V113" s="562">
        <f t="shared" ca="1" si="23"/>
        <v>0.15964661962756735</v>
      </c>
      <c r="W113" s="562">
        <f t="shared" ca="1" si="23"/>
        <v>0.13303783822480753</v>
      </c>
      <c r="X113" s="562">
        <f t="shared" ca="1" si="23"/>
        <v>0.11343692360591508</v>
      </c>
      <c r="Y113" s="562">
        <f t="shared" ca="1" si="23"/>
        <v>9.8455693431047972E-2</v>
      </c>
      <c r="Z113" s="562">
        <f t="shared" ca="1" si="23"/>
        <v>8.6484028228403675E-2</v>
      </c>
      <c r="AA113" s="562">
        <f t="shared" ca="1" si="23"/>
        <v>7.689433468211361E-2</v>
      </c>
      <c r="AB113" s="562">
        <f t="shared" ca="1" si="23"/>
        <v>6.8953576685712739E-2</v>
      </c>
      <c r="AC113" s="562">
        <f t="shared" ca="1" si="23"/>
        <v>6.2366395961158644E-2</v>
      </c>
      <c r="AD113" s="562">
        <f t="shared" ca="1" si="23"/>
        <v>0.13767356941482023</v>
      </c>
      <c r="AE113" s="562">
        <f t="shared" ca="1" si="23"/>
        <v>0.11436044887090266</v>
      </c>
      <c r="AF113" s="562">
        <f t="shared" ca="1" si="23"/>
        <v>9.7198348781043956E-2</v>
      </c>
      <c r="AG113" s="562">
        <f t="shared" ca="1" si="23"/>
        <v>8.4184724903770228E-2</v>
      </c>
      <c r="AH113" s="19"/>
      <c r="AI113" s="19"/>
      <c r="AJ113" s="19"/>
      <c r="AK113" s="21"/>
      <c r="AL113" s="21"/>
      <c r="AM113" s="19"/>
      <c r="AN113" s="19"/>
      <c r="AO113" s="326"/>
      <c r="AP113" s="326"/>
      <c r="AQ113" s="326"/>
      <c r="AR113" s="326"/>
      <c r="AS113" s="326"/>
      <c r="AT113" s="326"/>
      <c r="AU113" s="326"/>
      <c r="AV113" s="326"/>
      <c r="AW113" s="326"/>
      <c r="AX113" s="326"/>
      <c r="AY113" s="326"/>
      <c r="AZ113" s="326"/>
    </row>
    <row r="114" spans="1:52">
      <c r="A114" s="19"/>
      <c r="B114" s="191" t="str">
        <f>"Inflow for single well built in Year "&amp;Cashflow!O$164</f>
        <v>Inflow for single well built in Year 2029</v>
      </c>
      <c r="C114" s="563"/>
      <c r="D114" s="563"/>
      <c r="E114" s="563"/>
      <c r="F114" s="563"/>
      <c r="G114" s="563"/>
      <c r="H114" s="563"/>
      <c r="I114" s="563"/>
      <c r="J114" s="563"/>
      <c r="K114" s="563"/>
      <c r="L114" s="563"/>
      <c r="M114" s="563"/>
      <c r="N114" s="563"/>
      <c r="O114" s="562">
        <f t="shared" ref="O114:AG114" ca="1" si="24">IF($O$31=0,0,O80/$O$31)</f>
        <v>0</v>
      </c>
      <c r="P114" s="562">
        <f t="shared" ca="1" si="24"/>
        <v>0</v>
      </c>
      <c r="Q114" s="562">
        <f t="shared" ca="1" si="24"/>
        <v>0</v>
      </c>
      <c r="R114" s="562">
        <f t="shared" ca="1" si="24"/>
        <v>0</v>
      </c>
      <c r="S114" s="562">
        <f t="shared" ca="1" si="24"/>
        <v>0</v>
      </c>
      <c r="T114" s="562">
        <f t="shared" ca="1" si="24"/>
        <v>0</v>
      </c>
      <c r="U114" s="562">
        <f t="shared" ca="1" si="24"/>
        <v>0</v>
      </c>
      <c r="V114" s="562">
        <f t="shared" ca="1" si="24"/>
        <v>0</v>
      </c>
      <c r="W114" s="562">
        <f t="shared" ca="1" si="24"/>
        <v>0</v>
      </c>
      <c r="X114" s="562">
        <f t="shared" ca="1" si="24"/>
        <v>0</v>
      </c>
      <c r="Y114" s="562">
        <f t="shared" ca="1" si="24"/>
        <v>0</v>
      </c>
      <c r="Z114" s="562">
        <f t="shared" ca="1" si="24"/>
        <v>0</v>
      </c>
      <c r="AA114" s="562">
        <f t="shared" ca="1" si="24"/>
        <v>0</v>
      </c>
      <c r="AB114" s="562">
        <f t="shared" ca="1" si="24"/>
        <v>0</v>
      </c>
      <c r="AC114" s="562">
        <f t="shared" ca="1" si="24"/>
        <v>0</v>
      </c>
      <c r="AD114" s="562">
        <f t="shared" ca="1" si="24"/>
        <v>0</v>
      </c>
      <c r="AE114" s="562">
        <f t="shared" ca="1" si="24"/>
        <v>0</v>
      </c>
      <c r="AF114" s="562">
        <f t="shared" ca="1" si="24"/>
        <v>0</v>
      </c>
      <c r="AG114" s="562">
        <f t="shared" ca="1" si="24"/>
        <v>0</v>
      </c>
      <c r="AH114" s="19"/>
      <c r="AI114" s="19"/>
      <c r="AJ114" s="19"/>
      <c r="AK114" s="21"/>
      <c r="AL114" s="21"/>
      <c r="AM114" s="19"/>
      <c r="AN114" s="19"/>
      <c r="AO114" s="326"/>
      <c r="AP114" s="326"/>
      <c r="AQ114" s="326"/>
      <c r="AR114" s="326"/>
      <c r="AS114" s="326"/>
      <c r="AT114" s="326"/>
      <c r="AU114" s="326"/>
      <c r="AV114" s="326"/>
      <c r="AW114" s="326"/>
      <c r="AX114" s="326"/>
      <c r="AY114" s="326"/>
      <c r="AZ114" s="326"/>
    </row>
    <row r="115" spans="1:52">
      <c r="A115" s="19"/>
      <c r="B115" s="191" t="str">
        <f>"Inflow for single well built in Year "&amp;Cashflow!P$164</f>
        <v>Inflow for single well built in Year 2030</v>
      </c>
      <c r="C115" s="563"/>
      <c r="D115" s="563"/>
      <c r="E115" s="563"/>
      <c r="F115" s="563"/>
      <c r="G115" s="563"/>
      <c r="H115" s="563"/>
      <c r="I115" s="563"/>
      <c r="J115" s="563"/>
      <c r="K115" s="563"/>
      <c r="L115" s="563"/>
      <c r="M115" s="563"/>
      <c r="N115" s="563"/>
      <c r="O115" s="563"/>
      <c r="P115" s="562">
        <f t="shared" ref="P115:AG115" ca="1" si="25">IF($P$31=0,0,P81/$P$31)</f>
        <v>0</v>
      </c>
      <c r="Q115" s="562">
        <f t="shared" ca="1" si="25"/>
        <v>0</v>
      </c>
      <c r="R115" s="562">
        <f t="shared" ca="1" si="25"/>
        <v>0</v>
      </c>
      <c r="S115" s="562">
        <f t="shared" ca="1" si="25"/>
        <v>0</v>
      </c>
      <c r="T115" s="562">
        <f t="shared" ca="1" si="25"/>
        <v>0</v>
      </c>
      <c r="U115" s="562">
        <f t="shared" ca="1" si="25"/>
        <v>0</v>
      </c>
      <c r="V115" s="562">
        <f t="shared" ca="1" si="25"/>
        <v>0</v>
      </c>
      <c r="W115" s="562">
        <f t="shared" ca="1" si="25"/>
        <v>0</v>
      </c>
      <c r="X115" s="562">
        <f t="shared" ca="1" si="25"/>
        <v>0</v>
      </c>
      <c r="Y115" s="562">
        <f t="shared" ca="1" si="25"/>
        <v>0</v>
      </c>
      <c r="Z115" s="562">
        <f t="shared" ca="1" si="25"/>
        <v>0</v>
      </c>
      <c r="AA115" s="562">
        <f t="shared" ca="1" si="25"/>
        <v>0</v>
      </c>
      <c r="AB115" s="562">
        <f t="shared" ca="1" si="25"/>
        <v>0</v>
      </c>
      <c r="AC115" s="562">
        <f t="shared" ca="1" si="25"/>
        <v>0</v>
      </c>
      <c r="AD115" s="562">
        <f t="shared" ca="1" si="25"/>
        <v>0</v>
      </c>
      <c r="AE115" s="562">
        <f t="shared" ca="1" si="25"/>
        <v>0</v>
      </c>
      <c r="AF115" s="562">
        <f t="shared" ca="1" si="25"/>
        <v>0</v>
      </c>
      <c r="AG115" s="562">
        <f t="shared" ca="1" si="25"/>
        <v>0</v>
      </c>
      <c r="AH115" s="19"/>
      <c r="AI115" s="19"/>
      <c r="AJ115" s="19"/>
      <c r="AK115" s="21"/>
      <c r="AL115" s="21"/>
      <c r="AM115" s="19"/>
      <c r="AN115" s="19"/>
      <c r="AO115" s="326"/>
      <c r="AP115" s="326"/>
      <c r="AQ115" s="326"/>
      <c r="AR115" s="326"/>
      <c r="AS115" s="326"/>
      <c r="AT115" s="326"/>
      <c r="AU115" s="326"/>
      <c r="AV115" s="326"/>
      <c r="AW115" s="326"/>
      <c r="AX115" s="326"/>
      <c r="AY115" s="326"/>
      <c r="AZ115" s="326"/>
    </row>
    <row r="116" spans="1:52">
      <c r="A116" s="19"/>
      <c r="B116" s="191" t="str">
        <f>"Inflow for single well built in Year "&amp;Cashflow!Q$164</f>
        <v>Inflow for single well built in Year 2031</v>
      </c>
      <c r="C116" s="563"/>
      <c r="D116" s="563"/>
      <c r="E116" s="563"/>
      <c r="F116" s="563"/>
      <c r="G116" s="563"/>
      <c r="H116" s="563"/>
      <c r="I116" s="563"/>
      <c r="J116" s="563"/>
      <c r="K116" s="563"/>
      <c r="L116" s="563"/>
      <c r="M116" s="563"/>
      <c r="N116" s="563"/>
      <c r="O116" s="563"/>
      <c r="P116" s="563"/>
      <c r="Q116" s="562">
        <f t="shared" ref="Q116:AG116" ca="1" si="26">IF($Q$31=0,0,Q82/$Q$31)</f>
        <v>0</v>
      </c>
      <c r="R116" s="562">
        <f t="shared" ca="1" si="26"/>
        <v>0</v>
      </c>
      <c r="S116" s="562">
        <f t="shared" ca="1" si="26"/>
        <v>0</v>
      </c>
      <c r="T116" s="562">
        <f t="shared" ca="1" si="26"/>
        <v>0</v>
      </c>
      <c r="U116" s="562">
        <f t="shared" ca="1" si="26"/>
        <v>0</v>
      </c>
      <c r="V116" s="562">
        <f t="shared" ca="1" si="26"/>
        <v>0</v>
      </c>
      <c r="W116" s="562">
        <f t="shared" ca="1" si="26"/>
        <v>0</v>
      </c>
      <c r="X116" s="562">
        <f t="shared" ca="1" si="26"/>
        <v>0</v>
      </c>
      <c r="Y116" s="562">
        <f t="shared" ca="1" si="26"/>
        <v>0</v>
      </c>
      <c r="Z116" s="562">
        <f t="shared" ca="1" si="26"/>
        <v>0</v>
      </c>
      <c r="AA116" s="562">
        <f t="shared" ca="1" si="26"/>
        <v>0</v>
      </c>
      <c r="AB116" s="562">
        <f t="shared" ca="1" si="26"/>
        <v>0</v>
      </c>
      <c r="AC116" s="562">
        <f t="shared" ca="1" si="26"/>
        <v>0</v>
      </c>
      <c r="AD116" s="562">
        <f t="shared" ca="1" si="26"/>
        <v>0</v>
      </c>
      <c r="AE116" s="562">
        <f t="shared" ca="1" si="26"/>
        <v>0</v>
      </c>
      <c r="AF116" s="562">
        <f t="shared" ca="1" si="26"/>
        <v>0</v>
      </c>
      <c r="AG116" s="562">
        <f t="shared" ca="1" si="26"/>
        <v>0</v>
      </c>
      <c r="AH116" s="19"/>
      <c r="AI116" s="19"/>
      <c r="AJ116" s="19"/>
      <c r="AK116" s="21"/>
      <c r="AL116" s="21"/>
      <c r="AM116" s="19"/>
      <c r="AN116" s="19"/>
      <c r="AO116" s="326"/>
      <c r="AP116" s="326"/>
      <c r="AQ116" s="326"/>
      <c r="AR116" s="326"/>
      <c r="AS116" s="326"/>
      <c r="AT116" s="326"/>
      <c r="AU116" s="326"/>
      <c r="AV116" s="326"/>
      <c r="AW116" s="326"/>
      <c r="AX116" s="326"/>
      <c r="AY116" s="326"/>
      <c r="AZ116" s="326"/>
    </row>
    <row r="117" spans="1:52">
      <c r="A117" s="19"/>
      <c r="B117" s="191" t="str">
        <f>"Inflow for single well built in Year "&amp;Cashflow!R$164</f>
        <v>Inflow for single well built in Year 2032</v>
      </c>
      <c r="C117" s="563"/>
      <c r="D117" s="563"/>
      <c r="E117" s="563"/>
      <c r="F117" s="563"/>
      <c r="G117" s="563"/>
      <c r="H117" s="563"/>
      <c r="I117" s="563"/>
      <c r="J117" s="563"/>
      <c r="K117" s="563"/>
      <c r="L117" s="563"/>
      <c r="M117" s="563"/>
      <c r="N117" s="563"/>
      <c r="O117" s="563"/>
      <c r="P117" s="563"/>
      <c r="Q117" s="563"/>
      <c r="R117" s="562">
        <f t="shared" ref="R117:AG117" ca="1" si="27">IF($R$31=0,0,R83/$R$31)</f>
        <v>0</v>
      </c>
      <c r="S117" s="562">
        <f t="shared" ca="1" si="27"/>
        <v>0</v>
      </c>
      <c r="T117" s="562">
        <f t="shared" ca="1" si="27"/>
        <v>0</v>
      </c>
      <c r="U117" s="562">
        <f t="shared" ca="1" si="27"/>
        <v>0</v>
      </c>
      <c r="V117" s="562">
        <f t="shared" ca="1" si="27"/>
        <v>0</v>
      </c>
      <c r="W117" s="562">
        <f t="shared" ca="1" si="27"/>
        <v>0</v>
      </c>
      <c r="X117" s="562">
        <f t="shared" ca="1" si="27"/>
        <v>0</v>
      </c>
      <c r="Y117" s="562">
        <f t="shared" ca="1" si="27"/>
        <v>0</v>
      </c>
      <c r="Z117" s="562">
        <f t="shared" ca="1" si="27"/>
        <v>0</v>
      </c>
      <c r="AA117" s="562">
        <f t="shared" ca="1" si="27"/>
        <v>0</v>
      </c>
      <c r="AB117" s="562">
        <f t="shared" ca="1" si="27"/>
        <v>0</v>
      </c>
      <c r="AC117" s="562">
        <f t="shared" ca="1" si="27"/>
        <v>0</v>
      </c>
      <c r="AD117" s="562">
        <f t="shared" ca="1" si="27"/>
        <v>0</v>
      </c>
      <c r="AE117" s="562">
        <f t="shared" ca="1" si="27"/>
        <v>0</v>
      </c>
      <c r="AF117" s="562">
        <f t="shared" ca="1" si="27"/>
        <v>0</v>
      </c>
      <c r="AG117" s="562">
        <f t="shared" ca="1" si="27"/>
        <v>0</v>
      </c>
      <c r="AH117" s="19"/>
      <c r="AI117" s="19"/>
      <c r="AJ117" s="19"/>
      <c r="AK117" s="21"/>
      <c r="AL117" s="21"/>
      <c r="AM117" s="19"/>
      <c r="AN117" s="19"/>
      <c r="AO117" s="326"/>
      <c r="AP117" s="326"/>
      <c r="AQ117" s="326"/>
      <c r="AR117" s="326"/>
      <c r="AS117" s="326"/>
      <c r="AT117" s="326"/>
      <c r="AU117" s="326"/>
      <c r="AV117" s="326"/>
      <c r="AW117" s="326"/>
      <c r="AX117" s="326"/>
      <c r="AY117" s="326"/>
      <c r="AZ117" s="326"/>
    </row>
    <row r="118" spans="1:52">
      <c r="A118" s="19"/>
      <c r="B118" s="191" t="str">
        <f>"Inflow for single well built in Year "&amp;Cashflow!S$164</f>
        <v>Inflow for single well built in Year 2033</v>
      </c>
      <c r="C118" s="563"/>
      <c r="D118" s="563"/>
      <c r="E118" s="563"/>
      <c r="F118" s="563"/>
      <c r="G118" s="563"/>
      <c r="H118" s="563"/>
      <c r="I118" s="563"/>
      <c r="J118" s="563"/>
      <c r="K118" s="563"/>
      <c r="L118" s="563"/>
      <c r="M118" s="563"/>
      <c r="N118" s="563"/>
      <c r="O118" s="563"/>
      <c r="P118" s="563"/>
      <c r="Q118" s="563"/>
      <c r="R118" s="563"/>
      <c r="S118" s="562">
        <f t="shared" ref="S118:AG118" ca="1" si="28">IF($S$31=0,0,S84/$S$31)</f>
        <v>0</v>
      </c>
      <c r="T118" s="562">
        <f t="shared" ca="1" si="28"/>
        <v>0</v>
      </c>
      <c r="U118" s="562">
        <f t="shared" ca="1" si="28"/>
        <v>0</v>
      </c>
      <c r="V118" s="562">
        <f t="shared" ca="1" si="28"/>
        <v>0</v>
      </c>
      <c r="W118" s="562">
        <f t="shared" ca="1" si="28"/>
        <v>0</v>
      </c>
      <c r="X118" s="562">
        <f t="shared" ca="1" si="28"/>
        <v>0</v>
      </c>
      <c r="Y118" s="562">
        <f t="shared" ca="1" si="28"/>
        <v>0</v>
      </c>
      <c r="Z118" s="562">
        <f t="shared" ca="1" si="28"/>
        <v>0</v>
      </c>
      <c r="AA118" s="562">
        <f t="shared" ca="1" si="28"/>
        <v>0</v>
      </c>
      <c r="AB118" s="562">
        <f t="shared" ca="1" si="28"/>
        <v>0</v>
      </c>
      <c r="AC118" s="562">
        <f t="shared" ca="1" si="28"/>
        <v>0</v>
      </c>
      <c r="AD118" s="562">
        <f t="shared" ca="1" si="28"/>
        <v>0</v>
      </c>
      <c r="AE118" s="562">
        <f t="shared" ca="1" si="28"/>
        <v>0</v>
      </c>
      <c r="AF118" s="562">
        <f t="shared" ca="1" si="28"/>
        <v>0</v>
      </c>
      <c r="AG118" s="562">
        <f t="shared" ca="1" si="28"/>
        <v>0</v>
      </c>
      <c r="AH118" s="19"/>
      <c r="AI118" s="19"/>
      <c r="AJ118" s="19"/>
      <c r="AK118" s="21"/>
      <c r="AL118" s="21"/>
      <c r="AM118" s="19"/>
      <c r="AN118" s="19"/>
      <c r="AO118" s="326"/>
      <c r="AP118" s="326"/>
      <c r="AQ118" s="326"/>
      <c r="AR118" s="326"/>
      <c r="AS118" s="326"/>
      <c r="AT118" s="326"/>
      <c r="AU118" s="326"/>
      <c r="AV118" s="326"/>
      <c r="AW118" s="326"/>
      <c r="AX118" s="326"/>
      <c r="AY118" s="326"/>
      <c r="AZ118" s="326"/>
    </row>
    <row r="119" spans="1:52">
      <c r="A119" s="19"/>
      <c r="B119" s="191" t="str">
        <f>"Inflow for single well built in Year "&amp;Cashflow!T$164</f>
        <v>Inflow for single well built in Year 2034</v>
      </c>
      <c r="C119" s="563"/>
      <c r="D119" s="563"/>
      <c r="E119" s="563"/>
      <c r="F119" s="563"/>
      <c r="G119" s="563"/>
      <c r="H119" s="563"/>
      <c r="I119" s="563"/>
      <c r="J119" s="563"/>
      <c r="K119" s="563"/>
      <c r="L119" s="563"/>
      <c r="M119" s="563"/>
      <c r="N119" s="563"/>
      <c r="O119" s="563"/>
      <c r="P119" s="563"/>
      <c r="Q119" s="563"/>
      <c r="R119" s="563"/>
      <c r="S119" s="563"/>
      <c r="T119" s="562">
        <f t="shared" ref="T119:AG119" ca="1" si="29">IF($T$31=0,0,T85/$T$31)</f>
        <v>0</v>
      </c>
      <c r="U119" s="562">
        <f t="shared" ca="1" si="29"/>
        <v>0</v>
      </c>
      <c r="V119" s="562">
        <f t="shared" ca="1" si="29"/>
        <v>0</v>
      </c>
      <c r="W119" s="562">
        <f t="shared" ca="1" si="29"/>
        <v>0</v>
      </c>
      <c r="X119" s="562">
        <f t="shared" ca="1" si="29"/>
        <v>0</v>
      </c>
      <c r="Y119" s="562">
        <f t="shared" ca="1" si="29"/>
        <v>0</v>
      </c>
      <c r="Z119" s="562">
        <f t="shared" ca="1" si="29"/>
        <v>0</v>
      </c>
      <c r="AA119" s="562">
        <f t="shared" ca="1" si="29"/>
        <v>0</v>
      </c>
      <c r="AB119" s="562">
        <f t="shared" ca="1" si="29"/>
        <v>0</v>
      </c>
      <c r="AC119" s="562">
        <f t="shared" ca="1" si="29"/>
        <v>0</v>
      </c>
      <c r="AD119" s="562">
        <f t="shared" ca="1" si="29"/>
        <v>0</v>
      </c>
      <c r="AE119" s="562">
        <f t="shared" ca="1" si="29"/>
        <v>0</v>
      </c>
      <c r="AF119" s="562">
        <f t="shared" ca="1" si="29"/>
        <v>0</v>
      </c>
      <c r="AG119" s="562">
        <f t="shared" ca="1" si="29"/>
        <v>0</v>
      </c>
      <c r="AH119" s="19"/>
      <c r="AI119" s="19"/>
      <c r="AJ119" s="19"/>
      <c r="AK119" s="21"/>
      <c r="AL119" s="21"/>
      <c r="AM119" s="19"/>
      <c r="AN119" s="19"/>
      <c r="AO119" s="326"/>
      <c r="AP119" s="326"/>
      <c r="AQ119" s="326"/>
      <c r="AR119" s="326"/>
      <c r="AS119" s="326"/>
      <c r="AT119" s="326"/>
      <c r="AU119" s="326"/>
      <c r="AV119" s="326"/>
      <c r="AW119" s="326"/>
      <c r="AX119" s="326"/>
      <c r="AY119" s="326"/>
      <c r="AZ119" s="326"/>
    </row>
    <row r="120" spans="1:52">
      <c r="A120" s="169"/>
      <c r="B120" s="191" t="str">
        <f>"Inflow for single well built in Year "&amp;Cashflow!U$164</f>
        <v>Inflow for single well built in Year 2035</v>
      </c>
      <c r="C120" s="563"/>
      <c r="D120" s="563"/>
      <c r="E120" s="563"/>
      <c r="F120" s="563"/>
      <c r="G120" s="563"/>
      <c r="H120" s="563"/>
      <c r="I120" s="563"/>
      <c r="J120" s="563"/>
      <c r="K120" s="563"/>
      <c r="L120" s="563"/>
      <c r="M120" s="563"/>
      <c r="N120" s="563"/>
      <c r="O120" s="563"/>
      <c r="P120" s="563"/>
      <c r="Q120" s="563"/>
      <c r="R120" s="563"/>
      <c r="S120" s="563"/>
      <c r="T120" s="563"/>
      <c r="U120" s="562">
        <f t="shared" ref="U120:AG120" ca="1" si="30">IF($U$31=0,0,U86/$U$31)</f>
        <v>0</v>
      </c>
      <c r="V120" s="562">
        <f t="shared" ca="1" si="30"/>
        <v>0</v>
      </c>
      <c r="W120" s="562">
        <f t="shared" ca="1" si="30"/>
        <v>0</v>
      </c>
      <c r="X120" s="562">
        <f t="shared" ca="1" si="30"/>
        <v>0</v>
      </c>
      <c r="Y120" s="562">
        <f t="shared" ca="1" si="30"/>
        <v>0</v>
      </c>
      <c r="Z120" s="562">
        <f t="shared" ca="1" si="30"/>
        <v>0</v>
      </c>
      <c r="AA120" s="562">
        <f t="shared" ca="1" si="30"/>
        <v>0</v>
      </c>
      <c r="AB120" s="562">
        <f t="shared" ca="1" si="30"/>
        <v>0</v>
      </c>
      <c r="AC120" s="562">
        <f t="shared" ca="1" si="30"/>
        <v>0</v>
      </c>
      <c r="AD120" s="562">
        <f t="shared" ca="1" si="30"/>
        <v>0</v>
      </c>
      <c r="AE120" s="562">
        <f t="shared" ca="1" si="30"/>
        <v>0</v>
      </c>
      <c r="AF120" s="562">
        <f t="shared" ca="1" si="30"/>
        <v>0</v>
      </c>
      <c r="AG120" s="562">
        <f t="shared" ca="1" si="30"/>
        <v>0</v>
      </c>
      <c r="AH120" s="19"/>
      <c r="AI120" s="19"/>
      <c r="AJ120" s="19"/>
      <c r="AK120" s="21"/>
      <c r="AL120" s="21"/>
      <c r="AM120" s="19"/>
      <c r="AN120" s="19"/>
      <c r="AO120" s="326"/>
      <c r="AP120" s="326"/>
      <c r="AQ120" s="326"/>
      <c r="AR120" s="326"/>
      <c r="AS120" s="326"/>
      <c r="AT120" s="326"/>
      <c r="AU120" s="326"/>
      <c r="AV120" s="326"/>
      <c r="AW120" s="326"/>
      <c r="AX120" s="326"/>
      <c r="AY120" s="326"/>
      <c r="AZ120" s="326"/>
    </row>
    <row r="121" spans="1:52">
      <c r="A121" s="169"/>
      <c r="B121" s="191" t="str">
        <f>"Inflow for single well built in Year "&amp;Cashflow!V$164</f>
        <v>Inflow for single well built in Year 2036</v>
      </c>
      <c r="C121" s="563"/>
      <c r="D121" s="563"/>
      <c r="E121" s="563"/>
      <c r="F121" s="563"/>
      <c r="G121" s="563"/>
      <c r="H121" s="563"/>
      <c r="I121" s="563"/>
      <c r="J121" s="563"/>
      <c r="K121" s="563"/>
      <c r="L121" s="563"/>
      <c r="M121" s="563"/>
      <c r="N121" s="563"/>
      <c r="O121" s="563"/>
      <c r="P121" s="563"/>
      <c r="Q121" s="563"/>
      <c r="R121" s="563"/>
      <c r="S121" s="563"/>
      <c r="T121" s="563"/>
      <c r="U121" s="563"/>
      <c r="V121" s="562">
        <f t="shared" ref="V121:AG121" ca="1" si="31">IF($V$31=0,0,V87/$V$31)</f>
        <v>0</v>
      </c>
      <c r="W121" s="562">
        <f t="shared" ca="1" si="31"/>
        <v>0</v>
      </c>
      <c r="X121" s="562">
        <f t="shared" ca="1" si="31"/>
        <v>0</v>
      </c>
      <c r="Y121" s="562">
        <f t="shared" ca="1" si="31"/>
        <v>0</v>
      </c>
      <c r="Z121" s="562">
        <f t="shared" ca="1" si="31"/>
        <v>0</v>
      </c>
      <c r="AA121" s="562">
        <f t="shared" ca="1" si="31"/>
        <v>0</v>
      </c>
      <c r="AB121" s="562">
        <f t="shared" ca="1" si="31"/>
        <v>0</v>
      </c>
      <c r="AC121" s="562">
        <f t="shared" ca="1" si="31"/>
        <v>0</v>
      </c>
      <c r="AD121" s="562">
        <f t="shared" ca="1" si="31"/>
        <v>0</v>
      </c>
      <c r="AE121" s="562">
        <f t="shared" ca="1" si="31"/>
        <v>0</v>
      </c>
      <c r="AF121" s="562">
        <f t="shared" ca="1" si="31"/>
        <v>0</v>
      </c>
      <c r="AG121" s="562">
        <f t="shared" ca="1" si="31"/>
        <v>0</v>
      </c>
      <c r="AH121" s="19"/>
      <c r="AI121" s="19"/>
      <c r="AJ121" s="19"/>
      <c r="AK121" s="21"/>
      <c r="AL121" s="21"/>
      <c r="AM121" s="19"/>
      <c r="AN121" s="19"/>
      <c r="AO121" s="326"/>
      <c r="AP121" s="326"/>
      <c r="AQ121" s="326"/>
      <c r="AR121" s="326"/>
      <c r="AS121" s="326"/>
      <c r="AT121" s="326"/>
      <c r="AU121" s="326"/>
      <c r="AV121" s="326"/>
      <c r="AW121" s="326"/>
      <c r="AX121" s="326"/>
      <c r="AY121" s="326"/>
      <c r="AZ121" s="326"/>
    </row>
    <row r="122" spans="1:52">
      <c r="A122" s="169"/>
      <c r="B122" s="191" t="str">
        <f>"Inflow for single well built in Year "&amp;Cashflow!W$164</f>
        <v>Inflow for single well built in Year 2037</v>
      </c>
      <c r="C122" s="563"/>
      <c r="D122" s="563"/>
      <c r="E122" s="563"/>
      <c r="F122" s="563"/>
      <c r="G122" s="563"/>
      <c r="H122" s="563"/>
      <c r="I122" s="563"/>
      <c r="J122" s="563"/>
      <c r="K122" s="563"/>
      <c r="L122" s="563"/>
      <c r="M122" s="563"/>
      <c r="N122" s="563"/>
      <c r="O122" s="563"/>
      <c r="P122" s="563"/>
      <c r="Q122" s="563"/>
      <c r="R122" s="563"/>
      <c r="S122" s="563"/>
      <c r="T122" s="563"/>
      <c r="U122" s="563"/>
      <c r="V122" s="563"/>
      <c r="W122" s="562">
        <f t="shared" ref="W122:AG122" ca="1" si="32">IF($W$31=0,0,W88/$W$31)</f>
        <v>0</v>
      </c>
      <c r="X122" s="562">
        <f t="shared" ca="1" si="32"/>
        <v>0</v>
      </c>
      <c r="Y122" s="562">
        <f t="shared" ca="1" si="32"/>
        <v>0</v>
      </c>
      <c r="Z122" s="562">
        <f t="shared" ca="1" si="32"/>
        <v>0</v>
      </c>
      <c r="AA122" s="562">
        <f t="shared" ca="1" si="32"/>
        <v>0</v>
      </c>
      <c r="AB122" s="562">
        <f t="shared" ca="1" si="32"/>
        <v>0</v>
      </c>
      <c r="AC122" s="562">
        <f t="shared" ca="1" si="32"/>
        <v>0</v>
      </c>
      <c r="AD122" s="562">
        <f t="shared" ca="1" si="32"/>
        <v>0</v>
      </c>
      <c r="AE122" s="562">
        <f t="shared" ca="1" si="32"/>
        <v>0</v>
      </c>
      <c r="AF122" s="562">
        <f t="shared" ca="1" si="32"/>
        <v>0</v>
      </c>
      <c r="AG122" s="562">
        <f t="shared" ca="1" si="32"/>
        <v>0</v>
      </c>
      <c r="AH122" s="19"/>
      <c r="AI122" s="19"/>
      <c r="AJ122" s="19"/>
      <c r="AK122" s="21"/>
      <c r="AL122" s="21"/>
      <c r="AM122" s="19"/>
      <c r="AN122" s="19"/>
      <c r="AO122" s="326"/>
      <c r="AP122" s="326"/>
      <c r="AQ122" s="326"/>
      <c r="AR122" s="326"/>
      <c r="AS122" s="326"/>
      <c r="AT122" s="326"/>
      <c r="AU122" s="326"/>
      <c r="AV122" s="326"/>
      <c r="AW122" s="326"/>
      <c r="AX122" s="326"/>
      <c r="AY122" s="326"/>
      <c r="AZ122" s="326"/>
    </row>
    <row r="123" spans="1:52">
      <c r="A123" s="169"/>
      <c r="B123" s="191" t="str">
        <f>"Inflow for single well built in Year "&amp;Cashflow!X$164</f>
        <v>Inflow for single well built in Year 2038</v>
      </c>
      <c r="C123" s="563"/>
      <c r="D123" s="563"/>
      <c r="E123" s="563"/>
      <c r="F123" s="563"/>
      <c r="G123" s="563"/>
      <c r="H123" s="563"/>
      <c r="I123" s="563"/>
      <c r="J123" s="563"/>
      <c r="K123" s="563"/>
      <c r="L123" s="563"/>
      <c r="M123" s="563"/>
      <c r="N123" s="563"/>
      <c r="O123" s="563"/>
      <c r="P123" s="563"/>
      <c r="Q123" s="563"/>
      <c r="R123" s="563"/>
      <c r="S123" s="563"/>
      <c r="T123" s="563"/>
      <c r="U123" s="563"/>
      <c r="V123" s="563"/>
      <c r="W123" s="563"/>
      <c r="X123" s="562">
        <f t="shared" ref="X123:AG123" ca="1" si="33">IF($X$31=0,0,X89/$X$31)</f>
        <v>0</v>
      </c>
      <c r="Y123" s="562">
        <f t="shared" ca="1" si="33"/>
        <v>0</v>
      </c>
      <c r="Z123" s="562">
        <f t="shared" ca="1" si="33"/>
        <v>0</v>
      </c>
      <c r="AA123" s="562">
        <f t="shared" ca="1" si="33"/>
        <v>0</v>
      </c>
      <c r="AB123" s="562">
        <f t="shared" ca="1" si="33"/>
        <v>0</v>
      </c>
      <c r="AC123" s="562">
        <f t="shared" ca="1" si="33"/>
        <v>0</v>
      </c>
      <c r="AD123" s="562">
        <f t="shared" ca="1" si="33"/>
        <v>0</v>
      </c>
      <c r="AE123" s="562">
        <f t="shared" ca="1" si="33"/>
        <v>0</v>
      </c>
      <c r="AF123" s="562">
        <f t="shared" ca="1" si="33"/>
        <v>0</v>
      </c>
      <c r="AG123" s="562">
        <f t="shared" ca="1" si="33"/>
        <v>0</v>
      </c>
      <c r="AH123" s="19"/>
      <c r="AI123" s="19"/>
      <c r="AJ123" s="19"/>
      <c r="AK123" s="21"/>
      <c r="AL123" s="21"/>
      <c r="AM123" s="19"/>
      <c r="AN123" s="19"/>
      <c r="AO123" s="326"/>
      <c r="AP123" s="326"/>
      <c r="AQ123" s="326"/>
      <c r="AR123" s="326"/>
      <c r="AS123" s="326"/>
      <c r="AT123" s="326"/>
      <c r="AU123" s="326"/>
      <c r="AV123" s="326"/>
      <c r="AW123" s="326"/>
      <c r="AX123" s="326"/>
      <c r="AY123" s="326"/>
      <c r="AZ123" s="326"/>
    </row>
    <row r="124" spans="1:52">
      <c r="A124" s="169"/>
      <c r="B124" s="191" t="str">
        <f>"Inflow for single well built in Year "&amp;Cashflow!Y$164</f>
        <v>Inflow for single well built in Year 2039</v>
      </c>
      <c r="C124" s="563"/>
      <c r="D124" s="563"/>
      <c r="E124" s="563"/>
      <c r="F124" s="563"/>
      <c r="G124" s="563"/>
      <c r="H124" s="563"/>
      <c r="I124" s="563"/>
      <c r="J124" s="563"/>
      <c r="K124" s="563"/>
      <c r="L124" s="563"/>
      <c r="M124" s="563"/>
      <c r="N124" s="563"/>
      <c r="O124" s="563"/>
      <c r="P124" s="563"/>
      <c r="Q124" s="563"/>
      <c r="R124" s="563"/>
      <c r="S124" s="563"/>
      <c r="T124" s="563"/>
      <c r="U124" s="563"/>
      <c r="V124" s="563"/>
      <c r="W124" s="563"/>
      <c r="X124" s="563"/>
      <c r="Y124" s="562">
        <f t="shared" ref="Y124:AG124" ca="1" si="34">IF($Y$31=0,0,Y90/$Y$31)</f>
        <v>0</v>
      </c>
      <c r="Z124" s="562">
        <f t="shared" ca="1" si="34"/>
        <v>0</v>
      </c>
      <c r="AA124" s="562">
        <f t="shared" ca="1" si="34"/>
        <v>0</v>
      </c>
      <c r="AB124" s="562">
        <f t="shared" ca="1" si="34"/>
        <v>0</v>
      </c>
      <c r="AC124" s="562">
        <f t="shared" ca="1" si="34"/>
        <v>0</v>
      </c>
      <c r="AD124" s="562">
        <f t="shared" ca="1" si="34"/>
        <v>0</v>
      </c>
      <c r="AE124" s="562">
        <f t="shared" ca="1" si="34"/>
        <v>0</v>
      </c>
      <c r="AF124" s="562">
        <f t="shared" ca="1" si="34"/>
        <v>0</v>
      </c>
      <c r="AG124" s="562">
        <f t="shared" ca="1" si="34"/>
        <v>0</v>
      </c>
      <c r="AH124" s="19"/>
      <c r="AI124" s="19"/>
      <c r="AJ124" s="19"/>
      <c r="AK124" s="21"/>
      <c r="AL124" s="21"/>
      <c r="AM124" s="19"/>
      <c r="AN124" s="19"/>
      <c r="AO124" s="326"/>
      <c r="AP124" s="326"/>
      <c r="AQ124" s="326"/>
      <c r="AR124" s="326"/>
      <c r="AS124" s="326"/>
      <c r="AT124" s="326"/>
      <c r="AU124" s="326"/>
      <c r="AV124" s="326"/>
      <c r="AW124" s="326"/>
      <c r="AX124" s="326"/>
      <c r="AY124" s="326"/>
      <c r="AZ124" s="326"/>
    </row>
    <row r="125" spans="1:52">
      <c r="A125" s="169"/>
      <c r="B125" s="191" t="str">
        <f>"Inflow for single well built in Year "&amp;Cashflow!Z$164</f>
        <v>Inflow for single well built in Year 2040</v>
      </c>
      <c r="C125" s="563"/>
      <c r="D125" s="563"/>
      <c r="E125" s="563"/>
      <c r="F125" s="563"/>
      <c r="G125" s="563"/>
      <c r="H125" s="563"/>
      <c r="I125" s="563"/>
      <c r="J125" s="563"/>
      <c r="K125" s="563"/>
      <c r="L125" s="563"/>
      <c r="M125" s="563"/>
      <c r="N125" s="563"/>
      <c r="O125" s="563"/>
      <c r="P125" s="563"/>
      <c r="Q125" s="563"/>
      <c r="R125" s="563"/>
      <c r="S125" s="563"/>
      <c r="T125" s="563"/>
      <c r="U125" s="563"/>
      <c r="V125" s="563"/>
      <c r="W125" s="563"/>
      <c r="X125" s="563"/>
      <c r="Y125" s="563"/>
      <c r="Z125" s="562">
        <f t="shared" ref="Z125:AG125" ca="1" si="35">IF($Z$31=0,0,Z91/$Z$31)</f>
        <v>0</v>
      </c>
      <c r="AA125" s="562">
        <f t="shared" ca="1" si="35"/>
        <v>0</v>
      </c>
      <c r="AB125" s="562">
        <f t="shared" ca="1" si="35"/>
        <v>0</v>
      </c>
      <c r="AC125" s="562">
        <f t="shared" ca="1" si="35"/>
        <v>0</v>
      </c>
      <c r="AD125" s="562">
        <f t="shared" ca="1" si="35"/>
        <v>0</v>
      </c>
      <c r="AE125" s="562">
        <f t="shared" ca="1" si="35"/>
        <v>0</v>
      </c>
      <c r="AF125" s="562">
        <f t="shared" ca="1" si="35"/>
        <v>0</v>
      </c>
      <c r="AG125" s="562">
        <f t="shared" ca="1" si="35"/>
        <v>0</v>
      </c>
      <c r="AH125" s="19"/>
      <c r="AI125" s="19"/>
      <c r="AJ125" s="19"/>
      <c r="AK125" s="21"/>
      <c r="AL125" s="21"/>
      <c r="AM125" s="19"/>
      <c r="AN125" s="19"/>
      <c r="AO125" s="326"/>
      <c r="AP125" s="326"/>
      <c r="AQ125" s="326"/>
      <c r="AR125" s="326"/>
      <c r="AS125" s="326"/>
      <c r="AT125" s="326"/>
      <c r="AU125" s="326"/>
      <c r="AV125" s="326"/>
      <c r="AW125" s="326"/>
      <c r="AX125" s="326"/>
      <c r="AY125" s="326"/>
      <c r="AZ125" s="326"/>
    </row>
    <row r="126" spans="1:52">
      <c r="A126" s="169"/>
      <c r="B126" s="191" t="str">
        <f>"Inflow for single well built in Year "&amp;Cashflow!AA$164</f>
        <v>Inflow for single well built in Year 2041</v>
      </c>
      <c r="C126" s="563"/>
      <c r="D126" s="563"/>
      <c r="E126" s="563"/>
      <c r="F126" s="563"/>
      <c r="G126" s="563"/>
      <c r="H126" s="563"/>
      <c r="I126" s="563"/>
      <c r="J126" s="563"/>
      <c r="K126" s="563"/>
      <c r="L126" s="563"/>
      <c r="M126" s="563"/>
      <c r="N126" s="563"/>
      <c r="O126" s="563"/>
      <c r="P126" s="563"/>
      <c r="Q126" s="563"/>
      <c r="R126" s="563"/>
      <c r="S126" s="563"/>
      <c r="T126" s="563"/>
      <c r="U126" s="563"/>
      <c r="V126" s="563"/>
      <c r="W126" s="563"/>
      <c r="X126" s="563"/>
      <c r="Y126" s="563"/>
      <c r="Z126" s="563"/>
      <c r="AA126" s="562">
        <f t="shared" ref="AA126:AG126" ca="1" si="36">IF($AA$31=0,0,AA92/$AA$31)</f>
        <v>0</v>
      </c>
      <c r="AB126" s="562">
        <f t="shared" ca="1" si="36"/>
        <v>0</v>
      </c>
      <c r="AC126" s="562">
        <f t="shared" ca="1" si="36"/>
        <v>0</v>
      </c>
      <c r="AD126" s="562">
        <f t="shared" ca="1" si="36"/>
        <v>0</v>
      </c>
      <c r="AE126" s="562">
        <f t="shared" ca="1" si="36"/>
        <v>0</v>
      </c>
      <c r="AF126" s="562">
        <f t="shared" ca="1" si="36"/>
        <v>0</v>
      </c>
      <c r="AG126" s="562">
        <f t="shared" ca="1" si="36"/>
        <v>0</v>
      </c>
      <c r="AH126" s="19"/>
      <c r="AI126" s="19"/>
      <c r="AJ126" s="19"/>
      <c r="AK126" s="21"/>
      <c r="AL126" s="21"/>
      <c r="AM126" s="19"/>
      <c r="AN126" s="19"/>
      <c r="AO126" s="326"/>
      <c r="AP126" s="326"/>
      <c r="AQ126" s="326"/>
      <c r="AR126" s="326"/>
      <c r="AS126" s="326"/>
      <c r="AT126" s="326"/>
      <c r="AU126" s="326"/>
      <c r="AV126" s="326"/>
      <c r="AW126" s="326"/>
      <c r="AX126" s="326"/>
      <c r="AY126" s="326"/>
      <c r="AZ126" s="326"/>
    </row>
    <row r="127" spans="1:52">
      <c r="A127" s="19"/>
      <c r="B127" s="191" t="str">
        <f>"Inflow for single well built in Year "&amp;Cashflow!AB$164</f>
        <v>Inflow for single well built in Year 2042</v>
      </c>
      <c r="C127" s="563"/>
      <c r="D127" s="563"/>
      <c r="E127" s="563"/>
      <c r="F127" s="563"/>
      <c r="G127" s="563"/>
      <c r="H127" s="563"/>
      <c r="I127" s="563"/>
      <c r="J127" s="563"/>
      <c r="K127" s="563"/>
      <c r="L127" s="563"/>
      <c r="M127" s="563"/>
      <c r="N127" s="563"/>
      <c r="O127" s="563"/>
      <c r="P127" s="563"/>
      <c r="Q127" s="563"/>
      <c r="R127" s="563"/>
      <c r="S127" s="563"/>
      <c r="T127" s="563"/>
      <c r="U127" s="563"/>
      <c r="V127" s="563"/>
      <c r="W127" s="563"/>
      <c r="X127" s="563"/>
      <c r="Y127" s="563"/>
      <c r="Z127" s="563"/>
      <c r="AA127" s="563"/>
      <c r="AB127" s="562">
        <f t="shared" ref="AB127:AG127" ca="1" si="37">IF($AB$31=0,0,AB93/$AB$31)</f>
        <v>0</v>
      </c>
      <c r="AC127" s="562">
        <f t="shared" ca="1" si="37"/>
        <v>0</v>
      </c>
      <c r="AD127" s="562">
        <f t="shared" ca="1" si="37"/>
        <v>0</v>
      </c>
      <c r="AE127" s="562">
        <f t="shared" ca="1" si="37"/>
        <v>0</v>
      </c>
      <c r="AF127" s="562">
        <f t="shared" ca="1" si="37"/>
        <v>0</v>
      </c>
      <c r="AG127" s="562">
        <f t="shared" ca="1" si="37"/>
        <v>0</v>
      </c>
      <c r="AH127" s="19"/>
      <c r="AI127" s="19"/>
      <c r="AJ127" s="19"/>
      <c r="AK127" s="21"/>
      <c r="AL127" s="21"/>
      <c r="AM127" s="19"/>
      <c r="AN127" s="19"/>
      <c r="AO127" s="326"/>
      <c r="AP127" s="326"/>
      <c r="AQ127" s="326"/>
      <c r="AR127" s="326"/>
      <c r="AS127" s="326"/>
      <c r="AT127" s="326"/>
      <c r="AU127" s="326"/>
      <c r="AV127" s="326"/>
      <c r="AW127" s="326"/>
      <c r="AX127" s="326"/>
      <c r="AY127" s="326"/>
      <c r="AZ127" s="326"/>
    </row>
    <row r="128" spans="1:52">
      <c r="A128" s="19"/>
      <c r="B128" s="191" t="str">
        <f>"Inflow for single well built in Year "&amp;Cashflow!AC$164</f>
        <v>Inflow for single well built in Year 2043</v>
      </c>
      <c r="C128" s="563"/>
      <c r="D128" s="563"/>
      <c r="E128" s="563"/>
      <c r="F128" s="563"/>
      <c r="G128" s="563"/>
      <c r="H128" s="563"/>
      <c r="I128" s="563"/>
      <c r="J128" s="563"/>
      <c r="K128" s="563"/>
      <c r="L128" s="563"/>
      <c r="M128" s="563"/>
      <c r="N128" s="563"/>
      <c r="O128" s="563"/>
      <c r="P128" s="563"/>
      <c r="Q128" s="563"/>
      <c r="R128" s="563"/>
      <c r="S128" s="563"/>
      <c r="T128" s="563"/>
      <c r="U128" s="563"/>
      <c r="V128" s="563"/>
      <c r="W128" s="563"/>
      <c r="X128" s="563"/>
      <c r="Y128" s="563"/>
      <c r="Z128" s="563"/>
      <c r="AA128" s="563"/>
      <c r="AB128" s="563"/>
      <c r="AC128" s="562">
        <f ca="1">IF($AC$31=0,0,AC94/$AC$31)</f>
        <v>0</v>
      </c>
      <c r="AD128" s="562">
        <f ca="1">IF($AC$31=0,0,AD94/$AC$31)</f>
        <v>0</v>
      </c>
      <c r="AE128" s="562">
        <f ca="1">IF($AC$31=0,0,AE94/$AC$31)</f>
        <v>0</v>
      </c>
      <c r="AF128" s="562">
        <f ca="1">IF($AC$31=0,0,AF94/$AC$31)</f>
        <v>0</v>
      </c>
      <c r="AG128" s="562">
        <f ca="1">IF($AC$31=0,0,AG94/$AC$31)</f>
        <v>0</v>
      </c>
      <c r="AH128" s="19"/>
      <c r="AI128" s="19"/>
      <c r="AJ128" s="19"/>
      <c r="AK128" s="21"/>
      <c r="AL128" s="21"/>
      <c r="AM128" s="19"/>
      <c r="AN128" s="19"/>
      <c r="AO128" s="326"/>
      <c r="AP128" s="326"/>
      <c r="AQ128" s="326"/>
      <c r="AR128" s="326"/>
      <c r="AS128" s="326"/>
      <c r="AT128" s="326"/>
      <c r="AU128" s="326"/>
      <c r="AV128" s="326"/>
      <c r="AW128" s="326"/>
      <c r="AX128" s="326"/>
      <c r="AY128" s="326"/>
      <c r="AZ128" s="326"/>
    </row>
    <row r="129" spans="1:52">
      <c r="A129" s="19"/>
      <c r="B129" s="191" t="str">
        <f>"Inflow for single well built in Year "&amp;Cashflow!AD$164</f>
        <v>Inflow for single well built in Year 2044</v>
      </c>
      <c r="C129" s="563"/>
      <c r="D129" s="563"/>
      <c r="E129" s="563"/>
      <c r="F129" s="563"/>
      <c r="G129" s="563"/>
      <c r="H129" s="563"/>
      <c r="I129" s="563"/>
      <c r="J129" s="563"/>
      <c r="K129" s="563"/>
      <c r="L129" s="563"/>
      <c r="M129" s="563"/>
      <c r="N129" s="563"/>
      <c r="O129" s="563"/>
      <c r="P129" s="563"/>
      <c r="Q129" s="563"/>
      <c r="R129" s="563"/>
      <c r="S129" s="563"/>
      <c r="T129" s="563"/>
      <c r="U129" s="563"/>
      <c r="V129" s="563"/>
      <c r="W129" s="563"/>
      <c r="X129" s="563"/>
      <c r="Y129" s="563"/>
      <c r="Z129" s="563"/>
      <c r="AA129" s="563"/>
      <c r="AB129" s="563"/>
      <c r="AC129" s="563"/>
      <c r="AD129" s="562">
        <f ca="1">IF($AD$31=0,0,AD95/$AD$31)</f>
        <v>0</v>
      </c>
      <c r="AE129" s="562">
        <f ca="1">IF($AD$31=0,0,AE95/$AD$31)</f>
        <v>0</v>
      </c>
      <c r="AF129" s="562">
        <f ca="1">IF($AD$31=0,0,AF95/$AD$31)</f>
        <v>0</v>
      </c>
      <c r="AG129" s="562">
        <f ca="1">IF($AD$31=0,0,AG95/$AD$31)</f>
        <v>0</v>
      </c>
      <c r="AH129" s="19"/>
      <c r="AI129" s="19"/>
      <c r="AJ129" s="19"/>
      <c r="AK129" s="21"/>
      <c r="AL129" s="21"/>
      <c r="AM129" s="19"/>
      <c r="AN129" s="19"/>
      <c r="AO129" s="326"/>
      <c r="AP129" s="326"/>
      <c r="AQ129" s="326"/>
      <c r="AR129" s="326"/>
      <c r="AS129" s="326"/>
      <c r="AT129" s="326"/>
      <c r="AU129" s="326"/>
      <c r="AV129" s="326"/>
      <c r="AW129" s="326"/>
      <c r="AX129" s="326"/>
      <c r="AY129" s="326"/>
      <c r="AZ129" s="326"/>
    </row>
    <row r="130" spans="1:52">
      <c r="A130" s="19"/>
      <c r="B130" s="191" t="str">
        <f>"Inflow for single well built in Year "&amp;Cashflow!AE$164</f>
        <v>Inflow for single well built in Year 2045</v>
      </c>
      <c r="C130" s="563"/>
      <c r="D130" s="563"/>
      <c r="E130" s="563"/>
      <c r="F130" s="563"/>
      <c r="G130" s="563"/>
      <c r="H130" s="563"/>
      <c r="I130" s="563"/>
      <c r="J130" s="563"/>
      <c r="K130" s="563"/>
      <c r="L130" s="563"/>
      <c r="M130" s="563"/>
      <c r="N130" s="563"/>
      <c r="O130" s="563"/>
      <c r="P130" s="563"/>
      <c r="Q130" s="563"/>
      <c r="R130" s="563"/>
      <c r="S130" s="563"/>
      <c r="T130" s="563"/>
      <c r="U130" s="563"/>
      <c r="V130" s="563"/>
      <c r="W130" s="563"/>
      <c r="X130" s="563"/>
      <c r="Y130" s="563"/>
      <c r="Z130" s="563"/>
      <c r="AA130" s="563"/>
      <c r="AB130" s="563"/>
      <c r="AC130" s="563"/>
      <c r="AD130" s="563"/>
      <c r="AE130" s="562">
        <f ca="1">IF($AE$31=0,0,AE96/$AE$31)</f>
        <v>0</v>
      </c>
      <c r="AF130" s="562">
        <f ca="1">IF($AE$31=0,0,AF96/$AE$31)</f>
        <v>0</v>
      </c>
      <c r="AG130" s="562">
        <f ca="1">IF($AE$31=0,0,AG96/$AE$31)</f>
        <v>0</v>
      </c>
      <c r="AH130" s="19"/>
      <c r="AI130" s="19"/>
      <c r="AJ130" s="19"/>
      <c r="AK130" s="21"/>
      <c r="AL130" s="21"/>
      <c r="AM130" s="19"/>
      <c r="AN130" s="19"/>
      <c r="AO130" s="326"/>
      <c r="AP130" s="326"/>
      <c r="AQ130" s="326"/>
      <c r="AR130" s="326"/>
      <c r="AS130" s="326"/>
      <c r="AT130" s="326"/>
      <c r="AU130" s="326"/>
      <c r="AV130" s="326"/>
      <c r="AW130" s="326"/>
      <c r="AX130" s="326"/>
      <c r="AY130" s="326"/>
      <c r="AZ130" s="326"/>
    </row>
    <row r="131" spans="1:52">
      <c r="A131" s="19"/>
      <c r="B131" s="191" t="str">
        <f>"Inflow for single well built in Year "&amp;Cashflow!AF$164</f>
        <v>Inflow for single well built in Year 2046</v>
      </c>
      <c r="C131" s="563"/>
      <c r="D131" s="563"/>
      <c r="E131" s="563"/>
      <c r="F131" s="563"/>
      <c r="G131" s="563"/>
      <c r="H131" s="563"/>
      <c r="I131" s="563"/>
      <c r="J131" s="563"/>
      <c r="K131" s="563"/>
      <c r="L131" s="563"/>
      <c r="M131" s="563"/>
      <c r="N131" s="563"/>
      <c r="O131" s="563"/>
      <c r="P131" s="563"/>
      <c r="Q131" s="563"/>
      <c r="R131" s="563"/>
      <c r="S131" s="563"/>
      <c r="T131" s="563"/>
      <c r="U131" s="563"/>
      <c r="V131" s="563"/>
      <c r="W131" s="563"/>
      <c r="X131" s="563"/>
      <c r="Y131" s="563"/>
      <c r="Z131" s="563"/>
      <c r="AA131" s="563"/>
      <c r="AB131" s="563"/>
      <c r="AC131" s="563"/>
      <c r="AD131" s="563"/>
      <c r="AE131" s="563"/>
      <c r="AF131" s="562">
        <f ca="1">IF($AF$31=0,0,AF97/$AF$31)</f>
        <v>0</v>
      </c>
      <c r="AG131" s="562">
        <f ca="1">IF($AF$31=0,0,AG97/$AF$31)</f>
        <v>0</v>
      </c>
      <c r="AH131" s="19"/>
      <c r="AI131" s="19"/>
      <c r="AJ131" s="19"/>
      <c r="AK131" s="21"/>
      <c r="AL131" s="21"/>
      <c r="AM131" s="19"/>
      <c r="AN131" s="19"/>
      <c r="AO131" s="326"/>
      <c r="AP131" s="326"/>
      <c r="AQ131" s="326"/>
      <c r="AR131" s="326"/>
      <c r="AS131" s="326"/>
      <c r="AT131" s="326"/>
      <c r="AU131" s="326"/>
      <c r="AV131" s="326"/>
      <c r="AW131" s="326"/>
      <c r="AX131" s="326"/>
      <c r="AY131" s="326"/>
      <c r="AZ131" s="326"/>
    </row>
    <row r="132" spans="1:52">
      <c r="A132" s="19"/>
      <c r="B132" s="191" t="str">
        <f>"Inflow for single well built in Year "&amp;Cashflow!AG$164</f>
        <v>Inflow for single well built in Year 2047</v>
      </c>
      <c r="C132" s="567"/>
      <c r="D132" s="566"/>
      <c r="E132" s="566"/>
      <c r="F132" s="566"/>
      <c r="G132" s="566"/>
      <c r="H132" s="566"/>
      <c r="I132" s="566"/>
      <c r="J132" s="566"/>
      <c r="K132" s="566"/>
      <c r="L132" s="566"/>
      <c r="M132" s="566"/>
      <c r="N132" s="566"/>
      <c r="O132" s="566"/>
      <c r="P132" s="566"/>
      <c r="Q132" s="566"/>
      <c r="R132" s="566"/>
      <c r="S132" s="566"/>
      <c r="T132" s="566"/>
      <c r="U132" s="566"/>
      <c r="V132" s="566"/>
      <c r="W132" s="566"/>
      <c r="X132" s="566"/>
      <c r="Y132" s="566"/>
      <c r="Z132" s="566"/>
      <c r="AA132" s="566"/>
      <c r="AB132" s="566"/>
      <c r="AC132" s="566"/>
      <c r="AD132" s="566"/>
      <c r="AE132" s="566"/>
      <c r="AF132" s="566"/>
      <c r="AG132" s="562">
        <f ca="1">IF($AG$31=0,0,AG98/$AG$31)</f>
        <v>0</v>
      </c>
      <c r="AH132" s="19"/>
      <c r="AI132" s="19"/>
      <c r="AJ132" s="19"/>
      <c r="AK132" s="21"/>
      <c r="AL132" s="21"/>
      <c r="AM132" s="19"/>
      <c r="AN132" s="19"/>
      <c r="AO132" s="326"/>
      <c r="AP132" s="326"/>
      <c r="AQ132" s="326"/>
      <c r="AR132" s="326"/>
      <c r="AS132" s="326"/>
      <c r="AT132" s="326"/>
      <c r="AU132" s="326"/>
      <c r="AV132" s="326"/>
      <c r="AW132" s="326"/>
      <c r="AX132" s="326"/>
      <c r="AY132" s="326"/>
      <c r="AZ132" s="326"/>
    </row>
    <row r="133" spans="1:52">
      <c r="A133" s="19"/>
      <c r="B133" s="28"/>
      <c r="C133" s="568"/>
      <c r="D133" s="19"/>
      <c r="E133" s="19"/>
      <c r="F133" s="19"/>
      <c r="G133" s="19"/>
      <c r="H133" s="19"/>
      <c r="I133" s="19"/>
      <c r="J133" s="28"/>
      <c r="K133" s="28"/>
      <c r="L133" s="28"/>
      <c r="M133" s="28"/>
      <c r="N133" s="28"/>
      <c r="O133" s="28"/>
      <c r="P133" s="19"/>
      <c r="Q133" s="19"/>
      <c r="R133" s="19"/>
      <c r="S133" s="19"/>
      <c r="T133" s="19"/>
      <c r="U133" s="19"/>
      <c r="V133" s="19"/>
      <c r="W133" s="19"/>
      <c r="X133" s="19"/>
      <c r="Y133" s="19"/>
      <c r="Z133" s="19"/>
      <c r="AA133" s="19"/>
      <c r="AB133" s="19"/>
      <c r="AC133" s="19"/>
      <c r="AD133" s="19"/>
      <c r="AE133" s="19"/>
      <c r="AF133" s="19"/>
      <c r="AG133" s="19"/>
      <c r="AH133" s="19"/>
      <c r="AI133" s="19"/>
      <c r="AJ133" s="19"/>
      <c r="AK133" s="21"/>
      <c r="AL133" s="21"/>
      <c r="AM133" s="19"/>
      <c r="AN133" s="19"/>
      <c r="AO133" s="326"/>
      <c r="AP133" s="326"/>
      <c r="AQ133" s="326"/>
      <c r="AR133" s="326"/>
      <c r="AS133" s="326"/>
      <c r="AT133" s="326"/>
      <c r="AU133" s="326"/>
      <c r="AV133" s="326"/>
      <c r="AW133" s="326"/>
      <c r="AX133" s="326"/>
      <c r="AY133" s="326"/>
      <c r="AZ133" s="326"/>
    </row>
    <row r="134" spans="1:52">
      <c r="A134" s="19"/>
      <c r="B134" s="591" t="s">
        <v>751</v>
      </c>
      <c r="C134" s="568"/>
      <c r="D134" s="19"/>
      <c r="E134" s="19"/>
      <c r="F134" s="19"/>
      <c r="G134" s="19"/>
      <c r="H134" s="19"/>
      <c r="I134" s="19"/>
      <c r="J134" s="28"/>
      <c r="K134" s="28"/>
      <c r="L134" s="28"/>
      <c r="M134" s="28"/>
      <c r="N134" s="28"/>
      <c r="O134" s="28"/>
      <c r="P134" s="19"/>
      <c r="Q134" s="19"/>
      <c r="R134" s="19"/>
      <c r="S134" s="19"/>
      <c r="T134" s="19"/>
      <c r="U134" s="19"/>
      <c r="V134" s="19"/>
      <c r="W134" s="19"/>
      <c r="X134" s="19"/>
      <c r="Y134" s="19"/>
      <c r="Z134" s="19"/>
      <c r="AA134" s="19"/>
      <c r="AB134" s="19"/>
      <c r="AC134" s="19"/>
      <c r="AD134" s="19"/>
      <c r="AE134" s="19"/>
      <c r="AF134" s="19"/>
      <c r="AG134" s="19"/>
      <c r="AH134" s="19"/>
      <c r="AI134" s="19"/>
      <c r="AJ134" s="19"/>
      <c r="AK134" s="21"/>
      <c r="AL134" s="21"/>
      <c r="AM134" s="19"/>
      <c r="AN134" s="19"/>
      <c r="AO134" s="326"/>
      <c r="AP134" s="326"/>
      <c r="AQ134" s="326"/>
      <c r="AR134" s="326"/>
      <c r="AS134" s="326"/>
      <c r="AT134" s="326"/>
      <c r="AU134" s="326"/>
      <c r="AV134" s="326"/>
      <c r="AW134" s="326"/>
      <c r="AX134" s="326"/>
      <c r="AY134" s="326"/>
      <c r="AZ134" s="326"/>
    </row>
    <row r="135" spans="1:52" ht="15" thickBot="1">
      <c r="A135" s="19"/>
      <c r="B135" s="458" t="s">
        <v>745</v>
      </c>
      <c r="C135" s="32">
        <f>Cashflow!C$30</f>
        <v>2017</v>
      </c>
      <c r="D135" s="32">
        <f>Cashflow!D$30</f>
        <v>2018</v>
      </c>
      <c r="E135" s="32">
        <f>Cashflow!E$30</f>
        <v>2019</v>
      </c>
      <c r="F135" s="32">
        <f>Cashflow!F$30</f>
        <v>2020</v>
      </c>
      <c r="G135" s="32">
        <f>Cashflow!G$30</f>
        <v>2021</v>
      </c>
      <c r="H135" s="32">
        <f>Cashflow!H$30</f>
        <v>2022</v>
      </c>
      <c r="I135" s="32">
        <f>Cashflow!I$30</f>
        <v>2023</v>
      </c>
      <c r="J135" s="32">
        <f>Cashflow!J$30</f>
        <v>2024</v>
      </c>
      <c r="K135" s="32">
        <f>Cashflow!K$30</f>
        <v>2025</v>
      </c>
      <c r="L135" s="32">
        <f>Cashflow!L$30</f>
        <v>2026</v>
      </c>
      <c r="M135" s="32">
        <f>Cashflow!M$30</f>
        <v>2027</v>
      </c>
      <c r="N135" s="32">
        <f>Cashflow!N$30</f>
        <v>2028</v>
      </c>
      <c r="O135" s="32">
        <f>Cashflow!O$30</f>
        <v>2029</v>
      </c>
      <c r="P135" s="32">
        <f>Cashflow!P$30</f>
        <v>2030</v>
      </c>
      <c r="Q135" s="32">
        <f>Cashflow!Q$30</f>
        <v>2031</v>
      </c>
      <c r="R135" s="32">
        <f>Cashflow!R$30</f>
        <v>2032</v>
      </c>
      <c r="S135" s="32">
        <f>Cashflow!S$30</f>
        <v>2033</v>
      </c>
      <c r="T135" s="32">
        <f>Cashflow!T$30</f>
        <v>2034</v>
      </c>
      <c r="U135" s="32">
        <f>Cashflow!U$30</f>
        <v>2035</v>
      </c>
      <c r="V135" s="32">
        <f>Cashflow!V$30</f>
        <v>2036</v>
      </c>
      <c r="W135" s="32">
        <f>Cashflow!W$30</f>
        <v>2037</v>
      </c>
      <c r="X135" s="32">
        <f>Cashflow!X$30</f>
        <v>2038</v>
      </c>
      <c r="Y135" s="32">
        <f>Cashflow!Y$30</f>
        <v>2039</v>
      </c>
      <c r="Z135" s="32">
        <f>Cashflow!Z$30</f>
        <v>2040</v>
      </c>
      <c r="AA135" s="32">
        <f>Cashflow!AA$30</f>
        <v>2041</v>
      </c>
      <c r="AB135" s="32">
        <f>Cashflow!AB$30</f>
        <v>2042</v>
      </c>
      <c r="AC135" s="32">
        <f>Cashflow!AC$30</f>
        <v>2043</v>
      </c>
      <c r="AD135" s="32">
        <f>Cashflow!AD$30</f>
        <v>2044</v>
      </c>
      <c r="AE135" s="32">
        <f>Cashflow!AE$30</f>
        <v>2045</v>
      </c>
      <c r="AF135" s="32">
        <f>Cashflow!AF$30</f>
        <v>2046</v>
      </c>
      <c r="AG135" s="32">
        <f>Cashflow!AG$30</f>
        <v>2047</v>
      </c>
      <c r="AH135" s="19"/>
      <c r="AI135" s="19"/>
      <c r="AJ135" s="19"/>
      <c r="AK135" s="21"/>
      <c r="AL135" s="21"/>
      <c r="AM135" s="19"/>
      <c r="AN135" s="19"/>
      <c r="AO135" s="326"/>
      <c r="AP135" s="326"/>
      <c r="AQ135" s="326"/>
      <c r="AR135" s="326"/>
      <c r="AS135" s="326"/>
      <c r="AT135" s="326"/>
      <c r="AU135" s="326"/>
      <c r="AV135" s="326"/>
      <c r="AW135" s="326"/>
      <c r="AX135" s="326"/>
      <c r="AY135" s="326"/>
      <c r="AZ135" s="326"/>
    </row>
    <row r="136" spans="1:52" ht="15" thickTop="1">
      <c r="A136" s="19"/>
      <c r="B136" s="191" t="str">
        <f>"Tubing flow for wells built in Year "&amp;Cashflow!C$164</f>
        <v>Tubing flow for wells built in Year 2017</v>
      </c>
      <c r="C136" s="1162">
        <f>IF(C$135&lt;$Q$7,0,IF(Cashflow!C$111="C/I",0,$C$31*$AE$12))</f>
        <v>0</v>
      </c>
      <c r="D136" s="1162">
        <f>IF(D$135&lt;$Q$7,0,IF(Cashflow!D$111="C/I",0,$C$31*C$54))</f>
        <v>0</v>
      </c>
      <c r="E136" s="1162">
        <f>IF(E$135&lt;$Q$7,0,IF(Cashflow!E$111="C/I",0,$C$31*D$54))</f>
        <v>0</v>
      </c>
      <c r="F136" s="1162">
        <f>IF(F$135&lt;$Q$7,0,IF(Cashflow!F$111="C/I",0,$C$31*E$54))</f>
        <v>0</v>
      </c>
      <c r="G136" s="1162">
        <f>IF(G$135&lt;$Q$7,0,IF(Cashflow!G$111="C/I",0,$C$31*F$54))</f>
        <v>0</v>
      </c>
      <c r="H136" s="1162">
        <f>IF(H$135&lt;$Q$7,0,IF(Cashflow!H$111="C/I",0,$C$31*G$54))</f>
        <v>0</v>
      </c>
      <c r="I136" s="1162">
        <f>IF(I$135&lt;$Q$7,0,IF(Cashflow!I$111="C/I",0,$C$31*H$54))</f>
        <v>0</v>
      </c>
      <c r="J136" s="1162">
        <f>IF(J$135&lt;$Q$7,0,IF(Cashflow!J$111="C/I",0,$C$31*I$54))</f>
        <v>0</v>
      </c>
      <c r="K136" s="1162">
        <f>IF(K$135&lt;$Q$7,0,IF(Cashflow!K$111="C/I",0,$C$31*J$54))</f>
        <v>0</v>
      </c>
      <c r="L136" s="1162">
        <f ca="1">IF(L$135&lt;$Q$7,0,IF(Cashflow!L$111="C/I",0,$C$31*K$54))</f>
        <v>0</v>
      </c>
      <c r="M136" s="1162">
        <f ca="1">IF(M$135&lt;$Q$7,0,IF(Cashflow!M$111="C/I",0,$C$31*L$54))</f>
        <v>0</v>
      </c>
      <c r="N136" s="1162">
        <f ca="1">IF(N$135&lt;$Q$7,0,IF(Cashflow!N$111="C/I",0,$C$31*M$54))</f>
        <v>0</v>
      </c>
      <c r="O136" s="1162">
        <f ca="1">IF(O$135&lt;$Q$7,0,IF(Cashflow!O$111="C/I",0,$C$31*N$54))</f>
        <v>0</v>
      </c>
      <c r="P136" s="1162">
        <f ca="1">IF(P$135&lt;$Q$7,0,IF(Cashflow!P$111="C/I",0,$C$31*O$54))</f>
        <v>0</v>
      </c>
      <c r="Q136" s="1162">
        <f ca="1">IF(Q$135&lt;$Q$7,0,IF(Cashflow!Q$111="C/I",0,$C$31*P$54))</f>
        <v>0</v>
      </c>
      <c r="R136" s="1162">
        <f ca="1">IF(R$135&lt;$Q$7,0,IF(Cashflow!R$111="C/I",0,$C$31*Q$54))</f>
        <v>0</v>
      </c>
      <c r="S136" s="1162">
        <f ca="1">IF(S$135&lt;$Q$7,0,IF(Cashflow!S$111="C/I",0,$C$31*R$54))</f>
        <v>0</v>
      </c>
      <c r="T136" s="1162">
        <f ca="1">IF(T$135&lt;$Q$7,0,IF(Cashflow!T$111="C/I",0,$C$31*S$54))</f>
        <v>0</v>
      </c>
      <c r="U136" s="1162">
        <f ca="1">IF(U$135&lt;$Q$7,0,IF(Cashflow!U$111="C/I",0,$C$31*T$54))</f>
        <v>0</v>
      </c>
      <c r="V136" s="1162">
        <f ca="1">IF(V$135&lt;$Q$7,0,IF(Cashflow!V$111="C/I",0,$C$31*U$54))</f>
        <v>0</v>
      </c>
      <c r="W136" s="1162">
        <f ca="1">IF(W$135&lt;$Q$7,0,IF(Cashflow!W$111="C/I",0,$C$31*V$54))</f>
        <v>0</v>
      </c>
      <c r="X136" s="1162">
        <f ca="1">IF(X$135&lt;$Q$7,0,IF(Cashflow!X$111="C/I",0,$C$31*W$54))</f>
        <v>0</v>
      </c>
      <c r="Y136" s="1162">
        <f ca="1">IF(Y$135&lt;$Q$7,0,IF(Cashflow!Y$111="C/I",0,$C$31*X$54))</f>
        <v>0</v>
      </c>
      <c r="Z136" s="1162">
        <f ca="1">IF(Z$135&lt;$Q$7,0,IF(Cashflow!Z$111="C/I",0,$C$31*Y$54))</f>
        <v>0</v>
      </c>
      <c r="AA136" s="1162">
        <f ca="1">IF(AA$135&lt;$Q$7,0,IF(Cashflow!AA$111="C/I",0,$C$31*Z$54))</f>
        <v>0</v>
      </c>
      <c r="AB136" s="1162">
        <f ca="1">IF(AB$135&lt;$Q$7,0,IF(Cashflow!AB$111="C/I",0,$C$31*AA$54))</f>
        <v>0</v>
      </c>
      <c r="AC136" s="1162">
        <f ca="1">IF(AC$135&lt;$Q$7,0,IF(Cashflow!AC$111="C/I",0,$C$31*AB$54))</f>
        <v>0</v>
      </c>
      <c r="AD136" s="1162">
        <f ca="1">IF(AD$135&lt;$Q$7,0,IF(Cashflow!AD$111="C/I",0,$C$31*AC$54))</f>
        <v>0</v>
      </c>
      <c r="AE136" s="1162">
        <f ca="1">IF(AE$135&lt;$Q$7,0,IF(Cashflow!AE$111="C/I",0,$C$31*AD$54))</f>
        <v>0</v>
      </c>
      <c r="AF136" s="1162">
        <f ca="1">IF(AF$135&lt;$Q$7,0,IF(Cashflow!AF$111="C/I",0,$C$31*AE$54))</f>
        <v>0</v>
      </c>
      <c r="AG136" s="1162">
        <f ca="1">IF(AG$135&lt;$Q$7,0,IF(Cashflow!AG$111="C/I",0,$C$31*AF$54))</f>
        <v>0</v>
      </c>
      <c r="AH136" s="19"/>
      <c r="AI136" s="19"/>
      <c r="AJ136" s="19"/>
      <c r="AK136" s="21"/>
      <c r="AL136" s="21"/>
      <c r="AM136" s="19"/>
      <c r="AN136" s="19"/>
      <c r="AO136" s="326"/>
      <c r="AP136" s="326"/>
      <c r="AQ136" s="326"/>
      <c r="AR136" s="326"/>
      <c r="AS136" s="326"/>
      <c r="AT136" s="326"/>
      <c r="AU136" s="326"/>
      <c r="AV136" s="326"/>
      <c r="AW136" s="326"/>
      <c r="AX136" s="326"/>
      <c r="AY136" s="326"/>
      <c r="AZ136" s="326"/>
    </row>
    <row r="137" spans="1:52">
      <c r="A137" s="19"/>
      <c r="B137" s="191" t="str">
        <f>"Tubing flow for wells built in Year "&amp;Cashflow!D$164</f>
        <v>Tubing flow for wells built in Year 2018</v>
      </c>
      <c r="C137" s="1163"/>
      <c r="D137" s="1162">
        <f>IF(D$135&lt;$Q$7,0,IF(Cashflow!D$111="C/I",0,$D$31*C$54))</f>
        <v>0</v>
      </c>
      <c r="E137" s="1162">
        <f>IF(E$135&lt;$Q$7,0,IF(Cashflow!E$111="C/I",0,$D$31*D$54))</f>
        <v>0</v>
      </c>
      <c r="F137" s="1162">
        <f>IF(F$135&lt;$Q$7,0,IF(Cashflow!F$111="C/I",0,$D$31*E$54))</f>
        <v>0</v>
      </c>
      <c r="G137" s="1162">
        <f>IF(G$135&lt;$Q$7,0,IF(Cashflow!G$111="C/I",0,$D$31*F$54))</f>
        <v>0</v>
      </c>
      <c r="H137" s="1162">
        <f>IF(H$135&lt;$Q$7,0,IF(Cashflow!H$111="C/I",0,$D$31*G$54))</f>
        <v>0</v>
      </c>
      <c r="I137" s="1162">
        <f>IF(I$135&lt;$Q$7,0,IF(Cashflow!I$111="C/I",0,$D$31*H$54))</f>
        <v>0</v>
      </c>
      <c r="J137" s="1162">
        <f>IF(J$135&lt;$Q$7,0,IF(Cashflow!J$111="C/I",0,$D$31*I$54))</f>
        <v>0</v>
      </c>
      <c r="K137" s="1162">
        <f>IF(K$135&lt;$Q$7,0,IF(Cashflow!K$111="C/I",0,$D$31*J$54))</f>
        <v>0</v>
      </c>
      <c r="L137" s="1162">
        <f ca="1">IF(L$135&lt;$Q$7,0,IF(Cashflow!L$111="C/I",0,$D$31*K$54))</f>
        <v>0</v>
      </c>
      <c r="M137" s="1162">
        <f ca="1">IF(M$135&lt;$Q$7,0,IF(Cashflow!M$111="C/I",0,$D$31*L$54))</f>
        <v>0</v>
      </c>
      <c r="N137" s="1162">
        <f ca="1">IF(N$135&lt;$Q$7,0,IF(Cashflow!N$111="C/I",0,$D$31*M$54))</f>
        <v>0</v>
      </c>
      <c r="O137" s="1162">
        <f ca="1">IF(O$135&lt;$Q$7,0,IF(Cashflow!O$111="C/I",0,$D$31*N$54))</f>
        <v>0</v>
      </c>
      <c r="P137" s="1162">
        <f ca="1">IF(P$135&lt;$Q$7,0,IF(Cashflow!P$111="C/I",0,$D$31*O$54))</f>
        <v>0</v>
      </c>
      <c r="Q137" s="1162">
        <f ca="1">IF(Q$135&lt;$Q$7,0,IF(Cashflow!Q$111="C/I",0,$D$31*P$54))</f>
        <v>0</v>
      </c>
      <c r="R137" s="1162">
        <f ca="1">IF(R$135&lt;$Q$7,0,IF(Cashflow!R$111="C/I",0,$D$31*Q$54))</f>
        <v>0</v>
      </c>
      <c r="S137" s="1162">
        <f ca="1">IF(S$135&lt;$Q$7,0,IF(Cashflow!S$111="C/I",0,$D$31*R$54))</f>
        <v>0</v>
      </c>
      <c r="T137" s="1162">
        <f ca="1">IF(T$135&lt;$Q$7,0,IF(Cashflow!T$111="C/I",0,$D$31*S$54))</f>
        <v>0</v>
      </c>
      <c r="U137" s="1162">
        <f ca="1">IF(U$135&lt;$Q$7,0,IF(Cashflow!U$111="C/I",0,$D$31*T$54))</f>
        <v>0</v>
      </c>
      <c r="V137" s="1162">
        <f ca="1">IF(V$135&lt;$Q$7,0,IF(Cashflow!V$111="C/I",0,$D$31*U$54))</f>
        <v>0</v>
      </c>
      <c r="W137" s="1162">
        <f ca="1">IF(W$135&lt;$Q$7,0,IF(Cashflow!W$111="C/I",0,$D$31*V$54))</f>
        <v>0</v>
      </c>
      <c r="X137" s="1162">
        <f ca="1">IF(X$135&lt;$Q$7,0,IF(Cashflow!X$111="C/I",0,$D$31*W$54))</f>
        <v>0</v>
      </c>
      <c r="Y137" s="1162">
        <f ca="1">IF(Y$135&lt;$Q$7,0,IF(Cashflow!Y$111="C/I",0,$D$31*X$54))</f>
        <v>0</v>
      </c>
      <c r="Z137" s="1162">
        <f ca="1">IF(Z$135&lt;$Q$7,0,IF(Cashflow!Z$111="C/I",0,$D$31*Y$54))</f>
        <v>0</v>
      </c>
      <c r="AA137" s="1162">
        <f ca="1">IF(AA$135&lt;$Q$7,0,IF(Cashflow!AA$111="C/I",0,$D$31*Z$54))</f>
        <v>0</v>
      </c>
      <c r="AB137" s="1162">
        <f ca="1">IF(AB$135&lt;$Q$7,0,IF(Cashflow!AB$111="C/I",0,$D$31*AA$54))</f>
        <v>0</v>
      </c>
      <c r="AC137" s="1162">
        <f ca="1">IF(AC$135&lt;$Q$7,0,IF(Cashflow!AC$111="C/I",0,$D$31*AB$54))</f>
        <v>0</v>
      </c>
      <c r="AD137" s="1162">
        <f ca="1">IF(AD$135&lt;$Q$7,0,IF(Cashflow!AD$111="C/I",0,$D$31*AC$54))</f>
        <v>0</v>
      </c>
      <c r="AE137" s="1162">
        <f ca="1">IF(AE$135&lt;$Q$7,0,IF(Cashflow!AE$111="C/I",0,$D$31*AD$54))</f>
        <v>0</v>
      </c>
      <c r="AF137" s="1162">
        <f ca="1">IF(AF$135&lt;$Q$7,0,IF(Cashflow!AF$111="C/I",0,$D$31*AE$54))</f>
        <v>0</v>
      </c>
      <c r="AG137" s="1162">
        <f ca="1">IF(AG$135&lt;$Q$7,0,IF(Cashflow!AG$111="C/I",0,$D$31*AF$54))</f>
        <v>0</v>
      </c>
      <c r="AH137" s="19"/>
      <c r="AI137" s="19"/>
      <c r="AJ137" s="19"/>
      <c r="AK137" s="21"/>
      <c r="AL137" s="21"/>
      <c r="AM137" s="19"/>
      <c r="AN137" s="19"/>
      <c r="AO137" s="326"/>
      <c r="AP137" s="326"/>
      <c r="AQ137" s="326"/>
      <c r="AR137" s="326"/>
      <c r="AS137" s="326"/>
      <c r="AT137" s="326"/>
      <c r="AU137" s="326"/>
      <c r="AV137" s="326"/>
      <c r="AW137" s="326"/>
      <c r="AX137" s="326"/>
      <c r="AY137" s="326"/>
      <c r="AZ137" s="326"/>
    </row>
    <row r="138" spans="1:52">
      <c r="A138" s="19"/>
      <c r="B138" s="191" t="str">
        <f>"Tubing flow for wells built in Year "&amp;Cashflow!E$164</f>
        <v>Tubing flow for wells built in Year 2019</v>
      </c>
      <c r="C138" s="1163"/>
      <c r="D138" s="1163"/>
      <c r="E138" s="1162">
        <f>IF(E$135&lt;$Q$7,0,IF(Cashflow!E$111="C/I",0,$E$31*D$54))</f>
        <v>0</v>
      </c>
      <c r="F138" s="1162">
        <f>IF(F$135&lt;$Q$7,0,IF(Cashflow!F$111="C/I",0,$E$31*E$54))</f>
        <v>0</v>
      </c>
      <c r="G138" s="1162">
        <f>IF(G$135&lt;$Q$7,0,IF(Cashflow!G$111="C/I",0,$E$31*F$54))</f>
        <v>0</v>
      </c>
      <c r="H138" s="1162">
        <f>IF(H$135&lt;$Q$7,0,IF(Cashflow!H$111="C/I",0,$E$31*G$54))</f>
        <v>0</v>
      </c>
      <c r="I138" s="1162">
        <f>IF(I$135&lt;$Q$7,0,IF(Cashflow!I$111="C/I",0,$E$31*H$54))</f>
        <v>0</v>
      </c>
      <c r="J138" s="1162">
        <f>IF(J$135&lt;$Q$7,0,IF(Cashflow!J$111="C/I",0,$E$31*I$54))</f>
        <v>0</v>
      </c>
      <c r="K138" s="1162">
        <f>IF(K$135&lt;$Q$7,0,IF(Cashflow!K$111="C/I",0,$E$31*J$54))</f>
        <v>0</v>
      </c>
      <c r="L138" s="1162">
        <f ca="1">IF(L$135&lt;$Q$7,0,IF(Cashflow!L$111="C/I",0,$E$31*K$54))</f>
        <v>0</v>
      </c>
      <c r="M138" s="1162">
        <f ca="1">IF(M$135&lt;$Q$7,0,IF(Cashflow!M$111="C/I",0,$E$31*L$54))</f>
        <v>0</v>
      </c>
      <c r="N138" s="1162">
        <f ca="1">IF(N$135&lt;$Q$7,0,IF(Cashflow!N$111="C/I",0,$E$31*M$54))</f>
        <v>0</v>
      </c>
      <c r="O138" s="1162">
        <f ca="1">IF(O$135&lt;$Q$7,0,IF(Cashflow!O$111="C/I",0,$E$31*N$54))</f>
        <v>0</v>
      </c>
      <c r="P138" s="1162">
        <f ca="1">IF(P$135&lt;$Q$7,0,IF(Cashflow!P$111="C/I",0,$E$31*O$54))</f>
        <v>0</v>
      </c>
      <c r="Q138" s="1162">
        <f ca="1">IF(Q$135&lt;$Q$7,0,IF(Cashflow!Q$111="C/I",0,$E$31*P$54))</f>
        <v>0</v>
      </c>
      <c r="R138" s="1162">
        <f ca="1">IF(R$135&lt;$Q$7,0,IF(Cashflow!R$111="C/I",0,$E$31*Q$54))</f>
        <v>0</v>
      </c>
      <c r="S138" s="1162">
        <f ca="1">IF(S$135&lt;$Q$7,0,IF(Cashflow!S$111="C/I",0,$E$31*R$54))</f>
        <v>0</v>
      </c>
      <c r="T138" s="1162">
        <f ca="1">IF(T$135&lt;$Q$7,0,IF(Cashflow!T$111="C/I",0,$E$31*S$54))</f>
        <v>0</v>
      </c>
      <c r="U138" s="1162">
        <f ca="1">IF(U$135&lt;$Q$7,0,IF(Cashflow!U$111="C/I",0,$E$31*T$54))</f>
        <v>0</v>
      </c>
      <c r="V138" s="1162">
        <f ca="1">IF(V$135&lt;$Q$7,0,IF(Cashflow!V$111="C/I",0,$E$31*U$54))</f>
        <v>0</v>
      </c>
      <c r="W138" s="1162">
        <f ca="1">IF(W$135&lt;$Q$7,0,IF(Cashflow!W$111="C/I",0,$E$31*V$54))</f>
        <v>0</v>
      </c>
      <c r="X138" s="1162">
        <f ca="1">IF(X$135&lt;$Q$7,0,IF(Cashflow!X$111="C/I",0,$E$31*W$54))</f>
        <v>0</v>
      </c>
      <c r="Y138" s="1162">
        <f ca="1">IF(Y$135&lt;$Q$7,0,IF(Cashflow!Y$111="C/I",0,$E$31*X$54))</f>
        <v>0</v>
      </c>
      <c r="Z138" s="1162">
        <f ca="1">IF(Z$135&lt;$Q$7,0,IF(Cashflow!Z$111="C/I",0,$E$31*Y$54))</f>
        <v>0</v>
      </c>
      <c r="AA138" s="1162">
        <f ca="1">IF(AA$135&lt;$Q$7,0,IF(Cashflow!AA$111="C/I",0,$E$31*Z$54))</f>
        <v>0</v>
      </c>
      <c r="AB138" s="1162">
        <f ca="1">IF(AB$135&lt;$Q$7,0,IF(Cashflow!AB$111="C/I",0,$E$31*AA$54))</f>
        <v>0</v>
      </c>
      <c r="AC138" s="1162">
        <f ca="1">IF(AC$135&lt;$Q$7,0,IF(Cashflow!AC$111="C/I",0,$E$31*AB$54))</f>
        <v>0</v>
      </c>
      <c r="AD138" s="1162">
        <f ca="1">IF(AD$135&lt;$Q$7,0,IF(Cashflow!AD$111="C/I",0,$E$31*AC$54))</f>
        <v>0</v>
      </c>
      <c r="AE138" s="1162">
        <f ca="1">IF(AE$135&lt;$Q$7,0,IF(Cashflow!AE$111="C/I",0,$E$31*AD$54))</f>
        <v>0</v>
      </c>
      <c r="AF138" s="1162">
        <f ca="1">IF(AF$135&lt;$Q$7,0,IF(Cashflow!AF$111="C/I",0,$E$31*AE$54))</f>
        <v>0</v>
      </c>
      <c r="AG138" s="1162">
        <f ca="1">IF(AG$135&lt;$Q$7,0,IF(Cashflow!AG$111="C/I",0,$E$31*AF$54))</f>
        <v>0</v>
      </c>
      <c r="AH138" s="19"/>
      <c r="AI138" s="19"/>
      <c r="AJ138" s="19"/>
      <c r="AK138" s="21"/>
      <c r="AL138" s="21"/>
      <c r="AM138" s="19"/>
      <c r="AN138" s="19"/>
      <c r="AO138" s="326"/>
      <c r="AP138" s="326"/>
      <c r="AQ138" s="326"/>
      <c r="AR138" s="326"/>
      <c r="AS138" s="326"/>
      <c r="AT138" s="326"/>
      <c r="AU138" s="326"/>
      <c r="AV138" s="326"/>
      <c r="AW138" s="326"/>
      <c r="AX138" s="326"/>
      <c r="AY138" s="326"/>
      <c r="AZ138" s="326"/>
    </row>
    <row r="139" spans="1:52">
      <c r="A139" s="169"/>
      <c r="B139" s="191" t="str">
        <f>"Tubing flow for wells built in Year "&amp;Cashflow!F$164</f>
        <v>Tubing flow for wells built in Year 2020</v>
      </c>
      <c r="C139" s="1163"/>
      <c r="D139" s="1163"/>
      <c r="E139" s="1163"/>
      <c r="F139" s="1162">
        <f>IF(F$135&lt;$Q$7,0,IF(Cashflow!F$111="C/I",0,$F$31*E$54))</f>
        <v>0</v>
      </c>
      <c r="G139" s="1162">
        <f>IF(G$135&lt;$Q$7,0,IF(Cashflow!G$111="C/I",0,$F$31*F$54))</f>
        <v>0</v>
      </c>
      <c r="H139" s="1162">
        <f>IF(H$135&lt;$Q$7,0,IF(Cashflow!H$111="C/I",0,$F$31*G$54))</f>
        <v>0</v>
      </c>
      <c r="I139" s="1162">
        <f>IF(I$135&lt;$Q$7,0,IF(Cashflow!I$111="C/I",0,$F$31*H$54))</f>
        <v>0</v>
      </c>
      <c r="J139" s="1162">
        <f>IF(J$135&lt;$Q$7,0,IF(Cashflow!J$111="C/I",0,$F$31*I$54))</f>
        <v>0</v>
      </c>
      <c r="K139" s="1162">
        <f>IF(K$135&lt;$Q$7,0,IF(Cashflow!K$111="C/I",0,$F$31*J$54))</f>
        <v>0</v>
      </c>
      <c r="L139" s="1162">
        <f ca="1">IF(L$135&lt;$Q$7,0,IF(Cashflow!L$111="C/I",0,$F$31*K$54))</f>
        <v>0</v>
      </c>
      <c r="M139" s="1162">
        <f ca="1">IF(M$135&lt;$Q$7,0,IF(Cashflow!M$111="C/I",0,$F$31*L$54))</f>
        <v>0</v>
      </c>
      <c r="N139" s="1162">
        <f ca="1">IF(N$135&lt;$Q$7,0,IF(Cashflow!N$111="C/I",0,$F$31*M$54))</f>
        <v>0</v>
      </c>
      <c r="O139" s="1162">
        <f ca="1">IF(O$135&lt;$Q$7,0,IF(Cashflow!O$111="C/I",0,$F$31*N$54))</f>
        <v>0</v>
      </c>
      <c r="P139" s="1162">
        <f ca="1">IF(P$135&lt;$Q$7,0,IF(Cashflow!P$111="C/I",0,$F$31*O$54))</f>
        <v>0</v>
      </c>
      <c r="Q139" s="1162">
        <f ca="1">IF(Q$135&lt;$Q$7,0,IF(Cashflow!Q$111="C/I",0,$F$31*P$54))</f>
        <v>0</v>
      </c>
      <c r="R139" s="1162">
        <f ca="1">IF(R$135&lt;$Q$7,0,IF(Cashflow!R$111="C/I",0,$F$31*Q$54))</f>
        <v>0</v>
      </c>
      <c r="S139" s="1162">
        <f ca="1">IF(S$135&lt;$Q$7,0,IF(Cashflow!S$111="C/I",0,$F$31*R$54))</f>
        <v>0</v>
      </c>
      <c r="T139" s="1162">
        <f ca="1">IF(T$135&lt;$Q$7,0,IF(Cashflow!T$111="C/I",0,$F$31*S$54))</f>
        <v>0</v>
      </c>
      <c r="U139" s="1162">
        <f ca="1">IF(U$135&lt;$Q$7,0,IF(Cashflow!U$111="C/I",0,$F$31*T$54))</f>
        <v>0</v>
      </c>
      <c r="V139" s="1162">
        <f ca="1">IF(V$135&lt;$Q$7,0,IF(Cashflow!V$111="C/I",0,$F$31*U$54))</f>
        <v>0</v>
      </c>
      <c r="W139" s="1162">
        <f ca="1">IF(W$135&lt;$Q$7,0,IF(Cashflow!W$111="C/I",0,$F$31*V$54))</f>
        <v>0</v>
      </c>
      <c r="X139" s="1162">
        <f ca="1">IF(X$135&lt;$Q$7,0,IF(Cashflow!X$111="C/I",0,$F$31*W$54))</f>
        <v>0</v>
      </c>
      <c r="Y139" s="1162">
        <f ca="1">IF(Y$135&lt;$Q$7,0,IF(Cashflow!Y$111="C/I",0,$F$31*X$54))</f>
        <v>0</v>
      </c>
      <c r="Z139" s="1162">
        <f ca="1">IF(Z$135&lt;$Q$7,0,IF(Cashflow!Z$111="C/I",0,$F$31*Y$54))</f>
        <v>0</v>
      </c>
      <c r="AA139" s="1162">
        <f ca="1">IF(AA$135&lt;$Q$7,0,IF(Cashflow!AA$111="C/I",0,$F$31*Z$54))</f>
        <v>0</v>
      </c>
      <c r="AB139" s="1162">
        <f ca="1">IF(AB$135&lt;$Q$7,0,IF(Cashflow!AB$111="C/I",0,$F$31*AA$54))</f>
        <v>0</v>
      </c>
      <c r="AC139" s="1162">
        <f ca="1">IF(AC$135&lt;$Q$7,0,IF(Cashflow!AC$111="C/I",0,$F$31*AB$54))</f>
        <v>0</v>
      </c>
      <c r="AD139" s="1162">
        <f ca="1">IF(AD$135&lt;$Q$7,0,IF(Cashflow!AD$111="C/I",0,$F$31*AC$54))</f>
        <v>0</v>
      </c>
      <c r="AE139" s="1162">
        <f ca="1">IF(AE$135&lt;$Q$7,0,IF(Cashflow!AE$111="C/I",0,$F$31*AD$54))</f>
        <v>0</v>
      </c>
      <c r="AF139" s="1162">
        <f ca="1">IF(AF$135&lt;$Q$7,0,IF(Cashflow!AF$111="C/I",0,$F$31*AE$54))</f>
        <v>0</v>
      </c>
      <c r="AG139" s="1162">
        <f ca="1">IF(AG$135&lt;$Q$7,0,IF(Cashflow!AG$111="C/I",0,$F$31*AF$54))</f>
        <v>0</v>
      </c>
      <c r="AH139" s="19"/>
      <c r="AI139" s="19"/>
      <c r="AJ139" s="19"/>
      <c r="AK139" s="21"/>
      <c r="AL139" s="21"/>
      <c r="AM139" s="19"/>
      <c r="AN139" s="19"/>
      <c r="AO139" s="326"/>
      <c r="AP139" s="326"/>
      <c r="AQ139" s="326"/>
      <c r="AR139" s="326"/>
      <c r="AS139" s="326"/>
      <c r="AT139" s="326"/>
      <c r="AU139" s="326"/>
      <c r="AV139" s="326"/>
      <c r="AW139" s="326"/>
      <c r="AX139" s="326"/>
      <c r="AY139" s="326"/>
      <c r="AZ139" s="326"/>
    </row>
    <row r="140" spans="1:52">
      <c r="A140" s="169"/>
      <c r="B140" s="191" t="str">
        <f>"Tubing flow for wells built in Year "&amp;Cashflow!G$164</f>
        <v>Tubing flow for wells built in Year 2021</v>
      </c>
      <c r="C140" s="1163"/>
      <c r="D140" s="1163"/>
      <c r="E140" s="1163"/>
      <c r="F140" s="1163"/>
      <c r="G140" s="1162">
        <f>IF(G$135&lt;$Q$7,0,IF(Cashflow!G$111="C/I",0,$G$31*F$54))</f>
        <v>0</v>
      </c>
      <c r="H140" s="1162">
        <f>IF(H$135&lt;$Q$7,0,IF(Cashflow!H$111="C/I",0,$G$31*G$54))</f>
        <v>0</v>
      </c>
      <c r="I140" s="1162">
        <f>IF(I$135&lt;$Q$7,0,IF(Cashflow!I$111="C/I",0,$G$31*H$54))</f>
        <v>0</v>
      </c>
      <c r="J140" s="1162">
        <f>IF(J$135&lt;$Q$7,0,IF(Cashflow!J$111="C/I",0,$G$31*I$54))</f>
        <v>0</v>
      </c>
      <c r="K140" s="1162">
        <f>IF(K$135&lt;$Q$7,0,IF(Cashflow!K$111="C/I",0,$G$31*J$54))</f>
        <v>0</v>
      </c>
      <c r="L140" s="1162">
        <f ca="1">IF(L$135&lt;$Q$7,0,IF(Cashflow!L$111="C/I",0,$G$31*K$54))</f>
        <v>0</v>
      </c>
      <c r="M140" s="1162">
        <f ca="1">IF(M$135&lt;$Q$7,0,IF(Cashflow!M$111="C/I",0,$G$31*L$54))</f>
        <v>0</v>
      </c>
      <c r="N140" s="1162">
        <f ca="1">IF(N$135&lt;$Q$7,0,IF(Cashflow!N$111="C/I",0,$G$31*M$54))</f>
        <v>0</v>
      </c>
      <c r="O140" s="1162">
        <f ca="1">IF(O$135&lt;$Q$7,0,IF(Cashflow!O$111="C/I",0,$G$31*N$54))</f>
        <v>0</v>
      </c>
      <c r="P140" s="1162">
        <f ca="1">IF(P$135&lt;$Q$7,0,IF(Cashflow!P$111="C/I",0,$G$31*O$54))</f>
        <v>0</v>
      </c>
      <c r="Q140" s="1162">
        <f ca="1">IF(Q$135&lt;$Q$7,0,IF(Cashflow!Q$111="C/I",0,$G$31*P$54))</f>
        <v>0</v>
      </c>
      <c r="R140" s="1162">
        <f ca="1">IF(R$135&lt;$Q$7,0,IF(Cashflow!R$111="C/I",0,$G$31*Q$54))</f>
        <v>0</v>
      </c>
      <c r="S140" s="1162">
        <f ca="1">IF(S$135&lt;$Q$7,0,IF(Cashflow!S$111="C/I",0,$G$31*R$54))</f>
        <v>0</v>
      </c>
      <c r="T140" s="1162">
        <f ca="1">IF(T$135&lt;$Q$7,0,IF(Cashflow!T$111="C/I",0,$G$31*S$54))</f>
        <v>0</v>
      </c>
      <c r="U140" s="1162">
        <f ca="1">IF(U$135&lt;$Q$7,0,IF(Cashflow!U$111="C/I",0,$G$31*T$54))</f>
        <v>0</v>
      </c>
      <c r="V140" s="1162">
        <f ca="1">IF(V$135&lt;$Q$7,0,IF(Cashflow!V$111="C/I",0,$G$31*U$54))</f>
        <v>0</v>
      </c>
      <c r="W140" s="1162">
        <f ca="1">IF(W$135&lt;$Q$7,0,IF(Cashflow!W$111="C/I",0,$G$31*V$54))</f>
        <v>0</v>
      </c>
      <c r="X140" s="1162">
        <f ca="1">IF(X$135&lt;$Q$7,0,IF(Cashflow!X$111="C/I",0,$G$31*W$54))</f>
        <v>0</v>
      </c>
      <c r="Y140" s="1162">
        <f ca="1">IF(Y$135&lt;$Q$7,0,IF(Cashflow!Y$111="C/I",0,$G$31*X$54))</f>
        <v>0</v>
      </c>
      <c r="Z140" s="1162">
        <f ca="1">IF(Z$135&lt;$Q$7,0,IF(Cashflow!Z$111="C/I",0,$G$31*Y$54))</f>
        <v>0</v>
      </c>
      <c r="AA140" s="1162">
        <f ca="1">IF(AA$135&lt;$Q$7,0,IF(Cashflow!AA$111="C/I",0,$G$31*Z$54))</f>
        <v>0</v>
      </c>
      <c r="AB140" s="1162">
        <f ca="1">IF(AB$135&lt;$Q$7,0,IF(Cashflow!AB$111="C/I",0,$G$31*AA$54))</f>
        <v>0</v>
      </c>
      <c r="AC140" s="1162">
        <f ca="1">IF(AC$135&lt;$Q$7,0,IF(Cashflow!AC$111="C/I",0,$G$31*AB$54))</f>
        <v>0</v>
      </c>
      <c r="AD140" s="1162">
        <f ca="1">IF(AD$135&lt;$Q$7,0,IF(Cashflow!AD$111="C/I",0,$G$31*AC$54))</f>
        <v>0</v>
      </c>
      <c r="AE140" s="1162">
        <f ca="1">IF(AE$135&lt;$Q$7,0,IF(Cashflow!AE$111="C/I",0,$G$31*AD$54))</f>
        <v>0</v>
      </c>
      <c r="AF140" s="1162">
        <f ca="1">IF(AF$135&lt;$Q$7,0,IF(Cashflow!AF$111="C/I",0,$G$31*AE$54))</f>
        <v>0</v>
      </c>
      <c r="AG140" s="1162">
        <f ca="1">IF(AG$135&lt;$Q$7,0,IF(Cashflow!AG$111="C/I",0,$G$31*AF$54))</f>
        <v>0</v>
      </c>
      <c r="AH140" s="19"/>
      <c r="AI140" s="19"/>
      <c r="AJ140" s="19"/>
      <c r="AK140" s="21"/>
      <c r="AL140" s="21"/>
      <c r="AM140" s="19"/>
      <c r="AN140" s="19"/>
      <c r="AO140" s="326"/>
      <c r="AP140" s="326"/>
      <c r="AQ140" s="326"/>
      <c r="AR140" s="326"/>
      <c r="AS140" s="326"/>
      <c r="AT140" s="326"/>
      <c r="AU140" s="326"/>
      <c r="AV140" s="326"/>
      <c r="AW140" s="326"/>
      <c r="AX140" s="326"/>
      <c r="AY140" s="326"/>
      <c r="AZ140" s="326"/>
    </row>
    <row r="141" spans="1:52">
      <c r="A141" s="169"/>
      <c r="B141" s="191" t="str">
        <f>"Tubing flow for wells built in Year "&amp;Cashflow!H$164</f>
        <v>Tubing flow for wells built in Year 2022</v>
      </c>
      <c r="C141" s="1163"/>
      <c r="D141" s="1163"/>
      <c r="E141" s="1163"/>
      <c r="F141" s="1163"/>
      <c r="G141" s="1163"/>
      <c r="H141" s="1162">
        <f>IF(H$135&lt;$Q$7,0,IF(Cashflow!H$111="C/I",0,$H$31*G$54))</f>
        <v>0</v>
      </c>
      <c r="I141" s="1162">
        <f>IF(I$135&lt;$Q$7,0,IF(Cashflow!I$111="C/I",0,$H$31*H$54))</f>
        <v>0</v>
      </c>
      <c r="J141" s="1162">
        <f>IF(J$135&lt;$Q$7,0,IF(Cashflow!J$111="C/I",0,$H$31*I$54))</f>
        <v>0</v>
      </c>
      <c r="K141" s="1162">
        <f>IF(K$135&lt;$Q$7,0,IF(Cashflow!K$111="C/I",0,$H$31*J$54))</f>
        <v>0</v>
      </c>
      <c r="L141" s="1162">
        <f ca="1">IF(L$135&lt;$Q$7,0,IF(Cashflow!L$111="C/I",0,$H$31*K$54))</f>
        <v>0</v>
      </c>
      <c r="M141" s="1162">
        <f ca="1">IF(M$135&lt;$Q$7,0,IF(Cashflow!M$111="C/I",0,$H$31*L$54))</f>
        <v>0</v>
      </c>
      <c r="N141" s="1162">
        <f ca="1">IF(N$135&lt;$Q$7,0,IF(Cashflow!N$111="C/I",0,$H$31*M$54))</f>
        <v>0</v>
      </c>
      <c r="O141" s="1162">
        <f ca="1">IF(O$135&lt;$Q$7,0,IF(Cashflow!O$111="C/I",0,$H$31*N$54))</f>
        <v>0</v>
      </c>
      <c r="P141" s="1162">
        <f ca="1">IF(P$135&lt;$Q$7,0,IF(Cashflow!P$111="C/I",0,$H$31*O$54))</f>
        <v>0</v>
      </c>
      <c r="Q141" s="1162">
        <f ca="1">IF(Q$135&lt;$Q$7,0,IF(Cashflow!Q$111="C/I",0,$H$31*P$54))</f>
        <v>0</v>
      </c>
      <c r="R141" s="1162">
        <f ca="1">IF(R$135&lt;$Q$7,0,IF(Cashflow!R$111="C/I",0,$H$31*Q$54))</f>
        <v>0</v>
      </c>
      <c r="S141" s="1162">
        <f ca="1">IF(S$135&lt;$Q$7,0,IF(Cashflow!S$111="C/I",0,$H$31*R$54))</f>
        <v>0</v>
      </c>
      <c r="T141" s="1162">
        <f ca="1">IF(T$135&lt;$Q$7,0,IF(Cashflow!T$111="C/I",0,$H$31*S$54))</f>
        <v>0</v>
      </c>
      <c r="U141" s="1162">
        <f ca="1">IF(U$135&lt;$Q$7,0,IF(Cashflow!U$111="C/I",0,$H$31*T$54))</f>
        <v>0</v>
      </c>
      <c r="V141" s="1162">
        <f ca="1">IF(V$135&lt;$Q$7,0,IF(Cashflow!V$111="C/I",0,$H$31*U$54))</f>
        <v>0</v>
      </c>
      <c r="W141" s="1162">
        <f ca="1">IF(W$135&lt;$Q$7,0,IF(Cashflow!W$111="C/I",0,$H$31*V$54))</f>
        <v>0</v>
      </c>
      <c r="X141" s="1162">
        <f ca="1">IF(X$135&lt;$Q$7,0,IF(Cashflow!X$111="C/I",0,$H$31*W$54))</f>
        <v>0</v>
      </c>
      <c r="Y141" s="1162">
        <f ca="1">IF(Y$135&lt;$Q$7,0,IF(Cashflow!Y$111="C/I",0,$H$31*X$54))</f>
        <v>0</v>
      </c>
      <c r="Z141" s="1162">
        <f ca="1">IF(Z$135&lt;$Q$7,0,IF(Cashflow!Z$111="C/I",0,$H$31*Y$54))</f>
        <v>0</v>
      </c>
      <c r="AA141" s="1162">
        <f ca="1">IF(AA$135&lt;$Q$7,0,IF(Cashflow!AA$111="C/I",0,$H$31*Z$54))</f>
        <v>0</v>
      </c>
      <c r="AB141" s="1162">
        <f ca="1">IF(AB$135&lt;$Q$7,0,IF(Cashflow!AB$111="C/I",0,$H$31*AA$54))</f>
        <v>0</v>
      </c>
      <c r="AC141" s="1162">
        <f ca="1">IF(AC$135&lt;$Q$7,0,IF(Cashflow!AC$111="C/I",0,$H$31*AB$54))</f>
        <v>0</v>
      </c>
      <c r="AD141" s="1162">
        <f ca="1">IF(AD$135&lt;$Q$7,0,IF(Cashflow!AD$111="C/I",0,$H$31*AC$54))</f>
        <v>0</v>
      </c>
      <c r="AE141" s="1162">
        <f ca="1">IF(AE$135&lt;$Q$7,0,IF(Cashflow!AE$111="C/I",0,$H$31*AD$54))</f>
        <v>0</v>
      </c>
      <c r="AF141" s="1162">
        <f ca="1">IF(AF$135&lt;$Q$7,0,IF(Cashflow!AF$111="C/I",0,$H$31*AE$54))</f>
        <v>0</v>
      </c>
      <c r="AG141" s="1162">
        <f ca="1">IF(AG$135&lt;$Q$7,0,IF(Cashflow!AG$111="C/I",0,$H$31*AF$54))</f>
        <v>0</v>
      </c>
      <c r="AH141" s="19"/>
      <c r="AI141" s="19"/>
      <c r="AJ141" s="19"/>
      <c r="AK141" s="21"/>
      <c r="AL141" s="21"/>
      <c r="AM141" s="19"/>
      <c r="AN141" s="19"/>
      <c r="AO141" s="326"/>
      <c r="AP141" s="326"/>
      <c r="AQ141" s="326"/>
      <c r="AR141" s="326"/>
      <c r="AS141" s="326"/>
      <c r="AT141" s="326"/>
      <c r="AU141" s="326"/>
      <c r="AV141" s="326"/>
      <c r="AW141" s="326"/>
      <c r="AX141" s="326"/>
      <c r="AY141" s="326"/>
      <c r="AZ141" s="326"/>
    </row>
    <row r="142" spans="1:52">
      <c r="A142" s="169"/>
      <c r="B142" s="191" t="str">
        <f>"Tubing flow for wells built in Year "&amp;Cashflow!I$164</f>
        <v>Tubing flow for wells built in Year 2023</v>
      </c>
      <c r="C142" s="1163"/>
      <c r="D142" s="1163"/>
      <c r="E142" s="1163"/>
      <c r="F142" s="1163"/>
      <c r="G142" s="1163"/>
      <c r="H142" s="1163"/>
      <c r="I142" s="1162">
        <f>IF(I$135&lt;$Q$7,0,IF(Cashflow!I$111="C/I",0,$I$31*H$54))</f>
        <v>0</v>
      </c>
      <c r="J142" s="1162">
        <f>IF(J$135&lt;$Q$7,0,IF(Cashflow!J$111="C/I",0,$I$31*I$54))</f>
        <v>0</v>
      </c>
      <c r="K142" s="1162">
        <f>IF(K$135&lt;$Q$7,0,IF(Cashflow!K$111="C/I",0,$I$31*J$54))</f>
        <v>0.20387459011839884</v>
      </c>
      <c r="L142" s="1162">
        <f ca="1">IF(L$135&lt;$Q$7,0,IF(Cashflow!L$111="C/I",0,$I$31*K$54))</f>
        <v>0.20004840938291624</v>
      </c>
      <c r="M142" s="1162">
        <f ca="1">IF(M$135&lt;$Q$7,0,IF(Cashflow!M$111="C/I",0,$I$31*L$54))</f>
        <v>0.20004840938291624</v>
      </c>
      <c r="N142" s="1162">
        <f ca="1">IF(N$135&lt;$Q$7,0,IF(Cashflow!N$111="C/I",0,$I$31*M$54))</f>
        <v>0.20004840938291624</v>
      </c>
      <c r="O142" s="1162">
        <f ca="1">IF(O$135&lt;$Q$7,0,IF(Cashflow!O$111="C/I",0,$I$31*N$54))</f>
        <v>0.20004840938291624</v>
      </c>
      <c r="P142" s="1162">
        <f ca="1">IF(P$135&lt;$Q$7,0,IF(Cashflow!P$111="C/I",0,$I$31*O$54))</f>
        <v>0.20004840938291624</v>
      </c>
      <c r="Q142" s="1162">
        <f ca="1">IF(Q$135&lt;$Q$7,0,IF(Cashflow!Q$111="C/I",0,$I$31*P$54))</f>
        <v>0.20004840938291624</v>
      </c>
      <c r="R142" s="1162">
        <f ca="1">IF(R$135&lt;$Q$7,0,IF(Cashflow!R$111="C/I",0,$I$31*Q$54))</f>
        <v>0.20004840938291624</v>
      </c>
      <c r="S142" s="1162">
        <f ca="1">IF(S$135&lt;$Q$7,0,IF(Cashflow!S$111="C/I",0,$I$31*R$54))</f>
        <v>0.20004840938291624</v>
      </c>
      <c r="T142" s="1162">
        <f ca="1">IF(T$135&lt;$Q$7,0,IF(Cashflow!T$111="C/I",0,$I$31*S$54))</f>
        <v>0.20004840938291624</v>
      </c>
      <c r="U142" s="1162">
        <f ca="1">IF(U$135&lt;$Q$7,0,IF(Cashflow!U$111="C/I",0,$I$31*T$54))</f>
        <v>0.19911005514242336</v>
      </c>
      <c r="V142" s="1162">
        <f ca="1">IF(V$135&lt;$Q$7,0,IF(Cashflow!V$111="C/I",0,$I$31*U$54))</f>
        <v>0.19814453205675184</v>
      </c>
      <c r="W142" s="1162">
        <f ca="1">IF(W$135&lt;$Q$7,0,IF(Cashflow!W$111="C/I",0,$I$31*V$54))</f>
        <v>0.19723246910397452</v>
      </c>
      <c r="X142" s="1162">
        <f ca="1">IF(X$135&lt;$Q$7,0,IF(Cashflow!X$111="C/I",0,$I$31*W$54))</f>
        <v>0.1962937484018793</v>
      </c>
      <c r="Y142" s="1162">
        <f ca="1">IF(Y$135&lt;$Q$7,0,IF(Cashflow!Y$111="C/I",0,$I$31*X$54))</f>
        <v>0.19543830275071009</v>
      </c>
      <c r="Z142" s="1162">
        <f ca="1">IF(Z$135&lt;$Q$7,0,IF(Cashflow!Z$111="C/I",0,$I$31*Y$54))</f>
        <v>0.1946028417114137</v>
      </c>
      <c r="AA142" s="1162">
        <f ca="1">IF(AA$135&lt;$Q$7,0,IF(Cashflow!AA$111="C/I",0,$I$31*Z$54))</f>
        <v>0.19381230852569187</v>
      </c>
      <c r="AB142" s="1162">
        <f ca="1">IF(AB$135&lt;$Q$7,0,IF(Cashflow!AB$111="C/I",0,$I$31*AA$54))</f>
        <v>0.1929973220019145</v>
      </c>
      <c r="AC142" s="1162">
        <f ca="1">IF(AC$135&lt;$Q$7,0,IF(Cashflow!AC$111="C/I",0,$I$31*AB$54))</f>
        <v>0.19222600532900111</v>
      </c>
      <c r="AD142" s="1162">
        <f ca="1">IF(AD$135&lt;$Q$7,0,IF(Cashflow!AD$111="C/I",0,$I$31*AC$54))</f>
        <v>0.19150312395015312</v>
      </c>
      <c r="AE142" s="1162">
        <f ca="1">IF(AE$135&lt;$Q$7,0,IF(Cashflow!AE$111="C/I",0,$I$31*AD$54))</f>
        <v>0.19083130628442471</v>
      </c>
      <c r="AF142" s="1162">
        <f ca="1">IF(AF$135&lt;$Q$7,0,IF(Cashflow!AF$111="C/I",0,$I$31*AE$54))</f>
        <v>0.19013752902472592</v>
      </c>
      <c r="AG142" s="1162">
        <f ca="1">IF(AG$135&lt;$Q$7,0,IF(Cashflow!AG$111="C/I",0,$I$31*AF$54))</f>
        <v>0.18947982613641165</v>
      </c>
      <c r="AH142" s="19"/>
      <c r="AI142" s="19"/>
      <c r="AJ142" s="19"/>
      <c r="AK142" s="21"/>
      <c r="AL142" s="21"/>
      <c r="AM142" s="19"/>
      <c r="AN142" s="19"/>
      <c r="AO142" s="326"/>
      <c r="AP142" s="326"/>
      <c r="AQ142" s="326"/>
      <c r="AR142" s="326"/>
      <c r="AS142" s="326"/>
      <c r="AT142" s="326"/>
      <c r="AU142" s="326"/>
      <c r="AV142" s="326"/>
      <c r="AW142" s="326"/>
      <c r="AX142" s="326"/>
      <c r="AY142" s="326"/>
      <c r="AZ142" s="326"/>
    </row>
    <row r="143" spans="1:52">
      <c r="A143" s="169"/>
      <c r="B143" s="191" t="str">
        <f>"Tubing flow for wells built in Year "&amp;Cashflow!J$164</f>
        <v>Tubing flow for wells built in Year 2024</v>
      </c>
      <c r="C143" s="1163"/>
      <c r="D143" s="1163"/>
      <c r="E143" s="1163"/>
      <c r="F143" s="1163"/>
      <c r="G143" s="1163"/>
      <c r="H143" s="1163"/>
      <c r="I143" s="1163"/>
      <c r="J143" s="1162">
        <f>IF(J$135&lt;$Q$7,0,IF(Cashflow!J$111="C/I",0,$J$31*I$54))</f>
        <v>0</v>
      </c>
      <c r="K143" s="1162">
        <f>IF(K$135&lt;$Q$7,0,IF(Cashflow!K$111="C/I",0,$J$31*J$54))</f>
        <v>0.40774918023679768</v>
      </c>
      <c r="L143" s="1162">
        <f ca="1">IF(L$135&lt;$Q$7,0,IF(Cashflow!L$111="C/I",0,$J$31*K$54))</f>
        <v>0.40009681876583247</v>
      </c>
      <c r="M143" s="1162">
        <f ca="1">IF(M$135&lt;$Q$7,0,IF(Cashflow!M$111="C/I",0,$J$31*L$54))</f>
        <v>0.40009681876583247</v>
      </c>
      <c r="N143" s="1162">
        <f ca="1">IF(N$135&lt;$Q$7,0,IF(Cashflow!N$111="C/I",0,$J$31*M$54))</f>
        <v>0.40009681876583247</v>
      </c>
      <c r="O143" s="1162">
        <f ca="1">IF(O$135&lt;$Q$7,0,IF(Cashflow!O$111="C/I",0,$J$31*N$54))</f>
        <v>0.40009681876583247</v>
      </c>
      <c r="P143" s="1162">
        <f ca="1">IF(P$135&lt;$Q$7,0,IF(Cashflow!P$111="C/I",0,$J$31*O$54))</f>
        <v>0.40009681876583247</v>
      </c>
      <c r="Q143" s="1162">
        <f ca="1">IF(Q$135&lt;$Q$7,0,IF(Cashflow!Q$111="C/I",0,$J$31*P$54))</f>
        <v>0.40009681876583247</v>
      </c>
      <c r="R143" s="1162">
        <f ca="1">IF(R$135&lt;$Q$7,0,IF(Cashflow!R$111="C/I",0,$J$31*Q$54))</f>
        <v>0.40009681876583247</v>
      </c>
      <c r="S143" s="1162">
        <f ca="1">IF(S$135&lt;$Q$7,0,IF(Cashflow!S$111="C/I",0,$J$31*R$54))</f>
        <v>0.40009681876583247</v>
      </c>
      <c r="T143" s="1162">
        <f ca="1">IF(T$135&lt;$Q$7,0,IF(Cashflow!T$111="C/I",0,$J$31*S$54))</f>
        <v>0.40009681876583247</v>
      </c>
      <c r="U143" s="1162">
        <f ca="1">IF(U$135&lt;$Q$7,0,IF(Cashflow!U$111="C/I",0,$J$31*T$54))</f>
        <v>0.39822011028484672</v>
      </c>
      <c r="V143" s="1162">
        <f ca="1">IF(V$135&lt;$Q$7,0,IF(Cashflow!V$111="C/I",0,$J$31*U$54))</f>
        <v>0.39628906411350368</v>
      </c>
      <c r="W143" s="1162">
        <f ca="1">IF(W$135&lt;$Q$7,0,IF(Cashflow!W$111="C/I",0,$J$31*V$54))</f>
        <v>0.39446493820794903</v>
      </c>
      <c r="X143" s="1162">
        <f ca="1">IF(X$135&lt;$Q$7,0,IF(Cashflow!X$111="C/I",0,$J$31*W$54))</f>
        <v>0.3925874968037586</v>
      </c>
      <c r="Y143" s="1162">
        <f ca="1">IF(Y$135&lt;$Q$7,0,IF(Cashflow!Y$111="C/I",0,$J$31*X$54))</f>
        <v>0.39087660550142017</v>
      </c>
      <c r="Z143" s="1162">
        <f ca="1">IF(Z$135&lt;$Q$7,0,IF(Cashflow!Z$111="C/I",0,$J$31*Y$54))</f>
        <v>0.38920568342282741</v>
      </c>
      <c r="AA143" s="1162">
        <f ca="1">IF(AA$135&lt;$Q$7,0,IF(Cashflow!AA$111="C/I",0,$J$31*Z$54))</f>
        <v>0.38762461705138374</v>
      </c>
      <c r="AB143" s="1162">
        <f ca="1">IF(AB$135&lt;$Q$7,0,IF(Cashflow!AB$111="C/I",0,$J$31*AA$54))</f>
        <v>0.38599464400382899</v>
      </c>
      <c r="AC143" s="1162">
        <f ca="1">IF(AC$135&lt;$Q$7,0,IF(Cashflow!AC$111="C/I",0,$J$31*AB$54))</f>
        <v>0.38445201065800222</v>
      </c>
      <c r="AD143" s="1162">
        <f ca="1">IF(AD$135&lt;$Q$7,0,IF(Cashflow!AD$111="C/I",0,$J$31*AC$54))</f>
        <v>0.38300624790030624</v>
      </c>
      <c r="AE143" s="1162">
        <f ca="1">IF(AE$135&lt;$Q$7,0,IF(Cashflow!AE$111="C/I",0,$J$31*AD$54))</f>
        <v>0.38166261256884942</v>
      </c>
      <c r="AF143" s="1162">
        <f ca="1">IF(AF$135&lt;$Q$7,0,IF(Cashflow!AF$111="C/I",0,$J$31*AE$54))</f>
        <v>0.38027505804945183</v>
      </c>
      <c r="AG143" s="1162">
        <f ca="1">IF(AG$135&lt;$Q$7,0,IF(Cashflow!AG$111="C/I",0,$J$31*AF$54))</f>
        <v>0.3789596522728233</v>
      </c>
      <c r="AH143" s="19"/>
      <c r="AI143" s="19"/>
      <c r="AJ143" s="19"/>
      <c r="AK143" s="21"/>
      <c r="AL143" s="21"/>
      <c r="AM143" s="19"/>
      <c r="AN143" s="19"/>
      <c r="AO143" s="326"/>
      <c r="AP143" s="326"/>
      <c r="AQ143" s="326"/>
      <c r="AR143" s="326"/>
      <c r="AS143" s="326"/>
      <c r="AT143" s="326"/>
      <c r="AU143" s="326"/>
      <c r="AV143" s="326"/>
      <c r="AW143" s="326"/>
      <c r="AX143" s="326"/>
      <c r="AY143" s="326"/>
      <c r="AZ143" s="326"/>
    </row>
    <row r="144" spans="1:52">
      <c r="A144" s="169"/>
      <c r="B144" s="191" t="str">
        <f>"Tubing flow for wells built in Year "&amp;Cashflow!K$164</f>
        <v>Tubing flow for wells built in Year 2025</v>
      </c>
      <c r="C144" s="1163"/>
      <c r="D144" s="1163"/>
      <c r="E144" s="1163"/>
      <c r="F144" s="1163"/>
      <c r="G144" s="1163"/>
      <c r="H144" s="1163"/>
      <c r="I144" s="1163"/>
      <c r="J144" s="1163"/>
      <c r="K144" s="1162">
        <f>IF(K$135&lt;$Q$7,0,IF(Cashflow!K$111="C/I",0,$K$31*J$54))</f>
        <v>0.20387459011839884</v>
      </c>
      <c r="L144" s="1162">
        <f ca="1">IF(L$135&lt;$Q$7,0,IF(Cashflow!L$111="C/I",0,$K$31*K$54))</f>
        <v>0.20004840938291624</v>
      </c>
      <c r="M144" s="1162">
        <f ca="1">IF(M$135&lt;$Q$7,0,IF(Cashflow!M$111="C/I",0,$K$31*L$54))</f>
        <v>0.20004840938291624</v>
      </c>
      <c r="N144" s="1162">
        <f ca="1">IF(N$135&lt;$Q$7,0,IF(Cashflow!N$111="C/I",0,$K$31*M$54))</f>
        <v>0.20004840938291624</v>
      </c>
      <c r="O144" s="1162">
        <f ca="1">IF(O$135&lt;$Q$7,0,IF(Cashflow!O$111="C/I",0,$K$31*N$54))</f>
        <v>0.20004840938291624</v>
      </c>
      <c r="P144" s="1162">
        <f ca="1">IF(P$135&lt;$Q$7,0,IF(Cashflow!P$111="C/I",0,$K$31*O$54))</f>
        <v>0.20004840938291624</v>
      </c>
      <c r="Q144" s="1162">
        <f ca="1">IF(Q$135&lt;$Q$7,0,IF(Cashflow!Q$111="C/I",0,$K$31*P$54))</f>
        <v>0.20004840938291624</v>
      </c>
      <c r="R144" s="1162">
        <f ca="1">IF(R$135&lt;$Q$7,0,IF(Cashflow!R$111="C/I",0,$K$31*Q$54))</f>
        <v>0.20004840938291624</v>
      </c>
      <c r="S144" s="1162">
        <f ca="1">IF(S$135&lt;$Q$7,0,IF(Cashflow!S$111="C/I",0,$K$31*R$54))</f>
        <v>0.20004840938291624</v>
      </c>
      <c r="T144" s="1162">
        <f ca="1">IF(T$135&lt;$Q$7,0,IF(Cashflow!T$111="C/I",0,$K$31*S$54))</f>
        <v>0.20004840938291624</v>
      </c>
      <c r="U144" s="1162">
        <f ca="1">IF(U$135&lt;$Q$7,0,IF(Cashflow!U$111="C/I",0,$K$31*T$54))</f>
        <v>0.19911005514242336</v>
      </c>
      <c r="V144" s="1162">
        <f ca="1">IF(V$135&lt;$Q$7,0,IF(Cashflow!V$111="C/I",0,$K$31*U$54))</f>
        <v>0.19814453205675184</v>
      </c>
      <c r="W144" s="1162">
        <f ca="1">IF(W$135&lt;$Q$7,0,IF(Cashflow!W$111="C/I",0,$K$31*V$54))</f>
        <v>0.19723246910397452</v>
      </c>
      <c r="X144" s="1162">
        <f ca="1">IF(X$135&lt;$Q$7,0,IF(Cashflow!X$111="C/I",0,$K$31*W$54))</f>
        <v>0.1962937484018793</v>
      </c>
      <c r="Y144" s="1162">
        <f ca="1">IF(Y$135&lt;$Q$7,0,IF(Cashflow!Y$111="C/I",0,$K$31*X$54))</f>
        <v>0.19543830275071009</v>
      </c>
      <c r="Z144" s="1162">
        <f ca="1">IF(Z$135&lt;$Q$7,0,IF(Cashflow!Z$111="C/I",0,$K$31*Y$54))</f>
        <v>0.1946028417114137</v>
      </c>
      <c r="AA144" s="1162">
        <f ca="1">IF(AA$135&lt;$Q$7,0,IF(Cashflow!AA$111="C/I",0,$K$31*Z$54))</f>
        <v>0.19381230852569187</v>
      </c>
      <c r="AB144" s="1162">
        <f ca="1">IF(AB$135&lt;$Q$7,0,IF(Cashflow!AB$111="C/I",0,$K$31*AA$54))</f>
        <v>0.1929973220019145</v>
      </c>
      <c r="AC144" s="1162">
        <f ca="1">IF(AC$135&lt;$Q$7,0,IF(Cashflow!AC$111="C/I",0,$K$31*AB$54))</f>
        <v>0.19222600532900111</v>
      </c>
      <c r="AD144" s="1162">
        <f ca="1">IF(AD$135&lt;$Q$7,0,IF(Cashflow!AD$111="C/I",0,$K$31*AC$54))</f>
        <v>0.19150312395015312</v>
      </c>
      <c r="AE144" s="1162">
        <f ca="1">IF(AE$135&lt;$Q$7,0,IF(Cashflow!AE$111="C/I",0,$K$31*AD$54))</f>
        <v>0.19083130628442471</v>
      </c>
      <c r="AF144" s="1162">
        <f ca="1">IF(AF$135&lt;$Q$7,0,IF(Cashflow!AF$111="C/I",0,$K$31*AE$54))</f>
        <v>0.19013752902472592</v>
      </c>
      <c r="AG144" s="1162">
        <f ca="1">IF(AG$135&lt;$Q$7,0,IF(Cashflow!AG$111="C/I",0,$K$31*AF$54))</f>
        <v>0.18947982613641165</v>
      </c>
      <c r="AH144" s="19"/>
      <c r="AI144" s="19"/>
      <c r="AJ144" s="19"/>
      <c r="AK144" s="21"/>
      <c r="AL144" s="21"/>
      <c r="AM144" s="19"/>
      <c r="AN144" s="19"/>
      <c r="AO144" s="326"/>
      <c r="AP144" s="326"/>
      <c r="AQ144" s="326"/>
      <c r="AR144" s="326"/>
      <c r="AS144" s="326"/>
      <c r="AT144" s="326"/>
      <c r="AU144" s="326"/>
      <c r="AV144" s="326"/>
      <c r="AW144" s="326"/>
      <c r="AX144" s="326"/>
      <c r="AY144" s="326"/>
      <c r="AZ144" s="326"/>
    </row>
    <row r="145" spans="1:52">
      <c r="A145" s="169"/>
      <c r="B145" s="191" t="str">
        <f>"Tubing flow for wells built in Year "&amp;Cashflow!L$164</f>
        <v>Tubing flow for wells built in Year 2026</v>
      </c>
      <c r="C145" s="1163"/>
      <c r="D145" s="1163"/>
      <c r="E145" s="1163"/>
      <c r="F145" s="1163"/>
      <c r="G145" s="1163"/>
      <c r="H145" s="1163"/>
      <c r="I145" s="1163"/>
      <c r="J145" s="1163"/>
      <c r="K145" s="1163"/>
      <c r="L145" s="1162">
        <f ca="1">IF(L$135&lt;$Q$7,0,IF(Cashflow!L$111="C/I",0,$L$31*K$54))</f>
        <v>0.40009681876583247</v>
      </c>
      <c r="M145" s="1162">
        <f ca="1">IF(M$135&lt;$Q$7,0,IF(Cashflow!M$111="C/I",0,$L$31*L$54))</f>
        <v>0.40009681876583247</v>
      </c>
      <c r="N145" s="1162">
        <f ca="1">IF(N$135&lt;$Q$7,0,IF(Cashflow!N$111="C/I",0,$L$31*M$54))</f>
        <v>0.40009681876583247</v>
      </c>
      <c r="O145" s="1162">
        <f ca="1">IF(O$135&lt;$Q$7,0,IF(Cashflow!O$111="C/I",0,$L$31*N$54))</f>
        <v>0.40009681876583247</v>
      </c>
      <c r="P145" s="1162">
        <f ca="1">IF(P$135&lt;$Q$7,0,IF(Cashflow!P$111="C/I",0,$L$31*O$54))</f>
        <v>0.40009681876583247</v>
      </c>
      <c r="Q145" s="1162">
        <f ca="1">IF(Q$135&lt;$Q$7,0,IF(Cashflow!Q$111="C/I",0,$L$31*P$54))</f>
        <v>0.40009681876583247</v>
      </c>
      <c r="R145" s="1162">
        <f ca="1">IF(R$135&lt;$Q$7,0,IF(Cashflow!R$111="C/I",0,$L$31*Q$54))</f>
        <v>0.40009681876583247</v>
      </c>
      <c r="S145" s="1162">
        <f ca="1">IF(S$135&lt;$Q$7,0,IF(Cashflow!S$111="C/I",0,$L$31*R$54))</f>
        <v>0.40009681876583247</v>
      </c>
      <c r="T145" s="1162">
        <f ca="1">IF(T$135&lt;$Q$7,0,IF(Cashflow!T$111="C/I",0,$L$31*S$54))</f>
        <v>0.40009681876583247</v>
      </c>
      <c r="U145" s="1162">
        <f ca="1">IF(U$135&lt;$Q$7,0,IF(Cashflow!U$111="C/I",0,$L$31*T$54))</f>
        <v>0.39822011028484672</v>
      </c>
      <c r="V145" s="1162">
        <f ca="1">IF(V$135&lt;$Q$7,0,IF(Cashflow!V$111="C/I",0,$L$31*U$54))</f>
        <v>0.39628906411350368</v>
      </c>
      <c r="W145" s="1162">
        <f ca="1">IF(W$135&lt;$Q$7,0,IF(Cashflow!W$111="C/I",0,$L$31*V$54))</f>
        <v>0.39446493820794903</v>
      </c>
      <c r="X145" s="1162">
        <f ca="1">IF(X$135&lt;$Q$7,0,IF(Cashflow!X$111="C/I",0,$L$31*W$54))</f>
        <v>0.3925874968037586</v>
      </c>
      <c r="Y145" s="1162">
        <f ca="1">IF(Y$135&lt;$Q$7,0,IF(Cashflow!Y$111="C/I",0,$L$31*X$54))</f>
        <v>0.39087660550142017</v>
      </c>
      <c r="Z145" s="1162">
        <f ca="1">IF(Z$135&lt;$Q$7,0,IF(Cashflow!Z$111="C/I",0,$L$31*Y$54))</f>
        <v>0.38920568342282741</v>
      </c>
      <c r="AA145" s="1162">
        <f ca="1">IF(AA$135&lt;$Q$7,0,IF(Cashflow!AA$111="C/I",0,$L$31*Z$54))</f>
        <v>0.38762461705138374</v>
      </c>
      <c r="AB145" s="1162">
        <f ca="1">IF(AB$135&lt;$Q$7,0,IF(Cashflow!AB$111="C/I",0,$L$31*AA$54))</f>
        <v>0.38599464400382899</v>
      </c>
      <c r="AC145" s="1162">
        <f ca="1">IF(AC$135&lt;$Q$7,0,IF(Cashflow!AC$111="C/I",0,$L$31*AB$54))</f>
        <v>0.38445201065800222</v>
      </c>
      <c r="AD145" s="1162">
        <f ca="1">IF(AD$135&lt;$Q$7,0,IF(Cashflow!AD$111="C/I",0,$L$31*AC$54))</f>
        <v>0.38300624790030624</v>
      </c>
      <c r="AE145" s="1162">
        <f ca="1">IF(AE$135&lt;$Q$7,0,IF(Cashflow!AE$111="C/I",0,$L$31*AD$54))</f>
        <v>0.38166261256884942</v>
      </c>
      <c r="AF145" s="1162">
        <f ca="1">IF(AF$135&lt;$Q$7,0,IF(Cashflow!AF$111="C/I",0,$L$31*AE$54))</f>
        <v>0.38027505804945183</v>
      </c>
      <c r="AG145" s="1162">
        <f ca="1">IF(AG$135&lt;$Q$7,0,IF(Cashflow!AG$111="C/I",0,$L$31*AF$54))</f>
        <v>0.3789596522728233</v>
      </c>
      <c r="AH145" s="19"/>
      <c r="AI145" s="19"/>
      <c r="AJ145" s="19"/>
      <c r="AK145" s="21"/>
      <c r="AL145" s="21"/>
      <c r="AM145" s="19"/>
      <c r="AN145" s="19"/>
      <c r="AO145" s="326"/>
      <c r="AP145" s="326"/>
      <c r="AQ145" s="326"/>
      <c r="AR145" s="326"/>
      <c r="AS145" s="326"/>
      <c r="AT145" s="326"/>
      <c r="AU145" s="326"/>
      <c r="AV145" s="326"/>
      <c r="AW145" s="326"/>
      <c r="AX145" s="326"/>
      <c r="AY145" s="326"/>
      <c r="AZ145" s="326"/>
    </row>
    <row r="146" spans="1:52">
      <c r="A146" s="19"/>
      <c r="B146" s="191" t="str">
        <f>"Tubing flow for wells built in Year "&amp;Cashflow!M$164</f>
        <v>Tubing flow for wells built in Year 2027</v>
      </c>
      <c r="C146" s="1163"/>
      <c r="D146" s="1163"/>
      <c r="E146" s="1163"/>
      <c r="F146" s="1163"/>
      <c r="G146" s="1163"/>
      <c r="H146" s="1163"/>
      <c r="I146" s="1163"/>
      <c r="J146" s="1163"/>
      <c r="K146" s="1163"/>
      <c r="L146" s="1163"/>
      <c r="M146" s="1162">
        <f ca="1">IF(M$135&lt;$Q$7,0,IF(Cashflow!M$111="C/I",0,$M$31*L$54))</f>
        <v>0.20004840938291624</v>
      </c>
      <c r="N146" s="1162">
        <f ca="1">IF(N$135&lt;$Q$7,0,IF(Cashflow!N$111="C/I",0,$M$31*M$54))</f>
        <v>0.20004840938291624</v>
      </c>
      <c r="O146" s="1162">
        <f ca="1">IF(O$135&lt;$Q$7,0,IF(Cashflow!O$111="C/I",0,$M$31*N$54))</f>
        <v>0.20004840938291624</v>
      </c>
      <c r="P146" s="1162">
        <f ca="1">IF(P$135&lt;$Q$7,0,IF(Cashflow!P$111="C/I",0,$M$31*O$54))</f>
        <v>0.20004840938291624</v>
      </c>
      <c r="Q146" s="1162">
        <f ca="1">IF(Q$135&lt;$Q$7,0,IF(Cashflow!Q$111="C/I",0,$M$31*P$54))</f>
        <v>0.20004840938291624</v>
      </c>
      <c r="R146" s="1162">
        <f ca="1">IF(R$135&lt;$Q$7,0,IF(Cashflow!R$111="C/I",0,$M$31*Q$54))</f>
        <v>0.20004840938291624</v>
      </c>
      <c r="S146" s="1162">
        <f ca="1">IF(S$135&lt;$Q$7,0,IF(Cashflow!S$111="C/I",0,$M$31*R$54))</f>
        <v>0.20004840938291624</v>
      </c>
      <c r="T146" s="1162">
        <f ca="1">IF(T$135&lt;$Q$7,0,IF(Cashflow!T$111="C/I",0,$M$31*S$54))</f>
        <v>0.20004840938291624</v>
      </c>
      <c r="U146" s="1162">
        <f ca="1">IF(U$135&lt;$Q$7,0,IF(Cashflow!U$111="C/I",0,$M$31*T$54))</f>
        <v>0.19911005514242336</v>
      </c>
      <c r="V146" s="1162">
        <f ca="1">IF(V$135&lt;$Q$7,0,IF(Cashflow!V$111="C/I",0,$M$31*U$54))</f>
        <v>0.19814453205675184</v>
      </c>
      <c r="W146" s="1162">
        <f ca="1">IF(W$135&lt;$Q$7,0,IF(Cashflow!W$111="C/I",0,$M$31*V$54))</f>
        <v>0.19723246910397452</v>
      </c>
      <c r="X146" s="1162">
        <f ca="1">IF(X$135&lt;$Q$7,0,IF(Cashflow!X$111="C/I",0,$M$31*W$54))</f>
        <v>0.1962937484018793</v>
      </c>
      <c r="Y146" s="1162">
        <f ca="1">IF(Y$135&lt;$Q$7,0,IF(Cashflow!Y$111="C/I",0,$M$31*X$54))</f>
        <v>0.19543830275071009</v>
      </c>
      <c r="Z146" s="1162">
        <f ca="1">IF(Z$135&lt;$Q$7,0,IF(Cashflow!Z$111="C/I",0,$M$31*Y$54))</f>
        <v>0.1946028417114137</v>
      </c>
      <c r="AA146" s="1162">
        <f ca="1">IF(AA$135&lt;$Q$7,0,IF(Cashflow!AA$111="C/I",0,$M$31*Z$54))</f>
        <v>0.19381230852569187</v>
      </c>
      <c r="AB146" s="1162">
        <f ca="1">IF(AB$135&lt;$Q$7,0,IF(Cashflow!AB$111="C/I",0,$M$31*AA$54))</f>
        <v>0.1929973220019145</v>
      </c>
      <c r="AC146" s="1162">
        <f ca="1">IF(AC$135&lt;$Q$7,0,IF(Cashflow!AC$111="C/I",0,$M$31*AB$54))</f>
        <v>0.19222600532900111</v>
      </c>
      <c r="AD146" s="1162">
        <f ca="1">IF(AD$135&lt;$Q$7,0,IF(Cashflow!AD$111="C/I",0,$M$31*AC$54))</f>
        <v>0.19150312395015312</v>
      </c>
      <c r="AE146" s="1162">
        <f ca="1">IF(AE$135&lt;$Q$7,0,IF(Cashflow!AE$111="C/I",0,$M$31*AD$54))</f>
        <v>0.19083130628442471</v>
      </c>
      <c r="AF146" s="1162">
        <f ca="1">IF(AF$135&lt;$Q$7,0,IF(Cashflow!AF$111="C/I",0,$M$31*AE$54))</f>
        <v>0.19013752902472592</v>
      </c>
      <c r="AG146" s="1162">
        <f ca="1">IF(AG$135&lt;$Q$7,0,IF(Cashflow!AG$111="C/I",0,$M$31*AF$54))</f>
        <v>0.18947982613641165</v>
      </c>
      <c r="AH146" s="19"/>
      <c r="AI146" s="19"/>
      <c r="AJ146" s="19"/>
      <c r="AK146" s="21"/>
      <c r="AL146" s="21"/>
      <c r="AM146" s="19"/>
      <c r="AN146" s="19"/>
      <c r="AO146" s="326"/>
      <c r="AP146" s="326"/>
      <c r="AQ146" s="326"/>
      <c r="AR146" s="326"/>
      <c r="AS146" s="326"/>
      <c r="AT146" s="326"/>
      <c r="AU146" s="326"/>
      <c r="AV146" s="326"/>
      <c r="AW146" s="326"/>
      <c r="AX146" s="326"/>
      <c r="AY146" s="326"/>
      <c r="AZ146" s="326"/>
    </row>
    <row r="147" spans="1:52">
      <c r="A147" s="19"/>
      <c r="B147" s="191" t="str">
        <f>"Tubing flow for wells built in Year "&amp;Cashflow!N$164</f>
        <v>Tubing flow for wells built in Year 2028</v>
      </c>
      <c r="C147" s="1163"/>
      <c r="D147" s="1163"/>
      <c r="E147" s="1163"/>
      <c r="F147" s="1163"/>
      <c r="G147" s="1163"/>
      <c r="H147" s="1163"/>
      <c r="I147" s="1163"/>
      <c r="J147" s="1163"/>
      <c r="K147" s="1163"/>
      <c r="L147" s="1163"/>
      <c r="M147" s="1163"/>
      <c r="N147" s="1162">
        <f ca="1">IF(N$135&lt;$Q$7,0,IF(Cashflow!N$111="C/I",0,$N$31*M$54))</f>
        <v>0.40009681876583247</v>
      </c>
      <c r="O147" s="1162">
        <f ca="1">IF(O$135&lt;$Q$7,0,IF(Cashflow!O$111="C/I",0,$N$31*N$54))</f>
        <v>0.40009681876583247</v>
      </c>
      <c r="P147" s="1162">
        <f ca="1">IF(P$135&lt;$Q$7,0,IF(Cashflow!P$111="C/I",0,$N$31*O$54))</f>
        <v>0.40009681876583247</v>
      </c>
      <c r="Q147" s="1162">
        <f ca="1">IF(Q$135&lt;$Q$7,0,IF(Cashflow!Q$111="C/I",0,$N$31*P$54))</f>
        <v>0.40009681876583247</v>
      </c>
      <c r="R147" s="1162">
        <f ca="1">IF(R$135&lt;$Q$7,0,IF(Cashflow!R$111="C/I",0,$N$31*Q$54))</f>
        <v>0.40009681876583247</v>
      </c>
      <c r="S147" s="1162">
        <f ca="1">IF(S$135&lt;$Q$7,0,IF(Cashflow!S$111="C/I",0,$N$31*R$54))</f>
        <v>0.40009681876583247</v>
      </c>
      <c r="T147" s="1162">
        <f ca="1">IF(T$135&lt;$Q$7,0,IF(Cashflow!T$111="C/I",0,$N$31*S$54))</f>
        <v>0.40009681876583247</v>
      </c>
      <c r="U147" s="1162">
        <f ca="1">IF(U$135&lt;$Q$7,0,IF(Cashflow!U$111="C/I",0,$N$31*T$54))</f>
        <v>0.39822011028484672</v>
      </c>
      <c r="V147" s="1162">
        <f ca="1">IF(V$135&lt;$Q$7,0,IF(Cashflow!V$111="C/I",0,$N$31*U$54))</f>
        <v>0.39628906411350368</v>
      </c>
      <c r="W147" s="1162">
        <f ca="1">IF(W$135&lt;$Q$7,0,IF(Cashflow!W$111="C/I",0,$N$31*V$54))</f>
        <v>0.39446493820794903</v>
      </c>
      <c r="X147" s="1162">
        <f ca="1">IF(X$135&lt;$Q$7,0,IF(Cashflow!X$111="C/I",0,$N$31*W$54))</f>
        <v>0.3925874968037586</v>
      </c>
      <c r="Y147" s="1162">
        <f ca="1">IF(Y$135&lt;$Q$7,0,IF(Cashflow!Y$111="C/I",0,$N$31*X$54))</f>
        <v>0.39087660550142017</v>
      </c>
      <c r="Z147" s="1162">
        <f ca="1">IF(Z$135&lt;$Q$7,0,IF(Cashflow!Z$111="C/I",0,$N$31*Y$54))</f>
        <v>0.38920568342282741</v>
      </c>
      <c r="AA147" s="1162">
        <f ca="1">IF(AA$135&lt;$Q$7,0,IF(Cashflow!AA$111="C/I",0,$N$31*Z$54))</f>
        <v>0.38762461705138374</v>
      </c>
      <c r="AB147" s="1162">
        <f ca="1">IF(AB$135&lt;$Q$7,0,IF(Cashflow!AB$111="C/I",0,$N$31*AA$54))</f>
        <v>0.38599464400382899</v>
      </c>
      <c r="AC147" s="1162">
        <f ca="1">IF(AC$135&lt;$Q$7,0,IF(Cashflow!AC$111="C/I",0,$N$31*AB$54))</f>
        <v>0.38445201065800222</v>
      </c>
      <c r="AD147" s="1162">
        <f ca="1">IF(AD$135&lt;$Q$7,0,IF(Cashflow!AD$111="C/I",0,$N$31*AC$54))</f>
        <v>0.38300624790030624</v>
      </c>
      <c r="AE147" s="1162">
        <f ca="1">IF(AE$135&lt;$Q$7,0,IF(Cashflow!AE$111="C/I",0,$N$31*AD$54))</f>
        <v>0.38166261256884942</v>
      </c>
      <c r="AF147" s="1162">
        <f ca="1">IF(AF$135&lt;$Q$7,0,IF(Cashflow!AF$111="C/I",0,$N$31*AE$54))</f>
        <v>0.38027505804945183</v>
      </c>
      <c r="AG147" s="1162">
        <f ca="1">IF(AG$135&lt;$Q$7,0,IF(Cashflow!AG$111="C/I",0,$N$31*AF$54))</f>
        <v>0.3789596522728233</v>
      </c>
      <c r="AH147" s="19"/>
      <c r="AI147" s="19"/>
      <c r="AJ147" s="19"/>
      <c r="AK147" s="21"/>
      <c r="AL147" s="21"/>
      <c r="AM147" s="19"/>
      <c r="AN147" s="19"/>
      <c r="AO147" s="326"/>
      <c r="AP147" s="326"/>
      <c r="AQ147" s="326"/>
      <c r="AR147" s="326"/>
      <c r="AS147" s="326"/>
      <c r="AT147" s="326"/>
      <c r="AU147" s="326"/>
      <c r="AV147" s="326"/>
      <c r="AW147" s="326"/>
      <c r="AX147" s="326"/>
      <c r="AY147" s="326"/>
      <c r="AZ147" s="326"/>
    </row>
    <row r="148" spans="1:52">
      <c r="A148" s="19"/>
      <c r="B148" s="191" t="str">
        <f>"Tubing flow for wells built in Year "&amp;Cashflow!O$164</f>
        <v>Tubing flow for wells built in Year 2029</v>
      </c>
      <c r="C148" s="1163"/>
      <c r="D148" s="1163"/>
      <c r="E148" s="1163"/>
      <c r="F148" s="1163"/>
      <c r="G148" s="1163"/>
      <c r="H148" s="1163"/>
      <c r="I148" s="1163"/>
      <c r="J148" s="1163"/>
      <c r="K148" s="1163"/>
      <c r="L148" s="1163"/>
      <c r="M148" s="1163"/>
      <c r="N148" s="1163"/>
      <c r="O148" s="1162">
        <f ca="1">IF(O$135&lt;$Q$7,0,IF(Cashflow!O$111="C/I",0,$O$31*N$54))</f>
        <v>0</v>
      </c>
      <c r="P148" s="1162">
        <f ca="1">IF(P$135&lt;$Q$7,0,IF(Cashflow!P$111="C/I",0,$O$31*O$54))</f>
        <v>0</v>
      </c>
      <c r="Q148" s="1162">
        <f ca="1">IF(Q$135&lt;$Q$7,0,IF(Cashflow!Q$111="C/I",0,$O$31*P$54))</f>
        <v>0</v>
      </c>
      <c r="R148" s="1162">
        <f ca="1">IF(R$135&lt;$Q$7,0,IF(Cashflow!R$111="C/I",0,$O$31*Q$54))</f>
        <v>0</v>
      </c>
      <c r="S148" s="1162">
        <f ca="1">IF(S$135&lt;$Q$7,0,IF(Cashflow!S$111="C/I",0,$O$31*R$54))</f>
        <v>0</v>
      </c>
      <c r="T148" s="1162">
        <f ca="1">IF(T$135&lt;$Q$7,0,IF(Cashflow!T$111="C/I",0,$O$31*S$54))</f>
        <v>0</v>
      </c>
      <c r="U148" s="1162">
        <f ca="1">IF(U$135&lt;$Q$7,0,IF(Cashflow!U$111="C/I",0,$O$31*T$54))</f>
        <v>0</v>
      </c>
      <c r="V148" s="1162">
        <f ca="1">IF(V$135&lt;$Q$7,0,IF(Cashflow!V$111="C/I",0,$O$31*U$54))</f>
        <v>0</v>
      </c>
      <c r="W148" s="1162">
        <f ca="1">IF(W$135&lt;$Q$7,0,IF(Cashflow!W$111="C/I",0,$O$31*V$54))</f>
        <v>0</v>
      </c>
      <c r="X148" s="1162">
        <f ca="1">IF(X$135&lt;$Q$7,0,IF(Cashflow!X$111="C/I",0,$O$31*W$54))</f>
        <v>0</v>
      </c>
      <c r="Y148" s="1162">
        <f ca="1">IF(Y$135&lt;$Q$7,0,IF(Cashflow!Y$111="C/I",0,$O$31*X$54))</f>
        <v>0</v>
      </c>
      <c r="Z148" s="1162">
        <f ca="1">IF(Z$135&lt;$Q$7,0,IF(Cashflow!Z$111="C/I",0,$O$31*Y$54))</f>
        <v>0</v>
      </c>
      <c r="AA148" s="1162">
        <f ca="1">IF(AA$135&lt;$Q$7,0,IF(Cashflow!AA$111="C/I",0,$O$31*Z$54))</f>
        <v>0</v>
      </c>
      <c r="AB148" s="1162">
        <f ca="1">IF(AB$135&lt;$Q$7,0,IF(Cashflow!AB$111="C/I",0,$O$31*AA$54))</f>
        <v>0</v>
      </c>
      <c r="AC148" s="1162">
        <f ca="1">IF(AC$135&lt;$Q$7,0,IF(Cashflow!AC$111="C/I",0,$O$31*AB$54))</f>
        <v>0</v>
      </c>
      <c r="AD148" s="1162">
        <f ca="1">IF(AD$135&lt;$Q$7,0,IF(Cashflow!AD$111="C/I",0,$O$31*AC$54))</f>
        <v>0</v>
      </c>
      <c r="AE148" s="1162">
        <f ca="1">IF(AE$135&lt;$Q$7,0,IF(Cashflow!AE$111="C/I",0,$O$31*AD$54))</f>
        <v>0</v>
      </c>
      <c r="AF148" s="1162">
        <f ca="1">IF(AF$135&lt;$Q$7,0,IF(Cashflow!AF$111="C/I",0,$O$31*AE$54))</f>
        <v>0</v>
      </c>
      <c r="AG148" s="1162">
        <f ca="1">IF(AG$135&lt;$Q$7,0,IF(Cashflow!AG$111="C/I",0,$O$31*AF$54))</f>
        <v>0</v>
      </c>
      <c r="AH148" s="19"/>
      <c r="AI148" s="19"/>
      <c r="AJ148" s="19"/>
      <c r="AK148" s="21"/>
      <c r="AL148" s="21"/>
      <c r="AM148" s="19"/>
      <c r="AN148" s="19"/>
      <c r="AO148" s="326"/>
      <c r="AP148" s="326"/>
      <c r="AQ148" s="326"/>
      <c r="AR148" s="326"/>
      <c r="AS148" s="326"/>
      <c r="AT148" s="326"/>
      <c r="AU148" s="326"/>
      <c r="AV148" s="326"/>
      <c r="AW148" s="326"/>
      <c r="AX148" s="326"/>
      <c r="AY148" s="326"/>
      <c r="AZ148" s="326"/>
    </row>
    <row r="149" spans="1:52">
      <c r="A149" s="19"/>
      <c r="B149" s="191" t="str">
        <f>"Tubing flow for wells built in Year "&amp;Cashflow!P$164</f>
        <v>Tubing flow for wells built in Year 2030</v>
      </c>
      <c r="C149" s="1163"/>
      <c r="D149" s="1163"/>
      <c r="E149" s="1163"/>
      <c r="F149" s="1163"/>
      <c r="G149" s="1163"/>
      <c r="H149" s="1163"/>
      <c r="I149" s="1163"/>
      <c r="J149" s="1163"/>
      <c r="K149" s="1163"/>
      <c r="L149" s="1163"/>
      <c r="M149" s="1163"/>
      <c r="N149" s="1163"/>
      <c r="O149" s="1163"/>
      <c r="P149" s="1162">
        <f ca="1">IF(P$135&lt;$Q$7,0,IF(Cashflow!P$111="C/I",0,$P$31*O$54))</f>
        <v>0</v>
      </c>
      <c r="Q149" s="1162">
        <f ca="1">IF(Q$135&lt;$Q$7,0,IF(Cashflow!Q$111="C/I",0,$P$31*P$54))</f>
        <v>0</v>
      </c>
      <c r="R149" s="1162">
        <f ca="1">IF(R$135&lt;$Q$7,0,IF(Cashflow!R$111="C/I",0,$P$31*Q$54))</f>
        <v>0</v>
      </c>
      <c r="S149" s="1162">
        <f ca="1">IF(S$135&lt;$Q$7,0,IF(Cashflow!S$111="C/I",0,$P$31*R$54))</f>
        <v>0</v>
      </c>
      <c r="T149" s="1162">
        <f ca="1">IF(T$135&lt;$Q$7,0,IF(Cashflow!T$111="C/I",0,$P$31*S$54))</f>
        <v>0</v>
      </c>
      <c r="U149" s="1162">
        <f ca="1">IF(U$135&lt;$Q$7,0,IF(Cashflow!U$111="C/I",0,$P$31*T$54))</f>
        <v>0</v>
      </c>
      <c r="V149" s="1162">
        <f ca="1">IF(V$135&lt;$Q$7,0,IF(Cashflow!V$111="C/I",0,$P$31*U$54))</f>
        <v>0</v>
      </c>
      <c r="W149" s="1162">
        <f ca="1">IF(W$135&lt;$Q$7,0,IF(Cashflow!W$111="C/I",0,$P$31*V$54))</f>
        <v>0</v>
      </c>
      <c r="X149" s="1162">
        <f ca="1">IF(X$135&lt;$Q$7,0,IF(Cashflow!X$111="C/I",0,$P$31*W$54))</f>
        <v>0</v>
      </c>
      <c r="Y149" s="1162">
        <f ca="1">IF(Y$135&lt;$Q$7,0,IF(Cashflow!Y$111="C/I",0,$P$31*X$54))</f>
        <v>0</v>
      </c>
      <c r="Z149" s="1162">
        <f ca="1">IF(Z$135&lt;$Q$7,0,IF(Cashflow!Z$111="C/I",0,$P$31*Y$54))</f>
        <v>0</v>
      </c>
      <c r="AA149" s="1162">
        <f ca="1">IF(AA$135&lt;$Q$7,0,IF(Cashflow!AA$111="C/I",0,$P$31*Z$54))</f>
        <v>0</v>
      </c>
      <c r="AB149" s="1162">
        <f ca="1">IF(AB$135&lt;$Q$7,0,IF(Cashflow!AB$111="C/I",0,$P$31*AA$54))</f>
        <v>0</v>
      </c>
      <c r="AC149" s="1162">
        <f ca="1">IF(AC$135&lt;$Q$7,0,IF(Cashflow!AC$111="C/I",0,$P$31*AB$54))</f>
        <v>0</v>
      </c>
      <c r="AD149" s="1162">
        <f ca="1">IF(AD$135&lt;$Q$7,0,IF(Cashflow!AD$111="C/I",0,$P$31*AC$54))</f>
        <v>0</v>
      </c>
      <c r="AE149" s="1162">
        <f ca="1">IF(AE$135&lt;$Q$7,0,IF(Cashflow!AE$111="C/I",0,$P$31*AD$54))</f>
        <v>0</v>
      </c>
      <c r="AF149" s="1162">
        <f ca="1">IF(AF$135&lt;$Q$7,0,IF(Cashflow!AF$111="C/I",0,$P$31*AE$54))</f>
        <v>0</v>
      </c>
      <c r="AG149" s="1162">
        <f ca="1">IF(AG$135&lt;$Q$7,0,IF(Cashflow!AG$111="C/I",0,$P$31*AF$54))</f>
        <v>0</v>
      </c>
      <c r="AH149" s="19"/>
      <c r="AI149" s="19"/>
      <c r="AJ149" s="19"/>
      <c r="AK149" s="21"/>
      <c r="AL149" s="21"/>
      <c r="AM149" s="19"/>
      <c r="AN149" s="19"/>
      <c r="AO149" s="326"/>
      <c r="AP149" s="326"/>
      <c r="AQ149" s="326"/>
      <c r="AR149" s="326"/>
      <c r="AS149" s="326"/>
      <c r="AT149" s="326"/>
      <c r="AU149" s="326"/>
      <c r="AV149" s="326"/>
      <c r="AW149" s="326"/>
      <c r="AX149" s="326"/>
      <c r="AY149" s="326"/>
      <c r="AZ149" s="326"/>
    </row>
    <row r="150" spans="1:52">
      <c r="A150" s="19"/>
      <c r="B150" s="191" t="str">
        <f>"Tubing flow for wells built in Year "&amp;Cashflow!Q$164</f>
        <v>Tubing flow for wells built in Year 2031</v>
      </c>
      <c r="C150" s="1163"/>
      <c r="D150" s="1163"/>
      <c r="E150" s="1163"/>
      <c r="F150" s="1163"/>
      <c r="G150" s="1163"/>
      <c r="H150" s="1163"/>
      <c r="I150" s="1163"/>
      <c r="J150" s="1163"/>
      <c r="K150" s="1163"/>
      <c r="L150" s="1163"/>
      <c r="M150" s="1163"/>
      <c r="N150" s="1163"/>
      <c r="O150" s="1163"/>
      <c r="P150" s="1163"/>
      <c r="Q150" s="1162">
        <f ca="1">IF(Q$135&lt;$Q$7,0,IF(Cashflow!Q$111="C/I",0,$Q$31*P$54))</f>
        <v>0</v>
      </c>
      <c r="R150" s="1162">
        <f ca="1">IF(R$135&lt;$Q$7,0,IF(Cashflow!R$111="C/I",0,$Q$31*Q$54))</f>
        <v>0</v>
      </c>
      <c r="S150" s="1162">
        <f ca="1">IF(S$135&lt;$Q$7,0,IF(Cashflow!S$111="C/I",0,$Q$31*R$54))</f>
        <v>0</v>
      </c>
      <c r="T150" s="1162">
        <f ca="1">IF(T$135&lt;$Q$7,0,IF(Cashflow!T$111="C/I",0,$Q$31*S$54))</f>
        <v>0</v>
      </c>
      <c r="U150" s="1162">
        <f ca="1">IF(U$135&lt;$Q$7,0,IF(Cashflow!U$111="C/I",0,$Q$31*T$54))</f>
        <v>0</v>
      </c>
      <c r="V150" s="1162">
        <f ca="1">IF(V$135&lt;$Q$7,0,IF(Cashflow!V$111="C/I",0,$Q$31*U$54))</f>
        <v>0</v>
      </c>
      <c r="W150" s="1162">
        <f ca="1">IF(W$135&lt;$Q$7,0,IF(Cashflow!W$111="C/I",0,$Q$31*V$54))</f>
        <v>0</v>
      </c>
      <c r="X150" s="1162">
        <f ca="1">IF(X$135&lt;$Q$7,0,IF(Cashflow!X$111="C/I",0,$Q$31*W$54))</f>
        <v>0</v>
      </c>
      <c r="Y150" s="1162">
        <f ca="1">IF(Y$135&lt;$Q$7,0,IF(Cashflow!Y$111="C/I",0,$Q$31*X$54))</f>
        <v>0</v>
      </c>
      <c r="Z150" s="1162">
        <f ca="1">IF(Z$135&lt;$Q$7,0,IF(Cashflow!Z$111="C/I",0,$Q$31*Y$54))</f>
        <v>0</v>
      </c>
      <c r="AA150" s="1162">
        <f ca="1">IF(AA$135&lt;$Q$7,0,IF(Cashflow!AA$111="C/I",0,$Q$31*Z$54))</f>
        <v>0</v>
      </c>
      <c r="AB150" s="1162">
        <f ca="1">IF(AB$135&lt;$Q$7,0,IF(Cashflow!AB$111="C/I",0,$Q$31*AA$54))</f>
        <v>0</v>
      </c>
      <c r="AC150" s="1162">
        <f ca="1">IF(AC$135&lt;$Q$7,0,IF(Cashflow!AC$111="C/I",0,$Q$31*AB$54))</f>
        <v>0</v>
      </c>
      <c r="AD150" s="1162">
        <f ca="1">IF(AD$135&lt;$Q$7,0,IF(Cashflow!AD$111="C/I",0,$Q$31*AC$54))</f>
        <v>0</v>
      </c>
      <c r="AE150" s="1162">
        <f ca="1">IF(AE$135&lt;$Q$7,0,IF(Cashflow!AE$111="C/I",0,$Q$31*AD$54))</f>
        <v>0</v>
      </c>
      <c r="AF150" s="1162">
        <f ca="1">IF(AF$135&lt;$Q$7,0,IF(Cashflow!AF$111="C/I",0,$Q$31*AE$54))</f>
        <v>0</v>
      </c>
      <c r="AG150" s="1162">
        <f ca="1">IF(AG$135&lt;$Q$7,0,IF(Cashflow!AG$111="C/I",0,$Q$31*AF$54))</f>
        <v>0</v>
      </c>
      <c r="AH150" s="19"/>
      <c r="AI150" s="19"/>
      <c r="AJ150" s="19"/>
      <c r="AK150" s="21"/>
      <c r="AL150" s="21"/>
      <c r="AM150" s="19"/>
      <c r="AN150" s="19"/>
      <c r="AO150" s="326"/>
      <c r="AP150" s="326"/>
      <c r="AQ150" s="326"/>
      <c r="AR150" s="326"/>
      <c r="AS150" s="326"/>
      <c r="AT150" s="326"/>
      <c r="AU150" s="326"/>
      <c r="AV150" s="326"/>
      <c r="AW150" s="326"/>
      <c r="AX150" s="326"/>
      <c r="AY150" s="326"/>
      <c r="AZ150" s="326"/>
    </row>
    <row r="151" spans="1:52">
      <c r="A151" s="19"/>
      <c r="B151" s="191" t="str">
        <f>"Tubing flow for wells built in Year "&amp;Cashflow!R$164</f>
        <v>Tubing flow for wells built in Year 2032</v>
      </c>
      <c r="C151" s="1163"/>
      <c r="D151" s="1163"/>
      <c r="E151" s="1163"/>
      <c r="F151" s="1163"/>
      <c r="G151" s="1163"/>
      <c r="H151" s="1163"/>
      <c r="I151" s="1163"/>
      <c r="J151" s="1163"/>
      <c r="K151" s="1163"/>
      <c r="L151" s="1163"/>
      <c r="M151" s="1163"/>
      <c r="N151" s="1163"/>
      <c r="O151" s="1163"/>
      <c r="P151" s="1163"/>
      <c r="Q151" s="1163"/>
      <c r="R151" s="1162">
        <f ca="1">IF(R$135&lt;$Q$7,0,IF(Cashflow!R$111="C/I",0,$R$31*Q$54))</f>
        <v>0</v>
      </c>
      <c r="S151" s="1162">
        <f ca="1">IF(S$135&lt;$Q$7,0,IF(Cashflow!S$111="C/I",0,$R$31*R$54))</f>
        <v>0</v>
      </c>
      <c r="T151" s="1162">
        <f ca="1">IF(T$135&lt;$Q$7,0,IF(Cashflow!T$111="C/I",0,$R$31*S$54))</f>
        <v>0</v>
      </c>
      <c r="U151" s="1162">
        <f ca="1">IF(U$135&lt;$Q$7,0,IF(Cashflow!U$111="C/I",0,$R$31*T$54))</f>
        <v>0</v>
      </c>
      <c r="V151" s="1162">
        <f ca="1">IF(V$135&lt;$Q$7,0,IF(Cashflow!V$111="C/I",0,$R$31*U$54))</f>
        <v>0</v>
      </c>
      <c r="W151" s="1162">
        <f ca="1">IF(W$135&lt;$Q$7,0,IF(Cashflow!W$111="C/I",0,$R$31*V$54))</f>
        <v>0</v>
      </c>
      <c r="X151" s="1162">
        <f ca="1">IF(X$135&lt;$Q$7,0,IF(Cashflow!X$111="C/I",0,$R$31*W$54))</f>
        <v>0</v>
      </c>
      <c r="Y151" s="1162">
        <f ca="1">IF(Y$135&lt;$Q$7,0,IF(Cashflow!Y$111="C/I",0,$R$31*X$54))</f>
        <v>0</v>
      </c>
      <c r="Z151" s="1162">
        <f ca="1">IF(Z$135&lt;$Q$7,0,IF(Cashflow!Z$111="C/I",0,$R$31*Y$54))</f>
        <v>0</v>
      </c>
      <c r="AA151" s="1162">
        <f ca="1">IF(AA$135&lt;$Q$7,0,IF(Cashflow!AA$111="C/I",0,$R$31*Z$54))</f>
        <v>0</v>
      </c>
      <c r="AB151" s="1162">
        <f ca="1">IF(AB$135&lt;$Q$7,0,IF(Cashflow!AB$111="C/I",0,$R$31*AA$54))</f>
        <v>0</v>
      </c>
      <c r="AC151" s="1162">
        <f ca="1">IF(AC$135&lt;$Q$7,0,IF(Cashflow!AC$111="C/I",0,$R$31*AB$54))</f>
        <v>0</v>
      </c>
      <c r="AD151" s="1162">
        <f ca="1">IF(AD$135&lt;$Q$7,0,IF(Cashflow!AD$111="C/I",0,$R$31*AC$54))</f>
        <v>0</v>
      </c>
      <c r="AE151" s="1162">
        <f ca="1">IF(AE$135&lt;$Q$7,0,IF(Cashflow!AE$111="C/I",0,$R$31*AD$54))</f>
        <v>0</v>
      </c>
      <c r="AF151" s="1162">
        <f ca="1">IF(AF$135&lt;$Q$7,0,IF(Cashflow!AF$111="C/I",0,$R$31*AE$54))</f>
        <v>0</v>
      </c>
      <c r="AG151" s="1162">
        <f ca="1">IF(AG$135&lt;$Q$7,0,IF(Cashflow!AG$111="C/I",0,$R$31*AF$54))</f>
        <v>0</v>
      </c>
      <c r="AH151" s="19"/>
      <c r="AI151" s="19"/>
      <c r="AJ151" s="19"/>
      <c r="AK151" s="21"/>
      <c r="AL151" s="21"/>
      <c r="AM151" s="19"/>
      <c r="AN151" s="19"/>
      <c r="AO151" s="326"/>
      <c r="AP151" s="326"/>
      <c r="AQ151" s="326"/>
      <c r="AR151" s="326"/>
      <c r="AS151" s="326"/>
      <c r="AT151" s="326"/>
      <c r="AU151" s="326"/>
      <c r="AV151" s="326"/>
      <c r="AW151" s="326"/>
      <c r="AX151" s="326"/>
      <c r="AY151" s="326"/>
      <c r="AZ151" s="326"/>
    </row>
    <row r="152" spans="1:52">
      <c r="A152" s="19"/>
      <c r="B152" s="191" t="str">
        <f>"Tubing flow for wells built in Year "&amp;Cashflow!S$164</f>
        <v>Tubing flow for wells built in Year 2033</v>
      </c>
      <c r="C152" s="1163"/>
      <c r="D152" s="1163"/>
      <c r="E152" s="1163"/>
      <c r="F152" s="1163"/>
      <c r="G152" s="1163"/>
      <c r="H152" s="1163"/>
      <c r="I152" s="1163"/>
      <c r="J152" s="1163"/>
      <c r="K152" s="1163"/>
      <c r="L152" s="1163"/>
      <c r="M152" s="1163"/>
      <c r="N152" s="1163"/>
      <c r="O152" s="1163"/>
      <c r="P152" s="1163"/>
      <c r="Q152" s="1163"/>
      <c r="R152" s="1163"/>
      <c r="S152" s="1162">
        <f ca="1">IF(S$135&lt;$Q$7,0,IF(Cashflow!S$111="C/I",0,$S$31*R$54))</f>
        <v>0</v>
      </c>
      <c r="T152" s="1162">
        <f ca="1">IF(T$135&lt;$Q$7,0,IF(Cashflow!T$111="C/I",0,$S$31*S$54))</f>
        <v>0</v>
      </c>
      <c r="U152" s="1162">
        <f ca="1">IF(U$135&lt;$Q$7,0,IF(Cashflow!U$111="C/I",0,$S$31*T$54))</f>
        <v>0</v>
      </c>
      <c r="V152" s="1162">
        <f ca="1">IF(V$135&lt;$Q$7,0,IF(Cashflow!V$111="C/I",0,$S$31*U$54))</f>
        <v>0</v>
      </c>
      <c r="W152" s="1162">
        <f ca="1">IF(W$135&lt;$Q$7,0,IF(Cashflow!W$111="C/I",0,$S$31*V$54))</f>
        <v>0</v>
      </c>
      <c r="X152" s="1162">
        <f ca="1">IF(X$135&lt;$Q$7,0,IF(Cashflow!X$111="C/I",0,$S$31*W$54))</f>
        <v>0</v>
      </c>
      <c r="Y152" s="1162">
        <f ca="1">IF(Y$135&lt;$Q$7,0,IF(Cashflow!Y$111="C/I",0,$S$31*X$54))</f>
        <v>0</v>
      </c>
      <c r="Z152" s="1162">
        <f ca="1">IF(Z$135&lt;$Q$7,0,IF(Cashflow!Z$111="C/I",0,$S$31*Y$54))</f>
        <v>0</v>
      </c>
      <c r="AA152" s="1162">
        <f ca="1">IF(AA$135&lt;$Q$7,0,IF(Cashflow!AA$111="C/I",0,$S$31*Z$54))</f>
        <v>0</v>
      </c>
      <c r="AB152" s="1162">
        <f ca="1">IF(AB$135&lt;$Q$7,0,IF(Cashflow!AB$111="C/I",0,$S$31*AA$54))</f>
        <v>0</v>
      </c>
      <c r="AC152" s="1162">
        <f ca="1">IF(AC$135&lt;$Q$7,0,IF(Cashflow!AC$111="C/I",0,$S$31*AB$54))</f>
        <v>0</v>
      </c>
      <c r="AD152" s="1162">
        <f ca="1">IF(AD$135&lt;$Q$7,0,IF(Cashflow!AD$111="C/I",0,$S$31*AC$54))</f>
        <v>0</v>
      </c>
      <c r="AE152" s="1162">
        <f ca="1">IF(AE$135&lt;$Q$7,0,IF(Cashflow!AE$111="C/I",0,$S$31*AD$54))</f>
        <v>0</v>
      </c>
      <c r="AF152" s="1162">
        <f ca="1">IF(AF$135&lt;$Q$7,0,IF(Cashflow!AF$111="C/I",0,$S$31*AE$54))</f>
        <v>0</v>
      </c>
      <c r="AG152" s="1162">
        <f ca="1">IF(AG$135&lt;$Q$7,0,IF(Cashflow!AG$111="C/I",0,$S$31*AF$54))</f>
        <v>0</v>
      </c>
      <c r="AH152" s="19"/>
      <c r="AI152" s="19"/>
      <c r="AJ152" s="19"/>
      <c r="AK152" s="21"/>
      <c r="AL152" s="21"/>
      <c r="AM152" s="19"/>
      <c r="AN152" s="19"/>
      <c r="AO152" s="326"/>
      <c r="AP152" s="326"/>
      <c r="AQ152" s="326"/>
      <c r="AR152" s="326"/>
      <c r="AS152" s="326"/>
      <c r="AT152" s="326"/>
      <c r="AU152" s="326"/>
      <c r="AV152" s="326"/>
      <c r="AW152" s="326"/>
      <c r="AX152" s="326"/>
      <c r="AY152" s="326"/>
      <c r="AZ152" s="326"/>
    </row>
    <row r="153" spans="1:52">
      <c r="A153" s="19"/>
      <c r="B153" s="191" t="str">
        <f>"Tubing flow for wells built in Year "&amp;Cashflow!T$164</f>
        <v>Tubing flow for wells built in Year 2034</v>
      </c>
      <c r="C153" s="1163"/>
      <c r="D153" s="1163"/>
      <c r="E153" s="1163"/>
      <c r="F153" s="1163"/>
      <c r="G153" s="1163"/>
      <c r="H153" s="1163"/>
      <c r="I153" s="1163"/>
      <c r="J153" s="1163"/>
      <c r="K153" s="1163"/>
      <c r="L153" s="1163"/>
      <c r="M153" s="1163"/>
      <c r="N153" s="1163"/>
      <c r="O153" s="1163"/>
      <c r="P153" s="1163"/>
      <c r="Q153" s="1163"/>
      <c r="R153" s="1163"/>
      <c r="S153" s="1163"/>
      <c r="T153" s="1162">
        <f ca="1">IF(T$135&lt;$Q$7,0,IF(Cashflow!T$111="C/I",0,$T$31*S$54))</f>
        <v>0</v>
      </c>
      <c r="U153" s="1162">
        <f ca="1">IF(U$135&lt;$Q$7,0,IF(Cashflow!U$111="C/I",0,$T$31*T$54))</f>
        <v>0</v>
      </c>
      <c r="V153" s="1162">
        <f ca="1">IF(V$135&lt;$Q$7,0,IF(Cashflow!V$111="C/I",0,$T$31*U$54))</f>
        <v>0</v>
      </c>
      <c r="W153" s="1162">
        <f ca="1">IF(W$135&lt;$Q$7,0,IF(Cashflow!W$111="C/I",0,$T$31*V$54))</f>
        <v>0</v>
      </c>
      <c r="X153" s="1162">
        <f ca="1">IF(X$135&lt;$Q$7,0,IF(Cashflow!X$111="C/I",0,$T$31*W$54))</f>
        <v>0</v>
      </c>
      <c r="Y153" s="1162">
        <f ca="1">IF(Y$135&lt;$Q$7,0,IF(Cashflow!Y$111="C/I",0,$T$31*X$54))</f>
        <v>0</v>
      </c>
      <c r="Z153" s="1162">
        <f ca="1">IF(Z$135&lt;$Q$7,0,IF(Cashflow!Z$111="C/I",0,$T$31*Y$54))</f>
        <v>0</v>
      </c>
      <c r="AA153" s="1162">
        <f ca="1">IF(AA$135&lt;$Q$7,0,IF(Cashflow!AA$111="C/I",0,$T$31*Z$54))</f>
        <v>0</v>
      </c>
      <c r="AB153" s="1162">
        <f ca="1">IF(AB$135&lt;$Q$7,0,IF(Cashflow!AB$111="C/I",0,$T$31*AA$54))</f>
        <v>0</v>
      </c>
      <c r="AC153" s="1162">
        <f ca="1">IF(AC$135&lt;$Q$7,0,IF(Cashflow!AC$111="C/I",0,$T$31*AB$54))</f>
        <v>0</v>
      </c>
      <c r="AD153" s="1162">
        <f ca="1">IF(AD$135&lt;$Q$7,0,IF(Cashflow!AD$111="C/I",0,$T$31*AC$54))</f>
        <v>0</v>
      </c>
      <c r="AE153" s="1162">
        <f ca="1">IF(AE$135&lt;$Q$7,0,IF(Cashflow!AE$111="C/I",0,$T$31*AD$54))</f>
        <v>0</v>
      </c>
      <c r="AF153" s="1162">
        <f ca="1">IF(AF$135&lt;$Q$7,0,IF(Cashflow!AF$111="C/I",0,$T$31*AE$54))</f>
        <v>0</v>
      </c>
      <c r="AG153" s="1162">
        <f ca="1">IF(AG$135&lt;$Q$7,0,IF(Cashflow!AG$111="C/I",0,$T$31*AF$54))</f>
        <v>0</v>
      </c>
      <c r="AH153" s="19"/>
      <c r="AI153" s="19"/>
      <c r="AJ153" s="19"/>
      <c r="AK153" s="21"/>
      <c r="AL153" s="21"/>
      <c r="AM153" s="19"/>
      <c r="AN153" s="19"/>
      <c r="AO153" s="326"/>
      <c r="AP153" s="326"/>
      <c r="AQ153" s="326"/>
      <c r="AR153" s="326"/>
      <c r="AS153" s="326"/>
      <c r="AT153" s="326"/>
      <c r="AU153" s="326"/>
      <c r="AV153" s="326"/>
      <c r="AW153" s="326"/>
      <c r="AX153" s="326"/>
      <c r="AY153" s="326"/>
      <c r="AZ153" s="326"/>
    </row>
    <row r="154" spans="1:52">
      <c r="A154" s="169"/>
      <c r="B154" s="191" t="str">
        <f>"Tubing flow for wells built in Year "&amp;Cashflow!U$164</f>
        <v>Tubing flow for wells built in Year 2035</v>
      </c>
      <c r="C154" s="1163"/>
      <c r="D154" s="1163"/>
      <c r="E154" s="1163"/>
      <c r="F154" s="1163"/>
      <c r="G154" s="1163"/>
      <c r="H154" s="1163"/>
      <c r="I154" s="1163"/>
      <c r="J154" s="1163"/>
      <c r="K154" s="1163"/>
      <c r="L154" s="1163"/>
      <c r="M154" s="1163"/>
      <c r="N154" s="1163"/>
      <c r="O154" s="1163"/>
      <c r="P154" s="1163"/>
      <c r="Q154" s="1163"/>
      <c r="R154" s="1163"/>
      <c r="S154" s="1163"/>
      <c r="T154" s="1163"/>
      <c r="U154" s="1162">
        <f ca="1">IF(U$135&lt;$Q$7,0,IF(Cashflow!U$111="C/I",0,$U$31*T$54))</f>
        <v>0</v>
      </c>
      <c r="V154" s="1162">
        <f ca="1">IF(V$135&lt;$Q$7,0,IF(Cashflow!V$111="C/I",0,$U$31*U$54))</f>
        <v>0</v>
      </c>
      <c r="W154" s="1162">
        <f ca="1">IF(W$135&lt;$Q$7,0,IF(Cashflow!W$111="C/I",0,$U$31*V$54))</f>
        <v>0</v>
      </c>
      <c r="X154" s="1162">
        <f ca="1">IF(X$135&lt;$Q$7,0,IF(Cashflow!X$111="C/I",0,$U$31*W$54))</f>
        <v>0</v>
      </c>
      <c r="Y154" s="1162">
        <f ca="1">IF(Y$135&lt;$Q$7,0,IF(Cashflow!Y$111="C/I",0,$U$31*X$54))</f>
        <v>0</v>
      </c>
      <c r="Z154" s="1162">
        <f ca="1">IF(Z$135&lt;$Q$7,0,IF(Cashflow!Z$111="C/I",0,$U$31*Y$54))</f>
        <v>0</v>
      </c>
      <c r="AA154" s="1162">
        <f ca="1">IF(AA$135&lt;$Q$7,0,IF(Cashflow!AA$111="C/I",0,$U$31*Z$54))</f>
        <v>0</v>
      </c>
      <c r="AB154" s="1162">
        <f ca="1">IF(AB$135&lt;$Q$7,0,IF(Cashflow!AB$111="C/I",0,$U$31*AA$54))</f>
        <v>0</v>
      </c>
      <c r="AC154" s="1162">
        <f ca="1">IF(AC$135&lt;$Q$7,0,IF(Cashflow!AC$111="C/I",0,$U$31*AB$54))</f>
        <v>0</v>
      </c>
      <c r="AD154" s="1162">
        <f ca="1">IF(AD$135&lt;$Q$7,0,IF(Cashflow!AD$111="C/I",0,$U$31*AC$54))</f>
        <v>0</v>
      </c>
      <c r="AE154" s="1162">
        <f ca="1">IF(AE$135&lt;$Q$7,0,IF(Cashflow!AE$111="C/I",0,$U$31*AD$54))</f>
        <v>0</v>
      </c>
      <c r="AF154" s="1162">
        <f ca="1">IF(AF$135&lt;$Q$7,0,IF(Cashflow!AF$111="C/I",0,$U$31*AE$54))</f>
        <v>0</v>
      </c>
      <c r="AG154" s="1162">
        <f ca="1">IF(AG$135&lt;$Q$7,0,IF(Cashflow!AG$111="C/I",0,$U$31*AF$54))</f>
        <v>0</v>
      </c>
      <c r="AH154" s="19"/>
      <c r="AI154" s="19"/>
      <c r="AJ154" s="19"/>
      <c r="AK154" s="21"/>
      <c r="AL154" s="21"/>
      <c r="AM154" s="19"/>
      <c r="AN154" s="19"/>
      <c r="AO154" s="326"/>
      <c r="AP154" s="326"/>
      <c r="AQ154" s="326"/>
      <c r="AR154" s="326"/>
      <c r="AS154" s="326"/>
      <c r="AT154" s="326"/>
      <c r="AU154" s="326"/>
      <c r="AV154" s="326"/>
      <c r="AW154" s="326"/>
      <c r="AX154" s="326"/>
      <c r="AY154" s="326"/>
      <c r="AZ154" s="326"/>
    </row>
    <row r="155" spans="1:52">
      <c r="A155" s="169"/>
      <c r="B155" s="191" t="str">
        <f>"Tubing flow for wells built in Year "&amp;Cashflow!V$164</f>
        <v>Tubing flow for wells built in Year 2036</v>
      </c>
      <c r="C155" s="1163"/>
      <c r="D155" s="1163"/>
      <c r="E155" s="1163"/>
      <c r="F155" s="1163"/>
      <c r="G155" s="1163"/>
      <c r="H155" s="1163"/>
      <c r="I155" s="1163"/>
      <c r="J155" s="1163"/>
      <c r="K155" s="1163"/>
      <c r="L155" s="1163"/>
      <c r="M155" s="1163"/>
      <c r="N155" s="1163"/>
      <c r="O155" s="1163"/>
      <c r="P155" s="1163"/>
      <c r="Q155" s="1163"/>
      <c r="R155" s="1163"/>
      <c r="S155" s="1163"/>
      <c r="T155" s="1163"/>
      <c r="U155" s="1163"/>
      <c r="V155" s="1162">
        <f ca="1">IF(V$135&lt;$Q$7,0,IF(Cashflow!V$111="C/I",0,$V$31*U$54))</f>
        <v>0</v>
      </c>
      <c r="W155" s="1162">
        <f ca="1">IF(W$135&lt;$Q$7,0,IF(Cashflow!W$111="C/I",0,$V$31*V$54))</f>
        <v>0</v>
      </c>
      <c r="X155" s="1162">
        <f ca="1">IF(X$135&lt;$Q$7,0,IF(Cashflow!X$111="C/I",0,$V$31*W$54))</f>
        <v>0</v>
      </c>
      <c r="Y155" s="1162">
        <f ca="1">IF(Y$135&lt;$Q$7,0,IF(Cashflow!Y$111="C/I",0,$V$31*X$54))</f>
        <v>0</v>
      </c>
      <c r="Z155" s="1162">
        <f ca="1">IF(Z$135&lt;$Q$7,0,IF(Cashflow!Z$111="C/I",0,$V$31*Y$54))</f>
        <v>0</v>
      </c>
      <c r="AA155" s="1162">
        <f ca="1">IF(AA$135&lt;$Q$7,0,IF(Cashflow!AA$111="C/I",0,$V$31*Z$54))</f>
        <v>0</v>
      </c>
      <c r="AB155" s="1162">
        <f ca="1">IF(AB$135&lt;$Q$7,0,IF(Cashflow!AB$111="C/I",0,$V$31*AA$54))</f>
        <v>0</v>
      </c>
      <c r="AC155" s="1162">
        <f ca="1">IF(AC$135&lt;$Q$7,0,IF(Cashflow!AC$111="C/I",0,$V$31*AB$54))</f>
        <v>0</v>
      </c>
      <c r="AD155" s="1162">
        <f ca="1">IF(AD$135&lt;$Q$7,0,IF(Cashflow!AD$111="C/I",0,$V$31*AC$54))</f>
        <v>0</v>
      </c>
      <c r="AE155" s="1162">
        <f ca="1">IF(AE$135&lt;$Q$7,0,IF(Cashflow!AE$111="C/I",0,$V$31*AD$54))</f>
        <v>0</v>
      </c>
      <c r="AF155" s="1162">
        <f ca="1">IF(AF$135&lt;$Q$7,0,IF(Cashflow!AF$111="C/I",0,$V$31*AE$54))</f>
        <v>0</v>
      </c>
      <c r="AG155" s="1162">
        <f ca="1">IF(AG$135&lt;$Q$7,0,IF(Cashflow!AG$111="C/I",0,$V$31*AF$54))</f>
        <v>0</v>
      </c>
      <c r="AH155" s="19"/>
      <c r="AI155" s="19"/>
      <c r="AJ155" s="19"/>
      <c r="AK155" s="21"/>
      <c r="AL155" s="21"/>
      <c r="AM155" s="19"/>
      <c r="AN155" s="19"/>
      <c r="AO155" s="326"/>
      <c r="AP155" s="326"/>
      <c r="AQ155" s="326"/>
      <c r="AR155" s="326"/>
      <c r="AS155" s="326"/>
      <c r="AT155" s="326"/>
      <c r="AU155" s="326"/>
      <c r="AV155" s="326"/>
      <c r="AW155" s="326"/>
      <c r="AX155" s="326"/>
      <c r="AY155" s="326"/>
      <c r="AZ155" s="326"/>
    </row>
    <row r="156" spans="1:52">
      <c r="A156" s="169"/>
      <c r="B156" s="191" t="str">
        <f>"Tubing flow for wells built in Year "&amp;Cashflow!W$164</f>
        <v>Tubing flow for wells built in Year 2037</v>
      </c>
      <c r="C156" s="1163"/>
      <c r="D156" s="1163"/>
      <c r="E156" s="1163"/>
      <c r="F156" s="1163"/>
      <c r="G156" s="1163"/>
      <c r="H156" s="1163"/>
      <c r="I156" s="1163"/>
      <c r="J156" s="1163"/>
      <c r="K156" s="1163"/>
      <c r="L156" s="1163"/>
      <c r="M156" s="1163"/>
      <c r="N156" s="1163"/>
      <c r="O156" s="1163"/>
      <c r="P156" s="1163"/>
      <c r="Q156" s="1163"/>
      <c r="R156" s="1163"/>
      <c r="S156" s="1163"/>
      <c r="T156" s="1163"/>
      <c r="U156" s="1163"/>
      <c r="V156" s="1163"/>
      <c r="W156" s="1162">
        <f ca="1">IF(W$135&lt;$Q$7,0,IF(Cashflow!W$111="C/I",0,$W$31*V$54))</f>
        <v>0</v>
      </c>
      <c r="X156" s="1162">
        <f ca="1">IF(X$135&lt;$Q$7,0,IF(Cashflow!X$111="C/I",0,$W$31*W$54))</f>
        <v>0</v>
      </c>
      <c r="Y156" s="1162">
        <f ca="1">IF(Y$135&lt;$Q$7,0,IF(Cashflow!Y$111="C/I",0,$W$31*X$54))</f>
        <v>0</v>
      </c>
      <c r="Z156" s="1162">
        <f ca="1">IF(Z$135&lt;$Q$7,0,IF(Cashflow!Z$111="C/I",0,$W$31*Y$54))</f>
        <v>0</v>
      </c>
      <c r="AA156" s="1162">
        <f ca="1">IF(AA$135&lt;$Q$7,0,IF(Cashflow!AA$111="C/I",0,$W$31*Z$54))</f>
        <v>0</v>
      </c>
      <c r="AB156" s="1162">
        <f ca="1">IF(AB$135&lt;$Q$7,0,IF(Cashflow!AB$111="C/I",0,$W$31*AA$54))</f>
        <v>0</v>
      </c>
      <c r="AC156" s="1162">
        <f ca="1">IF(AC$135&lt;$Q$7,0,IF(Cashflow!AC$111="C/I",0,$W$31*AB$54))</f>
        <v>0</v>
      </c>
      <c r="AD156" s="1162">
        <f ca="1">IF(AD$135&lt;$Q$7,0,IF(Cashflow!AD$111="C/I",0,$W$31*AC$54))</f>
        <v>0</v>
      </c>
      <c r="AE156" s="1162">
        <f ca="1">IF(AE$135&lt;$Q$7,0,IF(Cashflow!AE$111="C/I",0,$W$31*AD$54))</f>
        <v>0</v>
      </c>
      <c r="AF156" s="1162">
        <f ca="1">IF(AF$135&lt;$Q$7,0,IF(Cashflow!AF$111="C/I",0,$W$31*AE$54))</f>
        <v>0</v>
      </c>
      <c r="AG156" s="1162">
        <f ca="1">IF(AG$135&lt;$Q$7,0,IF(Cashflow!AG$111="C/I",0,$W$31*AF$54))</f>
        <v>0</v>
      </c>
      <c r="AH156" s="19"/>
      <c r="AI156" s="19"/>
      <c r="AJ156" s="19"/>
      <c r="AK156" s="21"/>
      <c r="AL156" s="21"/>
      <c r="AM156" s="19"/>
      <c r="AN156" s="19"/>
      <c r="AO156" s="326"/>
      <c r="AP156" s="326"/>
      <c r="AQ156" s="326"/>
      <c r="AR156" s="326"/>
      <c r="AS156" s="326"/>
      <c r="AT156" s="326"/>
      <c r="AU156" s="326"/>
      <c r="AV156" s="326"/>
      <c r="AW156" s="326"/>
      <c r="AX156" s="326"/>
      <c r="AY156" s="326"/>
      <c r="AZ156" s="326"/>
    </row>
    <row r="157" spans="1:52">
      <c r="A157" s="169"/>
      <c r="B157" s="191" t="str">
        <f>"Tubing flow for wells built in Year "&amp;Cashflow!X$164</f>
        <v>Tubing flow for wells built in Year 2038</v>
      </c>
      <c r="C157" s="1163"/>
      <c r="D157" s="1163"/>
      <c r="E157" s="1163"/>
      <c r="F157" s="1163"/>
      <c r="G157" s="1163"/>
      <c r="H157" s="1163"/>
      <c r="I157" s="1163"/>
      <c r="J157" s="1163"/>
      <c r="K157" s="1163"/>
      <c r="L157" s="1163"/>
      <c r="M157" s="1163"/>
      <c r="N157" s="1163"/>
      <c r="O157" s="1163"/>
      <c r="P157" s="1163"/>
      <c r="Q157" s="1163"/>
      <c r="R157" s="1163"/>
      <c r="S157" s="1163"/>
      <c r="T157" s="1163"/>
      <c r="U157" s="1163"/>
      <c r="V157" s="1163"/>
      <c r="W157" s="1163"/>
      <c r="X157" s="1162">
        <f ca="1">IF(X$135&lt;$Q$7,0,IF(Cashflow!X$111="C/I",0,$X$31*W$54))</f>
        <v>0</v>
      </c>
      <c r="Y157" s="1162">
        <f ca="1">IF(Y$135&lt;$Q$7,0,IF(Cashflow!Y$111="C/I",0,$X$31*X$54))</f>
        <v>0</v>
      </c>
      <c r="Z157" s="1162">
        <f ca="1">IF(Z$135&lt;$Q$7,0,IF(Cashflow!Z$111="C/I",0,$X$31*Y$54))</f>
        <v>0</v>
      </c>
      <c r="AA157" s="1162">
        <f ca="1">IF(AA$135&lt;$Q$7,0,IF(Cashflow!AA$111="C/I",0,$X$31*Z$54))</f>
        <v>0</v>
      </c>
      <c r="AB157" s="1162">
        <f ca="1">IF(AB$135&lt;$Q$7,0,IF(Cashflow!AB$111="C/I",0,$X$31*AA$54))</f>
        <v>0</v>
      </c>
      <c r="AC157" s="1162">
        <f ca="1">IF(AC$135&lt;$Q$7,0,IF(Cashflow!AC$111="C/I",0,$X$31*AB$54))</f>
        <v>0</v>
      </c>
      <c r="AD157" s="1162">
        <f ca="1">IF(AD$135&lt;$Q$7,0,IF(Cashflow!AD$111="C/I",0,$X$31*AC$54))</f>
        <v>0</v>
      </c>
      <c r="AE157" s="1162">
        <f ca="1">IF(AE$135&lt;$Q$7,0,IF(Cashflow!AE$111="C/I",0,$X$31*AD$54))</f>
        <v>0</v>
      </c>
      <c r="AF157" s="1162">
        <f ca="1">IF(AF$135&lt;$Q$7,0,IF(Cashflow!AF$111="C/I",0,$X$31*AE$54))</f>
        <v>0</v>
      </c>
      <c r="AG157" s="1162">
        <f ca="1">IF(AG$135&lt;$Q$7,0,IF(Cashflow!AG$111="C/I",0,$X$31*AF$54))</f>
        <v>0</v>
      </c>
      <c r="AH157" s="19"/>
      <c r="AI157" s="19"/>
      <c r="AJ157" s="19"/>
      <c r="AK157" s="21"/>
      <c r="AL157" s="21"/>
      <c r="AM157" s="19"/>
      <c r="AN157" s="19"/>
      <c r="AO157" s="326"/>
      <c r="AP157" s="326"/>
      <c r="AQ157" s="326"/>
      <c r="AR157" s="326"/>
      <c r="AS157" s="326"/>
      <c r="AT157" s="326"/>
      <c r="AU157" s="326"/>
      <c r="AV157" s="326"/>
      <c r="AW157" s="326"/>
      <c r="AX157" s="326"/>
      <c r="AY157" s="326"/>
      <c r="AZ157" s="326"/>
    </row>
    <row r="158" spans="1:52">
      <c r="A158" s="169"/>
      <c r="B158" s="191" t="str">
        <f>"Tubing flow for wells built in Year "&amp;Cashflow!Y$164</f>
        <v>Tubing flow for wells built in Year 2039</v>
      </c>
      <c r="C158" s="1163"/>
      <c r="D158" s="1163"/>
      <c r="E158" s="1163"/>
      <c r="F158" s="1163"/>
      <c r="G158" s="1163"/>
      <c r="H158" s="1163"/>
      <c r="I158" s="1163"/>
      <c r="J158" s="1163"/>
      <c r="K158" s="1163"/>
      <c r="L158" s="1163"/>
      <c r="M158" s="1163"/>
      <c r="N158" s="1163"/>
      <c r="O158" s="1163"/>
      <c r="P158" s="1163"/>
      <c r="Q158" s="1163"/>
      <c r="R158" s="1163"/>
      <c r="S158" s="1163"/>
      <c r="T158" s="1163"/>
      <c r="U158" s="1163"/>
      <c r="V158" s="1163"/>
      <c r="W158" s="1163"/>
      <c r="X158" s="1163"/>
      <c r="Y158" s="1162">
        <f ca="1">IF(Y$135&lt;$Q$7,0,IF(Cashflow!Y$111="C/I",0,$Y$31*X$54))</f>
        <v>0</v>
      </c>
      <c r="Z158" s="1162">
        <f ca="1">IF(Z$135&lt;$Q$7,0,IF(Cashflow!Z$111="C/I",0,$Y$31*Y$54))</f>
        <v>0</v>
      </c>
      <c r="AA158" s="1162">
        <f ca="1">IF(AA$135&lt;$Q$7,0,IF(Cashflow!AA$111="C/I",0,$Y$31*Z$54))</f>
        <v>0</v>
      </c>
      <c r="AB158" s="1162">
        <f ca="1">IF(AB$135&lt;$Q$7,0,IF(Cashflow!AB$111="C/I",0,$Y$31*AA$54))</f>
        <v>0</v>
      </c>
      <c r="AC158" s="1162">
        <f ca="1">IF(AC$135&lt;$Q$7,0,IF(Cashflow!AC$111="C/I",0,$Y$31*AB$54))</f>
        <v>0</v>
      </c>
      <c r="AD158" s="1162">
        <f ca="1">IF(AD$135&lt;$Q$7,0,IF(Cashflow!AD$111="C/I",0,$Y$31*AC$54))</f>
        <v>0</v>
      </c>
      <c r="AE158" s="1162">
        <f ca="1">IF(AE$135&lt;$Q$7,0,IF(Cashflow!AE$111="C/I",0,$Y$31*AD$54))</f>
        <v>0</v>
      </c>
      <c r="AF158" s="1162">
        <f ca="1">IF(AF$135&lt;$Q$7,0,IF(Cashflow!AF$111="C/I",0,$Y$31*AE$54))</f>
        <v>0</v>
      </c>
      <c r="AG158" s="1162">
        <f ca="1">IF(AG$135&lt;$Q$7,0,IF(Cashflow!AG$111="C/I",0,$Y$31*AF$54))</f>
        <v>0</v>
      </c>
      <c r="AH158" s="19"/>
      <c r="AI158" s="19"/>
      <c r="AJ158" s="19"/>
      <c r="AK158" s="21"/>
      <c r="AL158" s="21"/>
      <c r="AM158" s="19"/>
      <c r="AN158" s="19"/>
      <c r="AO158" s="326"/>
      <c r="AP158" s="326"/>
      <c r="AQ158" s="326"/>
      <c r="AR158" s="326"/>
      <c r="AS158" s="326"/>
      <c r="AT158" s="326"/>
      <c r="AU158" s="326"/>
      <c r="AV158" s="326"/>
      <c r="AW158" s="326"/>
      <c r="AX158" s="326"/>
      <c r="AY158" s="326"/>
      <c r="AZ158" s="326"/>
    </row>
    <row r="159" spans="1:52">
      <c r="A159" s="169"/>
      <c r="B159" s="191" t="str">
        <f>"Tubing flow for wells built in Year "&amp;Cashflow!Z$164</f>
        <v>Tubing flow for wells built in Year 2040</v>
      </c>
      <c r="C159" s="1163"/>
      <c r="D159" s="1163"/>
      <c r="E159" s="1163"/>
      <c r="F159" s="1163"/>
      <c r="G159" s="1163"/>
      <c r="H159" s="1163"/>
      <c r="I159" s="1163"/>
      <c r="J159" s="1163"/>
      <c r="K159" s="1163"/>
      <c r="L159" s="1163"/>
      <c r="M159" s="1163"/>
      <c r="N159" s="1163"/>
      <c r="O159" s="1163"/>
      <c r="P159" s="1163"/>
      <c r="Q159" s="1163"/>
      <c r="R159" s="1163"/>
      <c r="S159" s="1163"/>
      <c r="T159" s="1163"/>
      <c r="U159" s="1163"/>
      <c r="V159" s="1163"/>
      <c r="W159" s="1163"/>
      <c r="X159" s="1163"/>
      <c r="Y159" s="1163"/>
      <c r="Z159" s="1162">
        <f ca="1">IF(Z$135&lt;$Q$7,0,IF(Cashflow!Z$111="C/I",0,$Z$31*Y$54))</f>
        <v>0</v>
      </c>
      <c r="AA159" s="1162">
        <f ca="1">IF(AA$135&lt;$Q$7,0,IF(Cashflow!AA$111="C/I",0,$Z$31*Z$54))</f>
        <v>0</v>
      </c>
      <c r="AB159" s="1162">
        <f ca="1">IF(AB$135&lt;$Q$7,0,IF(Cashflow!AB$111="C/I",0,$Z$31*AA$54))</f>
        <v>0</v>
      </c>
      <c r="AC159" s="1162">
        <f ca="1">IF(AC$135&lt;$Q$7,0,IF(Cashflow!AC$111="C/I",0,$Z$31*AB$54))</f>
        <v>0</v>
      </c>
      <c r="AD159" s="1162">
        <f ca="1">IF(AD$135&lt;$Q$7,0,IF(Cashflow!AD$111="C/I",0,$Z$31*AC$54))</f>
        <v>0</v>
      </c>
      <c r="AE159" s="1162">
        <f ca="1">IF(AE$135&lt;$Q$7,0,IF(Cashflow!AE$111="C/I",0,$Z$31*AD$54))</f>
        <v>0</v>
      </c>
      <c r="AF159" s="1162">
        <f ca="1">IF(AF$135&lt;$Q$7,0,IF(Cashflow!AF$111="C/I",0,$Z$31*AE$54))</f>
        <v>0</v>
      </c>
      <c r="AG159" s="1162">
        <f ca="1">IF(AG$135&lt;$Q$7,0,IF(Cashflow!AG$111="C/I",0,$Z$31*AF$54))</f>
        <v>0</v>
      </c>
      <c r="AH159" s="19"/>
      <c r="AI159" s="19"/>
      <c r="AJ159" s="19"/>
      <c r="AK159" s="21"/>
      <c r="AL159" s="21"/>
      <c r="AM159" s="19"/>
      <c r="AN159" s="19"/>
      <c r="AO159" s="326"/>
      <c r="AP159" s="326"/>
      <c r="AQ159" s="326"/>
      <c r="AR159" s="326"/>
      <c r="AS159" s="326"/>
      <c r="AT159" s="326"/>
      <c r="AU159" s="326"/>
      <c r="AV159" s="326"/>
      <c r="AW159" s="326"/>
      <c r="AX159" s="326"/>
      <c r="AY159" s="326"/>
      <c r="AZ159" s="326"/>
    </row>
    <row r="160" spans="1:52">
      <c r="A160" s="169"/>
      <c r="B160" s="191" t="str">
        <f>"Tubing flow for wells built in Year "&amp;Cashflow!AA$164</f>
        <v>Tubing flow for wells built in Year 2041</v>
      </c>
      <c r="C160" s="1163"/>
      <c r="D160" s="1163"/>
      <c r="E160" s="1163"/>
      <c r="F160" s="1163"/>
      <c r="G160" s="1163"/>
      <c r="H160" s="1163"/>
      <c r="I160" s="1163"/>
      <c r="J160" s="1163"/>
      <c r="K160" s="1163"/>
      <c r="L160" s="1163"/>
      <c r="M160" s="1163"/>
      <c r="N160" s="1163"/>
      <c r="O160" s="1163"/>
      <c r="P160" s="1163"/>
      <c r="Q160" s="1163"/>
      <c r="R160" s="1163"/>
      <c r="S160" s="1163"/>
      <c r="T160" s="1163"/>
      <c r="U160" s="1163"/>
      <c r="V160" s="1163"/>
      <c r="W160" s="1163"/>
      <c r="X160" s="1163"/>
      <c r="Y160" s="1163"/>
      <c r="Z160" s="1163"/>
      <c r="AA160" s="1162">
        <f ca="1">IF(AA$135&lt;$Q$7,0,IF(Cashflow!AA$111="C/I",0,$AA$31*Z$54))</f>
        <v>0</v>
      </c>
      <c r="AB160" s="1162">
        <f ca="1">IF(AB$135&lt;$Q$7,0,IF(Cashflow!AB$111="C/I",0,$AA$31*AA$54))</f>
        <v>0</v>
      </c>
      <c r="AC160" s="1162">
        <f ca="1">IF(AC$135&lt;$Q$7,0,IF(Cashflow!AC$111="C/I",0,$AA$31*AB$54))</f>
        <v>0</v>
      </c>
      <c r="AD160" s="1162">
        <f ca="1">IF(AD$135&lt;$Q$7,0,IF(Cashflow!AD$111="C/I",0,$AA$31*AC$54))</f>
        <v>0</v>
      </c>
      <c r="AE160" s="1162">
        <f ca="1">IF(AE$135&lt;$Q$7,0,IF(Cashflow!AE$111="C/I",0,$AA$31*AD$54))</f>
        <v>0</v>
      </c>
      <c r="AF160" s="1162">
        <f ca="1">IF(AF$135&lt;$Q$7,0,IF(Cashflow!AF$111="C/I",0,$AA$31*AE$54))</f>
        <v>0</v>
      </c>
      <c r="AG160" s="1162">
        <f ca="1">IF(AG$135&lt;$Q$7,0,IF(Cashflow!AG$111="C/I",0,$AA$31*AF$54))</f>
        <v>0</v>
      </c>
      <c r="AH160" s="19"/>
      <c r="AI160" s="19"/>
      <c r="AJ160" s="19"/>
      <c r="AK160" s="21"/>
      <c r="AL160" s="21"/>
      <c r="AM160" s="19"/>
      <c r="AN160" s="19"/>
      <c r="AO160" s="326"/>
      <c r="AP160" s="326"/>
      <c r="AQ160" s="326"/>
      <c r="AR160" s="326"/>
      <c r="AS160" s="326"/>
      <c r="AT160" s="326"/>
      <c r="AU160" s="326"/>
      <c r="AV160" s="326"/>
      <c r="AW160" s="326"/>
      <c r="AX160" s="326"/>
      <c r="AY160" s="326"/>
      <c r="AZ160" s="326"/>
    </row>
    <row r="161" spans="1:52">
      <c r="A161" s="19"/>
      <c r="B161" s="191" t="str">
        <f>"Tubing flow for wells built in Year "&amp;Cashflow!AB$164</f>
        <v>Tubing flow for wells built in Year 2042</v>
      </c>
      <c r="C161" s="1163"/>
      <c r="D161" s="1163"/>
      <c r="E161" s="1163"/>
      <c r="F161" s="1163"/>
      <c r="G161" s="1163"/>
      <c r="H161" s="1163"/>
      <c r="I161" s="1163"/>
      <c r="J161" s="1163"/>
      <c r="K161" s="1163"/>
      <c r="L161" s="1163"/>
      <c r="M161" s="1163"/>
      <c r="N161" s="1163"/>
      <c r="O161" s="1163"/>
      <c r="P161" s="1163"/>
      <c r="Q161" s="1163"/>
      <c r="R161" s="1163"/>
      <c r="S161" s="1163"/>
      <c r="T161" s="1163"/>
      <c r="U161" s="1163"/>
      <c r="V161" s="1163"/>
      <c r="W161" s="1163"/>
      <c r="X161" s="1163"/>
      <c r="Y161" s="1163"/>
      <c r="Z161" s="1163"/>
      <c r="AA161" s="1163"/>
      <c r="AB161" s="1162">
        <f ca="1">IF(AB$135&lt;$Q$7,0,IF(Cashflow!AB$111="C/I",0,$AB$31*AA$54))</f>
        <v>0</v>
      </c>
      <c r="AC161" s="1162">
        <f ca="1">IF(AC$135&lt;$Q$7,0,IF(Cashflow!AC$111="C/I",0,$AB$31*AB$54))</f>
        <v>0</v>
      </c>
      <c r="AD161" s="1162">
        <f ca="1">IF(AD$135&lt;$Q$7,0,IF(Cashflow!AD$111="C/I",0,$AB$31*AC$54))</f>
        <v>0</v>
      </c>
      <c r="AE161" s="1162">
        <f ca="1">IF(AE$135&lt;$Q$7,0,IF(Cashflow!AE$111="C/I",0,$AB$31*AD$54))</f>
        <v>0</v>
      </c>
      <c r="AF161" s="1162">
        <f ca="1">IF(AF$135&lt;$Q$7,0,IF(Cashflow!AF$111="C/I",0,$AB$31*AE$54))</f>
        <v>0</v>
      </c>
      <c r="AG161" s="1162">
        <f ca="1">IF(AG$135&lt;$Q$7,0,IF(Cashflow!AG$111="C/I",0,$AB$31*AF$54))</f>
        <v>0</v>
      </c>
      <c r="AH161" s="19"/>
      <c r="AI161" s="19"/>
      <c r="AJ161" s="19"/>
      <c r="AK161" s="21"/>
      <c r="AL161" s="21"/>
      <c r="AM161" s="19"/>
      <c r="AN161" s="19"/>
      <c r="AO161" s="326"/>
      <c r="AP161" s="326"/>
      <c r="AQ161" s="326"/>
      <c r="AR161" s="326"/>
      <c r="AS161" s="326"/>
      <c r="AT161" s="326"/>
      <c r="AU161" s="326"/>
      <c r="AV161" s="326"/>
      <c r="AW161" s="326"/>
      <c r="AX161" s="326"/>
      <c r="AY161" s="326"/>
      <c r="AZ161" s="326"/>
    </row>
    <row r="162" spans="1:52">
      <c r="A162" s="19"/>
      <c r="B162" s="191" t="str">
        <f>"Tubing flow for wells built in Year "&amp;Cashflow!AC$164</f>
        <v>Tubing flow for wells built in Year 2043</v>
      </c>
      <c r="C162" s="1163"/>
      <c r="D162" s="1163"/>
      <c r="E162" s="1163"/>
      <c r="F162" s="1163"/>
      <c r="G162" s="1163"/>
      <c r="H162" s="1163"/>
      <c r="I162" s="1163"/>
      <c r="J162" s="1163"/>
      <c r="K162" s="1163"/>
      <c r="L162" s="1163"/>
      <c r="M162" s="1163"/>
      <c r="N162" s="1163"/>
      <c r="O162" s="1163"/>
      <c r="P162" s="1163"/>
      <c r="Q162" s="1163"/>
      <c r="R162" s="1163"/>
      <c r="S162" s="1163"/>
      <c r="T162" s="1163"/>
      <c r="U162" s="1163"/>
      <c r="V162" s="1163"/>
      <c r="W162" s="1163"/>
      <c r="X162" s="1163"/>
      <c r="Y162" s="1163"/>
      <c r="Z162" s="1163"/>
      <c r="AA162" s="1163"/>
      <c r="AB162" s="1163"/>
      <c r="AC162" s="1162">
        <f ca="1">IF(AC$135&lt;$Q$7,0,IF(Cashflow!AC$111="C/I",0,$AC$31*AB$54))</f>
        <v>0</v>
      </c>
      <c r="AD162" s="1162">
        <f ca="1">IF(AD$135&lt;$Q$7,0,IF(Cashflow!AD$111="C/I",0,$AC$31*AC$54))</f>
        <v>0</v>
      </c>
      <c r="AE162" s="1162">
        <f ca="1">IF(AE$135&lt;$Q$7,0,IF(Cashflow!AE$111="C/I",0,$AC$31*AD$54))</f>
        <v>0</v>
      </c>
      <c r="AF162" s="1162">
        <f ca="1">IF(AF$135&lt;$Q$7,0,IF(Cashflow!AF$111="C/I",0,$AC$31*AE$54))</f>
        <v>0</v>
      </c>
      <c r="AG162" s="1162">
        <f ca="1">IF(AG$135&lt;$Q$7,0,IF(Cashflow!AG$111="C/I",0,$AC$31*AF$54))</f>
        <v>0</v>
      </c>
      <c r="AH162" s="19"/>
      <c r="AI162" s="19"/>
      <c r="AJ162" s="19"/>
      <c r="AK162" s="21"/>
      <c r="AL162" s="21"/>
      <c r="AM162" s="19"/>
      <c r="AN162" s="19"/>
      <c r="AO162" s="326"/>
      <c r="AP162" s="326"/>
      <c r="AQ162" s="326"/>
      <c r="AR162" s="326"/>
      <c r="AS162" s="326"/>
      <c r="AT162" s="326"/>
      <c r="AU162" s="326"/>
      <c r="AV162" s="326"/>
      <c r="AW162" s="326"/>
      <c r="AX162" s="326"/>
      <c r="AY162" s="326"/>
      <c r="AZ162" s="326"/>
    </row>
    <row r="163" spans="1:52">
      <c r="A163" s="19"/>
      <c r="B163" s="191" t="str">
        <f>"Tubing flow for wells built in Year "&amp;Cashflow!AD$164</f>
        <v>Tubing flow for wells built in Year 2044</v>
      </c>
      <c r="C163" s="1163"/>
      <c r="D163" s="1163"/>
      <c r="E163" s="1163"/>
      <c r="F163" s="1163"/>
      <c r="G163" s="1163"/>
      <c r="H163" s="1163"/>
      <c r="I163" s="1163"/>
      <c r="J163" s="1163"/>
      <c r="K163" s="1163"/>
      <c r="L163" s="1163"/>
      <c r="M163" s="1163"/>
      <c r="N163" s="1163"/>
      <c r="O163" s="1163"/>
      <c r="P163" s="1163"/>
      <c r="Q163" s="1163"/>
      <c r="R163" s="1163"/>
      <c r="S163" s="1163"/>
      <c r="T163" s="1163"/>
      <c r="U163" s="1163"/>
      <c r="V163" s="1163"/>
      <c r="W163" s="1163"/>
      <c r="X163" s="1163"/>
      <c r="Y163" s="1163"/>
      <c r="Z163" s="1163"/>
      <c r="AA163" s="1163"/>
      <c r="AB163" s="1163"/>
      <c r="AC163" s="1163"/>
      <c r="AD163" s="1162">
        <f ca="1">IF(AD$135&lt;$Q$7,0,IF(Cashflow!AD$111="C/I",0,$AD$31*AC$54))</f>
        <v>0</v>
      </c>
      <c r="AE163" s="1162">
        <f ca="1">IF(AE$135&lt;$Q$7,0,IF(Cashflow!AE$111="C/I",0,$AD$31*AD$54))</f>
        <v>0</v>
      </c>
      <c r="AF163" s="1162">
        <f ca="1">IF(AF$135&lt;$Q$7,0,IF(Cashflow!AF$111="C/I",0,$AD$31*AE$54))</f>
        <v>0</v>
      </c>
      <c r="AG163" s="1162">
        <f ca="1">IF(AG$135&lt;$Q$7,0,IF(Cashflow!AG$111="C/I",0,$AD$31*AF$54))</f>
        <v>0</v>
      </c>
      <c r="AH163" s="19"/>
      <c r="AI163" s="19"/>
      <c r="AJ163" s="19"/>
      <c r="AK163" s="21"/>
      <c r="AL163" s="21"/>
      <c r="AM163" s="19"/>
      <c r="AN163" s="19"/>
      <c r="AO163" s="326"/>
      <c r="AP163" s="326"/>
      <c r="AQ163" s="326"/>
      <c r="AR163" s="326"/>
      <c r="AS163" s="326"/>
      <c r="AT163" s="326"/>
      <c r="AU163" s="326"/>
      <c r="AV163" s="326"/>
      <c r="AW163" s="326"/>
      <c r="AX163" s="326"/>
      <c r="AY163" s="326"/>
      <c r="AZ163" s="326"/>
    </row>
    <row r="164" spans="1:52">
      <c r="A164" s="19"/>
      <c r="B164" s="191" t="str">
        <f>"Tubing flow for wells built in Year "&amp;Cashflow!AE$164</f>
        <v>Tubing flow for wells built in Year 2045</v>
      </c>
      <c r="C164" s="1163"/>
      <c r="D164" s="1163"/>
      <c r="E164" s="1163"/>
      <c r="F164" s="1163"/>
      <c r="G164" s="1163"/>
      <c r="H164" s="1163"/>
      <c r="I164" s="1163"/>
      <c r="J164" s="1163"/>
      <c r="K164" s="1163"/>
      <c r="L164" s="1163"/>
      <c r="M164" s="1163"/>
      <c r="N164" s="1163"/>
      <c r="O164" s="1163"/>
      <c r="P164" s="1163"/>
      <c r="Q164" s="1163"/>
      <c r="R164" s="1163"/>
      <c r="S164" s="1163"/>
      <c r="T164" s="1163"/>
      <c r="U164" s="1163"/>
      <c r="V164" s="1163"/>
      <c r="W164" s="1163"/>
      <c r="X164" s="1163"/>
      <c r="Y164" s="1163"/>
      <c r="Z164" s="1163"/>
      <c r="AA164" s="1163"/>
      <c r="AB164" s="1163"/>
      <c r="AC164" s="1163"/>
      <c r="AD164" s="1163"/>
      <c r="AE164" s="1162">
        <f ca="1">IF(AE$135&lt;$Q$7,0,IF(Cashflow!AE$111="C/I",0,$AE$31*AD$54))</f>
        <v>0</v>
      </c>
      <c r="AF164" s="1162">
        <f ca="1">IF(AF$135&lt;$Q$7,0,IF(Cashflow!AF$111="C/I",0,$AE$31*AE$54))</f>
        <v>0</v>
      </c>
      <c r="AG164" s="1162">
        <f ca="1">IF(AG$135&lt;$Q$7,0,IF(Cashflow!AG$111="C/I",0,$AE$31*AF$54))</f>
        <v>0</v>
      </c>
      <c r="AH164" s="19"/>
      <c r="AI164" s="19"/>
      <c r="AJ164" s="19"/>
      <c r="AK164" s="21"/>
      <c r="AL164" s="21"/>
      <c r="AM164" s="19"/>
      <c r="AN164" s="19"/>
      <c r="AO164" s="326"/>
      <c r="AP164" s="326"/>
      <c r="AQ164" s="326"/>
      <c r="AR164" s="326"/>
      <c r="AS164" s="326"/>
      <c r="AT164" s="326"/>
      <c r="AU164" s="326"/>
      <c r="AV164" s="326"/>
      <c r="AW164" s="326"/>
      <c r="AX164" s="326"/>
      <c r="AY164" s="326"/>
      <c r="AZ164" s="326"/>
    </row>
    <row r="165" spans="1:52">
      <c r="A165" s="19"/>
      <c r="B165" s="191" t="str">
        <f>"Tubing flow for wells built in Year "&amp;Cashflow!AF$164</f>
        <v>Tubing flow for wells built in Year 2046</v>
      </c>
      <c r="C165" s="1163"/>
      <c r="D165" s="1163"/>
      <c r="E165" s="1163"/>
      <c r="F165" s="1163"/>
      <c r="G165" s="1163"/>
      <c r="H165" s="1163"/>
      <c r="I165" s="1163"/>
      <c r="J165" s="1163"/>
      <c r="K165" s="1163"/>
      <c r="L165" s="1163"/>
      <c r="M165" s="1163"/>
      <c r="N165" s="1163"/>
      <c r="O165" s="1163"/>
      <c r="P165" s="1163"/>
      <c r="Q165" s="1163"/>
      <c r="R165" s="1163"/>
      <c r="S165" s="1163"/>
      <c r="T165" s="1163"/>
      <c r="U165" s="1163"/>
      <c r="V165" s="1163"/>
      <c r="W165" s="1163"/>
      <c r="X165" s="1163"/>
      <c r="Y165" s="1163"/>
      <c r="Z165" s="1163"/>
      <c r="AA165" s="1163"/>
      <c r="AB165" s="1163"/>
      <c r="AC165" s="1163"/>
      <c r="AD165" s="1163"/>
      <c r="AE165" s="1163"/>
      <c r="AF165" s="1162">
        <f ca="1">IF(AF$135&lt;$Q$7,0,IF(Cashflow!AF$111="C/I",0,$AF$31*AE$54))</f>
        <v>0</v>
      </c>
      <c r="AG165" s="1162">
        <f ca="1">IF(AG$135&lt;$Q$7,0,IF(Cashflow!AG$111="C/I",0,$AF$31*AF$54))</f>
        <v>0</v>
      </c>
      <c r="AH165" s="19"/>
      <c r="AI165" s="19"/>
      <c r="AJ165" s="19"/>
      <c r="AK165" s="21"/>
      <c r="AL165" s="21"/>
      <c r="AM165" s="19"/>
      <c r="AN165" s="19"/>
      <c r="AO165" s="326"/>
      <c r="AP165" s="326"/>
      <c r="AQ165" s="326"/>
      <c r="AR165" s="326"/>
      <c r="AS165" s="326"/>
      <c r="AT165" s="326"/>
      <c r="AU165" s="326"/>
      <c r="AV165" s="326"/>
      <c r="AW165" s="326"/>
      <c r="AX165" s="326"/>
      <c r="AY165" s="326"/>
      <c r="AZ165" s="326"/>
    </row>
    <row r="166" spans="1:52">
      <c r="A166" s="19"/>
      <c r="B166" s="191" t="str">
        <f>"Tubing flow for wells built in Year "&amp;Cashflow!AG$164</f>
        <v>Tubing flow for wells built in Year 2047</v>
      </c>
      <c r="C166" s="1163"/>
      <c r="D166" s="1163"/>
      <c r="E166" s="1163"/>
      <c r="F166" s="1163"/>
      <c r="G166" s="1163"/>
      <c r="H166" s="1163"/>
      <c r="I166" s="1163"/>
      <c r="J166" s="1163"/>
      <c r="K166" s="1163"/>
      <c r="L166" s="1163"/>
      <c r="M166" s="1163"/>
      <c r="N166" s="1163"/>
      <c r="O166" s="1163"/>
      <c r="P166" s="1163"/>
      <c r="Q166" s="1163"/>
      <c r="R166" s="1163"/>
      <c r="S166" s="1163"/>
      <c r="T166" s="1163"/>
      <c r="U166" s="1163"/>
      <c r="V166" s="1163"/>
      <c r="W166" s="1163"/>
      <c r="X166" s="1163"/>
      <c r="Y166" s="1163"/>
      <c r="Z166" s="1163"/>
      <c r="AA166" s="1163"/>
      <c r="AB166" s="1163"/>
      <c r="AC166" s="1163"/>
      <c r="AD166" s="1163"/>
      <c r="AE166" s="1163"/>
      <c r="AF166" s="1163"/>
      <c r="AG166" s="1162">
        <f ca="1">IF(AG$135&lt;$Q$7,0,IF(Cashflow!AG$111="C/I",0,$AG$31*AF$54))</f>
        <v>0</v>
      </c>
      <c r="AH166" s="19"/>
      <c r="AI166" s="19"/>
      <c r="AJ166" s="19"/>
      <c r="AK166" s="21"/>
      <c r="AL166" s="21"/>
      <c r="AM166" s="19"/>
      <c r="AN166" s="19"/>
      <c r="AO166" s="326"/>
      <c r="AP166" s="326"/>
      <c r="AQ166" s="326"/>
      <c r="AR166" s="326"/>
      <c r="AS166" s="326"/>
      <c r="AT166" s="326"/>
      <c r="AU166" s="326"/>
      <c r="AV166" s="326"/>
      <c r="AW166" s="326"/>
      <c r="AX166" s="326"/>
      <c r="AY166" s="326"/>
      <c r="AZ166" s="326"/>
    </row>
    <row r="167" spans="1:52">
      <c r="A167" s="19"/>
      <c r="B167" s="71" t="s">
        <v>528</v>
      </c>
      <c r="C167" s="1161">
        <f t="shared" ref="C167:AG167" si="38">SUM(C136:C166)</f>
        <v>0</v>
      </c>
      <c r="D167" s="1161">
        <f t="shared" si="38"/>
        <v>0</v>
      </c>
      <c r="E167" s="1161">
        <f t="shared" si="38"/>
        <v>0</v>
      </c>
      <c r="F167" s="1161">
        <f t="shared" si="38"/>
        <v>0</v>
      </c>
      <c r="G167" s="1161">
        <f t="shared" si="38"/>
        <v>0</v>
      </c>
      <c r="H167" s="1161">
        <f t="shared" si="38"/>
        <v>0</v>
      </c>
      <c r="I167" s="1161">
        <f t="shared" si="38"/>
        <v>0</v>
      </c>
      <c r="J167" s="1161">
        <f t="shared" si="38"/>
        <v>0</v>
      </c>
      <c r="K167" s="1161">
        <f t="shared" si="38"/>
        <v>0.81549836047359536</v>
      </c>
      <c r="L167" s="1161">
        <f t="shared" ca="1" si="38"/>
        <v>1.2002904562974974</v>
      </c>
      <c r="M167" s="1161">
        <f t="shared" ca="1" si="38"/>
        <v>1.4003388656804137</v>
      </c>
      <c r="N167" s="1161">
        <f t="shared" ca="1" si="38"/>
        <v>1.8004356844462461</v>
      </c>
      <c r="O167" s="1161">
        <f t="shared" ca="1" si="38"/>
        <v>1.8004356844462461</v>
      </c>
      <c r="P167" s="1161">
        <f t="shared" ca="1" si="38"/>
        <v>1.8004356844462461</v>
      </c>
      <c r="Q167" s="1161">
        <f t="shared" ca="1" si="38"/>
        <v>1.8004356844462461</v>
      </c>
      <c r="R167" s="1161">
        <f t="shared" ca="1" si="38"/>
        <v>1.8004356844462461</v>
      </c>
      <c r="S167" s="1161">
        <f t="shared" ca="1" si="38"/>
        <v>1.8004356844462461</v>
      </c>
      <c r="T167" s="1161">
        <f t="shared" ca="1" si="38"/>
        <v>1.8004356844462461</v>
      </c>
      <c r="U167" s="1161">
        <f t="shared" ca="1" si="38"/>
        <v>1.7919904962818101</v>
      </c>
      <c r="V167" s="1161">
        <f t="shared" ca="1" si="38"/>
        <v>1.7833007885107666</v>
      </c>
      <c r="W167" s="1161">
        <f t="shared" ca="1" si="38"/>
        <v>1.7750922219357708</v>
      </c>
      <c r="X167" s="1161">
        <f t="shared" ca="1" si="38"/>
        <v>1.7666437356169136</v>
      </c>
      <c r="Y167" s="1161">
        <f t="shared" ca="1" si="38"/>
        <v>1.7589447247563907</v>
      </c>
      <c r="Z167" s="1161">
        <f t="shared" ca="1" si="38"/>
        <v>1.7514255754027233</v>
      </c>
      <c r="AA167" s="1161">
        <f t="shared" ca="1" si="38"/>
        <v>1.7443107767312267</v>
      </c>
      <c r="AB167" s="1161">
        <f t="shared" ca="1" si="38"/>
        <v>1.7369758980172305</v>
      </c>
      <c r="AC167" s="1161">
        <f t="shared" ca="1" si="38"/>
        <v>1.7300340479610099</v>
      </c>
      <c r="AD167" s="1161">
        <f t="shared" ca="1" si="38"/>
        <v>1.723528115551378</v>
      </c>
      <c r="AE167" s="1161">
        <f t="shared" ca="1" si="38"/>
        <v>1.7174817565598224</v>
      </c>
      <c r="AF167" s="1161">
        <f t="shared" ca="1" si="38"/>
        <v>1.7112377612225333</v>
      </c>
      <c r="AG167" s="1161">
        <f t="shared" ca="1" si="38"/>
        <v>1.7053184352277049</v>
      </c>
      <c r="AH167" s="19"/>
      <c r="AI167" s="19"/>
      <c r="AJ167" s="19"/>
      <c r="AK167" s="21"/>
      <c r="AL167" s="21"/>
      <c r="AM167" s="19"/>
      <c r="AN167" s="19"/>
      <c r="AO167" s="326"/>
      <c r="AP167" s="326"/>
      <c r="AQ167" s="326"/>
      <c r="AR167" s="326"/>
      <c r="AS167" s="326"/>
      <c r="AT167" s="326"/>
      <c r="AU167" s="326"/>
      <c r="AV167" s="326"/>
      <c r="AW167" s="326"/>
      <c r="AX167" s="326"/>
      <c r="AY167" s="326"/>
      <c r="AZ167" s="326"/>
    </row>
    <row r="168" spans="1:52">
      <c r="A168" s="19"/>
      <c r="B168" s="28"/>
      <c r="C168" s="568"/>
      <c r="D168" s="19"/>
      <c r="E168" s="19"/>
      <c r="F168" s="19"/>
      <c r="G168" s="19"/>
      <c r="H168" s="19"/>
      <c r="I168" s="19"/>
      <c r="J168" s="28"/>
      <c r="K168" s="28"/>
      <c r="L168" s="28"/>
      <c r="M168" s="28"/>
      <c r="N168" s="28"/>
      <c r="O168" s="28"/>
      <c r="P168" s="19"/>
      <c r="Q168" s="19"/>
      <c r="R168" s="19"/>
      <c r="S168" s="19"/>
      <c r="T168" s="19"/>
      <c r="U168" s="19"/>
      <c r="V168" s="19"/>
      <c r="W168" s="19"/>
      <c r="X168" s="19"/>
      <c r="Y168" s="19"/>
      <c r="Z168" s="19"/>
      <c r="AA168" s="19"/>
      <c r="AB168" s="19"/>
      <c r="AC168" s="19"/>
      <c r="AD168" s="19"/>
      <c r="AE168" s="19"/>
      <c r="AF168" s="19"/>
      <c r="AG168" s="19"/>
      <c r="AH168" s="19"/>
      <c r="AI168" s="19"/>
      <c r="AJ168" s="19"/>
      <c r="AK168" s="21"/>
      <c r="AL168" s="21"/>
      <c r="AM168" s="19"/>
      <c r="AN168" s="19"/>
      <c r="AO168" s="326"/>
      <c r="AP168" s="326"/>
      <c r="AQ168" s="326"/>
      <c r="AR168" s="326"/>
      <c r="AS168" s="326"/>
      <c r="AT168" s="326"/>
      <c r="AU168" s="326"/>
      <c r="AV168" s="326"/>
      <c r="AW168" s="326"/>
      <c r="AX168" s="326"/>
      <c r="AY168" s="326"/>
      <c r="AZ168" s="326"/>
    </row>
    <row r="169" spans="1:52">
      <c r="A169" s="19"/>
      <c r="B169" s="591" t="s">
        <v>754</v>
      </c>
      <c r="C169" s="568"/>
      <c r="D169" s="19"/>
      <c r="E169" s="19"/>
      <c r="F169" s="19"/>
      <c r="G169" s="19"/>
      <c r="H169" s="19"/>
      <c r="I169" s="19"/>
      <c r="J169" s="28"/>
      <c r="K169" s="28"/>
      <c r="L169" s="28"/>
      <c r="M169" s="28"/>
      <c r="N169" s="28"/>
      <c r="O169" s="28"/>
      <c r="P169" s="19"/>
      <c r="Q169" s="19"/>
      <c r="R169" s="19"/>
      <c r="S169" s="19"/>
      <c r="T169" s="19"/>
      <c r="U169" s="19"/>
      <c r="V169" s="19"/>
      <c r="W169" s="19"/>
      <c r="X169" s="19"/>
      <c r="Y169" s="19"/>
      <c r="Z169" s="19"/>
      <c r="AA169" s="19"/>
      <c r="AB169" s="19"/>
      <c r="AC169" s="19"/>
      <c r="AD169" s="19"/>
      <c r="AE169" s="19"/>
      <c r="AF169" s="19"/>
      <c r="AG169" s="19"/>
      <c r="AH169" s="19"/>
      <c r="AI169" s="19"/>
      <c r="AJ169" s="19"/>
      <c r="AK169" s="21"/>
      <c r="AL169" s="21"/>
      <c r="AM169" s="19"/>
      <c r="AN169" s="19"/>
      <c r="AO169" s="326"/>
      <c r="AP169" s="326"/>
      <c r="AQ169" s="326"/>
      <c r="AR169" s="326"/>
      <c r="AS169" s="326"/>
      <c r="AT169" s="326"/>
      <c r="AU169" s="326"/>
      <c r="AV169" s="326"/>
      <c r="AW169" s="326"/>
      <c r="AX169" s="326"/>
      <c r="AY169" s="326"/>
      <c r="AZ169" s="326"/>
    </row>
    <row r="170" spans="1:52" ht="15" thickBot="1">
      <c r="A170" s="19"/>
      <c r="B170" s="458" t="s">
        <v>755</v>
      </c>
      <c r="C170" s="32">
        <f>Cashflow!C$30</f>
        <v>2017</v>
      </c>
      <c r="D170" s="32">
        <f>Cashflow!D$30</f>
        <v>2018</v>
      </c>
      <c r="E170" s="32">
        <f>Cashflow!E$30</f>
        <v>2019</v>
      </c>
      <c r="F170" s="32">
        <f>Cashflow!F$30</f>
        <v>2020</v>
      </c>
      <c r="G170" s="32">
        <f>Cashflow!G$30</f>
        <v>2021</v>
      </c>
      <c r="H170" s="32">
        <f>Cashflow!H$30</f>
        <v>2022</v>
      </c>
      <c r="I170" s="32">
        <f>Cashflow!I$30</f>
        <v>2023</v>
      </c>
      <c r="J170" s="32">
        <f>Cashflow!J$30</f>
        <v>2024</v>
      </c>
      <c r="K170" s="32">
        <f>Cashflow!K$30</f>
        <v>2025</v>
      </c>
      <c r="L170" s="32">
        <f>Cashflow!L$30</f>
        <v>2026</v>
      </c>
      <c r="M170" s="32">
        <f>Cashflow!M$30</f>
        <v>2027</v>
      </c>
      <c r="N170" s="32">
        <f>Cashflow!N$30</f>
        <v>2028</v>
      </c>
      <c r="O170" s="32">
        <f>Cashflow!O$30</f>
        <v>2029</v>
      </c>
      <c r="P170" s="32">
        <f>Cashflow!P$30</f>
        <v>2030</v>
      </c>
      <c r="Q170" s="32">
        <f>Cashflow!Q$30</f>
        <v>2031</v>
      </c>
      <c r="R170" s="32">
        <f>Cashflow!R$30</f>
        <v>2032</v>
      </c>
      <c r="S170" s="32">
        <f>Cashflow!S$30</f>
        <v>2033</v>
      </c>
      <c r="T170" s="32">
        <f>Cashflow!T$30</f>
        <v>2034</v>
      </c>
      <c r="U170" s="32">
        <f>Cashflow!U$30</f>
        <v>2035</v>
      </c>
      <c r="V170" s="32">
        <f>Cashflow!V$30</f>
        <v>2036</v>
      </c>
      <c r="W170" s="32">
        <f>Cashflow!W$30</f>
        <v>2037</v>
      </c>
      <c r="X170" s="32">
        <f>Cashflow!X$30</f>
        <v>2038</v>
      </c>
      <c r="Y170" s="32">
        <f>Cashflow!Y$30</f>
        <v>2039</v>
      </c>
      <c r="Z170" s="32">
        <f>Cashflow!Z$30</f>
        <v>2040</v>
      </c>
      <c r="AA170" s="32">
        <f>Cashflow!AA$30</f>
        <v>2041</v>
      </c>
      <c r="AB170" s="32">
        <f>Cashflow!AB$30</f>
        <v>2042</v>
      </c>
      <c r="AC170" s="32">
        <f>Cashflow!AC$30</f>
        <v>2043</v>
      </c>
      <c r="AD170" s="32">
        <f>Cashflow!AD$30</f>
        <v>2044</v>
      </c>
      <c r="AE170" s="32">
        <f>Cashflow!AE$30</f>
        <v>2045</v>
      </c>
      <c r="AF170" s="32">
        <f>Cashflow!AF$30</f>
        <v>2046</v>
      </c>
      <c r="AG170" s="32">
        <f>Cashflow!AG$30</f>
        <v>2047</v>
      </c>
      <c r="AH170" s="19"/>
      <c r="AI170" s="19"/>
      <c r="AJ170" s="19"/>
      <c r="AK170" s="21"/>
      <c r="AL170" s="21"/>
      <c r="AM170" s="19"/>
      <c r="AN170" s="19"/>
      <c r="AO170" s="326"/>
      <c r="AP170" s="326"/>
      <c r="AQ170" s="326"/>
      <c r="AR170" s="326"/>
      <c r="AS170" s="326"/>
      <c r="AT170" s="326"/>
      <c r="AU170" s="326"/>
      <c r="AV170" s="326"/>
      <c r="AW170" s="326"/>
      <c r="AX170" s="326"/>
      <c r="AY170" s="326"/>
      <c r="AZ170" s="326"/>
    </row>
    <row r="171" spans="1:52" ht="15" thickTop="1">
      <c r="A171" s="19"/>
      <c r="B171" s="191" t="s">
        <v>756</v>
      </c>
      <c r="C171" s="459">
        <f t="shared" ref="C171:AG171" si="39">IF(C99=0,0,$Q$12)</f>
        <v>0</v>
      </c>
      <c r="D171" s="459">
        <f t="shared" si="39"/>
        <v>0</v>
      </c>
      <c r="E171" s="459">
        <f t="shared" si="39"/>
        <v>0</v>
      </c>
      <c r="F171" s="459">
        <f t="shared" si="39"/>
        <v>0</v>
      </c>
      <c r="G171" s="459">
        <f t="shared" si="39"/>
        <v>0</v>
      </c>
      <c r="H171" s="459">
        <f t="shared" si="39"/>
        <v>0</v>
      </c>
      <c r="I171" s="459">
        <f t="shared" si="39"/>
        <v>0</v>
      </c>
      <c r="J171" s="459">
        <f t="shared" si="39"/>
        <v>0</v>
      </c>
      <c r="K171" s="459">
        <f t="shared" si="39"/>
        <v>10</v>
      </c>
      <c r="L171" s="459">
        <f t="shared" ca="1" si="39"/>
        <v>10</v>
      </c>
      <c r="M171" s="459">
        <f t="shared" ca="1" si="39"/>
        <v>10</v>
      </c>
      <c r="N171" s="459">
        <f t="shared" ca="1" si="39"/>
        <v>10</v>
      </c>
      <c r="O171" s="459">
        <f t="shared" ca="1" si="39"/>
        <v>10</v>
      </c>
      <c r="P171" s="459">
        <f t="shared" ca="1" si="39"/>
        <v>10</v>
      </c>
      <c r="Q171" s="459">
        <f t="shared" ca="1" si="39"/>
        <v>10</v>
      </c>
      <c r="R171" s="459">
        <f t="shared" ca="1" si="39"/>
        <v>10</v>
      </c>
      <c r="S171" s="459">
        <f t="shared" ca="1" si="39"/>
        <v>10</v>
      </c>
      <c r="T171" s="459">
        <f t="shared" ca="1" si="39"/>
        <v>10</v>
      </c>
      <c r="U171" s="459">
        <f t="shared" ca="1" si="39"/>
        <v>10</v>
      </c>
      <c r="V171" s="459">
        <f t="shared" ca="1" si="39"/>
        <v>10</v>
      </c>
      <c r="W171" s="459">
        <f t="shared" ca="1" si="39"/>
        <v>10</v>
      </c>
      <c r="X171" s="459">
        <f t="shared" ca="1" si="39"/>
        <v>10</v>
      </c>
      <c r="Y171" s="459">
        <f t="shared" ca="1" si="39"/>
        <v>10</v>
      </c>
      <c r="Z171" s="459">
        <f t="shared" ca="1" si="39"/>
        <v>10</v>
      </c>
      <c r="AA171" s="459">
        <f t="shared" ca="1" si="39"/>
        <v>10</v>
      </c>
      <c r="AB171" s="459">
        <f t="shared" ca="1" si="39"/>
        <v>10</v>
      </c>
      <c r="AC171" s="459">
        <f t="shared" ca="1" si="39"/>
        <v>10</v>
      </c>
      <c r="AD171" s="459">
        <f t="shared" ca="1" si="39"/>
        <v>10</v>
      </c>
      <c r="AE171" s="459">
        <f t="shared" ca="1" si="39"/>
        <v>10</v>
      </c>
      <c r="AF171" s="459">
        <f t="shared" ca="1" si="39"/>
        <v>10</v>
      </c>
      <c r="AG171" s="459">
        <f t="shared" ca="1" si="39"/>
        <v>10</v>
      </c>
      <c r="AH171" s="19"/>
      <c r="AI171" s="19"/>
      <c r="AJ171" s="19"/>
      <c r="AK171" s="21"/>
      <c r="AL171" s="21"/>
      <c r="AM171" s="19"/>
      <c r="AN171" s="19"/>
      <c r="AO171" s="326"/>
      <c r="AP171" s="326"/>
      <c r="AQ171" s="326"/>
      <c r="AR171" s="326"/>
      <c r="AS171" s="326"/>
      <c r="AT171" s="326"/>
      <c r="AU171" s="326"/>
      <c r="AV171" s="326"/>
      <c r="AW171" s="326"/>
      <c r="AX171" s="326"/>
      <c r="AY171" s="326"/>
      <c r="AZ171" s="326"/>
    </row>
    <row r="172" spans="1:52">
      <c r="A172" s="19"/>
      <c r="B172" s="28"/>
      <c r="C172" s="568"/>
      <c r="D172" s="19"/>
      <c r="E172" s="19"/>
      <c r="F172" s="19"/>
      <c r="G172" s="19"/>
      <c r="H172" s="19"/>
      <c r="I172" s="19"/>
      <c r="J172" s="28"/>
      <c r="K172" s="28"/>
      <c r="L172" s="28"/>
      <c r="M172" s="28"/>
      <c r="N172" s="28"/>
      <c r="O172" s="28"/>
      <c r="P172" s="19"/>
      <c r="Q172" s="19"/>
      <c r="R172" s="19"/>
      <c r="S172" s="19"/>
      <c r="T172" s="19"/>
      <c r="U172" s="19"/>
      <c r="V172" s="19"/>
      <c r="W172" s="19"/>
      <c r="X172" s="19"/>
      <c r="Y172" s="19"/>
      <c r="Z172" s="19"/>
      <c r="AA172" s="19"/>
      <c r="AB172" s="19"/>
      <c r="AC172" s="19"/>
      <c r="AD172" s="19"/>
      <c r="AE172" s="19"/>
      <c r="AF172" s="19"/>
      <c r="AG172" s="19"/>
      <c r="AH172" s="19"/>
      <c r="AI172" s="19"/>
      <c r="AJ172" s="19"/>
      <c r="AK172" s="21"/>
      <c r="AL172" s="21"/>
      <c r="AM172" s="19"/>
      <c r="AN172" s="19"/>
      <c r="AO172" s="326"/>
      <c r="AP172" s="326"/>
      <c r="AQ172" s="326"/>
      <c r="AR172" s="326"/>
      <c r="AS172" s="326"/>
      <c r="AT172" s="326"/>
      <c r="AU172" s="326"/>
      <c r="AV172" s="326"/>
      <c r="AW172" s="326"/>
      <c r="AX172" s="326"/>
      <c r="AY172" s="326"/>
      <c r="AZ172" s="326"/>
    </row>
    <row r="173" spans="1:52">
      <c r="A173" s="19"/>
      <c r="B173" s="591" t="s">
        <v>752</v>
      </c>
      <c r="C173" s="568"/>
      <c r="D173" s="19"/>
      <c r="E173" s="19"/>
      <c r="F173" s="19"/>
      <c r="G173" s="19"/>
      <c r="H173" s="19"/>
      <c r="I173" s="19"/>
      <c r="J173" s="28"/>
      <c r="K173" s="28"/>
      <c r="L173" s="28"/>
      <c r="M173" s="28"/>
      <c r="N173" s="28"/>
      <c r="O173" s="28"/>
      <c r="P173" s="19"/>
      <c r="Q173" s="19"/>
      <c r="R173" s="19"/>
      <c r="S173" s="19"/>
      <c r="T173" s="19"/>
      <c r="U173" s="19"/>
      <c r="V173" s="19"/>
      <c r="W173" s="19"/>
      <c r="X173" s="19"/>
      <c r="Y173" s="19"/>
      <c r="Z173" s="19"/>
      <c r="AA173" s="19"/>
      <c r="AB173" s="19"/>
      <c r="AC173" s="19"/>
      <c r="AD173" s="19"/>
      <c r="AE173" s="19"/>
      <c r="AF173" s="19"/>
      <c r="AG173" s="19"/>
      <c r="AH173" s="19"/>
      <c r="AI173" s="19"/>
      <c r="AJ173" s="19"/>
      <c r="AK173" s="21"/>
      <c r="AL173" s="21"/>
      <c r="AM173" s="19"/>
      <c r="AN173" s="19"/>
      <c r="AO173" s="326"/>
      <c r="AP173" s="326"/>
      <c r="AQ173" s="326"/>
      <c r="AR173" s="326"/>
      <c r="AS173" s="326"/>
      <c r="AT173" s="326"/>
      <c r="AU173" s="326"/>
      <c r="AV173" s="326"/>
      <c r="AW173" s="326"/>
      <c r="AX173" s="326"/>
      <c r="AY173" s="326"/>
      <c r="AZ173" s="326"/>
    </row>
    <row r="174" spans="1:52" ht="15" thickBot="1">
      <c r="A174" s="19"/>
      <c r="B174" s="458" t="s">
        <v>753</v>
      </c>
      <c r="C174" s="32">
        <f>Cashflow!C$30</f>
        <v>2017</v>
      </c>
      <c r="D174" s="32">
        <f>Cashflow!D$30</f>
        <v>2018</v>
      </c>
      <c r="E174" s="32">
        <f>Cashflow!E$30</f>
        <v>2019</v>
      </c>
      <c r="F174" s="32">
        <f>Cashflow!F$30</f>
        <v>2020</v>
      </c>
      <c r="G174" s="32">
        <f>Cashflow!G$30</f>
        <v>2021</v>
      </c>
      <c r="H174" s="32">
        <f>Cashflow!H$30</f>
        <v>2022</v>
      </c>
      <c r="I174" s="32">
        <f>Cashflow!I$30</f>
        <v>2023</v>
      </c>
      <c r="J174" s="32">
        <f>Cashflow!J$30</f>
        <v>2024</v>
      </c>
      <c r="K174" s="32">
        <f>Cashflow!K$30</f>
        <v>2025</v>
      </c>
      <c r="L174" s="32">
        <f>Cashflow!L$30</f>
        <v>2026</v>
      </c>
      <c r="M174" s="32">
        <f>Cashflow!M$30</f>
        <v>2027</v>
      </c>
      <c r="N174" s="32">
        <f>Cashflow!N$30</f>
        <v>2028</v>
      </c>
      <c r="O174" s="32">
        <f>Cashflow!O$30</f>
        <v>2029</v>
      </c>
      <c r="P174" s="32">
        <f>Cashflow!P$30</f>
        <v>2030</v>
      </c>
      <c r="Q174" s="32">
        <f>Cashflow!Q$30</f>
        <v>2031</v>
      </c>
      <c r="R174" s="32">
        <f>Cashflow!R$30</f>
        <v>2032</v>
      </c>
      <c r="S174" s="32">
        <f>Cashflow!S$30</f>
        <v>2033</v>
      </c>
      <c r="T174" s="32">
        <f>Cashflow!T$30</f>
        <v>2034</v>
      </c>
      <c r="U174" s="32">
        <f>Cashflow!U$30</f>
        <v>2035</v>
      </c>
      <c r="V174" s="32">
        <f>Cashflow!V$30</f>
        <v>2036</v>
      </c>
      <c r="W174" s="32">
        <f>Cashflow!W$30</f>
        <v>2037</v>
      </c>
      <c r="X174" s="32">
        <f>Cashflow!X$30</f>
        <v>2038</v>
      </c>
      <c r="Y174" s="32">
        <f>Cashflow!Y$30</f>
        <v>2039</v>
      </c>
      <c r="Z174" s="32">
        <f>Cashflow!Z$30</f>
        <v>2040</v>
      </c>
      <c r="AA174" s="32">
        <f>Cashflow!AA$30</f>
        <v>2041</v>
      </c>
      <c r="AB174" s="32">
        <f>Cashflow!AB$30</f>
        <v>2042</v>
      </c>
      <c r="AC174" s="32">
        <f>Cashflow!AC$30</f>
        <v>2043</v>
      </c>
      <c r="AD174" s="32">
        <f>Cashflow!AD$30</f>
        <v>2044</v>
      </c>
      <c r="AE174" s="32">
        <f>Cashflow!AE$30</f>
        <v>2045</v>
      </c>
      <c r="AF174" s="32">
        <f>Cashflow!AF$30</f>
        <v>2046</v>
      </c>
      <c r="AG174" s="32">
        <f>Cashflow!AG$30</f>
        <v>2047</v>
      </c>
      <c r="AH174" s="19"/>
      <c r="AI174" s="19"/>
      <c r="AJ174" s="19"/>
      <c r="AK174" s="21"/>
      <c r="AL174" s="21"/>
      <c r="AM174" s="19"/>
      <c r="AN174" s="19"/>
      <c r="AO174" s="326"/>
      <c r="AP174" s="326"/>
      <c r="AQ174" s="326"/>
      <c r="AR174" s="326"/>
      <c r="AS174" s="326"/>
      <c r="AT174" s="326"/>
      <c r="AU174" s="326"/>
      <c r="AV174" s="326"/>
      <c r="AW174" s="326"/>
      <c r="AX174" s="326"/>
      <c r="AY174" s="326"/>
      <c r="AZ174" s="326"/>
    </row>
    <row r="175" spans="1:52" ht="15" thickTop="1">
      <c r="A175" s="19"/>
      <c r="B175" s="191" t="str">
        <f>"Tubing flow for wells built in Year "&amp;Cashflow!C$164</f>
        <v>Tubing flow for wells built in Year 2017</v>
      </c>
      <c r="C175" s="1162">
        <f>IF(C$174&lt;$Q$7,0,IF(Cashflow!C$111="C/I",0,$C$35*$AE$12))</f>
        <v>0</v>
      </c>
      <c r="D175" s="1162">
        <f>IF(D$174&lt;$Q$7,0,IF(Cashflow!D$111="C/I",0,$C$35*C$54))</f>
        <v>0</v>
      </c>
      <c r="E175" s="1162">
        <f>IF(E$174&lt;$Q$7,0,IF(Cashflow!E$111="C/I",0,$C$35*D$54))</f>
        <v>0</v>
      </c>
      <c r="F175" s="1162">
        <f>IF(F$174&lt;$Q$7,0,IF(Cashflow!F$111="C/I",0,$C$35*E$54))</f>
        <v>0</v>
      </c>
      <c r="G175" s="1162">
        <f>IF(G$174&lt;$Q$7,0,IF(Cashflow!G$111="C/I",0,$C$35*F$54))</f>
        <v>0</v>
      </c>
      <c r="H175" s="1162">
        <f>IF(H$174&lt;$Q$7,0,IF(Cashflow!H$111="C/I",0,$C$35*G$54))</f>
        <v>0</v>
      </c>
      <c r="I175" s="1162">
        <f>IF(I$174&lt;$Q$7,0,IF(Cashflow!I$111="C/I",0,$C$35*H$54))</f>
        <v>0</v>
      </c>
      <c r="J175" s="1162">
        <f>IF(J$174&lt;$Q$7,0,IF(Cashflow!J$111="C/I",0,$C$35*I$54))</f>
        <v>0</v>
      </c>
      <c r="K175" s="1162">
        <f>IF(K$174&lt;$Q$7,0,IF(Cashflow!K$111="C/I",0,$C$35*J$54))</f>
        <v>0</v>
      </c>
      <c r="L175" s="1162">
        <f ca="1">IF(L$174&lt;$Q$7,0,IF(Cashflow!L$111="C/I",0,$C$35*K$54))</f>
        <v>0</v>
      </c>
      <c r="M175" s="1162">
        <f ca="1">IF(M$174&lt;$Q$7,0,IF(Cashflow!M$111="C/I",0,$C$35*L$54))</f>
        <v>0</v>
      </c>
      <c r="N175" s="1162">
        <f ca="1">IF(N$174&lt;$Q$7,0,IF(Cashflow!N$111="C/I",0,$C$35*M$54))</f>
        <v>0</v>
      </c>
      <c r="O175" s="1162">
        <f ca="1">IF(O$174&lt;$Q$7,0,IF(Cashflow!O$111="C/I",0,$C$35*N$54))</f>
        <v>0</v>
      </c>
      <c r="P175" s="1162">
        <f ca="1">IF(P$174&lt;$Q$7,0,IF(Cashflow!P$111="C/I",0,$C$35*O$54))</f>
        <v>0</v>
      </c>
      <c r="Q175" s="1162">
        <f ca="1">IF(Q$174&lt;$Q$7,0,IF(Cashflow!Q$111="C/I",0,$C$35*P$54))</f>
        <v>0</v>
      </c>
      <c r="R175" s="1162">
        <f ca="1">IF(R$174&lt;$Q$7,0,IF(Cashflow!R$111="C/I",0,$C$35*Q$54))</f>
        <v>0</v>
      </c>
      <c r="S175" s="1162">
        <f ca="1">IF(S$174&lt;$Q$7,0,IF(Cashflow!S$111="C/I",0,$C$35*R$54))</f>
        <v>0</v>
      </c>
      <c r="T175" s="1162">
        <f ca="1">IF(T$174&lt;$Q$7,0,IF(Cashflow!T$111="C/I",0,$C$35*S$54))</f>
        <v>0</v>
      </c>
      <c r="U175" s="1162">
        <f ca="1">IF(U$174&lt;$Q$7,0,IF(Cashflow!U$111="C/I",0,$C$35*T$54))</f>
        <v>0</v>
      </c>
      <c r="V175" s="1162">
        <f ca="1">IF(V$174&lt;$Q$7,0,IF(Cashflow!V$111="C/I",0,$C$35*U$54))</f>
        <v>0</v>
      </c>
      <c r="W175" s="1162">
        <f ca="1">IF(W$174&lt;$Q$7,0,IF(Cashflow!W$111="C/I",0,$C$35*V$54))</f>
        <v>0</v>
      </c>
      <c r="X175" s="1162">
        <f ca="1">IF(X$174&lt;$Q$7,0,IF(Cashflow!X$111="C/I",0,$C$35*W$54))</f>
        <v>0</v>
      </c>
      <c r="Y175" s="1162">
        <f ca="1">IF(Y$174&lt;$Q$7,0,IF(Cashflow!Y$111="C/I",0,$C$35*X$54))</f>
        <v>0</v>
      </c>
      <c r="Z175" s="1162">
        <f ca="1">IF(Z$174&lt;$Q$7,0,IF(Cashflow!Z$111="C/I",0,$C$35*Y$54))</f>
        <v>0</v>
      </c>
      <c r="AA175" s="1162">
        <f ca="1">IF(AA$174&lt;$Q$7,0,IF(Cashflow!AA$111="C/I",0,$C$35*Z$54))</f>
        <v>0</v>
      </c>
      <c r="AB175" s="1162">
        <f ca="1">IF(AB$174&lt;$Q$7,0,IF(Cashflow!AB$111="C/I",0,$C$35*AA$54))</f>
        <v>0</v>
      </c>
      <c r="AC175" s="1162">
        <f ca="1">IF(AC$174&lt;$Q$7,0,IF(Cashflow!AC$111="C/I",0,$C$35*AB$54))</f>
        <v>0</v>
      </c>
      <c r="AD175" s="1162">
        <f ca="1">IF(AD$174&lt;$Q$7,0,IF(Cashflow!AD$111="C/I",0,$C$35*AC$54))</f>
        <v>0</v>
      </c>
      <c r="AE175" s="1162">
        <f ca="1">IF(AE$174&lt;$Q$7,0,IF(Cashflow!AE$111="C/I",0,$C$35*AD$54))</f>
        <v>0</v>
      </c>
      <c r="AF175" s="1162">
        <f ca="1">IF(AF$174&lt;$Q$7,0,IF(Cashflow!AF$111="C/I",0,$C$35*AE$54))</f>
        <v>0</v>
      </c>
      <c r="AG175" s="1162">
        <f ca="1">IF(AG$174&lt;$Q$7,0,IF(Cashflow!AG$111="C/I",0,$C$35*AF$54))</f>
        <v>0</v>
      </c>
      <c r="AH175" s="19"/>
      <c r="AI175" s="19"/>
      <c r="AJ175" s="19"/>
      <c r="AK175" s="21"/>
      <c r="AL175" s="21"/>
      <c r="AM175" s="19"/>
      <c r="AN175" s="19"/>
      <c r="AO175" s="326"/>
      <c r="AP175" s="326"/>
      <c r="AQ175" s="326"/>
      <c r="AR175" s="326"/>
      <c r="AS175" s="326"/>
      <c r="AT175" s="326"/>
      <c r="AU175" s="326"/>
      <c r="AV175" s="326"/>
      <c r="AW175" s="326"/>
      <c r="AX175" s="326"/>
      <c r="AY175" s="326"/>
      <c r="AZ175" s="326"/>
    </row>
    <row r="176" spans="1:52">
      <c r="A176" s="19"/>
      <c r="B176" s="191" t="str">
        <f>"Tubing flow for wells built in Year "&amp;Cashflow!D$164</f>
        <v>Tubing flow for wells built in Year 2018</v>
      </c>
      <c r="C176" s="1163"/>
      <c r="D176" s="1162">
        <f>IF(D$174&lt;$Q$7,0,IF(Cashflow!D$111="C/I",0,$D$35*C$54))</f>
        <v>0</v>
      </c>
      <c r="E176" s="1162">
        <f>IF(E$174&lt;$Q$7,0,IF(Cashflow!E$111="C/I",0,$D$35*D$54))</f>
        <v>0</v>
      </c>
      <c r="F176" s="1162">
        <f>IF(F$174&lt;$Q$7,0,IF(Cashflow!F$111="C/I",0,$D$35*E$54))</f>
        <v>0</v>
      </c>
      <c r="G176" s="1162">
        <f>IF(G$174&lt;$Q$7,0,IF(Cashflow!G$111="C/I",0,$D$35*F$54))</f>
        <v>0</v>
      </c>
      <c r="H176" s="1162">
        <f>IF(H$174&lt;$Q$7,0,IF(Cashflow!H$111="C/I",0,$D$35*G$54))</f>
        <v>0</v>
      </c>
      <c r="I176" s="1162">
        <f>IF(I$174&lt;$Q$7,0,IF(Cashflow!I$111="C/I",0,$D$35*H$54))</f>
        <v>0</v>
      </c>
      <c r="J176" s="1162">
        <f>IF(J$174&lt;$Q$7,0,IF(Cashflow!J$111="C/I",0,$D$35*I$54))</f>
        <v>0</v>
      </c>
      <c r="K176" s="1162">
        <f>IF(K$174&lt;$Q$7,0,IF(Cashflow!K$111="C/I",0,$D$35*J$54))</f>
        <v>0</v>
      </c>
      <c r="L176" s="1162">
        <f ca="1">IF(L$174&lt;$Q$7,0,IF(Cashflow!L$111="C/I",0,$D$35*K$54))</f>
        <v>0</v>
      </c>
      <c r="M176" s="1162">
        <f ca="1">IF(M$174&lt;$Q$7,0,IF(Cashflow!M$111="C/I",0,$D$35*L$54))</f>
        <v>0</v>
      </c>
      <c r="N176" s="1162">
        <f ca="1">IF(N$174&lt;$Q$7,0,IF(Cashflow!N$111="C/I",0,$D$35*M$54))</f>
        <v>0</v>
      </c>
      <c r="O176" s="1162">
        <f ca="1">IF(O$174&lt;$Q$7,0,IF(Cashflow!O$111="C/I",0,$D$35*N$54))</f>
        <v>0</v>
      </c>
      <c r="P176" s="1162">
        <f ca="1">IF(P$174&lt;$Q$7,0,IF(Cashflow!P$111="C/I",0,$D$35*O$54))</f>
        <v>0</v>
      </c>
      <c r="Q176" s="1162">
        <f ca="1">IF(Q$174&lt;$Q$7,0,IF(Cashflow!Q$111="C/I",0,$D$35*P$54))</f>
        <v>0</v>
      </c>
      <c r="R176" s="1162">
        <f ca="1">IF(R$174&lt;$Q$7,0,IF(Cashflow!R$111="C/I",0,$D$35*Q$54))</f>
        <v>0</v>
      </c>
      <c r="S176" s="1162">
        <f ca="1">IF(S$174&lt;$Q$7,0,IF(Cashflow!S$111="C/I",0,$D$35*R$54))</f>
        <v>0</v>
      </c>
      <c r="T176" s="1162">
        <f ca="1">IF(T$174&lt;$Q$7,0,IF(Cashflow!T$111="C/I",0,$D$35*S$54))</f>
        <v>0</v>
      </c>
      <c r="U176" s="1162">
        <f ca="1">IF(U$174&lt;$Q$7,0,IF(Cashflow!U$111="C/I",0,$D$35*T$54))</f>
        <v>0</v>
      </c>
      <c r="V176" s="1162">
        <f ca="1">IF(V$174&lt;$Q$7,0,IF(Cashflow!V$111="C/I",0,$D$35*U$54))</f>
        <v>0</v>
      </c>
      <c r="W176" s="1162">
        <f ca="1">IF(W$174&lt;$Q$7,0,IF(Cashflow!W$111="C/I",0,$D$35*V$54))</f>
        <v>0</v>
      </c>
      <c r="X176" s="1162">
        <f ca="1">IF(X$174&lt;$Q$7,0,IF(Cashflow!X$111="C/I",0,$D$35*W$54))</f>
        <v>0</v>
      </c>
      <c r="Y176" s="1162">
        <f ca="1">IF(Y$174&lt;$Q$7,0,IF(Cashflow!Y$111="C/I",0,$D$35*X$54))</f>
        <v>0</v>
      </c>
      <c r="Z176" s="1162">
        <f ca="1">IF(Z$174&lt;$Q$7,0,IF(Cashflow!Z$111="C/I",0,$D$35*Y$54))</f>
        <v>0</v>
      </c>
      <c r="AA176" s="1162">
        <f ca="1">IF(AA$174&lt;$Q$7,0,IF(Cashflow!AA$111="C/I",0,$D$35*Z$54))</f>
        <v>0</v>
      </c>
      <c r="AB176" s="1162">
        <f ca="1">IF(AB$174&lt;$Q$7,0,IF(Cashflow!AB$111="C/I",0,$D$35*AA$54))</f>
        <v>0</v>
      </c>
      <c r="AC176" s="1162">
        <f ca="1">IF(AC$174&lt;$Q$7,0,IF(Cashflow!AC$111="C/I",0,$D$35*AB$54))</f>
        <v>0</v>
      </c>
      <c r="AD176" s="1162">
        <f ca="1">IF(AD$174&lt;$Q$7,0,IF(Cashflow!AD$111="C/I",0,$D$35*AC$54))</f>
        <v>0</v>
      </c>
      <c r="AE176" s="1162">
        <f ca="1">IF(AE$174&lt;$Q$7,0,IF(Cashflow!AE$111="C/I",0,$D$35*AD$54))</f>
        <v>0</v>
      </c>
      <c r="AF176" s="1162">
        <f ca="1">IF(AF$174&lt;$Q$7,0,IF(Cashflow!AF$111="C/I",0,$D$35*AE$54))</f>
        <v>0</v>
      </c>
      <c r="AG176" s="1162">
        <f ca="1">IF(AG$174&lt;$Q$7,0,IF(Cashflow!AG$111="C/I",0,$D$35*AF$54))</f>
        <v>0</v>
      </c>
      <c r="AH176" s="19"/>
      <c r="AI176" s="19"/>
      <c r="AJ176" s="19"/>
      <c r="AK176" s="21"/>
      <c r="AL176" s="21"/>
      <c r="AM176" s="19"/>
      <c r="AN176" s="19"/>
      <c r="AO176" s="326"/>
      <c r="AP176" s="326"/>
      <c r="AQ176" s="326"/>
      <c r="AR176" s="326"/>
      <c r="AS176" s="326"/>
      <c r="AT176" s="326"/>
      <c r="AU176" s="326"/>
      <c r="AV176" s="326"/>
      <c r="AW176" s="326"/>
      <c r="AX176" s="326"/>
      <c r="AY176" s="326"/>
      <c r="AZ176" s="326"/>
    </row>
    <row r="177" spans="1:52">
      <c r="A177" s="19"/>
      <c r="B177" s="191" t="str">
        <f>"Tubing flow for wells built in Year "&amp;Cashflow!E$164</f>
        <v>Tubing flow for wells built in Year 2019</v>
      </c>
      <c r="C177" s="1163"/>
      <c r="D177" s="1163"/>
      <c r="E177" s="1162">
        <f>IF(E$174&lt;$Q$7,0,IF(Cashflow!E$111="C/I",0,$E$35*D$54))</f>
        <v>0</v>
      </c>
      <c r="F177" s="1162">
        <f>IF(F$174&lt;$Q$7,0,IF(Cashflow!F$111="C/I",0,$E$35*E$54))</f>
        <v>0</v>
      </c>
      <c r="G177" s="1162">
        <f>IF(G$174&lt;$Q$7,0,IF(Cashflow!G$111="C/I",0,$E$35*F$54))</f>
        <v>0</v>
      </c>
      <c r="H177" s="1162">
        <f>IF(H$174&lt;$Q$7,0,IF(Cashflow!H$111="C/I",0,$E$35*G$54))</f>
        <v>0</v>
      </c>
      <c r="I177" s="1162">
        <f>IF(I$174&lt;$Q$7,0,IF(Cashflow!I$111="C/I",0,$E$35*H$54))</f>
        <v>0</v>
      </c>
      <c r="J177" s="1162">
        <f>IF(J$174&lt;$Q$7,0,IF(Cashflow!J$111="C/I",0,$E$35*I$54))</f>
        <v>0</v>
      </c>
      <c r="K177" s="1162">
        <f>IF(K$174&lt;$Q$7,0,IF(Cashflow!K$111="C/I",0,$E$35*J$54))</f>
        <v>0</v>
      </c>
      <c r="L177" s="1162">
        <f ca="1">IF(L$174&lt;$Q$7,0,IF(Cashflow!L$111="C/I",0,$E$35*K$54))</f>
        <v>0</v>
      </c>
      <c r="M177" s="1162">
        <f ca="1">IF(M$174&lt;$Q$7,0,IF(Cashflow!M$111="C/I",0,$E$35*L$54))</f>
        <v>0</v>
      </c>
      <c r="N177" s="1162">
        <f ca="1">IF(N$174&lt;$Q$7,0,IF(Cashflow!N$111="C/I",0,$E$35*M$54))</f>
        <v>0</v>
      </c>
      <c r="O177" s="1162">
        <f ca="1">IF(O$174&lt;$Q$7,0,IF(Cashflow!O$111="C/I",0,$E$35*N$54))</f>
        <v>0</v>
      </c>
      <c r="P177" s="1162">
        <f ca="1">IF(P$174&lt;$Q$7,0,IF(Cashflow!P$111="C/I",0,$E$35*O$54))</f>
        <v>0</v>
      </c>
      <c r="Q177" s="1162">
        <f ca="1">IF(Q$174&lt;$Q$7,0,IF(Cashflow!Q$111="C/I",0,$E$35*P$54))</f>
        <v>0</v>
      </c>
      <c r="R177" s="1162">
        <f ca="1">IF(R$174&lt;$Q$7,0,IF(Cashflow!R$111="C/I",0,$E$35*Q$54))</f>
        <v>0</v>
      </c>
      <c r="S177" s="1162">
        <f ca="1">IF(S$174&lt;$Q$7,0,IF(Cashflow!S$111="C/I",0,$E$35*R$54))</f>
        <v>0</v>
      </c>
      <c r="T177" s="1162">
        <f ca="1">IF(T$174&lt;$Q$7,0,IF(Cashflow!T$111="C/I",0,$E$35*S$54))</f>
        <v>0</v>
      </c>
      <c r="U177" s="1162">
        <f ca="1">IF(U$174&lt;$Q$7,0,IF(Cashflow!U$111="C/I",0,$E$35*T$54))</f>
        <v>0</v>
      </c>
      <c r="V177" s="1162">
        <f ca="1">IF(V$174&lt;$Q$7,0,IF(Cashflow!V$111="C/I",0,$E$35*U$54))</f>
        <v>0</v>
      </c>
      <c r="W177" s="1162">
        <f ca="1">IF(W$174&lt;$Q$7,0,IF(Cashflow!W$111="C/I",0,$E$35*V$54))</f>
        <v>0</v>
      </c>
      <c r="X177" s="1162">
        <f ca="1">IF(X$174&lt;$Q$7,0,IF(Cashflow!X$111="C/I",0,$E$35*W$54))</f>
        <v>0</v>
      </c>
      <c r="Y177" s="1162">
        <f ca="1">IF(Y$174&lt;$Q$7,0,IF(Cashflow!Y$111="C/I",0,$E$35*X$54))</f>
        <v>0</v>
      </c>
      <c r="Z177" s="1162">
        <f ca="1">IF(Z$174&lt;$Q$7,0,IF(Cashflow!Z$111="C/I",0,$E$35*Y$54))</f>
        <v>0</v>
      </c>
      <c r="AA177" s="1162">
        <f ca="1">IF(AA$174&lt;$Q$7,0,IF(Cashflow!AA$111="C/I",0,$E$35*Z$54))</f>
        <v>0</v>
      </c>
      <c r="AB177" s="1162">
        <f ca="1">IF(AB$174&lt;$Q$7,0,IF(Cashflow!AB$111="C/I",0,$E$35*AA$54))</f>
        <v>0</v>
      </c>
      <c r="AC177" s="1162">
        <f ca="1">IF(AC$174&lt;$Q$7,0,IF(Cashflow!AC$111="C/I",0,$E$35*AB$54))</f>
        <v>0</v>
      </c>
      <c r="AD177" s="1162">
        <f ca="1">IF(AD$174&lt;$Q$7,0,IF(Cashflow!AD$111="C/I",0,$E$35*AC$54))</f>
        <v>0</v>
      </c>
      <c r="AE177" s="1162">
        <f ca="1">IF(AE$174&lt;$Q$7,0,IF(Cashflow!AE$111="C/I",0,$E$35*AD$54))</f>
        <v>0</v>
      </c>
      <c r="AF177" s="1162">
        <f ca="1">IF(AF$174&lt;$Q$7,0,IF(Cashflow!AF$111="C/I",0,$E$35*AE$54))</f>
        <v>0</v>
      </c>
      <c r="AG177" s="1162">
        <f ca="1">IF(AG$174&lt;$Q$7,0,IF(Cashflow!AG$111="C/I",0,$E$35*AF$54))</f>
        <v>0</v>
      </c>
      <c r="AH177" s="19"/>
      <c r="AI177" s="19"/>
      <c r="AJ177" s="19"/>
      <c r="AK177" s="21"/>
      <c r="AL177" s="21"/>
      <c r="AM177" s="19"/>
      <c r="AN177" s="19"/>
      <c r="AO177" s="326"/>
      <c r="AP177" s="326"/>
      <c r="AQ177" s="326"/>
      <c r="AR177" s="326"/>
      <c r="AS177" s="326"/>
      <c r="AT177" s="326"/>
      <c r="AU177" s="326"/>
      <c r="AV177" s="326"/>
      <c r="AW177" s="326"/>
      <c r="AX177" s="326"/>
      <c r="AY177" s="326"/>
      <c r="AZ177" s="326"/>
    </row>
    <row r="178" spans="1:52">
      <c r="A178" s="19"/>
      <c r="B178" s="191" t="str">
        <f>"Tubing flow for wells built in Year "&amp;Cashflow!F$164</f>
        <v>Tubing flow for wells built in Year 2020</v>
      </c>
      <c r="C178" s="1163"/>
      <c r="D178" s="1163"/>
      <c r="E178" s="1163"/>
      <c r="F178" s="1162">
        <f>IF(F$174&lt;$Q$7,0,IF(Cashflow!F$111="C/I",0,$F$35*E$54))</f>
        <v>0</v>
      </c>
      <c r="G178" s="1162">
        <f>IF(G$174&lt;$Q$7,0,IF(Cashflow!G$111="C/I",0,$F$35*F$54))</f>
        <v>0</v>
      </c>
      <c r="H178" s="1162">
        <f>IF(H$174&lt;$Q$7,0,IF(Cashflow!H$111="C/I",0,$F$35*G$54))</f>
        <v>0</v>
      </c>
      <c r="I178" s="1162">
        <f>IF(I$174&lt;$Q$7,0,IF(Cashflow!I$111="C/I",0,$F$35*H$54))</f>
        <v>0</v>
      </c>
      <c r="J178" s="1162">
        <f>IF(J$174&lt;$Q$7,0,IF(Cashflow!J$111="C/I",0,$F$35*I$54))</f>
        <v>0</v>
      </c>
      <c r="K178" s="1162">
        <f>IF(K$174&lt;$Q$7,0,IF(Cashflow!K$111="C/I",0,$F$35*J$54))</f>
        <v>0</v>
      </c>
      <c r="L178" s="1162">
        <f ca="1">IF(L$174&lt;$Q$7,0,IF(Cashflow!L$111="C/I",0,$F$35*K$54))</f>
        <v>0</v>
      </c>
      <c r="M178" s="1162">
        <f ca="1">IF(M$174&lt;$Q$7,0,IF(Cashflow!M$111="C/I",0,$F$35*L$54))</f>
        <v>0</v>
      </c>
      <c r="N178" s="1162">
        <f ca="1">IF(N$174&lt;$Q$7,0,IF(Cashflow!N$111="C/I",0,$F$35*M$54))</f>
        <v>0</v>
      </c>
      <c r="O178" s="1162">
        <f ca="1">IF(O$174&lt;$Q$7,0,IF(Cashflow!O$111="C/I",0,$F$35*N$54))</f>
        <v>0</v>
      </c>
      <c r="P178" s="1162">
        <f ca="1">IF(P$174&lt;$Q$7,0,IF(Cashflow!P$111="C/I",0,$F$35*O$54))</f>
        <v>0</v>
      </c>
      <c r="Q178" s="1162">
        <f ca="1">IF(Q$174&lt;$Q$7,0,IF(Cashflow!Q$111="C/I",0,$F$35*P$54))</f>
        <v>0</v>
      </c>
      <c r="R178" s="1162">
        <f ca="1">IF(R$174&lt;$Q$7,0,IF(Cashflow!R$111="C/I",0,$F$35*Q$54))</f>
        <v>0</v>
      </c>
      <c r="S178" s="1162">
        <f ca="1">IF(S$174&lt;$Q$7,0,IF(Cashflow!S$111="C/I",0,$F$35*R$54))</f>
        <v>0</v>
      </c>
      <c r="T178" s="1162">
        <f ca="1">IF(T$174&lt;$Q$7,0,IF(Cashflow!T$111="C/I",0,$F$35*S$54))</f>
        <v>0</v>
      </c>
      <c r="U178" s="1162">
        <f ca="1">IF(U$174&lt;$Q$7,0,IF(Cashflow!U$111="C/I",0,$F$35*T$54))</f>
        <v>0</v>
      </c>
      <c r="V178" s="1162">
        <f ca="1">IF(V$174&lt;$Q$7,0,IF(Cashflow!V$111="C/I",0,$F$35*U$54))</f>
        <v>0</v>
      </c>
      <c r="W178" s="1162">
        <f ca="1">IF(W$174&lt;$Q$7,0,IF(Cashflow!W$111="C/I",0,$F$35*V$54))</f>
        <v>0</v>
      </c>
      <c r="X178" s="1162">
        <f ca="1">IF(X$174&lt;$Q$7,0,IF(Cashflow!X$111="C/I",0,$F$35*W$54))</f>
        <v>0</v>
      </c>
      <c r="Y178" s="1162">
        <f ca="1">IF(Y$174&lt;$Q$7,0,IF(Cashflow!Y$111="C/I",0,$F$35*X$54))</f>
        <v>0</v>
      </c>
      <c r="Z178" s="1162">
        <f ca="1">IF(Z$174&lt;$Q$7,0,IF(Cashflow!Z$111="C/I",0,$F$35*Y$54))</f>
        <v>0</v>
      </c>
      <c r="AA178" s="1162">
        <f ca="1">IF(AA$174&lt;$Q$7,0,IF(Cashflow!AA$111="C/I",0,$F$35*Z$54))</f>
        <v>0</v>
      </c>
      <c r="AB178" s="1162">
        <f ca="1">IF(AB$174&lt;$Q$7,0,IF(Cashflow!AB$111="C/I",0,$F$35*AA$54))</f>
        <v>0</v>
      </c>
      <c r="AC178" s="1162">
        <f ca="1">IF(AC$174&lt;$Q$7,0,IF(Cashflow!AC$111="C/I",0,$F$35*AB$54))</f>
        <v>0</v>
      </c>
      <c r="AD178" s="1162">
        <f ca="1">IF(AD$174&lt;$Q$7,0,IF(Cashflow!AD$111="C/I",0,$F$35*AC$54))</f>
        <v>0</v>
      </c>
      <c r="AE178" s="1162">
        <f ca="1">IF(AE$174&lt;$Q$7,0,IF(Cashflow!AE$111="C/I",0,$F$35*AD$54))</f>
        <v>0</v>
      </c>
      <c r="AF178" s="1162">
        <f ca="1">IF(AF$174&lt;$Q$7,0,IF(Cashflow!AF$111="C/I",0,$F$35*AE$54))</f>
        <v>0</v>
      </c>
      <c r="AG178" s="1162">
        <f ca="1">IF(AG$174&lt;$Q$7,0,IF(Cashflow!AG$111="C/I",0,$F$35*AF$54))</f>
        <v>0</v>
      </c>
      <c r="AH178" s="19"/>
      <c r="AI178" s="19"/>
      <c r="AJ178" s="19"/>
      <c r="AK178" s="21"/>
      <c r="AL178" s="21"/>
      <c r="AM178" s="19"/>
      <c r="AN178" s="19"/>
      <c r="AO178" s="326"/>
      <c r="AP178" s="326"/>
      <c r="AQ178" s="326"/>
      <c r="AR178" s="326"/>
      <c r="AS178" s="326"/>
      <c r="AT178" s="326"/>
      <c r="AU178" s="326"/>
      <c r="AV178" s="326"/>
      <c r="AW178" s="326"/>
      <c r="AX178" s="326"/>
      <c r="AY178" s="326"/>
      <c r="AZ178" s="326"/>
    </row>
    <row r="179" spans="1:52">
      <c r="A179" s="19"/>
      <c r="B179" s="191" t="str">
        <f>"Tubing flow for wells built in Year "&amp;Cashflow!G$164</f>
        <v>Tubing flow for wells built in Year 2021</v>
      </c>
      <c r="C179" s="1163"/>
      <c r="D179" s="1163"/>
      <c r="E179" s="1163"/>
      <c r="F179" s="1163"/>
      <c r="G179" s="1162">
        <f>IF(G$174&lt;$Q$7,0,IF(Cashflow!G$111="C/I",0,$G$35*F$54))</f>
        <v>0</v>
      </c>
      <c r="H179" s="1162">
        <f>IF(H$174&lt;$Q$7,0,IF(Cashflow!H$111="C/I",0,$G$35*G$54))</f>
        <v>0</v>
      </c>
      <c r="I179" s="1162">
        <f>IF(I$174&lt;$Q$7,0,IF(Cashflow!I$111="C/I",0,$G$35*H$54))</f>
        <v>0</v>
      </c>
      <c r="J179" s="1162">
        <f>IF(J$174&lt;$Q$7,0,IF(Cashflow!J$111="C/I",0,$G$35*I$54))</f>
        <v>0</v>
      </c>
      <c r="K179" s="1162">
        <f>IF(K$174&lt;$Q$7,0,IF(Cashflow!K$111="C/I",0,$G$35*J$54))</f>
        <v>0</v>
      </c>
      <c r="L179" s="1162">
        <f ca="1">IF(L$174&lt;$Q$7,0,IF(Cashflow!L$111="C/I",0,$G$35*K$54))</f>
        <v>0</v>
      </c>
      <c r="M179" s="1162">
        <f ca="1">IF(M$174&lt;$Q$7,0,IF(Cashflow!M$111="C/I",0,$G$35*L$54))</f>
        <v>0</v>
      </c>
      <c r="N179" s="1162">
        <f ca="1">IF(N$174&lt;$Q$7,0,IF(Cashflow!N$111="C/I",0,$G$35*M$54))</f>
        <v>0</v>
      </c>
      <c r="O179" s="1162">
        <f ca="1">IF(O$174&lt;$Q$7,0,IF(Cashflow!O$111="C/I",0,$G$35*N$54))</f>
        <v>0</v>
      </c>
      <c r="P179" s="1162">
        <f ca="1">IF(P$174&lt;$Q$7,0,IF(Cashflow!P$111="C/I",0,$G$35*O$54))</f>
        <v>0</v>
      </c>
      <c r="Q179" s="1162">
        <f ca="1">IF(Q$174&lt;$Q$7,0,IF(Cashflow!Q$111="C/I",0,$G$35*P$54))</f>
        <v>0</v>
      </c>
      <c r="R179" s="1162">
        <f ca="1">IF(R$174&lt;$Q$7,0,IF(Cashflow!R$111="C/I",0,$G$35*Q$54))</f>
        <v>0</v>
      </c>
      <c r="S179" s="1162">
        <f ca="1">IF(S$174&lt;$Q$7,0,IF(Cashflow!S$111="C/I",0,$G$35*R$54))</f>
        <v>0</v>
      </c>
      <c r="T179" s="1162">
        <f ca="1">IF(T$174&lt;$Q$7,0,IF(Cashflow!T$111="C/I",0,$G$35*S$54))</f>
        <v>0</v>
      </c>
      <c r="U179" s="1162">
        <f ca="1">IF(U$174&lt;$Q$7,0,IF(Cashflow!U$111="C/I",0,$G$35*T$54))</f>
        <v>0</v>
      </c>
      <c r="V179" s="1162">
        <f ca="1">IF(V$174&lt;$Q$7,0,IF(Cashflow!V$111="C/I",0,$G$35*U$54))</f>
        <v>0</v>
      </c>
      <c r="W179" s="1162">
        <f ca="1">IF(W$174&lt;$Q$7,0,IF(Cashflow!W$111="C/I",0,$G$35*V$54))</f>
        <v>0</v>
      </c>
      <c r="X179" s="1162">
        <f ca="1">IF(X$174&lt;$Q$7,0,IF(Cashflow!X$111="C/I",0,$G$35*W$54))</f>
        <v>0</v>
      </c>
      <c r="Y179" s="1162">
        <f ca="1">IF(Y$174&lt;$Q$7,0,IF(Cashflow!Y$111="C/I",0,$G$35*X$54))</f>
        <v>0</v>
      </c>
      <c r="Z179" s="1162">
        <f ca="1">IF(Z$174&lt;$Q$7,0,IF(Cashflow!Z$111="C/I",0,$G$35*Y$54))</f>
        <v>0</v>
      </c>
      <c r="AA179" s="1162">
        <f ca="1">IF(AA$174&lt;$Q$7,0,IF(Cashflow!AA$111="C/I",0,$G$35*Z$54))</f>
        <v>0</v>
      </c>
      <c r="AB179" s="1162">
        <f ca="1">IF(AB$174&lt;$Q$7,0,IF(Cashflow!AB$111="C/I",0,$G$35*AA$54))</f>
        <v>0</v>
      </c>
      <c r="AC179" s="1162">
        <f ca="1">IF(AC$174&lt;$Q$7,0,IF(Cashflow!AC$111="C/I",0,$G$35*AB$54))</f>
        <v>0</v>
      </c>
      <c r="AD179" s="1162">
        <f ca="1">IF(AD$174&lt;$Q$7,0,IF(Cashflow!AD$111="C/I",0,$G$35*AC$54))</f>
        <v>0</v>
      </c>
      <c r="AE179" s="1162">
        <f ca="1">IF(AE$174&lt;$Q$7,0,IF(Cashflow!AE$111="C/I",0,$G$35*AD$54))</f>
        <v>0</v>
      </c>
      <c r="AF179" s="1162">
        <f ca="1">IF(AF$174&lt;$Q$7,0,IF(Cashflow!AF$111="C/I",0,$G$35*AE$54))</f>
        <v>0</v>
      </c>
      <c r="AG179" s="1162">
        <f ca="1">IF(AG$174&lt;$Q$7,0,IF(Cashflow!AG$111="C/I",0,$G$35*AF$54))</f>
        <v>0</v>
      </c>
      <c r="AH179" s="19"/>
      <c r="AI179" s="19"/>
      <c r="AJ179" s="19"/>
      <c r="AK179" s="21"/>
      <c r="AL179" s="21"/>
      <c r="AM179" s="19"/>
      <c r="AN179" s="19"/>
      <c r="AO179" s="326"/>
      <c r="AP179" s="326"/>
      <c r="AQ179" s="326"/>
      <c r="AR179" s="326"/>
      <c r="AS179" s="326"/>
      <c r="AT179" s="326"/>
      <c r="AU179" s="326"/>
      <c r="AV179" s="326"/>
      <c r="AW179" s="326"/>
      <c r="AX179" s="326"/>
      <c r="AY179" s="326"/>
      <c r="AZ179" s="326"/>
    </row>
    <row r="180" spans="1:52">
      <c r="A180" s="19"/>
      <c r="B180" s="191" t="str">
        <f>"Tubing flow for wells built in Year "&amp;Cashflow!H$164</f>
        <v>Tubing flow for wells built in Year 2022</v>
      </c>
      <c r="C180" s="1163"/>
      <c r="D180" s="1163"/>
      <c r="E180" s="1163"/>
      <c r="F180" s="1163"/>
      <c r="G180" s="1163"/>
      <c r="H180" s="1162">
        <f>IF(H$174&lt;$Q$7,0,IF(Cashflow!H$111="C/I",0,$H$35*G$54))</f>
        <v>0</v>
      </c>
      <c r="I180" s="1162">
        <f>IF(I$174&lt;$Q$7,0,IF(Cashflow!I$111="C/I",0,$H$35*H$54))</f>
        <v>0</v>
      </c>
      <c r="J180" s="1162">
        <f>IF(J$174&lt;$Q$7,0,IF(Cashflow!J$111="C/I",0,$H$35*I$54))</f>
        <v>0</v>
      </c>
      <c r="K180" s="1162">
        <f>IF(K$174&lt;$Q$7,0,IF(Cashflow!K$111="C/I",0,$H$35*J$54))</f>
        <v>0</v>
      </c>
      <c r="L180" s="1162">
        <f ca="1">IF(L$174&lt;$Q$7,0,IF(Cashflow!L$111="C/I",0,$H$35*K$54))</f>
        <v>0</v>
      </c>
      <c r="M180" s="1162">
        <f ca="1">IF(M$174&lt;$Q$7,0,IF(Cashflow!M$111="C/I",0,$H$35*L$54))</f>
        <v>0</v>
      </c>
      <c r="N180" s="1162">
        <f ca="1">IF(N$174&lt;$Q$7,0,IF(Cashflow!N$111="C/I",0,$H$35*M$54))</f>
        <v>0</v>
      </c>
      <c r="O180" s="1162">
        <f ca="1">IF(O$174&lt;$Q$7,0,IF(Cashflow!O$111="C/I",0,$H$35*N$54))</f>
        <v>0</v>
      </c>
      <c r="P180" s="1162">
        <f ca="1">IF(P$174&lt;$Q$7,0,IF(Cashflow!P$111="C/I",0,$H$35*O$54))</f>
        <v>0</v>
      </c>
      <c r="Q180" s="1162">
        <f ca="1">IF(Q$174&lt;$Q$7,0,IF(Cashflow!Q$111="C/I",0,$H$35*P$54))</f>
        <v>0</v>
      </c>
      <c r="R180" s="1162">
        <f ca="1">IF(R$174&lt;$Q$7,0,IF(Cashflow!R$111="C/I",0,$H$35*Q$54))</f>
        <v>0</v>
      </c>
      <c r="S180" s="1162">
        <f ca="1">IF(S$174&lt;$Q$7,0,IF(Cashflow!S$111="C/I",0,$H$35*R$54))</f>
        <v>0</v>
      </c>
      <c r="T180" s="1162">
        <f ca="1">IF(T$174&lt;$Q$7,0,IF(Cashflow!T$111="C/I",0,$H$35*S$54))</f>
        <v>0</v>
      </c>
      <c r="U180" s="1162">
        <f ca="1">IF(U$174&lt;$Q$7,0,IF(Cashflow!U$111="C/I",0,$H$35*T$54))</f>
        <v>0</v>
      </c>
      <c r="V180" s="1162">
        <f ca="1">IF(V$174&lt;$Q$7,0,IF(Cashflow!V$111="C/I",0,$H$35*U$54))</f>
        <v>0</v>
      </c>
      <c r="W180" s="1162">
        <f ca="1">IF(W$174&lt;$Q$7,0,IF(Cashflow!W$111="C/I",0,$H$35*V$54))</f>
        <v>0</v>
      </c>
      <c r="X180" s="1162">
        <f ca="1">IF(X$174&lt;$Q$7,0,IF(Cashflow!X$111="C/I",0,$H$35*W$54))</f>
        <v>0</v>
      </c>
      <c r="Y180" s="1162">
        <f ca="1">IF(Y$174&lt;$Q$7,0,IF(Cashflow!Y$111="C/I",0,$H$35*X$54))</f>
        <v>0</v>
      </c>
      <c r="Z180" s="1162">
        <f ca="1">IF(Z$174&lt;$Q$7,0,IF(Cashflow!Z$111="C/I",0,$H$35*Y$54))</f>
        <v>0</v>
      </c>
      <c r="AA180" s="1162">
        <f ca="1">IF(AA$174&lt;$Q$7,0,IF(Cashflow!AA$111="C/I",0,$H$35*Z$54))</f>
        <v>0</v>
      </c>
      <c r="AB180" s="1162">
        <f ca="1">IF(AB$174&lt;$Q$7,0,IF(Cashflow!AB$111="C/I",0,$H$35*AA$54))</f>
        <v>0</v>
      </c>
      <c r="AC180" s="1162">
        <f ca="1">IF(AC$174&lt;$Q$7,0,IF(Cashflow!AC$111="C/I",0,$H$35*AB$54))</f>
        <v>0</v>
      </c>
      <c r="AD180" s="1162">
        <f ca="1">IF(AD$174&lt;$Q$7,0,IF(Cashflow!AD$111="C/I",0,$H$35*AC$54))</f>
        <v>0</v>
      </c>
      <c r="AE180" s="1162">
        <f ca="1">IF(AE$174&lt;$Q$7,0,IF(Cashflow!AE$111="C/I",0,$H$35*AD$54))</f>
        <v>0</v>
      </c>
      <c r="AF180" s="1162">
        <f ca="1">IF(AF$174&lt;$Q$7,0,IF(Cashflow!AF$111="C/I",0,$H$35*AE$54))</f>
        <v>0</v>
      </c>
      <c r="AG180" s="1162">
        <f ca="1">IF(AG$174&lt;$Q$7,0,IF(Cashflow!AG$111="C/I",0,$H$35*AF$54))</f>
        <v>0</v>
      </c>
      <c r="AH180" s="19"/>
      <c r="AI180" s="19"/>
      <c r="AJ180" s="19"/>
      <c r="AK180" s="21"/>
      <c r="AL180" s="21"/>
      <c r="AM180" s="19"/>
      <c r="AN180" s="19"/>
      <c r="AO180" s="326"/>
      <c r="AP180" s="326"/>
      <c r="AQ180" s="326"/>
      <c r="AR180" s="326"/>
      <c r="AS180" s="326"/>
      <c r="AT180" s="326"/>
      <c r="AU180" s="326"/>
      <c r="AV180" s="326"/>
      <c r="AW180" s="326"/>
      <c r="AX180" s="326"/>
      <c r="AY180" s="326"/>
      <c r="AZ180" s="326"/>
    </row>
    <row r="181" spans="1:52">
      <c r="A181" s="19"/>
      <c r="B181" s="191" t="str">
        <f>"Tubing flow for wells built in Year "&amp;Cashflow!I$164</f>
        <v>Tubing flow for wells built in Year 2023</v>
      </c>
      <c r="C181" s="1163"/>
      <c r="D181" s="1163"/>
      <c r="E181" s="1163"/>
      <c r="F181" s="1163"/>
      <c r="G181" s="1163"/>
      <c r="H181" s="1163"/>
      <c r="I181" s="1162">
        <f>IF(I$174&lt;$Q$7,0,IF(Cashflow!I$111="C/I",0,$I$35*H$54))</f>
        <v>0</v>
      </c>
      <c r="J181" s="1162">
        <f>IF(J$174&lt;$Q$7,0,IF(Cashflow!J$111="C/I",0,$I$35*I$54))</f>
        <v>0</v>
      </c>
      <c r="K181" s="1162">
        <f>IF(K$174&lt;$Q$7,0,IF(Cashflow!K$111="C/I",0,$I$35*J$54))</f>
        <v>0.20387459011839884</v>
      </c>
      <c r="L181" s="1162">
        <f ca="1">IF(L$174&lt;$Q$7,0,IF(Cashflow!L$111="C/I",0,$I$35*K$54))</f>
        <v>0.20004840938291624</v>
      </c>
      <c r="M181" s="1162">
        <f ca="1">IF(M$174&lt;$Q$7,0,IF(Cashflow!M$111="C/I",0,$I$35*L$54))</f>
        <v>0.20004840938291624</v>
      </c>
      <c r="N181" s="1162">
        <f ca="1">IF(N$174&lt;$Q$7,0,IF(Cashflow!N$111="C/I",0,$I$35*M$54))</f>
        <v>0.20004840938291624</v>
      </c>
      <c r="O181" s="1162">
        <f ca="1">IF(O$174&lt;$Q$7,0,IF(Cashflow!O$111="C/I",0,$I$35*N$54))</f>
        <v>0.20004840938291624</v>
      </c>
      <c r="P181" s="1162">
        <f ca="1">IF(P$174&lt;$Q$7,0,IF(Cashflow!P$111="C/I",0,$I$35*O$54))</f>
        <v>0.20004840938291624</v>
      </c>
      <c r="Q181" s="1162">
        <f ca="1">IF(Q$174&lt;$Q$7,0,IF(Cashflow!Q$111="C/I",0,$I$35*P$54))</f>
        <v>0.20004840938291624</v>
      </c>
      <c r="R181" s="1162">
        <f ca="1">IF(R$174&lt;$Q$7,0,IF(Cashflow!R$111="C/I",0,$I$35*Q$54))</f>
        <v>0.20004840938291624</v>
      </c>
      <c r="S181" s="1162">
        <f ca="1">IF(S$174&lt;$Q$7,0,IF(Cashflow!S$111="C/I",0,$I$35*R$54))</f>
        <v>0.20004840938291624</v>
      </c>
      <c r="T181" s="1162">
        <f ca="1">IF(T$174&lt;$Q$7,0,IF(Cashflow!T$111="C/I",0,$I$35*S$54))</f>
        <v>0.20004840938291624</v>
      </c>
      <c r="U181" s="1162">
        <f ca="1">IF(U$174&lt;$Q$7,0,IF(Cashflow!U$111="C/I",0,$I$35*T$54))</f>
        <v>0.19911005514242336</v>
      </c>
      <c r="V181" s="1162">
        <f ca="1">IF(V$174&lt;$Q$7,0,IF(Cashflow!V$111="C/I",0,$I$35*U$54))</f>
        <v>0.19814453205675184</v>
      </c>
      <c r="W181" s="1162">
        <f ca="1">IF(W$174&lt;$Q$7,0,IF(Cashflow!W$111="C/I",0,$I$35*V$54))</f>
        <v>0.19723246910397452</v>
      </c>
      <c r="X181" s="1162">
        <f ca="1">IF(X$174&lt;$Q$7,0,IF(Cashflow!X$111="C/I",0,$I$35*W$54))</f>
        <v>0.1962937484018793</v>
      </c>
      <c r="Y181" s="1162">
        <f ca="1">IF(Y$174&lt;$Q$7,0,IF(Cashflow!Y$111="C/I",0,$I$35*X$54))</f>
        <v>0.19543830275071009</v>
      </c>
      <c r="Z181" s="1162">
        <f ca="1">IF(Z$174&lt;$Q$7,0,IF(Cashflow!Z$111="C/I",0,$I$35*Y$54))</f>
        <v>0.1946028417114137</v>
      </c>
      <c r="AA181" s="1162">
        <f ca="1">IF(AA$174&lt;$Q$7,0,IF(Cashflow!AA$111="C/I",0,$I$35*Z$54))</f>
        <v>0.19381230852569187</v>
      </c>
      <c r="AB181" s="1162">
        <f ca="1">IF(AB$174&lt;$Q$7,0,IF(Cashflow!AB$111="C/I",0,$I$35*AA$54))</f>
        <v>0.1929973220019145</v>
      </c>
      <c r="AC181" s="1162">
        <f ca="1">IF(AC$174&lt;$Q$7,0,IF(Cashflow!AC$111="C/I",0,$I$35*AB$54))</f>
        <v>0.19222600532900111</v>
      </c>
      <c r="AD181" s="1162">
        <f ca="1">IF(AD$174&lt;$Q$7,0,IF(Cashflow!AD$111="C/I",0,$I$35*AC$54))</f>
        <v>0.19150312395015312</v>
      </c>
      <c r="AE181" s="1162">
        <f ca="1">IF(AE$174&lt;$Q$7,0,IF(Cashflow!AE$111="C/I",0,$I$35*AD$54))</f>
        <v>0.19083130628442471</v>
      </c>
      <c r="AF181" s="1162">
        <f ca="1">IF(AF$174&lt;$Q$7,0,IF(Cashflow!AF$111="C/I",0,$I$35*AE$54))</f>
        <v>0.19013752902472592</v>
      </c>
      <c r="AG181" s="1162">
        <f ca="1">IF(AG$174&lt;$Q$7,0,IF(Cashflow!AG$111="C/I",0,$I$35*AF$54))</f>
        <v>0.18947982613641165</v>
      </c>
      <c r="AH181" s="19"/>
      <c r="AI181" s="19"/>
      <c r="AJ181" s="19"/>
      <c r="AK181" s="21"/>
      <c r="AL181" s="21"/>
      <c r="AM181" s="19"/>
      <c r="AN181" s="19"/>
      <c r="AO181" s="326"/>
      <c r="AP181" s="326"/>
      <c r="AQ181" s="326"/>
      <c r="AR181" s="326"/>
      <c r="AS181" s="326"/>
      <c r="AT181" s="326"/>
      <c r="AU181" s="326"/>
      <c r="AV181" s="326"/>
      <c r="AW181" s="326"/>
      <c r="AX181" s="326"/>
      <c r="AY181" s="326"/>
      <c r="AZ181" s="326"/>
    </row>
    <row r="182" spans="1:52">
      <c r="A182" s="19"/>
      <c r="B182" s="191" t="str">
        <f>"Tubing flow for wells built in Year "&amp;Cashflow!J$164</f>
        <v>Tubing flow for wells built in Year 2024</v>
      </c>
      <c r="C182" s="1163"/>
      <c r="D182" s="1163"/>
      <c r="E182" s="1163"/>
      <c r="F182" s="1163"/>
      <c r="G182" s="1163"/>
      <c r="H182" s="1163"/>
      <c r="I182" s="1163"/>
      <c r="J182" s="1162">
        <f>IF(J$174&lt;$Q$7,0,IF(Cashflow!J$111="C/I",0,$J$35*I$54))</f>
        <v>0</v>
      </c>
      <c r="K182" s="1162">
        <f>IF(K$174&lt;$Q$7,0,IF(Cashflow!K$111="C/I",0,$J$35*J$54))</f>
        <v>0.40774918023679768</v>
      </c>
      <c r="L182" s="1162">
        <f ca="1">IF(L$174&lt;$Q$7,0,IF(Cashflow!L$111="C/I",0,$J$35*K$54))</f>
        <v>0.40009681876583247</v>
      </c>
      <c r="M182" s="1162">
        <f ca="1">IF(M$174&lt;$Q$7,0,IF(Cashflow!M$111="C/I",0,$J$35*L$54))</f>
        <v>0.40009681876583247</v>
      </c>
      <c r="N182" s="1162">
        <f ca="1">IF(N$174&lt;$Q$7,0,IF(Cashflow!N$111="C/I",0,$J$35*M$54))</f>
        <v>0.40009681876583247</v>
      </c>
      <c r="O182" s="1162">
        <f ca="1">IF(O$174&lt;$Q$7,0,IF(Cashflow!O$111="C/I",0,$J$35*N$54))</f>
        <v>0.40009681876583247</v>
      </c>
      <c r="P182" s="1162">
        <f ca="1">IF(P$174&lt;$Q$7,0,IF(Cashflow!P$111="C/I",0,$J$35*O$54))</f>
        <v>0.40009681876583247</v>
      </c>
      <c r="Q182" s="1162">
        <f ca="1">IF(Q$174&lt;$Q$7,0,IF(Cashflow!Q$111="C/I",0,$J$35*P$54))</f>
        <v>0.40009681876583247</v>
      </c>
      <c r="R182" s="1162">
        <f ca="1">IF(R$174&lt;$Q$7,0,IF(Cashflow!R$111="C/I",0,$J$35*Q$54))</f>
        <v>0.40009681876583247</v>
      </c>
      <c r="S182" s="1162">
        <f ca="1">IF(S$174&lt;$Q$7,0,IF(Cashflow!S$111="C/I",0,$J$35*R$54))</f>
        <v>0.40009681876583247</v>
      </c>
      <c r="T182" s="1162">
        <f ca="1">IF(T$174&lt;$Q$7,0,IF(Cashflow!T$111="C/I",0,$J$35*S$54))</f>
        <v>0.40009681876583247</v>
      </c>
      <c r="U182" s="1162">
        <f ca="1">IF(U$174&lt;$Q$7,0,IF(Cashflow!U$111="C/I",0,$J$35*T$54))</f>
        <v>0.39822011028484672</v>
      </c>
      <c r="V182" s="1162">
        <f ca="1">IF(V$174&lt;$Q$7,0,IF(Cashflow!V$111="C/I",0,$J$35*U$54))</f>
        <v>0.39628906411350368</v>
      </c>
      <c r="W182" s="1162">
        <f ca="1">IF(W$174&lt;$Q$7,0,IF(Cashflow!W$111="C/I",0,$J$35*V$54))</f>
        <v>0.39446493820794903</v>
      </c>
      <c r="X182" s="1162">
        <f ca="1">IF(X$174&lt;$Q$7,0,IF(Cashflow!X$111="C/I",0,$J$35*W$54))</f>
        <v>0.3925874968037586</v>
      </c>
      <c r="Y182" s="1162">
        <f ca="1">IF(Y$174&lt;$Q$7,0,IF(Cashflow!Y$111="C/I",0,$J$35*X$54))</f>
        <v>0.39087660550142017</v>
      </c>
      <c r="Z182" s="1162">
        <f ca="1">IF(Z$174&lt;$Q$7,0,IF(Cashflow!Z$111="C/I",0,$J$35*Y$54))</f>
        <v>0.38920568342282741</v>
      </c>
      <c r="AA182" s="1162">
        <f ca="1">IF(AA$174&lt;$Q$7,0,IF(Cashflow!AA$111="C/I",0,$J$35*Z$54))</f>
        <v>0.38762461705138374</v>
      </c>
      <c r="AB182" s="1162">
        <f ca="1">IF(AB$174&lt;$Q$7,0,IF(Cashflow!AB$111="C/I",0,$J$35*AA$54))</f>
        <v>0.38599464400382899</v>
      </c>
      <c r="AC182" s="1162">
        <f ca="1">IF(AC$174&lt;$Q$7,0,IF(Cashflow!AC$111="C/I",0,$J$35*AB$54))</f>
        <v>0.38445201065800222</v>
      </c>
      <c r="AD182" s="1162">
        <f ca="1">IF(AD$174&lt;$Q$7,0,IF(Cashflow!AD$111="C/I",0,$J$35*AC$54))</f>
        <v>0.38300624790030624</v>
      </c>
      <c r="AE182" s="1162">
        <f ca="1">IF(AE$174&lt;$Q$7,0,IF(Cashflow!AE$111="C/I",0,$J$35*AD$54))</f>
        <v>0.38166261256884942</v>
      </c>
      <c r="AF182" s="1162">
        <f ca="1">IF(AF$174&lt;$Q$7,0,IF(Cashflow!AF$111="C/I",0,$J$35*AE$54))</f>
        <v>0.38027505804945183</v>
      </c>
      <c r="AG182" s="1162">
        <f ca="1">IF(AG$174&lt;$Q$7,0,IF(Cashflow!AG$111="C/I",0,$J$35*AF$54))</f>
        <v>0.3789596522728233</v>
      </c>
      <c r="AH182" s="19"/>
      <c r="AI182" s="19"/>
      <c r="AJ182" s="19"/>
      <c r="AK182" s="21"/>
      <c r="AL182" s="21"/>
      <c r="AM182" s="19"/>
      <c r="AN182" s="19"/>
      <c r="AO182" s="326"/>
      <c r="AP182" s="326"/>
      <c r="AQ182" s="326"/>
      <c r="AR182" s="326"/>
      <c r="AS182" s="326"/>
      <c r="AT182" s="326"/>
      <c r="AU182" s="326"/>
      <c r="AV182" s="326"/>
      <c r="AW182" s="326"/>
      <c r="AX182" s="326"/>
      <c r="AY182" s="326"/>
      <c r="AZ182" s="326"/>
    </row>
    <row r="183" spans="1:52">
      <c r="A183" s="19"/>
      <c r="B183" s="191" t="str">
        <f>"Tubing flow for wells built in Year "&amp;Cashflow!K$164</f>
        <v>Tubing flow for wells built in Year 2025</v>
      </c>
      <c r="C183" s="1163"/>
      <c r="D183" s="1163"/>
      <c r="E183" s="1163"/>
      <c r="F183" s="1163"/>
      <c r="G183" s="1163"/>
      <c r="H183" s="1163"/>
      <c r="I183" s="1163"/>
      <c r="J183" s="1163"/>
      <c r="K183" s="1162">
        <f>IF(K$174&lt;$Q$7,0,IF(Cashflow!K$111="C/I",0,$K$35*J$54))</f>
        <v>0.20387459011839884</v>
      </c>
      <c r="L183" s="1162">
        <f ca="1">IF(L$174&lt;$Q$7,0,IF(Cashflow!L$111="C/I",0,$K$35*K$54))</f>
        <v>0.20004840938291624</v>
      </c>
      <c r="M183" s="1162">
        <f ca="1">IF(M$174&lt;$Q$7,0,IF(Cashflow!M$111="C/I",0,$K$35*L$54))</f>
        <v>0.20004840938291624</v>
      </c>
      <c r="N183" s="1162">
        <f ca="1">IF(N$174&lt;$Q$7,0,IF(Cashflow!N$111="C/I",0,$K$35*M$54))</f>
        <v>0.20004840938291624</v>
      </c>
      <c r="O183" s="1162">
        <f ca="1">IF(O$174&lt;$Q$7,0,IF(Cashflow!O$111="C/I",0,$K$35*N$54))</f>
        <v>0.20004840938291624</v>
      </c>
      <c r="P183" s="1162">
        <f ca="1">IF(P$174&lt;$Q$7,0,IF(Cashflow!P$111="C/I",0,$K$35*O$54))</f>
        <v>0.20004840938291624</v>
      </c>
      <c r="Q183" s="1162">
        <f ca="1">IF(Q$174&lt;$Q$7,0,IF(Cashflow!Q$111="C/I",0,$K$35*P$54))</f>
        <v>0.20004840938291624</v>
      </c>
      <c r="R183" s="1162">
        <f ca="1">IF(R$174&lt;$Q$7,0,IF(Cashflow!R$111="C/I",0,$K$35*Q$54))</f>
        <v>0.20004840938291624</v>
      </c>
      <c r="S183" s="1162">
        <f ca="1">IF(S$174&lt;$Q$7,0,IF(Cashflow!S$111="C/I",0,$K$35*R$54))</f>
        <v>0.20004840938291624</v>
      </c>
      <c r="T183" s="1162">
        <f ca="1">IF(T$174&lt;$Q$7,0,IF(Cashflow!T$111="C/I",0,$K$35*S$54))</f>
        <v>0.20004840938291624</v>
      </c>
      <c r="U183" s="1162">
        <f ca="1">IF(U$174&lt;$Q$7,0,IF(Cashflow!U$111="C/I",0,$K$35*T$54))</f>
        <v>0.19911005514242336</v>
      </c>
      <c r="V183" s="1162">
        <f ca="1">IF(V$174&lt;$Q$7,0,IF(Cashflow!V$111="C/I",0,$K$35*U$54))</f>
        <v>0.19814453205675184</v>
      </c>
      <c r="W183" s="1162">
        <f ca="1">IF(W$174&lt;$Q$7,0,IF(Cashflow!W$111="C/I",0,$K$35*V$54))</f>
        <v>0.19723246910397452</v>
      </c>
      <c r="X183" s="1162">
        <f ca="1">IF(X$174&lt;$Q$7,0,IF(Cashflow!X$111="C/I",0,$K$35*W$54))</f>
        <v>0.1962937484018793</v>
      </c>
      <c r="Y183" s="1162">
        <f ca="1">IF(Y$174&lt;$Q$7,0,IF(Cashflow!Y$111="C/I",0,$K$35*X$54))</f>
        <v>0.19543830275071009</v>
      </c>
      <c r="Z183" s="1162">
        <f ca="1">IF(Z$174&lt;$Q$7,0,IF(Cashflow!Z$111="C/I",0,$K$35*Y$54))</f>
        <v>0.1946028417114137</v>
      </c>
      <c r="AA183" s="1162">
        <f ca="1">IF(AA$174&lt;$Q$7,0,IF(Cashflow!AA$111="C/I",0,$K$35*Z$54))</f>
        <v>0.19381230852569187</v>
      </c>
      <c r="AB183" s="1162">
        <f ca="1">IF(AB$174&lt;$Q$7,0,IF(Cashflow!AB$111="C/I",0,$K$35*AA$54))</f>
        <v>0.1929973220019145</v>
      </c>
      <c r="AC183" s="1162">
        <f ca="1">IF(AC$174&lt;$Q$7,0,IF(Cashflow!AC$111="C/I",0,$K$35*AB$54))</f>
        <v>0.19222600532900111</v>
      </c>
      <c r="AD183" s="1162">
        <f ca="1">IF(AD$174&lt;$Q$7,0,IF(Cashflow!AD$111="C/I",0,$K$35*AC$54))</f>
        <v>0.19150312395015312</v>
      </c>
      <c r="AE183" s="1162">
        <f ca="1">IF(AE$174&lt;$Q$7,0,IF(Cashflow!AE$111="C/I",0,$K$35*AD$54))</f>
        <v>0.19083130628442471</v>
      </c>
      <c r="AF183" s="1162">
        <f ca="1">IF(AF$174&lt;$Q$7,0,IF(Cashflow!AF$111="C/I",0,$K$35*AE$54))</f>
        <v>0.19013752902472592</v>
      </c>
      <c r="AG183" s="1162">
        <f ca="1">IF(AG$174&lt;$Q$7,0,IF(Cashflow!AG$111="C/I",0,$K$35*AF$54))</f>
        <v>0.18947982613641165</v>
      </c>
      <c r="AH183" s="19"/>
      <c r="AI183" s="19"/>
      <c r="AJ183" s="19"/>
      <c r="AK183" s="21"/>
      <c r="AL183" s="21"/>
      <c r="AM183" s="19"/>
      <c r="AN183" s="19"/>
      <c r="AO183" s="326"/>
      <c r="AP183" s="326"/>
      <c r="AQ183" s="326"/>
      <c r="AR183" s="326"/>
      <c r="AS183" s="326"/>
      <c r="AT183" s="326"/>
      <c r="AU183" s="326"/>
      <c r="AV183" s="326"/>
      <c r="AW183" s="326"/>
      <c r="AX183" s="326"/>
      <c r="AY183" s="326"/>
      <c r="AZ183" s="326"/>
    </row>
    <row r="184" spans="1:52">
      <c r="A184" s="19"/>
      <c r="B184" s="191" t="str">
        <f>"Tubing flow for wells built in Year "&amp;Cashflow!L$164</f>
        <v>Tubing flow for wells built in Year 2026</v>
      </c>
      <c r="C184" s="1163"/>
      <c r="D184" s="1163"/>
      <c r="E184" s="1163"/>
      <c r="F184" s="1163"/>
      <c r="G184" s="1163"/>
      <c r="H184" s="1163"/>
      <c r="I184" s="1163"/>
      <c r="J184" s="1163"/>
      <c r="K184" s="1163"/>
      <c r="L184" s="1162">
        <f ca="1">IF(L$174&lt;$Q$7,0,IF(Cashflow!L$111="C/I",0,$L$35*K$54))</f>
        <v>0.40009681876583247</v>
      </c>
      <c r="M184" s="1162">
        <f ca="1">IF(M$174&lt;$Q$7,0,IF(Cashflow!M$111="C/I",0,$L$35*L$54))</f>
        <v>0.40009681876583247</v>
      </c>
      <c r="N184" s="1162">
        <f ca="1">IF(N$174&lt;$Q$7,0,IF(Cashflow!N$111="C/I",0,$L$35*M$54))</f>
        <v>0.40009681876583247</v>
      </c>
      <c r="O184" s="1162">
        <f ca="1">IF(O$174&lt;$Q$7,0,IF(Cashflow!O$111="C/I",0,$L$35*N$54))</f>
        <v>0.40009681876583247</v>
      </c>
      <c r="P184" s="1162">
        <f ca="1">IF(P$174&lt;$Q$7,0,IF(Cashflow!P$111="C/I",0,$L$35*O$54))</f>
        <v>0.40009681876583247</v>
      </c>
      <c r="Q184" s="1162">
        <f ca="1">IF(Q$174&lt;$Q$7,0,IF(Cashflow!Q$111="C/I",0,$L$35*P$54))</f>
        <v>0.40009681876583247</v>
      </c>
      <c r="R184" s="1162">
        <f ca="1">IF(R$174&lt;$Q$7,0,IF(Cashflow!R$111="C/I",0,$L$35*Q$54))</f>
        <v>0.40009681876583247</v>
      </c>
      <c r="S184" s="1162">
        <f ca="1">IF(S$174&lt;$Q$7,0,IF(Cashflow!S$111="C/I",0,$L$35*R$54))</f>
        <v>0.40009681876583247</v>
      </c>
      <c r="T184" s="1162">
        <f ca="1">IF(T$174&lt;$Q$7,0,IF(Cashflow!T$111="C/I",0,$L$35*S$54))</f>
        <v>0.40009681876583247</v>
      </c>
      <c r="U184" s="1162">
        <f ca="1">IF(U$174&lt;$Q$7,0,IF(Cashflow!U$111="C/I",0,$L$35*T$54))</f>
        <v>0.39822011028484672</v>
      </c>
      <c r="V184" s="1162">
        <f ca="1">IF(V$174&lt;$Q$7,0,IF(Cashflow!V$111="C/I",0,$L$35*U$54))</f>
        <v>0.39628906411350368</v>
      </c>
      <c r="W184" s="1162">
        <f ca="1">IF(W$174&lt;$Q$7,0,IF(Cashflow!W$111="C/I",0,$L$35*V$54))</f>
        <v>0.39446493820794903</v>
      </c>
      <c r="X184" s="1162">
        <f ca="1">IF(X$174&lt;$Q$7,0,IF(Cashflow!X$111="C/I",0,$L$35*W$54))</f>
        <v>0.3925874968037586</v>
      </c>
      <c r="Y184" s="1162">
        <f ca="1">IF(Y$174&lt;$Q$7,0,IF(Cashflow!Y$111="C/I",0,$L$35*X$54))</f>
        <v>0.39087660550142017</v>
      </c>
      <c r="Z184" s="1162">
        <f ca="1">IF(Z$174&lt;$Q$7,0,IF(Cashflow!Z$111="C/I",0,$L$35*Y$54))</f>
        <v>0.38920568342282741</v>
      </c>
      <c r="AA184" s="1162">
        <f ca="1">IF(AA$174&lt;$Q$7,0,IF(Cashflow!AA$111="C/I",0,$L$35*Z$54))</f>
        <v>0.38762461705138374</v>
      </c>
      <c r="AB184" s="1162">
        <f ca="1">IF(AB$174&lt;$Q$7,0,IF(Cashflow!AB$111="C/I",0,$L$35*AA$54))</f>
        <v>0.38599464400382899</v>
      </c>
      <c r="AC184" s="1162">
        <f ca="1">IF(AC$174&lt;$Q$7,0,IF(Cashflow!AC$111="C/I",0,$L$35*AB$54))</f>
        <v>0.38445201065800222</v>
      </c>
      <c r="AD184" s="1162">
        <f ca="1">IF(AD$174&lt;$Q$7,0,IF(Cashflow!AD$111="C/I",0,$L$35*AC$54))</f>
        <v>0.38300624790030624</v>
      </c>
      <c r="AE184" s="1162">
        <f ca="1">IF(AE$174&lt;$Q$7,0,IF(Cashflow!AE$111="C/I",0,$L$35*AD$54))</f>
        <v>0.38166261256884942</v>
      </c>
      <c r="AF184" s="1162">
        <f ca="1">IF(AF$174&lt;$Q$7,0,IF(Cashflow!AF$111="C/I",0,$L$35*AE$54))</f>
        <v>0.38027505804945183</v>
      </c>
      <c r="AG184" s="1162">
        <f ca="1">IF(AG$174&lt;$Q$7,0,IF(Cashflow!AG$111="C/I",0,$L$35*AF$54))</f>
        <v>0.3789596522728233</v>
      </c>
      <c r="AH184" s="19"/>
      <c r="AI184" s="19"/>
      <c r="AJ184" s="19"/>
      <c r="AK184" s="21"/>
      <c r="AL184" s="21"/>
      <c r="AM184" s="19"/>
      <c r="AN184" s="19"/>
      <c r="AO184" s="326"/>
      <c r="AP184" s="326"/>
      <c r="AQ184" s="326"/>
      <c r="AR184" s="326"/>
      <c r="AS184" s="326"/>
      <c r="AT184" s="326"/>
      <c r="AU184" s="326"/>
      <c r="AV184" s="326"/>
      <c r="AW184" s="326"/>
      <c r="AX184" s="326"/>
      <c r="AY184" s="326"/>
      <c r="AZ184" s="326"/>
    </row>
    <row r="185" spans="1:52">
      <c r="A185" s="19"/>
      <c r="B185" s="191" t="str">
        <f>"Tubing flow for wells built in Year "&amp;Cashflow!M$164</f>
        <v>Tubing flow for wells built in Year 2027</v>
      </c>
      <c r="C185" s="1163"/>
      <c r="D185" s="1163"/>
      <c r="E185" s="1163"/>
      <c r="F185" s="1163"/>
      <c r="G185" s="1163"/>
      <c r="H185" s="1163"/>
      <c r="I185" s="1163"/>
      <c r="J185" s="1163"/>
      <c r="K185" s="1163"/>
      <c r="L185" s="1163"/>
      <c r="M185" s="1162">
        <f ca="1">IF(M$174&lt;$Q$7,0,IF(Cashflow!M$111="C/I",0,$M$35*L$54))</f>
        <v>0.20004840938291624</v>
      </c>
      <c r="N185" s="1162">
        <f ca="1">IF(N$174&lt;$Q$7,0,IF(Cashflow!N$111="C/I",0,$M$35*M$54))</f>
        <v>0.20004840938291624</v>
      </c>
      <c r="O185" s="1162">
        <f ca="1">IF(O$174&lt;$Q$7,0,IF(Cashflow!O$111="C/I",0,$M$35*N$54))</f>
        <v>0.20004840938291624</v>
      </c>
      <c r="P185" s="1162">
        <f ca="1">IF(P$174&lt;$Q$7,0,IF(Cashflow!P$111="C/I",0,$M$35*O$54))</f>
        <v>0.20004840938291624</v>
      </c>
      <c r="Q185" s="1162">
        <f ca="1">IF(Q$174&lt;$Q$7,0,IF(Cashflow!Q$111="C/I",0,$M$35*P$54))</f>
        <v>0.20004840938291624</v>
      </c>
      <c r="R185" s="1162">
        <f ca="1">IF(R$174&lt;$Q$7,0,IF(Cashflow!R$111="C/I",0,$M$35*Q$54))</f>
        <v>0.20004840938291624</v>
      </c>
      <c r="S185" s="1162">
        <f ca="1">IF(S$174&lt;$Q$7,0,IF(Cashflow!S$111="C/I",0,$M$35*R$54))</f>
        <v>0.20004840938291624</v>
      </c>
      <c r="T185" s="1162">
        <f ca="1">IF(T$174&lt;$Q$7,0,IF(Cashflow!T$111="C/I",0,$M$35*S$54))</f>
        <v>0.20004840938291624</v>
      </c>
      <c r="U185" s="1162">
        <f ca="1">IF(U$174&lt;$Q$7,0,IF(Cashflow!U$111="C/I",0,$M$35*T$54))</f>
        <v>0.19911005514242336</v>
      </c>
      <c r="V185" s="1162">
        <f ca="1">IF(V$174&lt;$Q$7,0,IF(Cashflow!V$111="C/I",0,$M$35*U$54))</f>
        <v>0.19814453205675184</v>
      </c>
      <c r="W185" s="1162">
        <f ca="1">IF(W$174&lt;$Q$7,0,IF(Cashflow!W$111="C/I",0,$M$35*V$54))</f>
        <v>0.19723246910397452</v>
      </c>
      <c r="X185" s="1162">
        <f ca="1">IF(X$174&lt;$Q$7,0,IF(Cashflow!X$111="C/I",0,$M$35*W$54))</f>
        <v>0.1962937484018793</v>
      </c>
      <c r="Y185" s="1162">
        <f ca="1">IF(Y$174&lt;$Q$7,0,IF(Cashflow!Y$111="C/I",0,$M$35*X$54))</f>
        <v>0.19543830275071009</v>
      </c>
      <c r="Z185" s="1162">
        <f ca="1">IF(Z$174&lt;$Q$7,0,IF(Cashflow!Z$111="C/I",0,$M$35*Y$54))</f>
        <v>0.1946028417114137</v>
      </c>
      <c r="AA185" s="1162">
        <f ca="1">IF(AA$174&lt;$Q$7,0,IF(Cashflow!AA$111="C/I",0,$M$35*Z$54))</f>
        <v>0.19381230852569187</v>
      </c>
      <c r="AB185" s="1162">
        <f ca="1">IF(AB$174&lt;$Q$7,0,IF(Cashflow!AB$111="C/I",0,$M$35*AA$54))</f>
        <v>0.1929973220019145</v>
      </c>
      <c r="AC185" s="1162">
        <f ca="1">IF(AC$174&lt;$Q$7,0,IF(Cashflow!AC$111="C/I",0,$M$35*AB$54))</f>
        <v>0.19222600532900111</v>
      </c>
      <c r="AD185" s="1162">
        <f ca="1">IF(AD$174&lt;$Q$7,0,IF(Cashflow!AD$111="C/I",0,$M$35*AC$54))</f>
        <v>0.19150312395015312</v>
      </c>
      <c r="AE185" s="1162">
        <f ca="1">IF(AE$174&lt;$Q$7,0,IF(Cashflow!AE$111="C/I",0,$M$35*AD$54))</f>
        <v>0.19083130628442471</v>
      </c>
      <c r="AF185" s="1162">
        <f ca="1">IF(AF$174&lt;$Q$7,0,IF(Cashflow!AF$111="C/I",0,$M$35*AE$54))</f>
        <v>0.19013752902472592</v>
      </c>
      <c r="AG185" s="1162">
        <f ca="1">IF(AG$174&lt;$Q$7,0,IF(Cashflow!AG$111="C/I",0,$M$35*AF$54))</f>
        <v>0.18947982613641165</v>
      </c>
      <c r="AH185" s="19"/>
      <c r="AI185" s="19"/>
      <c r="AJ185" s="19"/>
      <c r="AK185" s="21"/>
      <c r="AL185" s="21"/>
      <c r="AM185" s="19"/>
      <c r="AN185" s="19"/>
      <c r="AO185" s="326"/>
      <c r="AP185" s="326"/>
      <c r="AQ185" s="326"/>
      <c r="AR185" s="326"/>
      <c r="AS185" s="326"/>
      <c r="AT185" s="326"/>
      <c r="AU185" s="326"/>
      <c r="AV185" s="326"/>
      <c r="AW185" s="326"/>
      <c r="AX185" s="326"/>
      <c r="AY185" s="326"/>
      <c r="AZ185" s="326"/>
    </row>
    <row r="186" spans="1:52">
      <c r="A186" s="19"/>
      <c r="B186" s="191" t="str">
        <f>"Tubing flow for wells built in Year "&amp;Cashflow!N$164</f>
        <v>Tubing flow for wells built in Year 2028</v>
      </c>
      <c r="C186" s="1163"/>
      <c r="D186" s="1163"/>
      <c r="E186" s="1163"/>
      <c r="F186" s="1163"/>
      <c r="G186" s="1163"/>
      <c r="H186" s="1163"/>
      <c r="I186" s="1163"/>
      <c r="J186" s="1163"/>
      <c r="K186" s="1163"/>
      <c r="L186" s="1163"/>
      <c r="M186" s="1163"/>
      <c r="N186" s="1162">
        <f ca="1">IF(N$174&lt;$Q$7,0,IF(Cashflow!N$111="C/I",0,$N$35*M$54))</f>
        <v>0.40009681876583247</v>
      </c>
      <c r="O186" s="1162">
        <f ca="1">IF(O$174&lt;$Q$7,0,IF(Cashflow!O$111="C/I",0,$N$35*N$54))</f>
        <v>0.40009681876583247</v>
      </c>
      <c r="P186" s="1162">
        <f ca="1">IF(P$174&lt;$Q$7,0,IF(Cashflow!P$111="C/I",0,$N$35*O$54))</f>
        <v>0.40009681876583247</v>
      </c>
      <c r="Q186" s="1162">
        <f ca="1">IF(Q$174&lt;$Q$7,0,IF(Cashflow!Q$111="C/I",0,$N$35*P$54))</f>
        <v>0.40009681876583247</v>
      </c>
      <c r="R186" s="1162">
        <f ca="1">IF(R$174&lt;$Q$7,0,IF(Cashflow!R$111="C/I",0,$N$35*Q$54))</f>
        <v>0.40009681876583247</v>
      </c>
      <c r="S186" s="1162">
        <f ca="1">IF(S$174&lt;$Q$7,0,IF(Cashflow!S$111="C/I",0,$N$35*R$54))</f>
        <v>0.40009681876583247</v>
      </c>
      <c r="T186" s="1162">
        <f ca="1">IF(T$174&lt;$Q$7,0,IF(Cashflow!T$111="C/I",0,$N$35*S$54))</f>
        <v>0.40009681876583247</v>
      </c>
      <c r="U186" s="1162">
        <f ca="1">IF(U$174&lt;$Q$7,0,IF(Cashflow!U$111="C/I",0,$N$35*T$54))</f>
        <v>0.39822011028484672</v>
      </c>
      <c r="V186" s="1162">
        <f ca="1">IF(V$174&lt;$Q$7,0,IF(Cashflow!V$111="C/I",0,$N$35*U$54))</f>
        <v>0.39628906411350368</v>
      </c>
      <c r="W186" s="1162">
        <f ca="1">IF(W$174&lt;$Q$7,0,IF(Cashflow!W$111="C/I",0,$N$35*V$54))</f>
        <v>0.39446493820794903</v>
      </c>
      <c r="X186" s="1162">
        <f ca="1">IF(X$174&lt;$Q$7,0,IF(Cashflow!X$111="C/I",0,$N$35*W$54))</f>
        <v>0.3925874968037586</v>
      </c>
      <c r="Y186" s="1162">
        <f ca="1">IF(Y$174&lt;$Q$7,0,IF(Cashflow!Y$111="C/I",0,$N$35*X$54))</f>
        <v>0.39087660550142017</v>
      </c>
      <c r="Z186" s="1162">
        <f ca="1">IF(Z$174&lt;$Q$7,0,IF(Cashflow!Z$111="C/I",0,$N$35*Y$54))</f>
        <v>0.38920568342282741</v>
      </c>
      <c r="AA186" s="1162">
        <f ca="1">IF(AA$174&lt;$Q$7,0,IF(Cashflow!AA$111="C/I",0,$N$35*Z$54))</f>
        <v>0.38762461705138374</v>
      </c>
      <c r="AB186" s="1162">
        <f ca="1">IF(AB$174&lt;$Q$7,0,IF(Cashflow!AB$111="C/I",0,$N$35*AA$54))</f>
        <v>0.38599464400382899</v>
      </c>
      <c r="AC186" s="1162">
        <f ca="1">IF(AC$174&lt;$Q$7,0,IF(Cashflow!AC$111="C/I",0,$N$35*AB$54))</f>
        <v>0.38445201065800222</v>
      </c>
      <c r="AD186" s="1162">
        <f ca="1">IF(AD$174&lt;$Q$7,0,IF(Cashflow!AD$111="C/I",0,$N$35*AC$54))</f>
        <v>0.38300624790030624</v>
      </c>
      <c r="AE186" s="1162">
        <f ca="1">IF(AE$174&lt;$Q$7,0,IF(Cashflow!AE$111="C/I",0,$N$35*AD$54))</f>
        <v>0.38166261256884942</v>
      </c>
      <c r="AF186" s="1162">
        <f ca="1">IF(AF$174&lt;$Q$7,0,IF(Cashflow!AF$111="C/I",0,$N$35*AE$54))</f>
        <v>0.38027505804945183</v>
      </c>
      <c r="AG186" s="1162">
        <f ca="1">IF(AG$174&lt;$Q$7,0,IF(Cashflow!AG$111="C/I",0,$N$35*AF$54))</f>
        <v>0.3789596522728233</v>
      </c>
      <c r="AH186" s="19"/>
      <c r="AI186" s="19"/>
      <c r="AJ186" s="19"/>
      <c r="AK186" s="21"/>
      <c r="AL186" s="21"/>
      <c r="AM186" s="19"/>
      <c r="AN186" s="19"/>
      <c r="AO186" s="326"/>
      <c r="AP186" s="326"/>
      <c r="AQ186" s="326"/>
      <c r="AR186" s="326"/>
      <c r="AS186" s="326"/>
      <c r="AT186" s="326"/>
      <c r="AU186" s="326"/>
      <c r="AV186" s="326"/>
      <c r="AW186" s="326"/>
      <c r="AX186" s="326"/>
      <c r="AY186" s="326"/>
      <c r="AZ186" s="326"/>
    </row>
    <row r="187" spans="1:52">
      <c r="A187" s="19"/>
      <c r="B187" s="191" t="str">
        <f>"Tubing flow for wells built in Year "&amp;Cashflow!O$164</f>
        <v>Tubing flow for wells built in Year 2029</v>
      </c>
      <c r="C187" s="1163"/>
      <c r="D187" s="1163"/>
      <c r="E187" s="1163"/>
      <c r="F187" s="1163"/>
      <c r="G187" s="1163"/>
      <c r="H187" s="1163"/>
      <c r="I187" s="1163"/>
      <c r="J187" s="1163"/>
      <c r="K187" s="1163"/>
      <c r="L187" s="1163"/>
      <c r="M187" s="1163"/>
      <c r="N187" s="1163"/>
      <c r="O187" s="1162">
        <f ca="1">IF(O$174&lt;$Q$7,0,IF(Cashflow!O$111="C/I",0,$O$35*N$54))</f>
        <v>0</v>
      </c>
      <c r="P187" s="1162">
        <f ca="1">IF(P$174&lt;$Q$7,0,IF(Cashflow!P$111="C/I",0,$O$35*O$54))</f>
        <v>0</v>
      </c>
      <c r="Q187" s="1162">
        <f ca="1">IF(Q$174&lt;$Q$7,0,IF(Cashflow!Q$111="C/I",0,$O$35*P$54))</f>
        <v>0</v>
      </c>
      <c r="R187" s="1162">
        <f ca="1">IF(R$174&lt;$Q$7,0,IF(Cashflow!R$111="C/I",0,$O$35*Q$54))</f>
        <v>0</v>
      </c>
      <c r="S187" s="1162">
        <f ca="1">IF(S$174&lt;$Q$7,0,IF(Cashflow!S$111="C/I",0,$O$35*R$54))</f>
        <v>0</v>
      </c>
      <c r="T187" s="1162">
        <f ca="1">IF(T$174&lt;$Q$7,0,IF(Cashflow!T$111="C/I",0,$O$35*S$54))</f>
        <v>0</v>
      </c>
      <c r="U187" s="1162">
        <f ca="1">IF(U$174&lt;$Q$7,0,IF(Cashflow!U$111="C/I",0,$O$35*T$54))</f>
        <v>0</v>
      </c>
      <c r="V187" s="1162">
        <f ca="1">IF(V$174&lt;$Q$7,0,IF(Cashflow!V$111="C/I",0,$O$35*U$54))</f>
        <v>0</v>
      </c>
      <c r="W187" s="1162">
        <f ca="1">IF(W$174&lt;$Q$7,0,IF(Cashflow!W$111="C/I",0,$O$35*V$54))</f>
        <v>0</v>
      </c>
      <c r="X187" s="1162">
        <f ca="1">IF(X$174&lt;$Q$7,0,IF(Cashflow!X$111="C/I",0,$O$35*W$54))</f>
        <v>0</v>
      </c>
      <c r="Y187" s="1162">
        <f ca="1">IF(Y$174&lt;$Q$7,0,IF(Cashflow!Y$111="C/I",0,$O$35*X$54))</f>
        <v>0</v>
      </c>
      <c r="Z187" s="1162">
        <f ca="1">IF(Z$174&lt;$Q$7,0,IF(Cashflow!Z$111="C/I",0,$O$35*Y$54))</f>
        <v>0</v>
      </c>
      <c r="AA187" s="1162">
        <f ca="1">IF(AA$174&lt;$Q$7,0,IF(Cashflow!AA$111="C/I",0,$O$35*Z$54))</f>
        <v>0</v>
      </c>
      <c r="AB187" s="1162">
        <f ca="1">IF(AB$174&lt;$Q$7,0,IF(Cashflow!AB$111="C/I",0,$O$35*AA$54))</f>
        <v>0</v>
      </c>
      <c r="AC187" s="1162">
        <f ca="1">IF(AC$174&lt;$Q$7,0,IF(Cashflow!AC$111="C/I",0,$O$35*AB$54))</f>
        <v>0</v>
      </c>
      <c r="AD187" s="1162">
        <f ca="1">IF(AD$174&lt;$Q$7,0,IF(Cashflow!AD$111="C/I",0,$O$35*AC$54))</f>
        <v>0</v>
      </c>
      <c r="AE187" s="1162">
        <f ca="1">IF(AE$174&lt;$Q$7,0,IF(Cashflow!AE$111="C/I",0,$O$35*AD$54))</f>
        <v>0</v>
      </c>
      <c r="AF187" s="1162">
        <f ca="1">IF(AF$174&lt;$Q$7,0,IF(Cashflow!AF$111="C/I",0,$O$35*AE$54))</f>
        <v>0</v>
      </c>
      <c r="AG187" s="1162">
        <f ca="1">IF(AG$174&lt;$Q$7,0,IF(Cashflow!AG$111="C/I",0,$O$35*AF$54))</f>
        <v>0</v>
      </c>
      <c r="AH187" s="19"/>
      <c r="AI187" s="19"/>
      <c r="AJ187" s="19"/>
      <c r="AK187" s="21"/>
      <c r="AL187" s="21"/>
      <c r="AM187" s="19"/>
      <c r="AN187" s="19"/>
      <c r="AO187" s="326"/>
      <c r="AP187" s="326"/>
      <c r="AQ187" s="326"/>
      <c r="AR187" s="326"/>
      <c r="AS187" s="326"/>
      <c r="AT187" s="326"/>
      <c r="AU187" s="326"/>
      <c r="AV187" s="326"/>
      <c r="AW187" s="326"/>
      <c r="AX187" s="326"/>
      <c r="AY187" s="326"/>
      <c r="AZ187" s="326"/>
    </row>
    <row r="188" spans="1:52">
      <c r="A188" s="19"/>
      <c r="B188" s="191" t="str">
        <f>"Tubing flow for wells built in Year "&amp;Cashflow!P$164</f>
        <v>Tubing flow for wells built in Year 2030</v>
      </c>
      <c r="C188" s="1163"/>
      <c r="D188" s="1163"/>
      <c r="E188" s="1163"/>
      <c r="F188" s="1163"/>
      <c r="G188" s="1163"/>
      <c r="H188" s="1163"/>
      <c r="I188" s="1163"/>
      <c r="J188" s="1163"/>
      <c r="K188" s="1163"/>
      <c r="L188" s="1163"/>
      <c r="M188" s="1163"/>
      <c r="N188" s="1163"/>
      <c r="O188" s="1163"/>
      <c r="P188" s="1162">
        <f ca="1">IF(P$174&lt;$Q$7,0,IF(Cashflow!P$111="C/I",0,$P$35*O$54))</f>
        <v>0</v>
      </c>
      <c r="Q188" s="1162">
        <f ca="1">IF(Q$174&lt;$Q$7,0,IF(Cashflow!Q$111="C/I",0,$P$35*P$54))</f>
        <v>0</v>
      </c>
      <c r="R188" s="1162">
        <f ca="1">IF(R$174&lt;$Q$7,0,IF(Cashflow!R$111="C/I",0,$P$35*Q$54))</f>
        <v>0</v>
      </c>
      <c r="S188" s="1162">
        <f ca="1">IF(S$174&lt;$Q$7,0,IF(Cashflow!S$111="C/I",0,$P$35*R$54))</f>
        <v>0</v>
      </c>
      <c r="T188" s="1162">
        <f ca="1">IF(T$174&lt;$Q$7,0,IF(Cashflow!T$111="C/I",0,$P$35*S$54))</f>
        <v>0</v>
      </c>
      <c r="U188" s="1162">
        <f ca="1">IF(U$174&lt;$Q$7,0,IF(Cashflow!U$111="C/I",0,$P$35*T$54))</f>
        <v>0</v>
      </c>
      <c r="V188" s="1162">
        <f ca="1">IF(V$174&lt;$Q$7,0,IF(Cashflow!V$111="C/I",0,$P$35*U$54))</f>
        <v>0</v>
      </c>
      <c r="W188" s="1162">
        <f ca="1">IF(W$174&lt;$Q$7,0,IF(Cashflow!W$111="C/I",0,$P$35*V$54))</f>
        <v>0</v>
      </c>
      <c r="X188" s="1162">
        <f ca="1">IF(X$174&lt;$Q$7,0,IF(Cashflow!X$111="C/I",0,$P$35*W$54))</f>
        <v>0</v>
      </c>
      <c r="Y188" s="1162">
        <f ca="1">IF(Y$174&lt;$Q$7,0,IF(Cashflow!Y$111="C/I",0,$P$35*X$54))</f>
        <v>0</v>
      </c>
      <c r="Z188" s="1162">
        <f ca="1">IF(Z$174&lt;$Q$7,0,IF(Cashflow!Z$111="C/I",0,$P$35*Y$54))</f>
        <v>0</v>
      </c>
      <c r="AA188" s="1162">
        <f ca="1">IF(AA$174&lt;$Q$7,0,IF(Cashflow!AA$111="C/I",0,$P$35*Z$54))</f>
        <v>0</v>
      </c>
      <c r="AB188" s="1162">
        <f ca="1">IF(AB$174&lt;$Q$7,0,IF(Cashflow!AB$111="C/I",0,$P$35*AA$54))</f>
        <v>0</v>
      </c>
      <c r="AC188" s="1162">
        <f ca="1">IF(AC$174&lt;$Q$7,0,IF(Cashflow!AC$111="C/I",0,$P$35*AB$54))</f>
        <v>0</v>
      </c>
      <c r="AD188" s="1162">
        <f ca="1">IF(AD$174&lt;$Q$7,0,IF(Cashflow!AD$111="C/I",0,$P$35*AC$54))</f>
        <v>0</v>
      </c>
      <c r="AE188" s="1162">
        <f ca="1">IF(AE$174&lt;$Q$7,0,IF(Cashflow!AE$111="C/I",0,$P$35*AD$54))</f>
        <v>0</v>
      </c>
      <c r="AF188" s="1162">
        <f ca="1">IF(AF$174&lt;$Q$7,0,IF(Cashflow!AF$111="C/I",0,$P$35*AE$54))</f>
        <v>0</v>
      </c>
      <c r="AG188" s="1162">
        <f ca="1">IF(AG$174&lt;$Q$7,0,IF(Cashflow!AG$111="C/I",0,$P$35*AF$54))</f>
        <v>0</v>
      </c>
      <c r="AH188" s="19"/>
      <c r="AI188" s="19"/>
      <c r="AJ188" s="19"/>
      <c r="AK188" s="21"/>
      <c r="AL188" s="21"/>
      <c r="AM188" s="19"/>
      <c r="AN188" s="19"/>
      <c r="AO188" s="326"/>
      <c r="AP188" s="326"/>
      <c r="AQ188" s="326"/>
      <c r="AR188" s="326"/>
      <c r="AS188" s="326"/>
      <c r="AT188" s="326"/>
      <c r="AU188" s="326"/>
      <c r="AV188" s="326"/>
      <c r="AW188" s="326"/>
      <c r="AX188" s="326"/>
      <c r="AY188" s="326"/>
      <c r="AZ188" s="326"/>
    </row>
    <row r="189" spans="1:52">
      <c r="A189" s="19"/>
      <c r="B189" s="191" t="str">
        <f>"Tubing flow for wells built in Year "&amp;Cashflow!Q$164</f>
        <v>Tubing flow for wells built in Year 2031</v>
      </c>
      <c r="C189" s="1163"/>
      <c r="D189" s="1163"/>
      <c r="E189" s="1163"/>
      <c r="F189" s="1163"/>
      <c r="G189" s="1163"/>
      <c r="H189" s="1163"/>
      <c r="I189" s="1163"/>
      <c r="J189" s="1163"/>
      <c r="K189" s="1163"/>
      <c r="L189" s="1163"/>
      <c r="M189" s="1163"/>
      <c r="N189" s="1163"/>
      <c r="O189" s="1163"/>
      <c r="P189" s="1163"/>
      <c r="Q189" s="1162">
        <f ca="1">IF(Q$174&lt;$Q$7,0,IF(Cashflow!Q$111="C/I",0,$Q$35*P$54))</f>
        <v>0</v>
      </c>
      <c r="R189" s="1162">
        <f ca="1">IF(R$174&lt;$Q$7,0,IF(Cashflow!R$111="C/I",0,$Q$35*Q$54))</f>
        <v>0</v>
      </c>
      <c r="S189" s="1162">
        <f ca="1">IF(S$174&lt;$Q$7,0,IF(Cashflow!S$111="C/I",0,$Q$35*R$54))</f>
        <v>0</v>
      </c>
      <c r="T189" s="1162">
        <f ca="1">IF(T$174&lt;$Q$7,0,IF(Cashflow!T$111="C/I",0,$Q$35*S$54))</f>
        <v>0</v>
      </c>
      <c r="U189" s="1162">
        <f ca="1">IF(U$174&lt;$Q$7,0,IF(Cashflow!U$111="C/I",0,$Q$35*T$54))</f>
        <v>0</v>
      </c>
      <c r="V189" s="1162">
        <f ca="1">IF(V$174&lt;$Q$7,0,IF(Cashflow!V$111="C/I",0,$Q$35*U$54))</f>
        <v>0</v>
      </c>
      <c r="W189" s="1162">
        <f ca="1">IF(W$174&lt;$Q$7,0,IF(Cashflow!W$111="C/I",0,$Q$35*V$54))</f>
        <v>0</v>
      </c>
      <c r="X189" s="1162">
        <f ca="1">IF(X$174&lt;$Q$7,0,IF(Cashflow!X$111="C/I",0,$Q$35*W$54))</f>
        <v>0</v>
      </c>
      <c r="Y189" s="1162">
        <f ca="1">IF(Y$174&lt;$Q$7,0,IF(Cashflow!Y$111="C/I",0,$Q$35*X$54))</f>
        <v>0</v>
      </c>
      <c r="Z189" s="1162">
        <f ca="1">IF(Z$174&lt;$Q$7,0,IF(Cashflow!Z$111="C/I",0,$Q$35*Y$54))</f>
        <v>0</v>
      </c>
      <c r="AA189" s="1162">
        <f ca="1">IF(AA$174&lt;$Q$7,0,IF(Cashflow!AA$111="C/I",0,$Q$35*Z$54))</f>
        <v>0</v>
      </c>
      <c r="AB189" s="1162">
        <f ca="1">IF(AB$174&lt;$Q$7,0,IF(Cashflow!AB$111="C/I",0,$Q$35*AA$54))</f>
        <v>0</v>
      </c>
      <c r="AC189" s="1162">
        <f ca="1">IF(AC$174&lt;$Q$7,0,IF(Cashflow!AC$111="C/I",0,$Q$35*AB$54))</f>
        <v>0</v>
      </c>
      <c r="AD189" s="1162">
        <f ca="1">IF(AD$174&lt;$Q$7,0,IF(Cashflow!AD$111="C/I",0,$Q$35*AC$54))</f>
        <v>0</v>
      </c>
      <c r="AE189" s="1162">
        <f ca="1">IF(AE$174&lt;$Q$7,0,IF(Cashflow!AE$111="C/I",0,$Q$35*AD$54))</f>
        <v>0</v>
      </c>
      <c r="AF189" s="1162">
        <f ca="1">IF(AF$174&lt;$Q$7,0,IF(Cashflow!AF$111="C/I",0,$Q$35*AE$54))</f>
        <v>0</v>
      </c>
      <c r="AG189" s="1162">
        <f ca="1">IF(AG$174&lt;$Q$7,0,IF(Cashflow!AG$111="C/I",0,$Q$35*AF$54))</f>
        <v>0</v>
      </c>
      <c r="AH189" s="19"/>
      <c r="AI189" s="19"/>
      <c r="AJ189" s="19"/>
      <c r="AK189" s="21"/>
      <c r="AL189" s="21"/>
      <c r="AM189" s="19"/>
      <c r="AN189" s="19"/>
      <c r="AO189" s="326"/>
      <c r="AP189" s="326"/>
      <c r="AQ189" s="326"/>
      <c r="AR189" s="326"/>
      <c r="AS189" s="326"/>
      <c r="AT189" s="326"/>
      <c r="AU189" s="326"/>
      <c r="AV189" s="326"/>
      <c r="AW189" s="326"/>
      <c r="AX189" s="326"/>
      <c r="AY189" s="326"/>
      <c r="AZ189" s="326"/>
    </row>
    <row r="190" spans="1:52">
      <c r="A190" s="19"/>
      <c r="B190" s="191" t="str">
        <f>"Tubing flow for wells built in Year "&amp;Cashflow!R$164</f>
        <v>Tubing flow for wells built in Year 2032</v>
      </c>
      <c r="C190" s="1163"/>
      <c r="D190" s="1163"/>
      <c r="E190" s="1163"/>
      <c r="F190" s="1163"/>
      <c r="G190" s="1163"/>
      <c r="H190" s="1163"/>
      <c r="I190" s="1163"/>
      <c r="J190" s="1163"/>
      <c r="K190" s="1163"/>
      <c r="L190" s="1163"/>
      <c r="M190" s="1163"/>
      <c r="N190" s="1163"/>
      <c r="O190" s="1163"/>
      <c r="P190" s="1163"/>
      <c r="Q190" s="1163"/>
      <c r="R190" s="1162">
        <f ca="1">IF(R$174&lt;$Q$7,0,IF(Cashflow!R$111="C/I",0,$R$35*Q$54))</f>
        <v>0</v>
      </c>
      <c r="S190" s="1162">
        <f ca="1">IF(S$174&lt;$Q$7,0,IF(Cashflow!S$111="C/I",0,$R$35*R$54))</f>
        <v>0</v>
      </c>
      <c r="T190" s="1162">
        <f ca="1">IF(T$174&lt;$Q$7,0,IF(Cashflow!T$111="C/I",0,$R$35*S$54))</f>
        <v>0</v>
      </c>
      <c r="U190" s="1162">
        <f ca="1">IF(U$174&lt;$Q$7,0,IF(Cashflow!U$111="C/I",0,$R$35*T$54))</f>
        <v>0</v>
      </c>
      <c r="V190" s="1162">
        <f ca="1">IF(V$174&lt;$Q$7,0,IF(Cashflow!V$111="C/I",0,$R$35*U$54))</f>
        <v>0</v>
      </c>
      <c r="W190" s="1162">
        <f ca="1">IF(W$174&lt;$Q$7,0,IF(Cashflow!W$111="C/I",0,$R$35*V$54))</f>
        <v>0</v>
      </c>
      <c r="X190" s="1162">
        <f ca="1">IF(X$174&lt;$Q$7,0,IF(Cashflow!X$111="C/I",0,$R$35*W$54))</f>
        <v>0</v>
      </c>
      <c r="Y190" s="1162">
        <f ca="1">IF(Y$174&lt;$Q$7,0,IF(Cashflow!Y$111="C/I",0,$R$35*X$54))</f>
        <v>0</v>
      </c>
      <c r="Z190" s="1162">
        <f ca="1">IF(Z$174&lt;$Q$7,0,IF(Cashflow!Z$111="C/I",0,$R$35*Y$54))</f>
        <v>0</v>
      </c>
      <c r="AA190" s="1162">
        <f ca="1">IF(AA$174&lt;$Q$7,0,IF(Cashflow!AA$111="C/I",0,$R$35*Z$54))</f>
        <v>0</v>
      </c>
      <c r="AB190" s="1162">
        <f ca="1">IF(AB$174&lt;$Q$7,0,IF(Cashflow!AB$111="C/I",0,$R$35*AA$54))</f>
        <v>0</v>
      </c>
      <c r="AC190" s="1162">
        <f ca="1">IF(AC$174&lt;$Q$7,0,IF(Cashflow!AC$111="C/I",0,$R$35*AB$54))</f>
        <v>0</v>
      </c>
      <c r="AD190" s="1162">
        <f ca="1">IF(AD$174&lt;$Q$7,0,IF(Cashflow!AD$111="C/I",0,$R$35*AC$54))</f>
        <v>0</v>
      </c>
      <c r="AE190" s="1162">
        <f ca="1">IF(AE$174&lt;$Q$7,0,IF(Cashflow!AE$111="C/I",0,$R$35*AD$54))</f>
        <v>0</v>
      </c>
      <c r="AF190" s="1162">
        <f ca="1">IF(AF$174&lt;$Q$7,0,IF(Cashflow!AF$111="C/I",0,$R$35*AE$54))</f>
        <v>0</v>
      </c>
      <c r="AG190" s="1162">
        <f ca="1">IF(AG$174&lt;$Q$7,0,IF(Cashflow!AG$111="C/I",0,$R$35*AF$54))</f>
        <v>0</v>
      </c>
      <c r="AH190" s="19"/>
      <c r="AI190" s="19"/>
      <c r="AJ190" s="19"/>
      <c r="AK190" s="21"/>
      <c r="AL190" s="21"/>
      <c r="AM190" s="19"/>
      <c r="AN190" s="19"/>
      <c r="AO190" s="326"/>
      <c r="AP190" s="326"/>
      <c r="AQ190" s="326"/>
      <c r="AR190" s="326"/>
      <c r="AS190" s="326"/>
      <c r="AT190" s="326"/>
      <c r="AU190" s="326"/>
      <c r="AV190" s="326"/>
      <c r="AW190" s="326"/>
      <c r="AX190" s="326"/>
      <c r="AY190" s="326"/>
      <c r="AZ190" s="326"/>
    </row>
    <row r="191" spans="1:52">
      <c r="A191" s="19"/>
      <c r="B191" s="191" t="str">
        <f>"Tubing flow for wells built in Year "&amp;Cashflow!S$164</f>
        <v>Tubing flow for wells built in Year 2033</v>
      </c>
      <c r="C191" s="1163"/>
      <c r="D191" s="1163"/>
      <c r="E191" s="1163"/>
      <c r="F191" s="1163"/>
      <c r="G191" s="1163"/>
      <c r="H191" s="1163"/>
      <c r="I191" s="1163"/>
      <c r="J191" s="1163"/>
      <c r="K191" s="1163"/>
      <c r="L191" s="1163"/>
      <c r="M191" s="1163"/>
      <c r="N191" s="1163"/>
      <c r="O191" s="1163"/>
      <c r="P191" s="1163"/>
      <c r="Q191" s="1163"/>
      <c r="R191" s="1163"/>
      <c r="S191" s="1162">
        <f ca="1">IF(S$174&lt;$Q$7,0,IF(Cashflow!S$111="C/I",0,$S$35*R$54))</f>
        <v>0</v>
      </c>
      <c r="T191" s="1162">
        <f ca="1">IF(T$174&lt;$Q$7,0,IF(Cashflow!T$111="C/I",0,$S$35*S$54))</f>
        <v>0</v>
      </c>
      <c r="U191" s="1162">
        <f ca="1">IF(U$174&lt;$Q$7,0,IF(Cashflow!U$111="C/I",0,$S$35*T$54))</f>
        <v>0</v>
      </c>
      <c r="V191" s="1162">
        <f ca="1">IF(V$174&lt;$Q$7,0,IF(Cashflow!V$111="C/I",0,$S$35*U$54))</f>
        <v>0</v>
      </c>
      <c r="W191" s="1162">
        <f ca="1">IF(W$174&lt;$Q$7,0,IF(Cashflow!W$111="C/I",0,$S$35*V$54))</f>
        <v>0</v>
      </c>
      <c r="X191" s="1162">
        <f ca="1">IF(X$174&lt;$Q$7,0,IF(Cashflow!X$111="C/I",0,$S$35*W$54))</f>
        <v>0</v>
      </c>
      <c r="Y191" s="1162">
        <f ca="1">IF(Y$174&lt;$Q$7,0,IF(Cashflow!Y$111="C/I",0,$S$35*X$54))</f>
        <v>0</v>
      </c>
      <c r="Z191" s="1162">
        <f ca="1">IF(Z$174&lt;$Q$7,0,IF(Cashflow!Z$111="C/I",0,$S$35*Y$54))</f>
        <v>0</v>
      </c>
      <c r="AA191" s="1162">
        <f ca="1">IF(AA$174&lt;$Q$7,0,IF(Cashflow!AA$111="C/I",0,$S$35*Z$54))</f>
        <v>0</v>
      </c>
      <c r="AB191" s="1162">
        <f ca="1">IF(AB$174&lt;$Q$7,0,IF(Cashflow!AB$111="C/I",0,$S$35*AA$54))</f>
        <v>0</v>
      </c>
      <c r="AC191" s="1162">
        <f ca="1">IF(AC$174&lt;$Q$7,0,IF(Cashflow!AC$111="C/I",0,$S$35*AB$54))</f>
        <v>0</v>
      </c>
      <c r="AD191" s="1162">
        <f ca="1">IF(AD$174&lt;$Q$7,0,IF(Cashflow!AD$111="C/I",0,$S$35*AC$54))</f>
        <v>0</v>
      </c>
      <c r="AE191" s="1162">
        <f ca="1">IF(AE$174&lt;$Q$7,0,IF(Cashflow!AE$111="C/I",0,$S$35*AD$54))</f>
        <v>0</v>
      </c>
      <c r="AF191" s="1162">
        <f ca="1">IF(AF$174&lt;$Q$7,0,IF(Cashflow!AF$111="C/I",0,$S$35*AE$54))</f>
        <v>0</v>
      </c>
      <c r="AG191" s="1162">
        <f ca="1">IF(AG$174&lt;$Q$7,0,IF(Cashflow!AG$111="C/I",0,$S$35*AF$54))</f>
        <v>0</v>
      </c>
      <c r="AH191" s="19"/>
      <c r="AI191" s="19"/>
      <c r="AJ191" s="19"/>
      <c r="AK191" s="21"/>
      <c r="AL191" s="21"/>
      <c r="AM191" s="19"/>
      <c r="AN191" s="19"/>
      <c r="AO191" s="326"/>
      <c r="AP191" s="326"/>
      <c r="AQ191" s="326"/>
      <c r="AR191" s="326"/>
      <c r="AS191" s="326"/>
      <c r="AT191" s="326"/>
      <c r="AU191" s="326"/>
      <c r="AV191" s="326"/>
      <c r="AW191" s="326"/>
      <c r="AX191" s="326"/>
      <c r="AY191" s="326"/>
      <c r="AZ191" s="326"/>
    </row>
    <row r="192" spans="1:52">
      <c r="A192" s="19"/>
      <c r="B192" s="191" t="str">
        <f>"Tubing flow for wells built in Year "&amp;Cashflow!T$164</f>
        <v>Tubing flow for wells built in Year 2034</v>
      </c>
      <c r="C192" s="1163"/>
      <c r="D192" s="1163"/>
      <c r="E192" s="1163"/>
      <c r="F192" s="1163"/>
      <c r="G192" s="1163"/>
      <c r="H192" s="1163"/>
      <c r="I192" s="1163"/>
      <c r="J192" s="1163"/>
      <c r="K192" s="1163"/>
      <c r="L192" s="1163"/>
      <c r="M192" s="1163"/>
      <c r="N192" s="1163"/>
      <c r="O192" s="1163"/>
      <c r="P192" s="1163"/>
      <c r="Q192" s="1163"/>
      <c r="R192" s="1163"/>
      <c r="S192" s="1163"/>
      <c r="T192" s="1162">
        <f ca="1">IF(T$174&lt;$Q$7,0,IF(Cashflow!T$111="C/I",0,$T$35*S$54))</f>
        <v>0</v>
      </c>
      <c r="U192" s="1162">
        <f ca="1">IF(U$174&lt;$Q$7,0,IF(Cashflow!U$111="C/I",0,$T$35*T$54))</f>
        <v>0</v>
      </c>
      <c r="V192" s="1162">
        <f ca="1">IF(V$174&lt;$Q$7,0,IF(Cashflow!V$111="C/I",0,$T$35*U$54))</f>
        <v>0</v>
      </c>
      <c r="W192" s="1162">
        <f ca="1">IF(W$174&lt;$Q$7,0,IF(Cashflow!W$111="C/I",0,$T$35*V$54))</f>
        <v>0</v>
      </c>
      <c r="X192" s="1162">
        <f ca="1">IF(X$174&lt;$Q$7,0,IF(Cashflow!X$111="C/I",0,$T$35*W$54))</f>
        <v>0</v>
      </c>
      <c r="Y192" s="1162">
        <f ca="1">IF(Y$174&lt;$Q$7,0,IF(Cashflow!Y$111="C/I",0,$T$35*X$54))</f>
        <v>0</v>
      </c>
      <c r="Z192" s="1162">
        <f ca="1">IF(Z$174&lt;$Q$7,0,IF(Cashflow!Z$111="C/I",0,$T$35*Y$54))</f>
        <v>0</v>
      </c>
      <c r="AA192" s="1162">
        <f ca="1">IF(AA$174&lt;$Q$7,0,IF(Cashflow!AA$111="C/I",0,$T$35*Z$54))</f>
        <v>0</v>
      </c>
      <c r="AB192" s="1162">
        <f ca="1">IF(AB$174&lt;$Q$7,0,IF(Cashflow!AB$111="C/I",0,$T$35*AA$54))</f>
        <v>0</v>
      </c>
      <c r="AC192" s="1162">
        <f ca="1">IF(AC$174&lt;$Q$7,0,IF(Cashflow!AC$111="C/I",0,$T$35*AB$54))</f>
        <v>0</v>
      </c>
      <c r="AD192" s="1162">
        <f ca="1">IF(AD$174&lt;$Q$7,0,IF(Cashflow!AD$111="C/I",0,$T$35*AC$54))</f>
        <v>0</v>
      </c>
      <c r="AE192" s="1162">
        <f ca="1">IF(AE$174&lt;$Q$7,0,IF(Cashflow!AE$111="C/I",0,$T$35*AD$54))</f>
        <v>0</v>
      </c>
      <c r="AF192" s="1162">
        <f ca="1">IF(AF$174&lt;$Q$7,0,IF(Cashflow!AF$111="C/I",0,$T$35*AE$54))</f>
        <v>0</v>
      </c>
      <c r="AG192" s="1162">
        <f ca="1">IF(AG$174&lt;$Q$7,0,IF(Cashflow!AG$111="C/I",0,$T$35*AF$54))</f>
        <v>0</v>
      </c>
      <c r="AH192" s="19"/>
      <c r="AI192" s="19"/>
      <c r="AJ192" s="19"/>
      <c r="AK192" s="21"/>
      <c r="AL192" s="21"/>
      <c r="AM192" s="19"/>
      <c r="AN192" s="19"/>
      <c r="AO192" s="326"/>
      <c r="AP192" s="326"/>
      <c r="AQ192" s="326"/>
      <c r="AR192" s="326"/>
      <c r="AS192" s="326"/>
      <c r="AT192" s="326"/>
      <c r="AU192" s="326"/>
      <c r="AV192" s="326"/>
      <c r="AW192" s="326"/>
      <c r="AX192" s="326"/>
      <c r="AY192" s="326"/>
      <c r="AZ192" s="326"/>
    </row>
    <row r="193" spans="1:52">
      <c r="A193" s="19"/>
      <c r="B193" s="191" t="str">
        <f>"Tubing flow for wells built in Year "&amp;Cashflow!U$164</f>
        <v>Tubing flow for wells built in Year 2035</v>
      </c>
      <c r="C193" s="1163"/>
      <c r="D193" s="1163"/>
      <c r="E193" s="1163"/>
      <c r="F193" s="1163"/>
      <c r="G193" s="1163"/>
      <c r="H193" s="1163"/>
      <c r="I193" s="1163"/>
      <c r="J193" s="1163"/>
      <c r="K193" s="1163"/>
      <c r="L193" s="1163"/>
      <c r="M193" s="1163"/>
      <c r="N193" s="1163"/>
      <c r="O193" s="1163"/>
      <c r="P193" s="1163"/>
      <c r="Q193" s="1163"/>
      <c r="R193" s="1163"/>
      <c r="S193" s="1163"/>
      <c r="T193" s="1163"/>
      <c r="U193" s="1162">
        <f ca="1">IF(U$174&lt;$Q$7,0,IF(Cashflow!U$111="C/I",0,$U$35*T$54))</f>
        <v>0</v>
      </c>
      <c r="V193" s="1162">
        <f ca="1">IF(V$174&lt;$Q$7,0,IF(Cashflow!V$111="C/I",0,$U$35*U$54))</f>
        <v>0</v>
      </c>
      <c r="W193" s="1162">
        <f ca="1">IF(W$174&lt;$Q$7,0,IF(Cashflow!W$111="C/I",0,$U$35*V$54))</f>
        <v>0</v>
      </c>
      <c r="X193" s="1162">
        <f ca="1">IF(X$174&lt;$Q$7,0,IF(Cashflow!X$111="C/I",0,$U$35*W$54))</f>
        <v>0</v>
      </c>
      <c r="Y193" s="1162">
        <f ca="1">IF(Y$174&lt;$Q$7,0,IF(Cashflow!Y$111="C/I",0,$U$35*X$54))</f>
        <v>0</v>
      </c>
      <c r="Z193" s="1162">
        <f ca="1">IF(Z$174&lt;$Q$7,0,IF(Cashflow!Z$111="C/I",0,$U$35*Y$54))</f>
        <v>0</v>
      </c>
      <c r="AA193" s="1162">
        <f ca="1">IF(AA$174&lt;$Q$7,0,IF(Cashflow!AA$111="C/I",0,$U$35*Z$54))</f>
        <v>0</v>
      </c>
      <c r="AB193" s="1162">
        <f ca="1">IF(AB$174&lt;$Q$7,0,IF(Cashflow!AB$111="C/I",0,$U$35*AA$54))</f>
        <v>0</v>
      </c>
      <c r="AC193" s="1162">
        <f ca="1">IF(AC$174&lt;$Q$7,0,IF(Cashflow!AC$111="C/I",0,$U$35*AB$54))</f>
        <v>0</v>
      </c>
      <c r="AD193" s="1162">
        <f ca="1">IF(AD$174&lt;$Q$7,0,IF(Cashflow!AD$111="C/I",0,$U$35*AC$54))</f>
        <v>0</v>
      </c>
      <c r="AE193" s="1162">
        <f ca="1">IF(AE$174&lt;$Q$7,0,IF(Cashflow!AE$111="C/I",0,$U$35*AD$54))</f>
        <v>0</v>
      </c>
      <c r="AF193" s="1162">
        <f ca="1">IF(AF$174&lt;$Q$7,0,IF(Cashflow!AF$111="C/I",0,$U$35*AE$54))</f>
        <v>0</v>
      </c>
      <c r="AG193" s="1162">
        <f ca="1">IF(AG$174&lt;$Q$7,0,IF(Cashflow!AG$111="C/I",0,$U$35*AF$54))</f>
        <v>0</v>
      </c>
      <c r="AH193" s="19"/>
      <c r="AI193" s="19"/>
      <c r="AJ193" s="19"/>
      <c r="AK193" s="21"/>
      <c r="AL193" s="21"/>
      <c r="AM193" s="19"/>
      <c r="AN193" s="19"/>
      <c r="AO193" s="326"/>
      <c r="AP193" s="326"/>
      <c r="AQ193" s="326"/>
      <c r="AR193" s="326"/>
      <c r="AS193" s="326"/>
      <c r="AT193" s="326"/>
      <c r="AU193" s="326"/>
      <c r="AV193" s="326"/>
      <c r="AW193" s="326"/>
      <c r="AX193" s="326"/>
      <c r="AY193" s="326"/>
      <c r="AZ193" s="326"/>
    </row>
    <row r="194" spans="1:52">
      <c r="A194" s="19"/>
      <c r="B194" s="191" t="str">
        <f>"Tubing flow for wells built in Year "&amp;Cashflow!V$164</f>
        <v>Tubing flow for wells built in Year 2036</v>
      </c>
      <c r="C194" s="1163"/>
      <c r="D194" s="1163"/>
      <c r="E194" s="1163"/>
      <c r="F194" s="1163"/>
      <c r="G194" s="1163"/>
      <c r="H194" s="1163"/>
      <c r="I194" s="1163"/>
      <c r="J194" s="1163"/>
      <c r="K194" s="1163"/>
      <c r="L194" s="1163"/>
      <c r="M194" s="1163"/>
      <c r="N194" s="1163"/>
      <c r="O194" s="1163"/>
      <c r="P194" s="1163"/>
      <c r="Q194" s="1163"/>
      <c r="R194" s="1163"/>
      <c r="S194" s="1163"/>
      <c r="T194" s="1163"/>
      <c r="U194" s="1163"/>
      <c r="V194" s="1162">
        <f ca="1">IF(V$174&lt;$Q$7,0,IF(Cashflow!V$111="C/I",0,$V$35*U$54))</f>
        <v>0</v>
      </c>
      <c r="W194" s="1162">
        <f ca="1">IF(W$174&lt;$Q$7,0,IF(Cashflow!W$111="C/I",0,$V$35*V$54))</f>
        <v>0</v>
      </c>
      <c r="X194" s="1162">
        <f ca="1">IF(X$174&lt;$Q$7,0,IF(Cashflow!X$111="C/I",0,$V$35*W$54))</f>
        <v>0</v>
      </c>
      <c r="Y194" s="1162">
        <f ca="1">IF(Y$174&lt;$Q$7,0,IF(Cashflow!Y$111="C/I",0,$V$35*X$54))</f>
        <v>0</v>
      </c>
      <c r="Z194" s="1162">
        <f ca="1">IF(Z$174&lt;$Q$7,0,IF(Cashflow!Z$111="C/I",0,$V$35*Y$54))</f>
        <v>0</v>
      </c>
      <c r="AA194" s="1162">
        <f ca="1">IF(AA$174&lt;$Q$7,0,IF(Cashflow!AA$111="C/I",0,$V$35*Z$54))</f>
        <v>0</v>
      </c>
      <c r="AB194" s="1162">
        <f ca="1">IF(AB$174&lt;$Q$7,0,IF(Cashflow!AB$111="C/I",0,$V$35*AA$54))</f>
        <v>0</v>
      </c>
      <c r="AC194" s="1162">
        <f ca="1">IF(AC$174&lt;$Q$7,0,IF(Cashflow!AC$111="C/I",0,$V$35*AB$54))</f>
        <v>0</v>
      </c>
      <c r="AD194" s="1162">
        <f ca="1">IF(AD$174&lt;$Q$7,0,IF(Cashflow!AD$111="C/I",0,$V$35*AC$54))</f>
        <v>0</v>
      </c>
      <c r="AE194" s="1162">
        <f ca="1">IF(AE$174&lt;$Q$7,0,IF(Cashflow!AE$111="C/I",0,$V$35*AD$54))</f>
        <v>0</v>
      </c>
      <c r="AF194" s="1162">
        <f ca="1">IF(AF$174&lt;$Q$7,0,IF(Cashflow!AF$111="C/I",0,$V$35*AE$54))</f>
        <v>0</v>
      </c>
      <c r="AG194" s="1162">
        <f ca="1">IF(AG$174&lt;$Q$7,0,IF(Cashflow!AG$111="C/I",0,$V$35*AF$54))</f>
        <v>0</v>
      </c>
      <c r="AH194" s="19"/>
      <c r="AI194" s="19"/>
      <c r="AJ194" s="19"/>
      <c r="AK194" s="21"/>
      <c r="AL194" s="21"/>
      <c r="AM194" s="19"/>
      <c r="AN194" s="19"/>
      <c r="AO194" s="326"/>
      <c r="AP194" s="326"/>
      <c r="AQ194" s="326"/>
      <c r="AR194" s="326"/>
      <c r="AS194" s="326"/>
      <c r="AT194" s="326"/>
      <c r="AU194" s="326"/>
      <c r="AV194" s="326"/>
      <c r="AW194" s="326"/>
      <c r="AX194" s="326"/>
      <c r="AY194" s="326"/>
      <c r="AZ194" s="326"/>
    </row>
    <row r="195" spans="1:52">
      <c r="A195" s="19"/>
      <c r="B195" s="191" t="str">
        <f>"Tubing flow for wells built in Year "&amp;Cashflow!W$164</f>
        <v>Tubing flow for wells built in Year 2037</v>
      </c>
      <c r="C195" s="1163"/>
      <c r="D195" s="1163"/>
      <c r="E195" s="1163"/>
      <c r="F195" s="1163"/>
      <c r="G195" s="1163"/>
      <c r="H195" s="1163"/>
      <c r="I195" s="1163"/>
      <c r="J195" s="1163"/>
      <c r="K195" s="1163"/>
      <c r="L195" s="1163"/>
      <c r="M195" s="1163"/>
      <c r="N195" s="1163"/>
      <c r="O195" s="1163"/>
      <c r="P195" s="1163"/>
      <c r="Q195" s="1163"/>
      <c r="R195" s="1163"/>
      <c r="S195" s="1163"/>
      <c r="T195" s="1163"/>
      <c r="U195" s="1163"/>
      <c r="V195" s="1163"/>
      <c r="W195" s="1162">
        <f ca="1">IF(W$174&lt;$Q$7,0,IF(Cashflow!W$111="C/I",0,$W$35*V$54))</f>
        <v>0</v>
      </c>
      <c r="X195" s="1162">
        <f ca="1">IF(X$174&lt;$Q$7,0,IF(Cashflow!X$111="C/I",0,$W$35*W$54))</f>
        <v>0</v>
      </c>
      <c r="Y195" s="1162">
        <f ca="1">IF(Y$174&lt;$Q$7,0,IF(Cashflow!Y$111="C/I",0,$W$35*X$54))</f>
        <v>0</v>
      </c>
      <c r="Z195" s="1162">
        <f ca="1">IF(Z$174&lt;$Q$7,0,IF(Cashflow!Z$111="C/I",0,$W$35*Y$54))</f>
        <v>0</v>
      </c>
      <c r="AA195" s="1162">
        <f ca="1">IF(AA$174&lt;$Q$7,0,IF(Cashflow!AA$111="C/I",0,$W$35*Z$54))</f>
        <v>0</v>
      </c>
      <c r="AB195" s="1162">
        <f ca="1">IF(AB$174&lt;$Q$7,0,IF(Cashflow!AB$111="C/I",0,$W$35*AA$54))</f>
        <v>0</v>
      </c>
      <c r="AC195" s="1162">
        <f ca="1">IF(AC$174&lt;$Q$7,0,IF(Cashflow!AC$111="C/I",0,$W$35*AB$54))</f>
        <v>0</v>
      </c>
      <c r="AD195" s="1162">
        <f ca="1">IF(AD$174&lt;$Q$7,0,IF(Cashflow!AD$111="C/I",0,$W$35*AC$54))</f>
        <v>0</v>
      </c>
      <c r="AE195" s="1162">
        <f ca="1">IF(AE$174&lt;$Q$7,0,IF(Cashflow!AE$111="C/I",0,$W$35*AD$54))</f>
        <v>0</v>
      </c>
      <c r="AF195" s="1162">
        <f ca="1">IF(AF$174&lt;$Q$7,0,IF(Cashflow!AF$111="C/I",0,$W$35*AE$54))</f>
        <v>0</v>
      </c>
      <c r="AG195" s="1162">
        <f ca="1">IF(AG$174&lt;$Q$7,0,IF(Cashflow!AG$111="C/I",0,$W$35*AF$54))</f>
        <v>0</v>
      </c>
      <c r="AH195" s="19"/>
      <c r="AI195" s="19"/>
      <c r="AJ195" s="19"/>
      <c r="AK195" s="21"/>
      <c r="AL195" s="21"/>
      <c r="AM195" s="19"/>
      <c r="AN195" s="19"/>
      <c r="AO195" s="326"/>
      <c r="AP195" s="326"/>
      <c r="AQ195" s="326"/>
      <c r="AR195" s="326"/>
      <c r="AS195" s="326"/>
      <c r="AT195" s="326"/>
      <c r="AU195" s="326"/>
      <c r="AV195" s="326"/>
      <c r="AW195" s="326"/>
      <c r="AX195" s="326"/>
      <c r="AY195" s="326"/>
      <c r="AZ195" s="326"/>
    </row>
    <row r="196" spans="1:52">
      <c r="A196" s="19"/>
      <c r="B196" s="191" t="str">
        <f>"Tubing flow for wells built in Year "&amp;Cashflow!X$164</f>
        <v>Tubing flow for wells built in Year 2038</v>
      </c>
      <c r="C196" s="1163"/>
      <c r="D196" s="1163"/>
      <c r="E196" s="1163"/>
      <c r="F196" s="1163"/>
      <c r="G196" s="1163"/>
      <c r="H196" s="1163"/>
      <c r="I196" s="1163"/>
      <c r="J196" s="1163"/>
      <c r="K196" s="1163"/>
      <c r="L196" s="1163"/>
      <c r="M196" s="1163"/>
      <c r="N196" s="1163"/>
      <c r="O196" s="1163"/>
      <c r="P196" s="1163"/>
      <c r="Q196" s="1163"/>
      <c r="R196" s="1163"/>
      <c r="S196" s="1163"/>
      <c r="T196" s="1163"/>
      <c r="U196" s="1163"/>
      <c r="V196" s="1163"/>
      <c r="W196" s="1163"/>
      <c r="X196" s="1162">
        <f ca="1">IF(X$174&lt;$Q$7,0,IF(Cashflow!X$111="C/I",0,$X$35*W$54))</f>
        <v>0</v>
      </c>
      <c r="Y196" s="1162">
        <f ca="1">IF(Y$174&lt;$Q$7,0,IF(Cashflow!Y$111="C/I",0,$X$35*X$54))</f>
        <v>0</v>
      </c>
      <c r="Z196" s="1162">
        <f ca="1">IF(Z$174&lt;$Q$7,0,IF(Cashflow!Z$111="C/I",0,$X$35*Y$54))</f>
        <v>0</v>
      </c>
      <c r="AA196" s="1162">
        <f ca="1">IF(AA$174&lt;$Q$7,0,IF(Cashflow!AA$111="C/I",0,$X$35*Z$54))</f>
        <v>0</v>
      </c>
      <c r="AB196" s="1162">
        <f ca="1">IF(AB$174&lt;$Q$7,0,IF(Cashflow!AB$111="C/I",0,$X$35*AA$54))</f>
        <v>0</v>
      </c>
      <c r="AC196" s="1162">
        <f ca="1">IF(AC$174&lt;$Q$7,0,IF(Cashflow!AC$111="C/I",0,$X$35*AB$54))</f>
        <v>0</v>
      </c>
      <c r="AD196" s="1162">
        <f ca="1">IF(AD$174&lt;$Q$7,0,IF(Cashflow!AD$111="C/I",0,$X$35*AC$54))</f>
        <v>0</v>
      </c>
      <c r="AE196" s="1162">
        <f ca="1">IF(AE$174&lt;$Q$7,0,IF(Cashflow!AE$111="C/I",0,$X$35*AD$54))</f>
        <v>0</v>
      </c>
      <c r="AF196" s="1162">
        <f ca="1">IF(AF$174&lt;$Q$7,0,IF(Cashflow!AF$111="C/I",0,$X$35*AE$54))</f>
        <v>0</v>
      </c>
      <c r="AG196" s="1162">
        <f ca="1">IF(AG$174&lt;$Q$7,0,IF(Cashflow!AG$111="C/I",0,$X$35*AF$54))</f>
        <v>0</v>
      </c>
      <c r="AH196" s="19"/>
      <c r="AI196" s="19"/>
      <c r="AJ196" s="19"/>
      <c r="AK196" s="21"/>
      <c r="AL196" s="21"/>
      <c r="AM196" s="19"/>
      <c r="AN196" s="19"/>
      <c r="AO196" s="326"/>
      <c r="AP196" s="326"/>
      <c r="AQ196" s="326"/>
      <c r="AR196" s="326"/>
      <c r="AS196" s="326"/>
      <c r="AT196" s="326"/>
      <c r="AU196" s="326"/>
      <c r="AV196" s="326"/>
      <c r="AW196" s="326"/>
      <c r="AX196" s="326"/>
      <c r="AY196" s="326"/>
      <c r="AZ196" s="326"/>
    </row>
    <row r="197" spans="1:52">
      <c r="A197" s="19"/>
      <c r="B197" s="191" t="str">
        <f>"Tubing flow for wells built in Year "&amp;Cashflow!Y$164</f>
        <v>Tubing flow for wells built in Year 2039</v>
      </c>
      <c r="C197" s="1163"/>
      <c r="D197" s="1163"/>
      <c r="E197" s="1163"/>
      <c r="F197" s="1163"/>
      <c r="G197" s="1163"/>
      <c r="H197" s="1163"/>
      <c r="I197" s="1163"/>
      <c r="J197" s="1163"/>
      <c r="K197" s="1163"/>
      <c r="L197" s="1163"/>
      <c r="M197" s="1163"/>
      <c r="N197" s="1163"/>
      <c r="O197" s="1163"/>
      <c r="P197" s="1163"/>
      <c r="Q197" s="1163"/>
      <c r="R197" s="1163"/>
      <c r="S197" s="1163"/>
      <c r="T197" s="1163"/>
      <c r="U197" s="1163"/>
      <c r="V197" s="1163"/>
      <c r="W197" s="1163"/>
      <c r="X197" s="1163"/>
      <c r="Y197" s="1162">
        <f ca="1">IF(Y$174&lt;$Q$7,0,IF(Cashflow!Y$111="C/I",0,$Y$35*X$54))</f>
        <v>0</v>
      </c>
      <c r="Z197" s="1162">
        <f ca="1">IF(Z$174&lt;$Q$7,0,IF(Cashflow!Z$111="C/I",0,$Y$35*Y$54))</f>
        <v>0</v>
      </c>
      <c r="AA197" s="1162">
        <f ca="1">IF(AA$174&lt;$Q$7,0,IF(Cashflow!AA$111="C/I",0,$Y$35*Z$54))</f>
        <v>0</v>
      </c>
      <c r="AB197" s="1162">
        <f ca="1">IF(AB$174&lt;$Q$7,0,IF(Cashflow!AB$111="C/I",0,$Y$35*AA$54))</f>
        <v>0</v>
      </c>
      <c r="AC197" s="1162">
        <f ca="1">IF(AC$174&lt;$Q$7,0,IF(Cashflow!AC$111="C/I",0,$Y$35*AB$54))</f>
        <v>0</v>
      </c>
      <c r="AD197" s="1162">
        <f ca="1">IF(AD$174&lt;$Q$7,0,IF(Cashflow!AD$111="C/I",0,$Y$35*AC$54))</f>
        <v>0</v>
      </c>
      <c r="AE197" s="1162">
        <f ca="1">IF(AE$174&lt;$Q$7,0,IF(Cashflow!AE$111="C/I",0,$Y$35*AD$54))</f>
        <v>0</v>
      </c>
      <c r="AF197" s="1162">
        <f ca="1">IF(AF$174&lt;$Q$7,0,IF(Cashflow!AF$111="C/I",0,$Y$35*AE$54))</f>
        <v>0</v>
      </c>
      <c r="AG197" s="1162">
        <f ca="1">IF(AG$174&lt;$Q$7,0,IF(Cashflow!AG$111="C/I",0,$Y$35*AF$54))</f>
        <v>0</v>
      </c>
      <c r="AH197" s="19"/>
      <c r="AI197" s="19"/>
      <c r="AJ197" s="19"/>
      <c r="AK197" s="21"/>
      <c r="AL197" s="21"/>
      <c r="AM197" s="19"/>
      <c r="AN197" s="19"/>
      <c r="AO197" s="326"/>
      <c r="AP197" s="326"/>
      <c r="AQ197" s="326"/>
      <c r="AR197" s="326"/>
      <c r="AS197" s="326"/>
      <c r="AT197" s="326"/>
      <c r="AU197" s="326"/>
      <c r="AV197" s="326"/>
      <c r="AW197" s="326"/>
      <c r="AX197" s="326"/>
      <c r="AY197" s="326"/>
      <c r="AZ197" s="326"/>
    </row>
    <row r="198" spans="1:52">
      <c r="A198" s="19"/>
      <c r="B198" s="191" t="str">
        <f>"Tubing flow for wells built in Year "&amp;Cashflow!Z$164</f>
        <v>Tubing flow for wells built in Year 2040</v>
      </c>
      <c r="C198" s="1163"/>
      <c r="D198" s="1163"/>
      <c r="E198" s="1163"/>
      <c r="F198" s="1163"/>
      <c r="G198" s="1163"/>
      <c r="H198" s="1163"/>
      <c r="I198" s="1163"/>
      <c r="J198" s="1163"/>
      <c r="K198" s="1163"/>
      <c r="L198" s="1163"/>
      <c r="M198" s="1163"/>
      <c r="N198" s="1163"/>
      <c r="O198" s="1163"/>
      <c r="P198" s="1163"/>
      <c r="Q198" s="1163"/>
      <c r="R198" s="1163"/>
      <c r="S198" s="1163"/>
      <c r="T198" s="1163"/>
      <c r="U198" s="1163"/>
      <c r="V198" s="1163"/>
      <c r="W198" s="1163"/>
      <c r="X198" s="1163"/>
      <c r="Y198" s="1163"/>
      <c r="Z198" s="1162">
        <f ca="1">IF(Z$174&lt;$Q$7,0,IF(Cashflow!Z$111="C/I",0,$Z$35*Y$54))</f>
        <v>0</v>
      </c>
      <c r="AA198" s="1162">
        <f ca="1">IF(AA$174&lt;$Q$7,0,IF(Cashflow!AA$111="C/I",0,$Z$35*Z$54))</f>
        <v>0</v>
      </c>
      <c r="AB198" s="1162">
        <f ca="1">IF(AB$174&lt;$Q$7,0,IF(Cashflow!AB$111="C/I",0,$Z$35*AA$54))</f>
        <v>0</v>
      </c>
      <c r="AC198" s="1162">
        <f ca="1">IF(AC$174&lt;$Q$7,0,IF(Cashflow!AC$111="C/I",0,$Z$35*AB$54))</f>
        <v>0</v>
      </c>
      <c r="AD198" s="1162">
        <f ca="1">IF(AD$174&lt;$Q$7,0,IF(Cashflow!AD$111="C/I",0,$Z$35*AC$54))</f>
        <v>0</v>
      </c>
      <c r="AE198" s="1162">
        <f ca="1">IF(AE$174&lt;$Q$7,0,IF(Cashflow!AE$111="C/I",0,$Z$35*AD$54))</f>
        <v>0</v>
      </c>
      <c r="AF198" s="1162">
        <f ca="1">IF(AF$174&lt;$Q$7,0,IF(Cashflow!AF$111="C/I",0,$Z$35*AE$54))</f>
        <v>0</v>
      </c>
      <c r="AG198" s="1162">
        <f ca="1">IF(AG$174&lt;$Q$7,0,IF(Cashflow!AG$111="C/I",0,$Z$35*AF$54))</f>
        <v>0</v>
      </c>
      <c r="AH198" s="19"/>
      <c r="AI198" s="19"/>
      <c r="AJ198" s="19"/>
      <c r="AK198" s="21"/>
      <c r="AL198" s="21"/>
      <c r="AM198" s="19"/>
      <c r="AN198" s="19"/>
      <c r="AO198" s="326"/>
      <c r="AP198" s="326"/>
      <c r="AQ198" s="326"/>
      <c r="AR198" s="326"/>
      <c r="AS198" s="326"/>
      <c r="AT198" s="326"/>
      <c r="AU198" s="326"/>
      <c r="AV198" s="326"/>
      <c r="AW198" s="326"/>
      <c r="AX198" s="326"/>
      <c r="AY198" s="326"/>
      <c r="AZ198" s="326"/>
    </row>
    <row r="199" spans="1:52">
      <c r="A199" s="19"/>
      <c r="B199" s="191" t="str">
        <f>"Tubing flow for wells built in Year "&amp;Cashflow!AA$164</f>
        <v>Tubing flow for wells built in Year 2041</v>
      </c>
      <c r="C199" s="1163"/>
      <c r="D199" s="1163"/>
      <c r="E199" s="1163"/>
      <c r="F199" s="1163"/>
      <c r="G199" s="1163"/>
      <c r="H199" s="1163"/>
      <c r="I199" s="1163"/>
      <c r="J199" s="1163"/>
      <c r="K199" s="1163"/>
      <c r="L199" s="1163"/>
      <c r="M199" s="1163"/>
      <c r="N199" s="1163"/>
      <c r="O199" s="1163"/>
      <c r="P199" s="1163"/>
      <c r="Q199" s="1163"/>
      <c r="R199" s="1163"/>
      <c r="S199" s="1163"/>
      <c r="T199" s="1163"/>
      <c r="U199" s="1163"/>
      <c r="V199" s="1163"/>
      <c r="W199" s="1163"/>
      <c r="X199" s="1163"/>
      <c r="Y199" s="1163"/>
      <c r="Z199" s="1163"/>
      <c r="AA199" s="1162">
        <f ca="1">IF(AA$174&lt;$Q$7,0,IF(Cashflow!AA$111="C/I",0,$AA$35*Z$54))</f>
        <v>0</v>
      </c>
      <c r="AB199" s="1162">
        <f ca="1">IF(AB$174&lt;$Q$7,0,IF(Cashflow!AB$111="C/I",0,$AA$35*AA$54))</f>
        <v>0</v>
      </c>
      <c r="AC199" s="1162">
        <f ca="1">IF(AC$174&lt;$Q$7,0,IF(Cashflow!AC$111="C/I",0,$AA$35*AB$54))</f>
        <v>0</v>
      </c>
      <c r="AD199" s="1162">
        <f ca="1">IF(AD$174&lt;$Q$7,0,IF(Cashflow!AD$111="C/I",0,$AA$35*AC$54))</f>
        <v>0</v>
      </c>
      <c r="AE199" s="1162">
        <f ca="1">IF(AE$174&lt;$Q$7,0,IF(Cashflow!AE$111="C/I",0,$AA$35*AD$54))</f>
        <v>0</v>
      </c>
      <c r="AF199" s="1162">
        <f ca="1">IF(AF$174&lt;$Q$7,0,IF(Cashflow!AF$111="C/I",0,$AA$35*AE$54))</f>
        <v>0</v>
      </c>
      <c r="AG199" s="1162">
        <f ca="1">IF(AG$174&lt;$Q$7,0,IF(Cashflow!AG$111="C/I",0,$AA$35*AF$54))</f>
        <v>0</v>
      </c>
      <c r="AH199" s="19"/>
      <c r="AI199" s="19"/>
      <c r="AJ199" s="19"/>
      <c r="AK199" s="21"/>
      <c r="AL199" s="21"/>
      <c r="AM199" s="19"/>
      <c r="AN199" s="19"/>
      <c r="AO199" s="326"/>
      <c r="AP199" s="326"/>
      <c r="AQ199" s="326"/>
      <c r="AR199" s="326"/>
      <c r="AS199" s="326"/>
      <c r="AT199" s="326"/>
      <c r="AU199" s="326"/>
      <c r="AV199" s="326"/>
      <c r="AW199" s="326"/>
      <c r="AX199" s="326"/>
      <c r="AY199" s="326"/>
      <c r="AZ199" s="326"/>
    </row>
    <row r="200" spans="1:52">
      <c r="A200" s="19"/>
      <c r="B200" s="191" t="str">
        <f>"Tubing flow for wells built in Year "&amp;Cashflow!AB$164</f>
        <v>Tubing flow for wells built in Year 2042</v>
      </c>
      <c r="C200" s="1163"/>
      <c r="D200" s="1163"/>
      <c r="E200" s="1163"/>
      <c r="F200" s="1163"/>
      <c r="G200" s="1163"/>
      <c r="H200" s="1163"/>
      <c r="I200" s="1163"/>
      <c r="J200" s="1163"/>
      <c r="K200" s="1163"/>
      <c r="L200" s="1163"/>
      <c r="M200" s="1163"/>
      <c r="N200" s="1163"/>
      <c r="O200" s="1163"/>
      <c r="P200" s="1163"/>
      <c r="Q200" s="1163"/>
      <c r="R200" s="1163"/>
      <c r="S200" s="1163"/>
      <c r="T200" s="1163"/>
      <c r="U200" s="1163"/>
      <c r="V200" s="1163"/>
      <c r="W200" s="1163"/>
      <c r="X200" s="1163"/>
      <c r="Y200" s="1163"/>
      <c r="Z200" s="1163"/>
      <c r="AA200" s="1163"/>
      <c r="AB200" s="1162">
        <f ca="1">IF(AB$174&lt;$Q$7,0,IF(Cashflow!AB$111="C/I",0,$AB$35*AA$54))</f>
        <v>0</v>
      </c>
      <c r="AC200" s="1162">
        <f ca="1">IF(AC$174&lt;$Q$7,0,IF(Cashflow!AC$111="C/I",0,$AB$35*AB$54))</f>
        <v>0</v>
      </c>
      <c r="AD200" s="1162">
        <f ca="1">IF(AD$174&lt;$Q$7,0,IF(Cashflow!AD$111="C/I",0,$AB$35*AC$54))</f>
        <v>0</v>
      </c>
      <c r="AE200" s="1162">
        <f ca="1">IF(AE$174&lt;$Q$7,0,IF(Cashflow!AE$111="C/I",0,$AB$35*AD$54))</f>
        <v>0</v>
      </c>
      <c r="AF200" s="1162">
        <f ca="1">IF(AF$174&lt;$Q$7,0,IF(Cashflow!AF$111="C/I",0,$AB$35*AE$54))</f>
        <v>0</v>
      </c>
      <c r="AG200" s="1162">
        <f ca="1">IF(AG$174&lt;$Q$7,0,IF(Cashflow!AG$111="C/I",0,$AB$35*AF$54))</f>
        <v>0</v>
      </c>
      <c r="AH200" s="19"/>
      <c r="AI200" s="19"/>
      <c r="AJ200" s="19"/>
      <c r="AK200" s="21"/>
      <c r="AL200" s="21"/>
      <c r="AM200" s="19"/>
      <c r="AN200" s="19"/>
      <c r="AO200" s="326"/>
      <c r="AP200" s="326"/>
      <c r="AQ200" s="326"/>
      <c r="AR200" s="326"/>
      <c r="AS200" s="326"/>
      <c r="AT200" s="326"/>
      <c r="AU200" s="326"/>
      <c r="AV200" s="326"/>
      <c r="AW200" s="326"/>
      <c r="AX200" s="326"/>
      <c r="AY200" s="326"/>
      <c r="AZ200" s="326"/>
    </row>
    <row r="201" spans="1:52">
      <c r="A201" s="19"/>
      <c r="B201" s="191" t="str">
        <f>"Tubing flow for wells built in Year "&amp;Cashflow!AC$164</f>
        <v>Tubing flow for wells built in Year 2043</v>
      </c>
      <c r="C201" s="1163"/>
      <c r="D201" s="1163"/>
      <c r="E201" s="1163"/>
      <c r="F201" s="1163"/>
      <c r="G201" s="1163"/>
      <c r="H201" s="1163"/>
      <c r="I201" s="1163"/>
      <c r="J201" s="1163"/>
      <c r="K201" s="1163"/>
      <c r="L201" s="1163"/>
      <c r="M201" s="1163"/>
      <c r="N201" s="1163"/>
      <c r="O201" s="1163"/>
      <c r="P201" s="1163"/>
      <c r="Q201" s="1163"/>
      <c r="R201" s="1163"/>
      <c r="S201" s="1163"/>
      <c r="T201" s="1163"/>
      <c r="U201" s="1163"/>
      <c r="V201" s="1163"/>
      <c r="W201" s="1163"/>
      <c r="X201" s="1163"/>
      <c r="Y201" s="1163"/>
      <c r="Z201" s="1163"/>
      <c r="AA201" s="1163"/>
      <c r="AB201" s="1163"/>
      <c r="AC201" s="1162">
        <f ca="1">IF(AC$174&lt;$Q$7,0,IF(Cashflow!AC$111="C/I",0,$AC$35*AB$54))</f>
        <v>0</v>
      </c>
      <c r="AD201" s="1162">
        <f ca="1">IF(AD$174&lt;$Q$7,0,IF(Cashflow!AD$111="C/I",0,$AC$35*AC$54))</f>
        <v>0</v>
      </c>
      <c r="AE201" s="1162">
        <f ca="1">IF(AE$174&lt;$Q$7,0,IF(Cashflow!AE$111="C/I",0,$AC$35*AD$54))</f>
        <v>0</v>
      </c>
      <c r="AF201" s="1162">
        <f ca="1">IF(AF$174&lt;$Q$7,0,IF(Cashflow!AF$111="C/I",0,$AC$35*AE$54))</f>
        <v>0</v>
      </c>
      <c r="AG201" s="1162">
        <f ca="1">IF(AG$174&lt;$Q$7,0,IF(Cashflow!AG$111="C/I",0,$AC$35*AF$54))</f>
        <v>0</v>
      </c>
      <c r="AH201" s="19"/>
      <c r="AI201" s="19"/>
      <c r="AJ201" s="19"/>
      <c r="AK201" s="21"/>
      <c r="AL201" s="21"/>
      <c r="AM201" s="19"/>
      <c r="AN201" s="19"/>
      <c r="AO201" s="326"/>
      <c r="AP201" s="326"/>
      <c r="AQ201" s="326"/>
      <c r="AR201" s="326"/>
      <c r="AS201" s="326"/>
      <c r="AT201" s="326"/>
      <c r="AU201" s="326"/>
      <c r="AV201" s="326"/>
      <c r="AW201" s="326"/>
      <c r="AX201" s="326"/>
      <c r="AY201" s="326"/>
      <c r="AZ201" s="326"/>
    </row>
    <row r="202" spans="1:52">
      <c r="A202" s="19"/>
      <c r="B202" s="191" t="str">
        <f>"Tubing flow for wells built in Year "&amp;Cashflow!AD$164</f>
        <v>Tubing flow for wells built in Year 2044</v>
      </c>
      <c r="C202" s="1163"/>
      <c r="D202" s="1163"/>
      <c r="E202" s="1163"/>
      <c r="F202" s="1163"/>
      <c r="G202" s="1163"/>
      <c r="H202" s="1163"/>
      <c r="I202" s="1163"/>
      <c r="J202" s="1163"/>
      <c r="K202" s="1163"/>
      <c r="L202" s="1163"/>
      <c r="M202" s="1163"/>
      <c r="N202" s="1163"/>
      <c r="O202" s="1163"/>
      <c r="P202" s="1163"/>
      <c r="Q202" s="1163"/>
      <c r="R202" s="1163"/>
      <c r="S202" s="1163"/>
      <c r="T202" s="1163"/>
      <c r="U202" s="1163"/>
      <c r="V202" s="1163"/>
      <c r="W202" s="1163"/>
      <c r="X202" s="1163"/>
      <c r="Y202" s="1163"/>
      <c r="Z202" s="1163"/>
      <c r="AA202" s="1163"/>
      <c r="AB202" s="1163"/>
      <c r="AC202" s="1163"/>
      <c r="AD202" s="1162">
        <f ca="1">IF(AD$174&lt;$Q$7,0,IF(Cashflow!AD$111="C/I",0,$AD$35*AC$54))</f>
        <v>0</v>
      </c>
      <c r="AE202" s="1162">
        <f ca="1">IF(AE$174&lt;$Q$7,0,IF(Cashflow!AE$111="C/I",0,$AD$35*AD$54))</f>
        <v>0</v>
      </c>
      <c r="AF202" s="1162">
        <f ca="1">IF(AF$174&lt;$Q$7,0,IF(Cashflow!AF$111="C/I",0,$AD$35*AE$54))</f>
        <v>0</v>
      </c>
      <c r="AG202" s="1162">
        <f ca="1">IF(AG$174&lt;$Q$7,0,IF(Cashflow!AG$111="C/I",0,$AD$35*AF$54))</f>
        <v>0</v>
      </c>
      <c r="AH202" s="19"/>
      <c r="AI202" s="19"/>
      <c r="AJ202" s="19"/>
      <c r="AK202" s="21"/>
      <c r="AL202" s="21"/>
      <c r="AM202" s="19"/>
      <c r="AN202" s="19"/>
      <c r="AO202" s="326"/>
      <c r="AP202" s="326"/>
      <c r="AQ202" s="326"/>
      <c r="AR202" s="326"/>
      <c r="AS202" s="326"/>
      <c r="AT202" s="326"/>
      <c r="AU202" s="326"/>
      <c r="AV202" s="326"/>
      <c r="AW202" s="326"/>
      <c r="AX202" s="326"/>
      <c r="AY202" s="326"/>
      <c r="AZ202" s="326"/>
    </row>
    <row r="203" spans="1:52">
      <c r="A203" s="19"/>
      <c r="B203" s="191" t="str">
        <f>"Tubing flow for wells built in Year "&amp;Cashflow!AE$164</f>
        <v>Tubing flow for wells built in Year 2045</v>
      </c>
      <c r="C203" s="1163"/>
      <c r="D203" s="1163"/>
      <c r="E203" s="1163"/>
      <c r="F203" s="1163"/>
      <c r="G203" s="1163"/>
      <c r="H203" s="1163"/>
      <c r="I203" s="1163"/>
      <c r="J203" s="1163"/>
      <c r="K203" s="1163"/>
      <c r="L203" s="1163"/>
      <c r="M203" s="1163"/>
      <c r="N203" s="1163"/>
      <c r="O203" s="1163"/>
      <c r="P203" s="1163"/>
      <c r="Q203" s="1163"/>
      <c r="R203" s="1163"/>
      <c r="S203" s="1163"/>
      <c r="T203" s="1163"/>
      <c r="U203" s="1163"/>
      <c r="V203" s="1163"/>
      <c r="W203" s="1163"/>
      <c r="X203" s="1163"/>
      <c r="Y203" s="1163"/>
      <c r="Z203" s="1163"/>
      <c r="AA203" s="1163"/>
      <c r="AB203" s="1163"/>
      <c r="AC203" s="1163"/>
      <c r="AD203" s="1163"/>
      <c r="AE203" s="1162">
        <f ca="1">IF(AE$174&lt;$Q$7,0,IF(Cashflow!AE$111="C/I",0,$AE$35*AD$54))</f>
        <v>0</v>
      </c>
      <c r="AF203" s="1162">
        <f ca="1">IF(AF$174&lt;$Q$7,0,IF(Cashflow!AF$111="C/I",0,$AE$35*AE$54))</f>
        <v>0</v>
      </c>
      <c r="AG203" s="1162">
        <f ca="1">IF(AG$174&lt;$Q$7,0,IF(Cashflow!AG$111="C/I",0,$AE$35*AF$54))</f>
        <v>0</v>
      </c>
      <c r="AH203" s="19"/>
      <c r="AI203" s="19"/>
      <c r="AJ203" s="19"/>
      <c r="AK203" s="21"/>
      <c r="AL203" s="21"/>
      <c r="AM203" s="19"/>
      <c r="AN203" s="19"/>
      <c r="AO203" s="326"/>
      <c r="AP203" s="326"/>
      <c r="AQ203" s="326"/>
      <c r="AR203" s="326"/>
      <c r="AS203" s="326"/>
      <c r="AT203" s="326"/>
      <c r="AU203" s="326"/>
      <c r="AV203" s="326"/>
      <c r="AW203" s="326"/>
      <c r="AX203" s="326"/>
      <c r="AY203" s="326"/>
      <c r="AZ203" s="326"/>
    </row>
    <row r="204" spans="1:52">
      <c r="A204" s="19"/>
      <c r="B204" s="191" t="str">
        <f>"Tubing flow for wells built in Year "&amp;Cashflow!AF$164</f>
        <v>Tubing flow for wells built in Year 2046</v>
      </c>
      <c r="C204" s="1163"/>
      <c r="D204" s="1163"/>
      <c r="E204" s="1163"/>
      <c r="F204" s="1163"/>
      <c r="G204" s="1163"/>
      <c r="H204" s="1163"/>
      <c r="I204" s="1163"/>
      <c r="J204" s="1163"/>
      <c r="K204" s="1163"/>
      <c r="L204" s="1163"/>
      <c r="M204" s="1163"/>
      <c r="N204" s="1163"/>
      <c r="O204" s="1163"/>
      <c r="P204" s="1163"/>
      <c r="Q204" s="1163"/>
      <c r="R204" s="1163"/>
      <c r="S204" s="1163"/>
      <c r="T204" s="1163"/>
      <c r="U204" s="1163"/>
      <c r="V204" s="1163"/>
      <c r="W204" s="1163"/>
      <c r="X204" s="1163"/>
      <c r="Y204" s="1163"/>
      <c r="Z204" s="1163"/>
      <c r="AA204" s="1163"/>
      <c r="AB204" s="1163"/>
      <c r="AC204" s="1163"/>
      <c r="AD204" s="1163"/>
      <c r="AE204" s="1163"/>
      <c r="AF204" s="1162">
        <f ca="1">IF(AF$174&lt;$Q$7,0,IF(Cashflow!AF$111="C/I",0,$AF$35*AE$54))</f>
        <v>0</v>
      </c>
      <c r="AG204" s="1162">
        <f ca="1">IF(AG$174&lt;$Q$7,0,IF(Cashflow!AG$111="C/I",0,$AF$35*AF$54))</f>
        <v>0</v>
      </c>
      <c r="AH204" s="19"/>
      <c r="AI204" s="19"/>
      <c r="AJ204" s="19"/>
      <c r="AK204" s="21"/>
      <c r="AL204" s="21"/>
      <c r="AM204" s="19"/>
      <c r="AN204" s="19"/>
      <c r="AO204" s="326"/>
      <c r="AP204" s="326"/>
      <c r="AQ204" s="326"/>
      <c r="AR204" s="326"/>
      <c r="AS204" s="326"/>
      <c r="AT204" s="326"/>
      <c r="AU204" s="326"/>
      <c r="AV204" s="326"/>
      <c r="AW204" s="326"/>
      <c r="AX204" s="326"/>
      <c r="AY204" s="326"/>
      <c r="AZ204" s="326"/>
    </row>
    <row r="205" spans="1:52">
      <c r="A205" s="19"/>
      <c r="B205" s="191" t="str">
        <f>"Tubing flow for wells built in Year "&amp;Cashflow!AG$164</f>
        <v>Tubing flow for wells built in Year 2047</v>
      </c>
      <c r="C205" s="1163"/>
      <c r="D205" s="1163"/>
      <c r="E205" s="1163"/>
      <c r="F205" s="1163"/>
      <c r="G205" s="1163"/>
      <c r="H205" s="1163"/>
      <c r="I205" s="1163"/>
      <c r="J205" s="1163"/>
      <c r="K205" s="1163"/>
      <c r="L205" s="1163"/>
      <c r="M205" s="1163"/>
      <c r="N205" s="1163"/>
      <c r="O205" s="1163"/>
      <c r="P205" s="1163"/>
      <c r="Q205" s="1163"/>
      <c r="R205" s="1163"/>
      <c r="S205" s="1163"/>
      <c r="T205" s="1163"/>
      <c r="U205" s="1163"/>
      <c r="V205" s="1163"/>
      <c r="W205" s="1163"/>
      <c r="X205" s="1163"/>
      <c r="Y205" s="1163"/>
      <c r="Z205" s="1163"/>
      <c r="AA205" s="1163"/>
      <c r="AB205" s="1163"/>
      <c r="AC205" s="1163"/>
      <c r="AD205" s="1163"/>
      <c r="AE205" s="1163"/>
      <c r="AF205" s="1163"/>
      <c r="AG205" s="1162">
        <f ca="1">IF(AG$174&lt;$Q$7,0,IF(Cashflow!AG$111="C/I",0,$AG$35*AF$54))</f>
        <v>0</v>
      </c>
      <c r="AH205" s="19"/>
      <c r="AI205" s="19"/>
      <c r="AJ205" s="19"/>
      <c r="AK205" s="21"/>
      <c r="AL205" s="21"/>
      <c r="AM205" s="19"/>
      <c r="AN205" s="19"/>
      <c r="AO205" s="326"/>
      <c r="AP205" s="326"/>
      <c r="AQ205" s="326"/>
      <c r="AR205" s="326"/>
      <c r="AS205" s="326"/>
      <c r="AT205" s="326"/>
      <c r="AU205" s="326"/>
      <c r="AV205" s="326"/>
      <c r="AW205" s="326"/>
      <c r="AX205" s="326"/>
      <c r="AY205" s="326"/>
      <c r="AZ205" s="326"/>
    </row>
    <row r="206" spans="1:52">
      <c r="A206" s="19"/>
      <c r="B206" s="71" t="s">
        <v>758</v>
      </c>
      <c r="C206" s="1161">
        <f t="shared" ref="C206:AG206" si="40">SUM(C175:C205)</f>
        <v>0</v>
      </c>
      <c r="D206" s="1161">
        <f t="shared" si="40"/>
        <v>0</v>
      </c>
      <c r="E206" s="1161">
        <f t="shared" si="40"/>
        <v>0</v>
      </c>
      <c r="F206" s="1161">
        <f t="shared" si="40"/>
        <v>0</v>
      </c>
      <c r="G206" s="1161">
        <f t="shared" si="40"/>
        <v>0</v>
      </c>
      <c r="H206" s="1161">
        <f t="shared" si="40"/>
        <v>0</v>
      </c>
      <c r="I206" s="1161">
        <f t="shared" si="40"/>
        <v>0</v>
      </c>
      <c r="J206" s="1161">
        <f t="shared" si="40"/>
        <v>0</v>
      </c>
      <c r="K206" s="1161">
        <f t="shared" si="40"/>
        <v>0.81549836047359536</v>
      </c>
      <c r="L206" s="1161">
        <f t="shared" ca="1" si="40"/>
        <v>1.2002904562974974</v>
      </c>
      <c r="M206" s="1161">
        <f t="shared" ca="1" si="40"/>
        <v>1.4003388656804137</v>
      </c>
      <c r="N206" s="1161">
        <f t="shared" ca="1" si="40"/>
        <v>1.8004356844462461</v>
      </c>
      <c r="O206" s="1161">
        <f t="shared" ca="1" si="40"/>
        <v>1.8004356844462461</v>
      </c>
      <c r="P206" s="1161">
        <f t="shared" ca="1" si="40"/>
        <v>1.8004356844462461</v>
      </c>
      <c r="Q206" s="1161">
        <f t="shared" ca="1" si="40"/>
        <v>1.8004356844462461</v>
      </c>
      <c r="R206" s="1161">
        <f t="shared" ca="1" si="40"/>
        <v>1.8004356844462461</v>
      </c>
      <c r="S206" s="1161">
        <f t="shared" ca="1" si="40"/>
        <v>1.8004356844462461</v>
      </c>
      <c r="T206" s="1161">
        <f t="shared" ca="1" si="40"/>
        <v>1.8004356844462461</v>
      </c>
      <c r="U206" s="1161">
        <f t="shared" ca="1" si="40"/>
        <v>1.7919904962818101</v>
      </c>
      <c r="V206" s="1161">
        <f t="shared" ca="1" si="40"/>
        <v>1.7833007885107666</v>
      </c>
      <c r="W206" s="1161">
        <f t="shared" ca="1" si="40"/>
        <v>1.7750922219357708</v>
      </c>
      <c r="X206" s="1161">
        <f t="shared" ca="1" si="40"/>
        <v>1.7666437356169136</v>
      </c>
      <c r="Y206" s="1161">
        <f t="shared" ca="1" si="40"/>
        <v>1.7589447247563907</v>
      </c>
      <c r="Z206" s="1161">
        <f t="shared" ca="1" si="40"/>
        <v>1.7514255754027233</v>
      </c>
      <c r="AA206" s="1161">
        <f t="shared" ca="1" si="40"/>
        <v>1.7443107767312267</v>
      </c>
      <c r="AB206" s="1161">
        <f t="shared" ca="1" si="40"/>
        <v>1.7369758980172305</v>
      </c>
      <c r="AC206" s="1161">
        <f t="shared" ca="1" si="40"/>
        <v>1.7300340479610099</v>
      </c>
      <c r="AD206" s="1161">
        <f t="shared" ca="1" si="40"/>
        <v>1.723528115551378</v>
      </c>
      <c r="AE206" s="1161">
        <f t="shared" ca="1" si="40"/>
        <v>1.7174817565598224</v>
      </c>
      <c r="AF206" s="1161">
        <f t="shared" ca="1" si="40"/>
        <v>1.7112377612225333</v>
      </c>
      <c r="AG206" s="1161">
        <f t="shared" ca="1" si="40"/>
        <v>1.7053184352277049</v>
      </c>
      <c r="AH206" s="19"/>
      <c r="AI206" s="19"/>
      <c r="AJ206" s="19"/>
      <c r="AK206" s="21"/>
      <c r="AL206" s="21"/>
      <c r="AM206" s="19"/>
      <c r="AN206" s="19"/>
      <c r="AO206" s="326"/>
      <c r="AP206" s="326"/>
      <c r="AQ206" s="326"/>
      <c r="AR206" s="326"/>
      <c r="AS206" s="326"/>
      <c r="AT206" s="326"/>
      <c r="AU206" s="326"/>
      <c r="AV206" s="326"/>
      <c r="AW206" s="326"/>
      <c r="AX206" s="326"/>
      <c r="AY206" s="326"/>
      <c r="AZ206" s="326"/>
    </row>
    <row r="207" spans="1:52">
      <c r="A207" s="19"/>
      <c r="B207" s="28"/>
      <c r="C207" s="568"/>
      <c r="D207" s="19"/>
      <c r="E207" s="19"/>
      <c r="F207" s="19"/>
      <c r="G207" s="19"/>
      <c r="H207" s="19"/>
      <c r="I207" s="19"/>
      <c r="J207" s="28"/>
      <c r="K207" s="28"/>
      <c r="L207" s="28"/>
      <c r="M207" s="28"/>
      <c r="N207" s="28"/>
      <c r="O207" s="28"/>
      <c r="P207" s="19"/>
      <c r="Q207" s="19"/>
      <c r="R207" s="19"/>
      <c r="S207" s="19"/>
      <c r="T207" s="19"/>
      <c r="U207" s="19"/>
      <c r="V207" s="19"/>
      <c r="W207" s="19"/>
      <c r="X207" s="19"/>
      <c r="Y207" s="19"/>
      <c r="Z207" s="19"/>
      <c r="AA207" s="19"/>
      <c r="AB207" s="19"/>
      <c r="AC207" s="19"/>
      <c r="AD207" s="19"/>
      <c r="AE207" s="19"/>
      <c r="AF207" s="19"/>
      <c r="AG207" s="19"/>
      <c r="AH207" s="19"/>
      <c r="AI207" s="19"/>
      <c r="AJ207" s="19"/>
      <c r="AK207" s="21"/>
      <c r="AL207" s="21"/>
      <c r="AM207" s="19"/>
      <c r="AN207" s="19"/>
      <c r="AO207" s="326"/>
      <c r="AP207" s="326"/>
      <c r="AQ207" s="326"/>
      <c r="AR207" s="326"/>
      <c r="AS207" s="326"/>
      <c r="AT207" s="326"/>
      <c r="AU207" s="326"/>
      <c r="AV207" s="326"/>
      <c r="AW207" s="326"/>
      <c r="AX207" s="326"/>
      <c r="AY207" s="326"/>
      <c r="AZ207" s="326"/>
    </row>
    <row r="208" spans="1:52">
      <c r="A208" s="19"/>
      <c r="B208" s="590" t="s">
        <v>749</v>
      </c>
      <c r="C208" s="589"/>
      <c r="D208" s="19"/>
      <c r="E208" s="19"/>
      <c r="F208" s="19"/>
      <c r="G208" s="19"/>
      <c r="H208" s="19"/>
      <c r="I208" s="19"/>
      <c r="J208" s="19"/>
      <c r="K208" s="28"/>
      <c r="L208" s="28"/>
      <c r="M208" s="28"/>
      <c r="N208" s="28"/>
      <c r="O208" s="28"/>
      <c r="P208" s="19"/>
      <c r="Q208" s="19"/>
      <c r="R208" s="19"/>
      <c r="S208" s="19"/>
      <c r="T208" s="19"/>
      <c r="U208" s="19"/>
      <c r="V208" s="19"/>
      <c r="W208" s="19"/>
      <c r="X208" s="19"/>
      <c r="Y208" s="19"/>
      <c r="Z208" s="19"/>
      <c r="AA208" s="19"/>
      <c r="AB208" s="19"/>
      <c r="AC208" s="19"/>
      <c r="AD208" s="19"/>
      <c r="AE208" s="19"/>
      <c r="AF208" s="19"/>
      <c r="AG208" s="19"/>
      <c r="AH208" s="19"/>
      <c r="AI208" s="19"/>
      <c r="AJ208" s="19"/>
      <c r="AK208" s="21"/>
      <c r="AL208" s="21"/>
      <c r="AM208" s="19"/>
      <c r="AN208" s="19"/>
      <c r="AO208" s="326"/>
      <c r="AP208" s="326"/>
      <c r="AQ208" s="326"/>
      <c r="AR208" s="326"/>
      <c r="AS208" s="326"/>
      <c r="AT208" s="326"/>
      <c r="AU208" s="326"/>
      <c r="AV208" s="326"/>
      <c r="AW208" s="326"/>
      <c r="AX208" s="326"/>
      <c r="AY208" s="326"/>
      <c r="AZ208" s="326"/>
    </row>
    <row r="209" spans="1:52" ht="15" thickBot="1">
      <c r="A209" s="19"/>
      <c r="B209" s="541" t="s">
        <v>642</v>
      </c>
      <c r="C209" s="542"/>
      <c r="D209" s="543"/>
      <c r="E209" s="543"/>
      <c r="F209" s="543"/>
      <c r="G209" s="543"/>
      <c r="H209" s="543"/>
      <c r="I209" s="543"/>
      <c r="J209" s="543"/>
      <c r="K209" s="543"/>
      <c r="L209" s="543"/>
      <c r="M209" s="543"/>
      <c r="N209" s="543"/>
      <c r="O209" s="543"/>
      <c r="P209" s="543"/>
      <c r="Q209" s="543"/>
      <c r="R209" s="543"/>
      <c r="S209" s="543"/>
      <c r="T209" s="543"/>
      <c r="U209" s="543"/>
      <c r="V209" s="543"/>
      <c r="W209" s="543"/>
      <c r="X209" s="543"/>
      <c r="Y209" s="543"/>
      <c r="Z209" s="543"/>
      <c r="AA209" s="543"/>
      <c r="AB209" s="543"/>
      <c r="AC209" s="543"/>
      <c r="AD209" s="543"/>
      <c r="AE209" s="543"/>
      <c r="AF209" s="543"/>
      <c r="AG209" s="543"/>
      <c r="AH209" s="19"/>
      <c r="AI209" s="19"/>
      <c r="AJ209" s="19"/>
      <c r="AK209" s="21"/>
      <c r="AL209" s="21"/>
      <c r="AM209" s="19"/>
      <c r="AN209" s="19"/>
      <c r="AO209" s="326"/>
      <c r="AP209" s="326"/>
      <c r="AQ209" s="326"/>
      <c r="AR209" s="326"/>
      <c r="AS209" s="326"/>
      <c r="AT209" s="326"/>
      <c r="AU209" s="326"/>
      <c r="AV209" s="326"/>
      <c r="AW209" s="326"/>
      <c r="AX209" s="326"/>
      <c r="AY209" s="326"/>
      <c r="AZ209" s="326"/>
    </row>
    <row r="210" spans="1:52" ht="15" thickTop="1">
      <c r="A210" s="19"/>
      <c r="B210" s="545" t="s">
        <v>527</v>
      </c>
      <c r="C210" s="546">
        <f t="shared" ref="C210:AG210" si="41">IF(MOD(C$67-$C$67,$Q$9)=0,1,B210+1)</f>
        <v>1</v>
      </c>
      <c r="D210" s="546">
        <f t="shared" si="41"/>
        <v>2</v>
      </c>
      <c r="E210" s="546">
        <f t="shared" si="41"/>
        <v>3</v>
      </c>
      <c r="F210" s="546">
        <f t="shared" si="41"/>
        <v>4</v>
      </c>
      <c r="G210" s="546">
        <f t="shared" si="41"/>
        <v>5</v>
      </c>
      <c r="H210" s="546">
        <f t="shared" si="41"/>
        <v>6</v>
      </c>
      <c r="I210" s="546">
        <f t="shared" si="41"/>
        <v>1</v>
      </c>
      <c r="J210" s="546">
        <f t="shared" si="41"/>
        <v>2</v>
      </c>
      <c r="K210" s="546">
        <f t="shared" si="41"/>
        <v>3</v>
      </c>
      <c r="L210" s="546">
        <f t="shared" si="41"/>
        <v>4</v>
      </c>
      <c r="M210" s="546">
        <f t="shared" si="41"/>
        <v>5</v>
      </c>
      <c r="N210" s="546">
        <f t="shared" si="41"/>
        <v>6</v>
      </c>
      <c r="O210" s="546">
        <f t="shared" si="41"/>
        <v>1</v>
      </c>
      <c r="P210" s="546">
        <f t="shared" si="41"/>
        <v>2</v>
      </c>
      <c r="Q210" s="546">
        <f t="shared" si="41"/>
        <v>3</v>
      </c>
      <c r="R210" s="546">
        <f t="shared" si="41"/>
        <v>4</v>
      </c>
      <c r="S210" s="546">
        <f t="shared" si="41"/>
        <v>5</v>
      </c>
      <c r="T210" s="546">
        <f t="shared" si="41"/>
        <v>6</v>
      </c>
      <c r="U210" s="546">
        <f t="shared" si="41"/>
        <v>1</v>
      </c>
      <c r="V210" s="546">
        <f t="shared" si="41"/>
        <v>2</v>
      </c>
      <c r="W210" s="546">
        <f t="shared" si="41"/>
        <v>3</v>
      </c>
      <c r="X210" s="546">
        <f t="shared" si="41"/>
        <v>4</v>
      </c>
      <c r="Y210" s="546">
        <f t="shared" si="41"/>
        <v>5</v>
      </c>
      <c r="Z210" s="546">
        <f t="shared" si="41"/>
        <v>6</v>
      </c>
      <c r="AA210" s="546">
        <f t="shared" si="41"/>
        <v>1</v>
      </c>
      <c r="AB210" s="546">
        <f t="shared" si="41"/>
        <v>2</v>
      </c>
      <c r="AC210" s="546">
        <f t="shared" si="41"/>
        <v>3</v>
      </c>
      <c r="AD210" s="546">
        <f t="shared" si="41"/>
        <v>4</v>
      </c>
      <c r="AE210" s="546">
        <f t="shared" si="41"/>
        <v>5</v>
      </c>
      <c r="AF210" s="546">
        <f t="shared" si="41"/>
        <v>6</v>
      </c>
      <c r="AG210" s="546">
        <f t="shared" si="41"/>
        <v>1</v>
      </c>
      <c r="AH210" s="19"/>
      <c r="AI210" s="19"/>
      <c r="AJ210" s="19"/>
      <c r="AK210" s="21"/>
      <c r="AL210" s="21"/>
      <c r="AM210" s="19"/>
      <c r="AN210" s="19"/>
      <c r="AO210" s="326"/>
      <c r="AP210" s="326"/>
      <c r="AQ210" s="326"/>
      <c r="AR210" s="326"/>
      <c r="AS210" s="326"/>
      <c r="AT210" s="326"/>
      <c r="AU210" s="326"/>
      <c r="AV210" s="326"/>
      <c r="AW210" s="326"/>
      <c r="AX210" s="326"/>
      <c r="AY210" s="326"/>
      <c r="AZ210" s="326"/>
    </row>
    <row r="211" spans="1:52">
      <c r="A211" s="19"/>
      <c r="B211" s="175" t="s">
        <v>623</v>
      </c>
      <c r="C211" s="544">
        <f t="shared" ref="C211:AG211" si="42">IF(MOD(C$210-$C$210,$Q$9)=0,$J$14,IF($J$14&gt;0,$J$14+(MOD(C$210-$C$210,$Q$9)*$J$16),$J$14+(MOD(C$210-$C$210,$Q$9)*$J$16)))</f>
        <v>0</v>
      </c>
      <c r="D211" s="544">
        <f t="shared" si="42"/>
        <v>2</v>
      </c>
      <c r="E211" s="544">
        <f t="shared" si="42"/>
        <v>4</v>
      </c>
      <c r="F211" s="544">
        <f t="shared" si="42"/>
        <v>6</v>
      </c>
      <c r="G211" s="544">
        <f t="shared" si="42"/>
        <v>8</v>
      </c>
      <c r="H211" s="544">
        <f t="shared" si="42"/>
        <v>10</v>
      </c>
      <c r="I211" s="544">
        <f t="shared" si="42"/>
        <v>0</v>
      </c>
      <c r="J211" s="544">
        <f t="shared" si="42"/>
        <v>2</v>
      </c>
      <c r="K211" s="544">
        <f t="shared" si="42"/>
        <v>4</v>
      </c>
      <c r="L211" s="544">
        <f t="shared" si="42"/>
        <v>6</v>
      </c>
      <c r="M211" s="544">
        <f t="shared" si="42"/>
        <v>8</v>
      </c>
      <c r="N211" s="544">
        <f t="shared" si="42"/>
        <v>10</v>
      </c>
      <c r="O211" s="544">
        <f t="shared" si="42"/>
        <v>0</v>
      </c>
      <c r="P211" s="544">
        <f t="shared" si="42"/>
        <v>2</v>
      </c>
      <c r="Q211" s="544">
        <f t="shared" si="42"/>
        <v>4</v>
      </c>
      <c r="R211" s="544">
        <f t="shared" si="42"/>
        <v>6</v>
      </c>
      <c r="S211" s="544">
        <f t="shared" si="42"/>
        <v>8</v>
      </c>
      <c r="T211" s="544">
        <f t="shared" si="42"/>
        <v>10</v>
      </c>
      <c r="U211" s="544">
        <f t="shared" si="42"/>
        <v>0</v>
      </c>
      <c r="V211" s="544">
        <f t="shared" si="42"/>
        <v>2</v>
      </c>
      <c r="W211" s="544">
        <f t="shared" si="42"/>
        <v>4</v>
      </c>
      <c r="X211" s="544">
        <f t="shared" si="42"/>
        <v>6</v>
      </c>
      <c r="Y211" s="544">
        <f t="shared" si="42"/>
        <v>8</v>
      </c>
      <c r="Z211" s="544">
        <f t="shared" si="42"/>
        <v>10</v>
      </c>
      <c r="AA211" s="544">
        <f t="shared" si="42"/>
        <v>0</v>
      </c>
      <c r="AB211" s="544">
        <f t="shared" si="42"/>
        <v>2</v>
      </c>
      <c r="AC211" s="544">
        <f t="shared" si="42"/>
        <v>4</v>
      </c>
      <c r="AD211" s="544">
        <f t="shared" si="42"/>
        <v>6</v>
      </c>
      <c r="AE211" s="544">
        <f t="shared" si="42"/>
        <v>8</v>
      </c>
      <c r="AF211" s="544">
        <f t="shared" si="42"/>
        <v>10</v>
      </c>
      <c r="AG211" s="544">
        <f t="shared" si="42"/>
        <v>0</v>
      </c>
      <c r="AH211" s="19"/>
      <c r="AI211" s="19"/>
      <c r="AJ211" s="19"/>
      <c r="AK211" s="21"/>
      <c r="AL211" s="21"/>
      <c r="AM211" s="19"/>
      <c r="AN211" s="19"/>
      <c r="AO211" s="326"/>
      <c r="AP211" s="326"/>
      <c r="AQ211" s="326"/>
      <c r="AR211" s="326"/>
      <c r="AS211" s="326"/>
      <c r="AT211" s="326"/>
      <c r="AU211" s="326"/>
      <c r="AV211" s="326"/>
      <c r="AW211" s="326"/>
      <c r="AX211" s="326"/>
      <c r="AY211" s="326"/>
      <c r="AZ211" s="326"/>
    </row>
    <row r="212" spans="1:52">
      <c r="A212" s="19"/>
      <c r="B212" s="28"/>
      <c r="C212" s="164"/>
      <c r="D212" s="19"/>
      <c r="E212" s="19"/>
      <c r="F212" s="19"/>
      <c r="G212" s="19"/>
      <c r="H212" s="19"/>
      <c r="I212" s="19"/>
      <c r="J212" s="132"/>
      <c r="K212" s="137"/>
      <c r="L212" s="132"/>
      <c r="M212" s="137"/>
      <c r="N212" s="28"/>
      <c r="O212" s="28"/>
      <c r="P212" s="19"/>
      <c r="Q212" s="19"/>
      <c r="R212" s="19"/>
      <c r="S212" s="19"/>
      <c r="T212" s="19"/>
      <c r="U212" s="19"/>
      <c r="V212" s="19"/>
      <c r="W212" s="19"/>
      <c r="X212" s="19"/>
      <c r="Y212" s="19"/>
      <c r="Z212" s="19"/>
      <c r="AA212" s="19"/>
      <c r="AB212" s="19"/>
      <c r="AC212" s="19"/>
      <c r="AD212" s="19"/>
      <c r="AE212" s="19"/>
      <c r="AF212" s="19"/>
      <c r="AG212" s="19"/>
      <c r="AH212" s="19"/>
      <c r="AI212" s="19"/>
      <c r="AJ212" s="19"/>
      <c r="AK212" s="21"/>
      <c r="AL212" s="21"/>
      <c r="AM212" s="19"/>
      <c r="AN212" s="19"/>
      <c r="AO212" s="326"/>
      <c r="AP212" s="326"/>
      <c r="AQ212" s="326"/>
      <c r="AR212" s="326"/>
      <c r="AS212" s="326"/>
      <c r="AT212" s="326"/>
      <c r="AU212" s="326"/>
      <c r="AV212" s="326"/>
      <c r="AW212" s="326"/>
      <c r="AX212" s="326"/>
      <c r="AY212" s="326"/>
      <c r="AZ212" s="326"/>
    </row>
    <row r="213" spans="1:52" ht="15" thickBot="1">
      <c r="A213" s="19"/>
      <c r="B213" s="458" t="s">
        <v>747</v>
      </c>
      <c r="C213" s="32">
        <f>Cashflow!C$30</f>
        <v>2017</v>
      </c>
      <c r="D213" s="32">
        <f>Cashflow!D$30</f>
        <v>2018</v>
      </c>
      <c r="E213" s="32">
        <f>Cashflow!E$30</f>
        <v>2019</v>
      </c>
      <c r="F213" s="32">
        <f>Cashflow!F$30</f>
        <v>2020</v>
      </c>
      <c r="G213" s="32">
        <f>Cashflow!G$30</f>
        <v>2021</v>
      </c>
      <c r="H213" s="32">
        <f>Cashflow!H$30</f>
        <v>2022</v>
      </c>
      <c r="I213" s="32">
        <f>Cashflow!I$30</f>
        <v>2023</v>
      </c>
      <c r="J213" s="32">
        <f>Cashflow!J$30</f>
        <v>2024</v>
      </c>
      <c r="K213" s="32">
        <f>Cashflow!K$30</f>
        <v>2025</v>
      </c>
      <c r="L213" s="32">
        <f>Cashflow!L$30</f>
        <v>2026</v>
      </c>
      <c r="M213" s="32">
        <f>Cashflow!M$30</f>
        <v>2027</v>
      </c>
      <c r="N213" s="32">
        <f>Cashflow!N$30</f>
        <v>2028</v>
      </c>
      <c r="O213" s="32">
        <f>Cashflow!O$30</f>
        <v>2029</v>
      </c>
      <c r="P213" s="32">
        <f>Cashflow!P$30</f>
        <v>2030</v>
      </c>
      <c r="Q213" s="32">
        <f>Cashflow!Q$30</f>
        <v>2031</v>
      </c>
      <c r="R213" s="32">
        <f>Cashflow!R$30</f>
        <v>2032</v>
      </c>
      <c r="S213" s="32">
        <f>Cashflow!S$30</f>
        <v>2033</v>
      </c>
      <c r="T213" s="32">
        <f>Cashflow!T$30</f>
        <v>2034</v>
      </c>
      <c r="U213" s="32">
        <f>Cashflow!U$30</f>
        <v>2035</v>
      </c>
      <c r="V213" s="32">
        <f>Cashflow!V$30</f>
        <v>2036</v>
      </c>
      <c r="W213" s="32">
        <f>Cashflow!W$30</f>
        <v>2037</v>
      </c>
      <c r="X213" s="32">
        <f>Cashflow!X$30</f>
        <v>2038</v>
      </c>
      <c r="Y213" s="32">
        <f>Cashflow!Y$30</f>
        <v>2039</v>
      </c>
      <c r="Z213" s="32">
        <f>Cashflow!Z$30</f>
        <v>2040</v>
      </c>
      <c r="AA213" s="32">
        <f>Cashflow!AA$30</f>
        <v>2041</v>
      </c>
      <c r="AB213" s="32">
        <f>Cashflow!AB$30</f>
        <v>2042</v>
      </c>
      <c r="AC213" s="32">
        <f>Cashflow!AC$30</f>
        <v>2043</v>
      </c>
      <c r="AD213" s="32">
        <f>Cashflow!AD$30</f>
        <v>2044</v>
      </c>
      <c r="AE213" s="32">
        <f>Cashflow!AE$30</f>
        <v>2045</v>
      </c>
      <c r="AF213" s="32">
        <f>Cashflow!AF$30</f>
        <v>2046</v>
      </c>
      <c r="AG213" s="32">
        <f>Cashflow!AG$30</f>
        <v>2047</v>
      </c>
      <c r="AH213" s="19"/>
      <c r="AI213" s="19"/>
      <c r="AJ213" s="19"/>
      <c r="AK213" s="21"/>
      <c r="AL213" s="21"/>
      <c r="AM213" s="19"/>
      <c r="AN213" s="19"/>
      <c r="AO213" s="326"/>
      <c r="AP213" s="326"/>
      <c r="AQ213" s="326"/>
      <c r="AR213" s="326"/>
      <c r="AS213" s="326"/>
      <c r="AT213" s="326"/>
      <c r="AU213" s="326"/>
      <c r="AV213" s="326"/>
      <c r="AW213" s="326"/>
      <c r="AX213" s="326"/>
      <c r="AY213" s="326"/>
      <c r="AZ213" s="326"/>
    </row>
    <row r="214" spans="1:52" ht="15" thickTop="1">
      <c r="A214" s="19"/>
      <c r="B214" s="191" t="str">
        <f>"Injection for wells built in Year "&amp;Cashflow!C$164</f>
        <v>Injection for wells built in Year 2017</v>
      </c>
      <c r="C214" s="562">
        <f>IF(Cashflow!C$111="C/I",0,IF(C$33=0,0,IF(C$213&lt;$Q$7,0,$C$35*$J$5*$Q$4*2*PI()*$AE$8/($X$12*(LN(SQRT($J$4/(C$32*PI()))/($J$10/2))-(1/2)+C$211)))))</f>
        <v>0</v>
      </c>
      <c r="D214" s="562">
        <f>IF(Cashflow!D$111="C/I",0,IF(D$33=0,0,IF(D$213&lt;$Q$7,0,$C$35*$J$5*$Q$4*2*PI()*$AE$8/($X$12*(LN(SQRT($J$4/(D$32*PI()))/($J$10/2))-(1/2)+D$211)))))</f>
        <v>0</v>
      </c>
      <c r="E214" s="562">
        <f>IF(Cashflow!E$111="C/I",0,IF(E$33=0,0,IF(E$213&lt;$Q$7,0,$C$35*$J$5*$Q$4*2*PI()*$AE$8/($X$12*(LN(SQRT($J$4/(E$32*PI()))/($J$10/2))-(1/2)+E$211)))))</f>
        <v>0</v>
      </c>
      <c r="F214" s="562">
        <f>IF(Cashflow!F$111="C/I",0,IF(F$33=0,0,IF(F$213&lt;$Q$7,0,$C$35*$J$5*$Q$4*2*PI()*$AE$8/($X$12*(LN(SQRT($J$4/(F$32*PI()))/($J$10/2))-(1/2)+F$211)))))</f>
        <v>0</v>
      </c>
      <c r="G214" s="562">
        <f>IF(Cashflow!G$111="C/I",0,IF(G$33=0,0,IF(G$213&lt;$Q$7,0,$C$35*$J$5*$Q$4*2*PI()*$AE$8/($X$12*(LN(SQRT($J$4/(G$32*PI()))/($J$10/2))-(1/2)+G$211)))))</f>
        <v>0</v>
      </c>
      <c r="H214" s="562">
        <f>IF(Cashflow!H$111="C/I",0,IF(H$33=0,0,IF(H$213&lt;$Q$7,0,$C$35*$J$5*$Q$4*2*PI()*$AE$8/($X$12*(LN(SQRT($J$4/(H$32*PI()))/($J$10/2))-(1/2)+H$211)))))</f>
        <v>0</v>
      </c>
      <c r="I214" s="562">
        <f>IF(Cashflow!I$111="C/I",0,IF(I$33=0,0,IF(I$213&lt;$Q$7,0,$C$35*$J$5*$Q$4*2*PI()*$AE$8/($X$12*(LN(SQRT($J$4/(I$32*PI()))/($J$10/2))-(1/2)+I$211)))))</f>
        <v>0</v>
      </c>
      <c r="J214" s="562">
        <f>IF(Cashflow!J$111="C/I",0,IF(J$33=0,0,IF(J$213&lt;$Q$7,0,$C$35*$J$5*$Q$4*2*PI()*$AE$8/($X$12*(LN(SQRT($J$4/(J$32*PI()))/($J$10/2))-(1/2)+J$211)))))</f>
        <v>0</v>
      </c>
      <c r="K214" s="562">
        <f>IF(Cashflow!K$111="C/I",0,IF(K$33=0,0,IF(K$213&lt;$Q$7,0,$C$35*$J$5*$Q$4*2*PI()*$AE$8/($X$12*(LN(SQRT($J$4/(K$32*PI()))/($J$10/2))-(1/2)+K$211)))))</f>
        <v>0</v>
      </c>
      <c r="L214" s="562">
        <f ca="1">IF(Cashflow!L$111="C/I",0,IF(L$33=0,0,IF(L$213&lt;$Q$7,0,$C$35*$J$5*$Q$4*2*PI()*$AE$8/($X$12*(LN(SQRT($J$4/(L$32*PI()))/($J$10/2))-(1/2)+L$211)))))</f>
        <v>0</v>
      </c>
      <c r="M214" s="562">
        <f ca="1">IF(Cashflow!M$111="C/I",0,IF(M$33=0,0,IF(M$213&lt;$Q$7,0,$C$35*$J$5*$Q$4*2*PI()*$AE$8/($X$12*(LN(SQRT($J$4/(M$32*PI()))/($J$10/2))-(1/2)+M$211)))))</f>
        <v>0</v>
      </c>
      <c r="N214" s="562">
        <f ca="1">IF(Cashflow!N$111="C/I",0,IF(N$33=0,0,IF(N$213&lt;$Q$7,0,$C$35*$J$5*$Q$4*2*PI()*$AE$8/($X$12*(LN(SQRT($J$4/(N$32*PI()))/($J$10/2))-(1/2)+N$211)))))</f>
        <v>0</v>
      </c>
      <c r="O214" s="562">
        <f ca="1">IF(Cashflow!O$111="C/I",0,IF(O$33=0,0,IF(O$213&lt;$Q$7,0,$C$35*$J$5*$Q$4*2*PI()*$AE$8/($X$12*(LN(SQRT($J$4/(O$32*PI()))/($J$10/2))-(1/2)+O$211)))))</f>
        <v>0</v>
      </c>
      <c r="P214" s="562">
        <f ca="1">IF(Cashflow!P$111="C/I",0,IF(P$33=0,0,IF(P$213&lt;$Q$7,0,$C$35*$J$5*$Q$4*2*PI()*$AE$8/($X$12*(LN(SQRT($J$4/(P$32*PI()))/($J$10/2))-(1/2)+P$211)))))</f>
        <v>0</v>
      </c>
      <c r="Q214" s="562">
        <f ca="1">IF(Cashflow!Q$111="C/I",0,IF(Q$33=0,0,IF(Q$213&lt;$Q$7,0,$C$35*$J$5*$Q$4*2*PI()*$AE$8/($X$12*(LN(SQRT($J$4/(Q$32*PI()))/($J$10/2))-(1/2)+Q$211)))))</f>
        <v>0</v>
      </c>
      <c r="R214" s="562">
        <f ca="1">IF(Cashflow!R$111="C/I",0,IF(R$33=0,0,IF(R$213&lt;$Q$7,0,$C$35*$J$5*$Q$4*2*PI()*$AE$8/($X$12*(LN(SQRT($J$4/(R$32*PI()))/($J$10/2))-(1/2)+R$211)))))</f>
        <v>0</v>
      </c>
      <c r="S214" s="562">
        <f ca="1">IF(Cashflow!S$111="C/I",0,IF(S$33=0,0,IF(S$213&lt;$Q$7,0,$C$35*$J$5*$Q$4*2*PI()*$AE$8/($X$12*(LN(SQRT($J$4/(S$32*PI()))/($J$10/2))-(1/2)+S$211)))))</f>
        <v>0</v>
      </c>
      <c r="T214" s="562">
        <f ca="1">IF(Cashflow!T$111="C/I",0,IF(T$33=0,0,IF(T$213&lt;$Q$7,0,$C$35*$J$5*$Q$4*2*PI()*$AE$8/($X$12*(LN(SQRT($J$4/(T$32*PI()))/($J$10/2))-(1/2)+T$211)))))</f>
        <v>0</v>
      </c>
      <c r="U214" s="562">
        <f ca="1">IF(Cashflow!U$111="C/I",0,IF(U$33=0,0,IF(U$213&lt;$Q$7,0,$C$35*$J$5*$Q$4*2*PI()*$AE$8/($X$12*(LN(SQRT($J$4/(U$32*PI()))/($J$10/2))-(1/2)+U$211)))))</f>
        <v>0</v>
      </c>
      <c r="V214" s="562">
        <f ca="1">IF(Cashflow!V$111="C/I",0,IF(V$33=0,0,IF(V$213&lt;$Q$7,0,$C$35*$J$5*$Q$4*2*PI()*$AE$8/($X$12*(LN(SQRT($J$4/(V$32*PI()))/($J$10/2))-(1/2)+V$211)))))</f>
        <v>0</v>
      </c>
      <c r="W214" s="562">
        <f ca="1">IF(Cashflow!W$111="C/I",0,IF(W$33=0,0,IF(W$213&lt;$Q$7,0,$C$35*$J$5*$Q$4*2*PI()*$AE$8/($X$12*(LN(SQRT($J$4/(W$32*PI()))/($J$10/2))-(1/2)+W$211)))))</f>
        <v>0</v>
      </c>
      <c r="X214" s="562">
        <f ca="1">IF(Cashflow!X$111="C/I",0,IF(X$33=0,0,IF(X$213&lt;$Q$7,0,$C$35*$J$5*$Q$4*2*PI()*$AE$8/($X$12*(LN(SQRT($J$4/(X$32*PI()))/($J$10/2))-(1/2)+X$211)))))</f>
        <v>0</v>
      </c>
      <c r="Y214" s="562">
        <f ca="1">IF(Cashflow!Y$111="C/I",0,IF(Y$33=0,0,IF(Y$213&lt;$Q$7,0,$C$35*$J$5*$Q$4*2*PI()*$AE$8/($X$12*(LN(SQRT($J$4/(Y$32*PI()))/($J$10/2))-(1/2)+Y$211)))))</f>
        <v>0</v>
      </c>
      <c r="Z214" s="562">
        <f ca="1">IF(Cashflow!Z$111="C/I",0,IF(Z$33=0,0,IF(Z$213&lt;$Q$7,0,$C$35*$J$5*$Q$4*2*PI()*$AE$8/($X$12*(LN(SQRT($J$4/(Z$32*PI()))/($J$10/2))-(1/2)+Z$211)))))</f>
        <v>0</v>
      </c>
      <c r="AA214" s="562">
        <f ca="1">IF(Cashflow!AA$111="C/I",0,IF(AA$33=0,0,IF(AA$213&lt;$Q$7,0,$C$35*$J$5*$Q$4*2*PI()*$AE$8/($X$12*(LN(SQRT($J$4/(AA$32*PI()))/($J$10/2))-(1/2)+AA$211)))))</f>
        <v>0</v>
      </c>
      <c r="AB214" s="562">
        <f ca="1">IF(Cashflow!AB$111="C/I",0,IF(AB$33=0,0,IF(AB$213&lt;$Q$7,0,$C$35*$J$5*$Q$4*2*PI()*$AE$8/($X$12*(LN(SQRT($J$4/(AB$32*PI()))/($J$10/2))-(1/2)+AB$211)))))</f>
        <v>0</v>
      </c>
      <c r="AC214" s="562">
        <f ca="1">IF(Cashflow!AC$111="C/I",0,IF(AC$33=0,0,IF(AC$213&lt;$Q$7,0,$C$35*$J$5*$Q$4*2*PI()*$AE$8/($X$12*(LN(SQRT($J$4/(AC$32*PI()))/($J$10/2))-(1/2)+AC$211)))))</f>
        <v>0</v>
      </c>
      <c r="AD214" s="562">
        <f ca="1">IF(Cashflow!AD$111="C/I",0,IF(AD$33=0,0,IF(AD$213&lt;$Q$7,0,$C$35*$J$5*$Q$4*2*PI()*$AE$8/($X$12*(LN(SQRT($J$4/(AD$32*PI()))/($J$10/2))-(1/2)+AD$211)))))</f>
        <v>0</v>
      </c>
      <c r="AE214" s="562">
        <f ca="1">IF(Cashflow!AE$111="C/I",0,IF(AE$33=0,0,IF(AE$213&lt;$Q$7,0,$C$35*$J$5*$Q$4*2*PI()*$AE$8/($X$12*(LN(SQRT($J$4/(AE$32*PI()))/($J$10/2))-(1/2)+AE$211)))))</f>
        <v>0</v>
      </c>
      <c r="AF214" s="562">
        <f ca="1">IF(Cashflow!AF$111="C/I",0,IF(AF$33=0,0,IF(AF$213&lt;$Q$7,0,$C$35*$J$5*$Q$4*2*PI()*$AE$8/($X$12*(LN(SQRT($J$4/(AF$32*PI()))/($J$10/2))-(1/2)+AF$211)))))</f>
        <v>0</v>
      </c>
      <c r="AG214" s="562">
        <f ca="1">IF(Cashflow!AG$111="C/I",0,IF(AG$33=0,0,IF(AG$213&lt;$Q$7,0,$C$35*$J$5*$Q$4*2*PI()*$AE$8/($X$12*(LN(SQRT($J$4/(AG$32*PI()))/($J$10/2))-(1/2)+AG$211)))))</f>
        <v>0</v>
      </c>
      <c r="AH214" s="19"/>
      <c r="AI214" s="19"/>
      <c r="AJ214" s="19"/>
      <c r="AK214" s="21"/>
      <c r="AL214" s="21"/>
      <c r="AM214" s="19"/>
      <c r="AN214" s="19"/>
      <c r="AO214" s="326"/>
      <c r="AP214" s="326"/>
      <c r="AQ214" s="326"/>
      <c r="AR214" s="326"/>
      <c r="AS214" s="326"/>
      <c r="AT214" s="326"/>
      <c r="AU214" s="326"/>
      <c r="AV214" s="326"/>
      <c r="AW214" s="326"/>
      <c r="AX214" s="326"/>
      <c r="AY214" s="326"/>
      <c r="AZ214" s="326"/>
    </row>
    <row r="215" spans="1:52">
      <c r="A215" s="19"/>
      <c r="B215" s="191" t="str">
        <f>"Injection for wells built in Year "&amp;Cashflow!D$164</f>
        <v>Injection for wells built in Year 2018</v>
      </c>
      <c r="C215" s="563"/>
      <c r="D215" s="562">
        <f>IF(Cashflow!D$111="C/I",0,IF(D$33=0,0,IF(D$213&lt;$Q$7,0,$D$35*$J$5*$Q$4*2*PI()*$AE$8/($X$12*(LN(SQRT($J$4/(D$32*PI()))/($J$10/2))-(1/2)+C$211)))))</f>
        <v>0</v>
      </c>
      <c r="E215" s="562">
        <f>IF(Cashflow!E$111="C/I",0,IF(E$33=0,0,IF(E$213&lt;$Q$7,0,$D$35*$J$5*$Q$4*2*PI()*$AE$8/($X$12*(LN(SQRT($J$4/(E$32*PI()))/($J$10/2))-(1/2)+D$211)))))</f>
        <v>0</v>
      </c>
      <c r="F215" s="562">
        <f>IF(Cashflow!F$111="C/I",0,IF(F$33=0,0,IF(F$213&lt;$Q$7,0,$D$35*$J$5*$Q$4*2*PI()*$AE$8/($X$12*(LN(SQRT($J$4/(F$32*PI()))/($J$10/2))-(1/2)+E$211)))))</f>
        <v>0</v>
      </c>
      <c r="G215" s="562">
        <f>IF(Cashflow!G$111="C/I",0,IF(G$33=0,0,IF(G$213&lt;$Q$7,0,$D$35*$J$5*$Q$4*2*PI()*$AE$8/($X$12*(LN(SQRT($J$4/(G$32*PI()))/($J$10/2))-(1/2)+F$211)))))</f>
        <v>0</v>
      </c>
      <c r="H215" s="562">
        <f>IF(Cashflow!H$111="C/I",0,IF(H$33=0,0,IF(H$213&lt;$Q$7,0,$D$35*$J$5*$Q$4*2*PI()*$AE$8/($X$12*(LN(SQRT($J$4/(H$32*PI()))/($J$10/2))-(1/2)+G$211)))))</f>
        <v>0</v>
      </c>
      <c r="I215" s="562">
        <f>IF(Cashflow!I$111="C/I",0,IF(I$33=0,0,IF(I$213&lt;$Q$7,0,$D$35*$J$5*$Q$4*2*PI()*$AE$8/($X$12*(LN(SQRT($J$4/(I$32*PI()))/($J$10/2))-(1/2)+H$211)))))</f>
        <v>0</v>
      </c>
      <c r="J215" s="562">
        <f>IF(Cashflow!J$111="C/I",0,IF(J$33=0,0,IF(J$213&lt;$Q$7,0,$D$35*$J$5*$Q$4*2*PI()*$AE$8/($X$12*(LN(SQRT($J$4/(J$32*PI()))/($J$10/2))-(1/2)+I$211)))))</f>
        <v>0</v>
      </c>
      <c r="K215" s="562">
        <f>IF(Cashflow!K$111="C/I",0,IF(K$33=0,0,IF(K$213&lt;$Q$7,0,$D$35*$J$5*$Q$4*2*PI()*$AE$8/($X$12*(LN(SQRT($J$4/(K$32*PI()))/($J$10/2))-(1/2)+J$211)))))</f>
        <v>0</v>
      </c>
      <c r="L215" s="562">
        <f ca="1">IF(Cashflow!L$111="C/I",0,IF(L$33=0,0,IF(L$213&lt;$Q$7,0,$D$35*$J$5*$Q$4*2*PI()*$AE$8/($X$12*(LN(SQRT($J$4/(L$32*PI()))/($J$10/2))-(1/2)+K$211)))))</f>
        <v>0</v>
      </c>
      <c r="M215" s="562">
        <f ca="1">IF(Cashflow!M$111="C/I",0,IF(M$33=0,0,IF(M$213&lt;$Q$7,0,$D$35*$J$5*$Q$4*2*PI()*$AE$8/($X$12*(LN(SQRT($J$4/(M$32*PI()))/($J$10/2))-(1/2)+L$211)))))</f>
        <v>0</v>
      </c>
      <c r="N215" s="562">
        <f ca="1">IF(Cashflow!N$111="C/I",0,IF(N$33=0,0,IF(N$213&lt;$Q$7,0,$D$35*$J$5*$Q$4*2*PI()*$AE$8/($X$12*(LN(SQRT($J$4/(N$32*PI()))/($J$10/2))-(1/2)+M$211)))))</f>
        <v>0</v>
      </c>
      <c r="O215" s="562">
        <f ca="1">IF(Cashflow!O$111="C/I",0,IF(O$33=0,0,IF(O$213&lt;$Q$7,0,$D$35*$J$5*$Q$4*2*PI()*$AE$8/($X$12*(LN(SQRT($J$4/(O$32*PI()))/($J$10/2))-(1/2)+N$211)))))</f>
        <v>0</v>
      </c>
      <c r="P215" s="562">
        <f ca="1">IF(Cashflow!P$111="C/I",0,IF(P$33=0,0,IF(P$213&lt;$Q$7,0,$D$35*$J$5*$Q$4*2*PI()*$AE$8/($X$12*(LN(SQRT($J$4/(P$32*PI()))/($J$10/2))-(1/2)+O$211)))))</f>
        <v>0</v>
      </c>
      <c r="Q215" s="562">
        <f ca="1">IF(Cashflow!Q$111="C/I",0,IF(Q$33=0,0,IF(Q$213&lt;$Q$7,0,$D$35*$J$5*$Q$4*2*PI()*$AE$8/($X$12*(LN(SQRT($J$4/(Q$32*PI()))/($J$10/2))-(1/2)+P$211)))))</f>
        <v>0</v>
      </c>
      <c r="R215" s="562">
        <f ca="1">IF(Cashflow!R$111="C/I",0,IF(R$33=0,0,IF(R$213&lt;$Q$7,0,$D$35*$J$5*$Q$4*2*PI()*$AE$8/($X$12*(LN(SQRT($J$4/(R$32*PI()))/($J$10/2))-(1/2)+Q$211)))))</f>
        <v>0</v>
      </c>
      <c r="S215" s="562">
        <f ca="1">IF(Cashflow!S$111="C/I",0,IF(S$33=0,0,IF(S$213&lt;$Q$7,0,$D$35*$J$5*$Q$4*2*PI()*$AE$8/($X$12*(LN(SQRT($J$4/(S$32*PI()))/($J$10/2))-(1/2)+R$211)))))</f>
        <v>0</v>
      </c>
      <c r="T215" s="562">
        <f ca="1">IF(Cashflow!T$111="C/I",0,IF(T$33=0,0,IF(T$213&lt;$Q$7,0,$D$35*$J$5*$Q$4*2*PI()*$AE$8/($X$12*(LN(SQRT($J$4/(T$32*PI()))/($J$10/2))-(1/2)+S$211)))))</f>
        <v>0</v>
      </c>
      <c r="U215" s="562">
        <f ca="1">IF(Cashflow!U$111="C/I",0,IF(U$33=0,0,IF(U$213&lt;$Q$7,0,$D$35*$J$5*$Q$4*2*PI()*$AE$8/($X$12*(LN(SQRT($J$4/(U$32*PI()))/($J$10/2))-(1/2)+T$211)))))</f>
        <v>0</v>
      </c>
      <c r="V215" s="562">
        <f ca="1">IF(Cashflow!V$111="C/I",0,IF(V$33=0,0,IF(V$213&lt;$Q$7,0,$D$35*$J$5*$Q$4*2*PI()*$AE$8/($X$12*(LN(SQRT($J$4/(V$32*PI()))/($J$10/2))-(1/2)+U$211)))))</f>
        <v>0</v>
      </c>
      <c r="W215" s="562">
        <f ca="1">IF(Cashflow!W$111="C/I",0,IF(W$33=0,0,IF(W$213&lt;$Q$7,0,$D$35*$J$5*$Q$4*2*PI()*$AE$8/($X$12*(LN(SQRT($J$4/(W$32*PI()))/($J$10/2))-(1/2)+V$211)))))</f>
        <v>0</v>
      </c>
      <c r="X215" s="562">
        <f ca="1">IF(Cashflow!X$111="C/I",0,IF(X$33=0,0,IF(X$213&lt;$Q$7,0,$D$35*$J$5*$Q$4*2*PI()*$AE$8/($X$12*(LN(SQRT($J$4/(X$32*PI()))/($J$10/2))-(1/2)+W$211)))))</f>
        <v>0</v>
      </c>
      <c r="Y215" s="562">
        <f ca="1">IF(Cashflow!Y$111="C/I",0,IF(Y$33=0,0,IF(Y$213&lt;$Q$7,0,$D$35*$J$5*$Q$4*2*PI()*$AE$8/($X$12*(LN(SQRT($J$4/(Y$32*PI()))/($J$10/2))-(1/2)+X$211)))))</f>
        <v>0</v>
      </c>
      <c r="Z215" s="562">
        <f ca="1">IF(Cashflow!Z$111="C/I",0,IF(Z$33=0,0,IF(Z$213&lt;$Q$7,0,$D$35*$J$5*$Q$4*2*PI()*$AE$8/($X$12*(LN(SQRT($J$4/(Z$32*PI()))/($J$10/2))-(1/2)+Y$211)))))</f>
        <v>0</v>
      </c>
      <c r="AA215" s="562">
        <f ca="1">IF(Cashflow!AA$111="C/I",0,IF(AA$33=0,0,IF(AA$213&lt;$Q$7,0,$D$35*$J$5*$Q$4*2*PI()*$AE$8/($X$12*(LN(SQRT($J$4/(AA$32*PI()))/($J$10/2))-(1/2)+Z$211)))))</f>
        <v>0</v>
      </c>
      <c r="AB215" s="562">
        <f ca="1">IF(Cashflow!AB$111="C/I",0,IF(AB$33=0,0,IF(AB$213&lt;$Q$7,0,$D$35*$J$5*$Q$4*2*PI()*$AE$8/($X$12*(LN(SQRT($J$4/(AB$32*PI()))/($J$10/2))-(1/2)+AA$211)))))</f>
        <v>0</v>
      </c>
      <c r="AC215" s="562">
        <f ca="1">IF(Cashflow!AC$111="C/I",0,IF(AC$33=0,0,IF(AC$213&lt;$Q$7,0,$D$35*$J$5*$Q$4*2*PI()*$AE$8/($X$12*(LN(SQRT($J$4/(AC$32*PI()))/($J$10/2))-(1/2)+AB$211)))))</f>
        <v>0</v>
      </c>
      <c r="AD215" s="562">
        <f ca="1">IF(Cashflow!AD$111="C/I",0,IF(AD$33=0,0,IF(AD$213&lt;$Q$7,0,$D$35*$J$5*$Q$4*2*PI()*$AE$8/($X$12*(LN(SQRT($J$4/(AD$32*PI()))/($J$10/2))-(1/2)+AC$211)))))</f>
        <v>0</v>
      </c>
      <c r="AE215" s="562">
        <f ca="1">IF(Cashflow!AE$111="C/I",0,IF(AE$33=0,0,IF(AE$213&lt;$Q$7,0,$D$35*$J$5*$Q$4*2*PI()*$AE$8/($X$12*(LN(SQRT($J$4/(AE$32*PI()))/($J$10/2))-(1/2)+AD$211)))))</f>
        <v>0</v>
      </c>
      <c r="AF215" s="562">
        <f ca="1">IF(Cashflow!AF$111="C/I",0,IF(AF$33=0,0,IF(AF$213&lt;$Q$7,0,$D$35*$J$5*$Q$4*2*PI()*$AE$8/($X$12*(LN(SQRT($J$4/(AF$32*PI()))/($J$10/2))-(1/2)+AE$211)))))</f>
        <v>0</v>
      </c>
      <c r="AG215" s="562">
        <f ca="1">IF(Cashflow!AG$111="C/I",0,IF(AG$33=0,0,IF(AG$213&lt;$Q$7,0,$D$35*$J$5*$Q$4*2*PI()*$AE$8/($X$12*(LN(SQRT($J$4/(AG$32*PI()))/($J$10/2))-(1/2)+AF$211)))))</f>
        <v>0</v>
      </c>
      <c r="AH215" s="19"/>
      <c r="AI215" s="19"/>
      <c r="AJ215" s="19"/>
      <c r="AK215" s="21"/>
      <c r="AL215" s="21"/>
      <c r="AM215" s="19"/>
      <c r="AN215" s="19"/>
      <c r="AO215" s="326"/>
      <c r="AP215" s="326"/>
      <c r="AQ215" s="326"/>
      <c r="AR215" s="326"/>
      <c r="AS215" s="326"/>
      <c r="AT215" s="326"/>
      <c r="AU215" s="326"/>
      <c r="AV215" s="326"/>
      <c r="AW215" s="326"/>
      <c r="AX215" s="326"/>
      <c r="AY215" s="326"/>
      <c r="AZ215" s="326"/>
    </row>
    <row r="216" spans="1:52">
      <c r="A216" s="19"/>
      <c r="B216" s="191" t="str">
        <f>"Injection for wells built in Year "&amp;Cashflow!E$164</f>
        <v>Injection for wells built in Year 2019</v>
      </c>
      <c r="C216" s="563"/>
      <c r="D216" s="563"/>
      <c r="E216" s="562">
        <f>IF(Cashflow!E$111="C/I",0,IF(E$33=0,0,IF(E$213&lt;$Q$7,0,$E$35*$J$5*$Q$4*2*PI()*$AE$8/($X$12*(LN(SQRT($J$4/(E$32*PI()))/($J$10/2))-(1/2)+C$211)))))</f>
        <v>0</v>
      </c>
      <c r="F216" s="562">
        <f>IF(Cashflow!F$111="C/I",0,IF(F$33=0,0,IF(F$213&lt;$Q$7,0,$E$35*$J$5*$Q$4*2*PI()*$AE$8/($X$12*(LN(SQRT($J$4/(F$32*PI()))/($J$10/2))-(1/2)+D$211)))))</f>
        <v>0</v>
      </c>
      <c r="G216" s="562">
        <f>IF(Cashflow!G$111="C/I",0,IF(G$33=0,0,IF(G$213&lt;$Q$7,0,$E$35*$J$5*$Q$4*2*PI()*$AE$8/($X$12*(LN(SQRT($J$4/(G$32*PI()))/($J$10/2))-(1/2)+E$211)))))</f>
        <v>0</v>
      </c>
      <c r="H216" s="562">
        <f>IF(Cashflow!H$111="C/I",0,IF(H$33=0,0,IF(H$213&lt;$Q$7,0,$E$35*$J$5*$Q$4*2*PI()*$AE$8/($X$12*(LN(SQRT($J$4/(H$32*PI()))/($J$10/2))-(1/2)+F$211)))))</f>
        <v>0</v>
      </c>
      <c r="I216" s="562">
        <f>IF(Cashflow!I$111="C/I",0,IF(I$33=0,0,IF(I$213&lt;$Q$7,0,$E$35*$J$5*$Q$4*2*PI()*$AE$8/($X$12*(LN(SQRT($J$4/(I$32*PI()))/($J$10/2))-(1/2)+G$211)))))</f>
        <v>0</v>
      </c>
      <c r="J216" s="562">
        <f>IF(Cashflow!J$111="C/I",0,IF(J$33=0,0,IF(J$213&lt;$Q$7,0,$E$35*$J$5*$Q$4*2*PI()*$AE$8/($X$12*(LN(SQRT($J$4/(J$32*PI()))/($J$10/2))-(1/2)+H$211)))))</f>
        <v>0</v>
      </c>
      <c r="K216" s="562">
        <f>IF(Cashflow!K$111="C/I",0,IF(K$33=0,0,IF(K$213&lt;$Q$7,0,$E$35*$J$5*$Q$4*2*PI()*$AE$8/($X$12*(LN(SQRT($J$4/(K$32*PI()))/($J$10/2))-(1/2)+I$211)))))</f>
        <v>0</v>
      </c>
      <c r="L216" s="562">
        <f ca="1">IF(Cashflow!L$111="C/I",0,IF(L$33=0,0,IF(L$213&lt;$Q$7,0,$E$35*$J$5*$Q$4*2*PI()*$AE$8/($X$12*(LN(SQRT($J$4/(L$32*PI()))/($J$10/2))-(1/2)+J$211)))))</f>
        <v>0</v>
      </c>
      <c r="M216" s="562">
        <f ca="1">IF(Cashflow!M$111="C/I",0,IF(M$33=0,0,IF(M$213&lt;$Q$7,0,$E$35*$J$5*$Q$4*2*PI()*$AE$8/($X$12*(LN(SQRT($J$4/(M$32*PI()))/($J$10/2))-(1/2)+K$211)))))</f>
        <v>0</v>
      </c>
      <c r="N216" s="562">
        <f ca="1">IF(Cashflow!N$111="C/I",0,IF(N$33=0,0,IF(N$213&lt;$Q$7,0,$E$35*$J$5*$Q$4*2*PI()*$AE$8/($X$12*(LN(SQRT($J$4/(N$32*PI()))/($J$10/2))-(1/2)+L$211)))))</f>
        <v>0</v>
      </c>
      <c r="O216" s="562">
        <f ca="1">IF(Cashflow!O$111="C/I",0,IF(O$33=0,0,IF(O$213&lt;$Q$7,0,$E$35*$J$5*$Q$4*2*PI()*$AE$8/($X$12*(LN(SQRT($J$4/(O$32*PI()))/($J$10/2))-(1/2)+M$211)))))</f>
        <v>0</v>
      </c>
      <c r="P216" s="562">
        <f ca="1">IF(Cashflow!P$111="C/I",0,IF(P$33=0,0,IF(P$213&lt;$Q$7,0,$E$35*$J$5*$Q$4*2*PI()*$AE$8/($X$12*(LN(SQRT($J$4/(P$32*PI()))/($J$10/2))-(1/2)+N$211)))))</f>
        <v>0</v>
      </c>
      <c r="Q216" s="562">
        <f ca="1">IF(Cashflow!Q$111="C/I",0,IF(Q$33=0,0,IF(Q$213&lt;$Q$7,0,$E$35*$J$5*$Q$4*2*PI()*$AE$8/($X$12*(LN(SQRT($J$4/(Q$32*PI()))/($J$10/2))-(1/2)+O$211)))))</f>
        <v>0</v>
      </c>
      <c r="R216" s="562">
        <f ca="1">IF(Cashflow!R$111="C/I",0,IF(R$33=0,0,IF(R$213&lt;$Q$7,0,$E$35*$J$5*$Q$4*2*PI()*$AE$8/($X$12*(LN(SQRT($J$4/(R$32*PI()))/($J$10/2))-(1/2)+P$211)))))</f>
        <v>0</v>
      </c>
      <c r="S216" s="562">
        <f ca="1">IF(Cashflow!S$111="C/I",0,IF(S$33=0,0,IF(S$213&lt;$Q$7,0,$E$35*$J$5*$Q$4*2*PI()*$AE$8/($X$12*(LN(SQRT($J$4/(S$32*PI()))/($J$10/2))-(1/2)+Q$211)))))</f>
        <v>0</v>
      </c>
      <c r="T216" s="562">
        <f ca="1">IF(Cashflow!T$111="C/I",0,IF(T$33=0,0,IF(T$213&lt;$Q$7,0,$E$35*$J$5*$Q$4*2*PI()*$AE$8/($X$12*(LN(SQRT($J$4/(T$32*PI()))/($J$10/2))-(1/2)+R$211)))))</f>
        <v>0</v>
      </c>
      <c r="U216" s="562">
        <f ca="1">IF(Cashflow!U$111="C/I",0,IF(U$33=0,0,IF(U$213&lt;$Q$7,0,$E$35*$J$5*$Q$4*2*PI()*$AE$8/($X$12*(LN(SQRT($J$4/(U$32*PI()))/($J$10/2))-(1/2)+S$211)))))</f>
        <v>0</v>
      </c>
      <c r="V216" s="562">
        <f ca="1">IF(Cashflow!V$111="C/I",0,IF(V$33=0,0,IF(V$213&lt;$Q$7,0,$E$35*$J$5*$Q$4*2*PI()*$AE$8/($X$12*(LN(SQRT($J$4/(V$32*PI()))/($J$10/2))-(1/2)+T$211)))))</f>
        <v>0</v>
      </c>
      <c r="W216" s="562">
        <f ca="1">IF(Cashflow!W$111="C/I",0,IF(W$33=0,0,IF(W$213&lt;$Q$7,0,$E$35*$J$5*$Q$4*2*PI()*$AE$8/($X$12*(LN(SQRT($J$4/(W$32*PI()))/($J$10/2))-(1/2)+U$211)))))</f>
        <v>0</v>
      </c>
      <c r="X216" s="562">
        <f ca="1">IF(Cashflow!X$111="C/I",0,IF(X$33=0,0,IF(X$213&lt;$Q$7,0,$E$35*$J$5*$Q$4*2*PI()*$AE$8/($X$12*(LN(SQRT($J$4/(X$32*PI()))/($J$10/2))-(1/2)+V$211)))))</f>
        <v>0</v>
      </c>
      <c r="Y216" s="562">
        <f ca="1">IF(Cashflow!Y$111="C/I",0,IF(Y$33=0,0,IF(Y$213&lt;$Q$7,0,$E$35*$J$5*$Q$4*2*PI()*$AE$8/($X$12*(LN(SQRT($J$4/(Y$32*PI()))/($J$10/2))-(1/2)+W$211)))))</f>
        <v>0</v>
      </c>
      <c r="Z216" s="562">
        <f ca="1">IF(Cashflow!Z$111="C/I",0,IF(Z$33=0,0,IF(Z$213&lt;$Q$7,0,$E$35*$J$5*$Q$4*2*PI()*$AE$8/($X$12*(LN(SQRT($J$4/(Z$32*PI()))/($J$10/2))-(1/2)+X$211)))))</f>
        <v>0</v>
      </c>
      <c r="AA216" s="562">
        <f ca="1">IF(Cashflow!AA$111="C/I",0,IF(AA$33=0,0,IF(AA$213&lt;$Q$7,0,$E$35*$J$5*$Q$4*2*PI()*$AE$8/($X$12*(LN(SQRT($J$4/(AA$32*PI()))/($J$10/2))-(1/2)+Y$211)))))</f>
        <v>0</v>
      </c>
      <c r="AB216" s="562">
        <f ca="1">IF(Cashflow!AB$111="C/I",0,IF(AB$33=0,0,IF(AB$213&lt;$Q$7,0,$E$35*$J$5*$Q$4*2*PI()*$AE$8/($X$12*(LN(SQRT($J$4/(AB$32*PI()))/($J$10/2))-(1/2)+Z$211)))))</f>
        <v>0</v>
      </c>
      <c r="AC216" s="562">
        <f ca="1">IF(Cashflow!AC$111="C/I",0,IF(AC$33=0,0,IF(AC$213&lt;$Q$7,0,$E$35*$J$5*$Q$4*2*PI()*$AE$8/($X$12*(LN(SQRT($J$4/(AC$32*PI()))/($J$10/2))-(1/2)+AA$211)))))</f>
        <v>0</v>
      </c>
      <c r="AD216" s="562">
        <f ca="1">IF(Cashflow!AD$111="C/I",0,IF(AD$33=0,0,IF(AD$213&lt;$Q$7,0,$E$35*$J$5*$Q$4*2*PI()*$AE$8/($X$12*(LN(SQRT($J$4/(AD$32*PI()))/($J$10/2))-(1/2)+AB$211)))))</f>
        <v>0</v>
      </c>
      <c r="AE216" s="562">
        <f ca="1">IF(Cashflow!AE$111="C/I",0,IF(AE$33=0,0,IF(AE$213&lt;$Q$7,0,$E$35*$J$5*$Q$4*2*PI()*$AE$8/($X$12*(LN(SQRT($J$4/(AE$32*PI()))/($J$10/2))-(1/2)+AC$211)))))</f>
        <v>0</v>
      </c>
      <c r="AF216" s="562">
        <f ca="1">IF(Cashflow!AF$111="C/I",0,IF(AF$33=0,0,IF(AF$213&lt;$Q$7,0,$E$35*$J$5*$Q$4*2*PI()*$AE$8/($X$12*(LN(SQRT($J$4/(AF$32*PI()))/($J$10/2))-(1/2)+AD$211)))))</f>
        <v>0</v>
      </c>
      <c r="AG216" s="562">
        <f ca="1">IF(Cashflow!AG$111="C/I",0,IF(AG$33=0,0,IF(AG$213&lt;$Q$7,0,$E$35*$J$5*$Q$4*2*PI()*$AE$8/($X$12*(LN(SQRT($J$4/(AG$32*PI()))/($J$10/2))-(1/2)+AE$211)))))</f>
        <v>0</v>
      </c>
      <c r="AH216" s="19"/>
      <c r="AI216" s="19"/>
      <c r="AJ216" s="19"/>
      <c r="AK216" s="21"/>
      <c r="AL216" s="21"/>
      <c r="AM216" s="19"/>
      <c r="AN216" s="19"/>
      <c r="AO216" s="326"/>
      <c r="AP216" s="326"/>
      <c r="AQ216" s="326"/>
      <c r="AR216" s="326"/>
      <c r="AS216" s="326"/>
      <c r="AT216" s="326"/>
      <c r="AU216" s="326"/>
      <c r="AV216" s="326"/>
      <c r="AW216" s="326"/>
      <c r="AX216" s="326"/>
      <c r="AY216" s="326"/>
      <c r="AZ216" s="326"/>
    </row>
    <row r="217" spans="1:52">
      <c r="A217" s="19"/>
      <c r="B217" s="191" t="str">
        <f>"Injection for wells built in Year "&amp;Cashflow!F$164</f>
        <v>Injection for wells built in Year 2020</v>
      </c>
      <c r="C217" s="563"/>
      <c r="D217" s="563"/>
      <c r="E217" s="563"/>
      <c r="F217" s="562">
        <f>IF(Cashflow!F$111="C/I",0,IF(F$33=0,0,IF(F$213&lt;$Q$7,0,$F$35*$J$5*$Q$4*2*PI()*$AE$8/($X$12*(LN(SQRT($J$4/(F$32*PI()))/($J$10/2))-(1/2)+C$211)))))</f>
        <v>0</v>
      </c>
      <c r="G217" s="562">
        <f>IF(Cashflow!G$111="C/I",0,IF(G$33=0,0,IF(G$213&lt;$Q$7,0,$F$35*$J$5*$Q$4*2*PI()*$AE$8/($X$12*(LN(SQRT($J$4/(G$32*PI()))/($J$10/2))-(1/2)+D$211)))))</f>
        <v>0</v>
      </c>
      <c r="H217" s="562">
        <f>IF(Cashflow!H$111="C/I",0,IF(H$33=0,0,IF(H$213&lt;$Q$7,0,$F$35*$J$5*$Q$4*2*PI()*$AE$8/($X$12*(LN(SQRT($J$4/(H$32*PI()))/($J$10/2))-(1/2)+E$211)))))</f>
        <v>0</v>
      </c>
      <c r="I217" s="562">
        <f>IF(Cashflow!I$111="C/I",0,IF(I$33=0,0,IF(I$213&lt;$Q$7,0,$F$35*$J$5*$Q$4*2*PI()*$AE$8/($X$12*(LN(SQRT($J$4/(I$32*PI()))/($J$10/2))-(1/2)+F$211)))))</f>
        <v>0</v>
      </c>
      <c r="J217" s="562">
        <f>IF(Cashflow!J$111="C/I",0,IF(J$33=0,0,IF(J$213&lt;$Q$7,0,$F$35*$J$5*$Q$4*2*PI()*$AE$8/($X$12*(LN(SQRT($J$4/(J$32*PI()))/($J$10/2))-(1/2)+G$211)))))</f>
        <v>0</v>
      </c>
      <c r="K217" s="562">
        <f>IF(Cashflow!K$111="C/I",0,IF(K$33=0,0,IF(K$213&lt;$Q$7,0,$F$35*$J$5*$Q$4*2*PI()*$AE$8/($X$12*(LN(SQRT($J$4/(K$32*PI()))/($J$10/2))-(1/2)+H$211)))))</f>
        <v>0</v>
      </c>
      <c r="L217" s="562">
        <f ca="1">IF(Cashflow!L$111="C/I",0,IF(L$33=0,0,IF(L$213&lt;$Q$7,0,$F$35*$J$5*$Q$4*2*PI()*$AE$8/($X$12*(LN(SQRT($J$4/(L$32*PI()))/($J$10/2))-(1/2)+I$211)))))</f>
        <v>0</v>
      </c>
      <c r="M217" s="562">
        <f ca="1">IF(Cashflow!M$111="C/I",0,IF(M$33=0,0,IF(M$213&lt;$Q$7,0,$F$35*$J$5*$Q$4*2*PI()*$AE$8/($X$12*(LN(SQRT($J$4/(M$32*PI()))/($J$10/2))-(1/2)+J$211)))))</f>
        <v>0</v>
      </c>
      <c r="N217" s="562">
        <f ca="1">IF(Cashflow!N$111="C/I",0,IF(N$33=0,0,IF(N$213&lt;$Q$7,0,$F$35*$J$5*$Q$4*2*PI()*$AE$8/($X$12*(LN(SQRT($J$4/(N$32*PI()))/($J$10/2))-(1/2)+K$211)))))</f>
        <v>0</v>
      </c>
      <c r="O217" s="562">
        <f ca="1">IF(Cashflow!O$111="C/I",0,IF(O$33=0,0,IF(O$213&lt;$Q$7,0,$F$35*$J$5*$Q$4*2*PI()*$AE$8/($X$12*(LN(SQRT($J$4/(O$32*PI()))/($J$10/2))-(1/2)+L$211)))))</f>
        <v>0</v>
      </c>
      <c r="P217" s="562">
        <f ca="1">IF(Cashflow!P$111="C/I",0,IF(P$33=0,0,IF(P$213&lt;$Q$7,0,$F$35*$J$5*$Q$4*2*PI()*$AE$8/($X$12*(LN(SQRT($J$4/(P$32*PI()))/($J$10/2))-(1/2)+M$211)))))</f>
        <v>0</v>
      </c>
      <c r="Q217" s="562">
        <f ca="1">IF(Cashflow!Q$111="C/I",0,IF(Q$33=0,0,IF(Q$213&lt;$Q$7,0,$F$35*$J$5*$Q$4*2*PI()*$AE$8/($X$12*(LN(SQRT($J$4/(Q$32*PI()))/($J$10/2))-(1/2)+N$211)))))</f>
        <v>0</v>
      </c>
      <c r="R217" s="562">
        <f ca="1">IF(Cashflow!R$111="C/I",0,IF(R$33=0,0,IF(R$213&lt;$Q$7,0,$F$35*$J$5*$Q$4*2*PI()*$AE$8/($X$12*(LN(SQRT($J$4/(R$32*PI()))/($J$10/2))-(1/2)+O$211)))))</f>
        <v>0</v>
      </c>
      <c r="S217" s="562">
        <f ca="1">IF(Cashflow!S$111="C/I",0,IF(S$33=0,0,IF(S$213&lt;$Q$7,0,$F$35*$J$5*$Q$4*2*PI()*$AE$8/($X$12*(LN(SQRT($J$4/(S$32*PI()))/($J$10/2))-(1/2)+P$211)))))</f>
        <v>0</v>
      </c>
      <c r="T217" s="562">
        <f ca="1">IF(Cashflow!T$111="C/I",0,IF(T$33=0,0,IF(T$213&lt;$Q$7,0,$F$35*$J$5*$Q$4*2*PI()*$AE$8/($X$12*(LN(SQRT($J$4/(T$32*PI()))/($J$10/2))-(1/2)+Q$211)))))</f>
        <v>0</v>
      </c>
      <c r="U217" s="562">
        <f ca="1">IF(Cashflow!U$111="C/I",0,IF(U$33=0,0,IF(U$213&lt;$Q$7,0,$F$35*$J$5*$Q$4*2*PI()*$AE$8/($X$12*(LN(SQRT($J$4/(U$32*PI()))/($J$10/2))-(1/2)+R$211)))))</f>
        <v>0</v>
      </c>
      <c r="V217" s="562">
        <f ca="1">IF(Cashflow!V$111="C/I",0,IF(V$33=0,0,IF(V$213&lt;$Q$7,0,$F$35*$J$5*$Q$4*2*PI()*$AE$8/($X$12*(LN(SQRT($J$4/(V$32*PI()))/($J$10/2))-(1/2)+S$211)))))</f>
        <v>0</v>
      </c>
      <c r="W217" s="562">
        <f ca="1">IF(Cashflow!W$111="C/I",0,IF(W$33=0,0,IF(W$213&lt;$Q$7,0,$F$35*$J$5*$Q$4*2*PI()*$AE$8/($X$12*(LN(SQRT($J$4/(W$32*PI()))/($J$10/2))-(1/2)+T$211)))))</f>
        <v>0</v>
      </c>
      <c r="X217" s="562">
        <f ca="1">IF(Cashflow!X$111="C/I",0,IF(X$33=0,0,IF(X$213&lt;$Q$7,0,$F$35*$J$5*$Q$4*2*PI()*$AE$8/($X$12*(LN(SQRT($J$4/(X$32*PI()))/($J$10/2))-(1/2)+U$211)))))</f>
        <v>0</v>
      </c>
      <c r="Y217" s="562">
        <f ca="1">IF(Cashflow!Y$111="C/I",0,IF(Y$33=0,0,IF(Y$213&lt;$Q$7,0,$F$35*$J$5*$Q$4*2*PI()*$AE$8/($X$12*(LN(SQRT($J$4/(Y$32*PI()))/($J$10/2))-(1/2)+V$211)))))</f>
        <v>0</v>
      </c>
      <c r="Z217" s="562">
        <f ca="1">IF(Cashflow!Z$111="C/I",0,IF(Z$33=0,0,IF(Z$213&lt;$Q$7,0,$F$35*$J$5*$Q$4*2*PI()*$AE$8/($X$12*(LN(SQRT($J$4/(Z$32*PI()))/($J$10/2))-(1/2)+W$211)))))</f>
        <v>0</v>
      </c>
      <c r="AA217" s="562">
        <f ca="1">IF(Cashflow!AA$111="C/I",0,IF(AA$33=0,0,IF(AA$213&lt;$Q$7,0,$F$35*$J$5*$Q$4*2*PI()*$AE$8/($X$12*(LN(SQRT($J$4/(AA$32*PI()))/($J$10/2))-(1/2)+X$211)))))</f>
        <v>0</v>
      </c>
      <c r="AB217" s="562">
        <f ca="1">IF(Cashflow!AB$111="C/I",0,IF(AB$33=0,0,IF(AB$213&lt;$Q$7,0,$F$35*$J$5*$Q$4*2*PI()*$AE$8/($X$12*(LN(SQRT($J$4/(AB$32*PI()))/($J$10/2))-(1/2)+Y$211)))))</f>
        <v>0</v>
      </c>
      <c r="AC217" s="562">
        <f ca="1">IF(Cashflow!AC$111="C/I",0,IF(AC$33=0,0,IF(AC$213&lt;$Q$7,0,$F$35*$J$5*$Q$4*2*PI()*$AE$8/($X$12*(LN(SQRT($J$4/(AC$32*PI()))/($J$10/2))-(1/2)+Z$211)))))</f>
        <v>0</v>
      </c>
      <c r="AD217" s="562">
        <f ca="1">IF(Cashflow!AD$111="C/I",0,IF(AD$33=0,0,IF(AD$213&lt;$Q$7,0,$F$35*$J$5*$Q$4*2*PI()*$AE$8/($X$12*(LN(SQRT($J$4/(AD$32*PI()))/($J$10/2))-(1/2)+AA$211)))))</f>
        <v>0</v>
      </c>
      <c r="AE217" s="562">
        <f ca="1">IF(Cashflow!AE$111="C/I",0,IF(AE$33=0,0,IF(AE$213&lt;$Q$7,0,$F$35*$J$5*$Q$4*2*PI()*$AE$8/($X$12*(LN(SQRT($J$4/(AE$32*PI()))/($J$10/2))-(1/2)+AB$211)))))</f>
        <v>0</v>
      </c>
      <c r="AF217" s="562">
        <f ca="1">IF(Cashflow!AF$111="C/I",0,IF(AF$33=0,0,IF(AF$213&lt;$Q$7,0,$F$35*$J$5*$Q$4*2*PI()*$AE$8/($X$12*(LN(SQRT($J$4/(AF$32*PI()))/($J$10/2))-(1/2)+AC$211)))))</f>
        <v>0</v>
      </c>
      <c r="AG217" s="562">
        <f ca="1">IF(Cashflow!AG$111="C/I",0,IF(AG$33=0,0,IF(AG$213&lt;$Q$7,0,$F$35*$J$5*$Q$4*2*PI()*$AE$8/($X$12*(LN(SQRT($J$4/(AG$32*PI()))/($J$10/2))-(1/2)+AD$211)))))</f>
        <v>0</v>
      </c>
      <c r="AH217" s="19"/>
      <c r="AI217" s="19"/>
      <c r="AJ217" s="19"/>
      <c r="AK217" s="21"/>
      <c r="AL217" s="21"/>
      <c r="AM217" s="19"/>
      <c r="AN217" s="19"/>
      <c r="AO217" s="326"/>
      <c r="AP217" s="326"/>
      <c r="AQ217" s="326"/>
      <c r="AR217" s="326"/>
      <c r="AS217" s="326"/>
      <c r="AT217" s="326"/>
      <c r="AU217" s="326"/>
      <c r="AV217" s="326"/>
      <c r="AW217" s="326"/>
      <c r="AX217" s="326"/>
      <c r="AY217" s="326"/>
      <c r="AZ217" s="326"/>
    </row>
    <row r="218" spans="1:52">
      <c r="A218" s="19"/>
      <c r="B218" s="191" t="str">
        <f>"Injection for wells built in Year "&amp;Cashflow!G$164</f>
        <v>Injection for wells built in Year 2021</v>
      </c>
      <c r="C218" s="563"/>
      <c r="D218" s="563"/>
      <c r="E218" s="563"/>
      <c r="F218" s="563"/>
      <c r="G218" s="562">
        <f>IF(Cashflow!G$111="C/I",0,IF(G$33=0,0,IF(G$213&lt;$Q$7,0,$G$35*$J$5*$Q$4*2*PI()*$AE$8/($X$12*(LN(SQRT($J$4/(G$32*PI()))/($J$10/2))-(1/2)+C$211)))))</f>
        <v>0</v>
      </c>
      <c r="H218" s="562">
        <f>IF(Cashflow!H$111="C/I",0,IF(H$33=0,0,IF(H$213&lt;$Q$7,0,$G$35*$J$5*$Q$4*2*PI()*$AE$8/($X$12*(LN(SQRT($J$4/(H$32*PI()))/($J$10/2))-(1/2)+D$211)))))</f>
        <v>0</v>
      </c>
      <c r="I218" s="562">
        <f>IF(Cashflow!I$111="C/I",0,IF(I$33=0,0,IF(I$213&lt;$Q$7,0,$G$35*$J$5*$Q$4*2*PI()*$AE$8/($X$12*(LN(SQRT($J$4/(I$32*PI()))/($J$10/2))-(1/2)+E$211)))))</f>
        <v>0</v>
      </c>
      <c r="J218" s="562">
        <f>IF(Cashflow!J$111="C/I",0,IF(J$33=0,0,IF(J$213&lt;$Q$7,0,$G$35*$J$5*$Q$4*2*PI()*$AE$8/($X$12*(LN(SQRT($J$4/(J$32*PI()))/($J$10/2))-(1/2)+F$211)))))</f>
        <v>0</v>
      </c>
      <c r="K218" s="562">
        <f>IF(Cashflow!K$111="C/I",0,IF(K$33=0,0,IF(K$213&lt;$Q$7,0,$G$35*$J$5*$Q$4*2*PI()*$AE$8/($X$12*(LN(SQRT($J$4/(K$32*PI()))/($J$10/2))-(1/2)+G$211)))))</f>
        <v>0</v>
      </c>
      <c r="L218" s="562">
        <f ca="1">IF(Cashflow!L$111="C/I",0,IF(L$33=0,0,IF(L$213&lt;$Q$7,0,$G$35*$J$5*$Q$4*2*PI()*$AE$8/($X$12*(LN(SQRT($J$4/(L$32*PI()))/($J$10/2))-(1/2)+H$211)))))</f>
        <v>0</v>
      </c>
      <c r="M218" s="562">
        <f ca="1">IF(Cashflow!M$111="C/I",0,IF(M$33=0,0,IF(M$213&lt;$Q$7,0,$G$35*$J$5*$Q$4*2*PI()*$AE$8/($X$12*(LN(SQRT($J$4/(M$32*PI()))/($J$10/2))-(1/2)+I$211)))))</f>
        <v>0</v>
      </c>
      <c r="N218" s="562">
        <f ca="1">IF(Cashflow!N$111="C/I",0,IF(N$33=0,0,IF(N$213&lt;$Q$7,0,$G$35*$J$5*$Q$4*2*PI()*$AE$8/($X$12*(LN(SQRT($J$4/(N$32*PI()))/($J$10/2))-(1/2)+J$211)))))</f>
        <v>0</v>
      </c>
      <c r="O218" s="562">
        <f ca="1">IF(Cashflow!O$111="C/I",0,IF(O$33=0,0,IF(O$213&lt;$Q$7,0,$G$35*$J$5*$Q$4*2*PI()*$AE$8/($X$12*(LN(SQRT($J$4/(O$32*PI()))/($J$10/2))-(1/2)+K$211)))))</f>
        <v>0</v>
      </c>
      <c r="P218" s="562">
        <f ca="1">IF(Cashflow!P$111="C/I",0,IF(P$33=0,0,IF(P$213&lt;$Q$7,0,$G$35*$J$5*$Q$4*2*PI()*$AE$8/($X$12*(LN(SQRT($J$4/(P$32*PI()))/($J$10/2))-(1/2)+L$211)))))</f>
        <v>0</v>
      </c>
      <c r="Q218" s="562">
        <f ca="1">IF(Cashflow!Q$111="C/I",0,IF(Q$33=0,0,IF(Q$213&lt;$Q$7,0,$G$35*$J$5*$Q$4*2*PI()*$AE$8/($X$12*(LN(SQRT($J$4/(Q$32*PI()))/($J$10/2))-(1/2)+M$211)))))</f>
        <v>0</v>
      </c>
      <c r="R218" s="562">
        <f ca="1">IF(Cashflow!R$111="C/I",0,IF(R$33=0,0,IF(R$213&lt;$Q$7,0,$G$35*$J$5*$Q$4*2*PI()*$AE$8/($X$12*(LN(SQRT($J$4/(R$32*PI()))/($J$10/2))-(1/2)+N$211)))))</f>
        <v>0</v>
      </c>
      <c r="S218" s="562">
        <f ca="1">IF(Cashflow!S$111="C/I",0,IF(S$33=0,0,IF(S$213&lt;$Q$7,0,$G$35*$J$5*$Q$4*2*PI()*$AE$8/($X$12*(LN(SQRT($J$4/(S$32*PI()))/($J$10/2))-(1/2)+O$211)))))</f>
        <v>0</v>
      </c>
      <c r="T218" s="562">
        <f ca="1">IF(Cashflow!T$111="C/I",0,IF(T$33=0,0,IF(T$213&lt;$Q$7,0,$G$35*$J$5*$Q$4*2*PI()*$AE$8/($X$12*(LN(SQRT($J$4/(T$32*PI()))/($J$10/2))-(1/2)+P$211)))))</f>
        <v>0</v>
      </c>
      <c r="U218" s="562">
        <f ca="1">IF(Cashflow!U$111="C/I",0,IF(U$33=0,0,IF(U$213&lt;$Q$7,0,$G$35*$J$5*$Q$4*2*PI()*$AE$8/($X$12*(LN(SQRT($J$4/(U$32*PI()))/($J$10/2))-(1/2)+Q$211)))))</f>
        <v>0</v>
      </c>
      <c r="V218" s="562">
        <f ca="1">IF(Cashflow!V$111="C/I",0,IF(V$33=0,0,IF(V$213&lt;$Q$7,0,$G$35*$J$5*$Q$4*2*PI()*$AE$8/($X$12*(LN(SQRT($J$4/(V$32*PI()))/($J$10/2))-(1/2)+R$211)))))</f>
        <v>0</v>
      </c>
      <c r="W218" s="562">
        <f ca="1">IF(Cashflow!W$111="C/I",0,IF(W$33=0,0,IF(W$213&lt;$Q$7,0,$G$35*$J$5*$Q$4*2*PI()*$AE$8/($X$12*(LN(SQRT($J$4/(W$32*PI()))/($J$10/2))-(1/2)+S$211)))))</f>
        <v>0</v>
      </c>
      <c r="X218" s="562">
        <f ca="1">IF(Cashflow!X$111="C/I",0,IF(X$33=0,0,IF(X$213&lt;$Q$7,0,$G$35*$J$5*$Q$4*2*PI()*$AE$8/($X$12*(LN(SQRT($J$4/(X$32*PI()))/($J$10/2))-(1/2)+T$211)))))</f>
        <v>0</v>
      </c>
      <c r="Y218" s="562">
        <f ca="1">IF(Cashflow!Y$111="C/I",0,IF(Y$33=0,0,IF(Y$213&lt;$Q$7,0,$G$35*$J$5*$Q$4*2*PI()*$AE$8/($X$12*(LN(SQRT($J$4/(Y$32*PI()))/($J$10/2))-(1/2)+U$211)))))</f>
        <v>0</v>
      </c>
      <c r="Z218" s="562">
        <f ca="1">IF(Cashflow!Z$111="C/I",0,IF(Z$33=0,0,IF(Z$213&lt;$Q$7,0,$G$35*$J$5*$Q$4*2*PI()*$AE$8/($X$12*(LN(SQRT($J$4/(Z$32*PI()))/($J$10/2))-(1/2)+V$211)))))</f>
        <v>0</v>
      </c>
      <c r="AA218" s="562">
        <f ca="1">IF(Cashflow!AA$111="C/I",0,IF(AA$33=0,0,IF(AA$213&lt;$Q$7,0,$G$35*$J$5*$Q$4*2*PI()*$AE$8/($X$12*(LN(SQRT($J$4/(AA$32*PI()))/($J$10/2))-(1/2)+W$211)))))</f>
        <v>0</v>
      </c>
      <c r="AB218" s="562">
        <f ca="1">IF(Cashflow!AB$111="C/I",0,IF(AB$33=0,0,IF(AB$213&lt;$Q$7,0,$G$35*$J$5*$Q$4*2*PI()*$AE$8/($X$12*(LN(SQRT($J$4/(AB$32*PI()))/($J$10/2))-(1/2)+X$211)))))</f>
        <v>0</v>
      </c>
      <c r="AC218" s="562">
        <f ca="1">IF(Cashflow!AC$111="C/I",0,IF(AC$33=0,0,IF(AC$213&lt;$Q$7,0,$G$35*$J$5*$Q$4*2*PI()*$AE$8/($X$12*(LN(SQRT($J$4/(AC$32*PI()))/($J$10/2))-(1/2)+Y$211)))))</f>
        <v>0</v>
      </c>
      <c r="AD218" s="562">
        <f ca="1">IF(Cashflow!AD$111="C/I",0,IF(AD$33=0,0,IF(AD$213&lt;$Q$7,0,$G$35*$J$5*$Q$4*2*PI()*$AE$8/($X$12*(LN(SQRT($J$4/(AD$32*PI()))/($J$10/2))-(1/2)+Z$211)))))</f>
        <v>0</v>
      </c>
      <c r="AE218" s="562">
        <f ca="1">IF(Cashflow!AE$111="C/I",0,IF(AE$33=0,0,IF(AE$213&lt;$Q$7,0,$G$35*$J$5*$Q$4*2*PI()*$AE$8/($X$12*(LN(SQRT($J$4/(AE$32*PI()))/($J$10/2))-(1/2)+AA$211)))))</f>
        <v>0</v>
      </c>
      <c r="AF218" s="562">
        <f ca="1">IF(Cashflow!AF$111="C/I",0,IF(AF$33=0,0,IF(AF$213&lt;$Q$7,0,$G$35*$J$5*$Q$4*2*PI()*$AE$8/($X$12*(LN(SQRT($J$4/(AF$32*PI()))/($J$10/2))-(1/2)+AB$211)))))</f>
        <v>0</v>
      </c>
      <c r="AG218" s="562">
        <f ca="1">IF(Cashflow!AG$111="C/I",0,IF(AG$33=0,0,IF(AG$213&lt;$Q$7,0,$G$35*$J$5*$Q$4*2*PI()*$AE$8/($X$12*(LN(SQRT($J$4/(AG$32*PI()))/($J$10/2))-(1/2)+AC$211)))))</f>
        <v>0</v>
      </c>
      <c r="AH218" s="19"/>
      <c r="AI218" s="19"/>
      <c r="AJ218" s="19"/>
      <c r="AK218" s="21"/>
      <c r="AL218" s="21"/>
      <c r="AM218" s="19"/>
      <c r="AN218" s="19"/>
      <c r="AO218" s="326"/>
      <c r="AP218" s="326"/>
      <c r="AQ218" s="326"/>
      <c r="AR218" s="326"/>
      <c r="AS218" s="326"/>
      <c r="AT218" s="326"/>
      <c r="AU218" s="326"/>
      <c r="AV218" s="326"/>
      <c r="AW218" s="326"/>
      <c r="AX218" s="326"/>
      <c r="AY218" s="326"/>
      <c r="AZ218" s="326"/>
    </row>
    <row r="219" spans="1:52">
      <c r="A219" s="19"/>
      <c r="B219" s="191" t="str">
        <f>"Injection for wells built in Year "&amp;Cashflow!H$164</f>
        <v>Injection for wells built in Year 2022</v>
      </c>
      <c r="C219" s="563"/>
      <c r="D219" s="563"/>
      <c r="E219" s="563"/>
      <c r="F219" s="563"/>
      <c r="G219" s="563"/>
      <c r="H219" s="562">
        <f>IF(Cashflow!H$111="C/I",0,IF(H$33=0,0,IF(H$213&lt;$Q$7,0,$H$35*$J$5*$Q$4*2*PI()*$AE$8/($X$12*(LN(SQRT($J$4/(H$32*PI()))/($J$10/2))-(1/2)+C$211)))))</f>
        <v>0</v>
      </c>
      <c r="I219" s="562">
        <f>IF(Cashflow!I$111="C/I",0,IF(I$33=0,0,IF(I$213&lt;$Q$7,0,$H$35*$J$5*$Q$4*2*PI()*$AE$8/($X$12*(LN(SQRT($J$4/(I$32*PI()))/($J$10/2))-(1/2)+D$211)))))</f>
        <v>0</v>
      </c>
      <c r="J219" s="562">
        <f>IF(Cashflow!J$111="C/I",0,IF(J$33=0,0,IF(J$213&lt;$Q$7,0,$H$35*$J$5*$Q$4*2*PI()*$AE$8/($X$12*(LN(SQRT($J$4/(J$32*PI()))/($J$10/2))-(1/2)+E$211)))))</f>
        <v>0</v>
      </c>
      <c r="K219" s="562">
        <f>IF(Cashflow!K$111="C/I",0,IF(K$33=0,0,IF(K$213&lt;$Q$7,0,$H$35*$J$5*$Q$4*2*PI()*$AE$8/($X$12*(LN(SQRT($J$4/(K$32*PI()))/($J$10/2))-(1/2)+F$211)))))</f>
        <v>0</v>
      </c>
      <c r="L219" s="562">
        <f ca="1">IF(Cashflow!L$111="C/I",0,IF(L$33=0,0,IF(L$213&lt;$Q$7,0,$H$35*$J$5*$Q$4*2*PI()*$AE$8/($X$12*(LN(SQRT($J$4/(L$32*PI()))/($J$10/2))-(1/2)+G$211)))))</f>
        <v>0</v>
      </c>
      <c r="M219" s="562">
        <f ca="1">IF(Cashflow!M$111="C/I",0,IF(M$33=0,0,IF(M$213&lt;$Q$7,0,$H$35*$J$5*$Q$4*2*PI()*$AE$8/($X$12*(LN(SQRT($J$4/(M$32*PI()))/($J$10/2))-(1/2)+H$211)))))</f>
        <v>0</v>
      </c>
      <c r="N219" s="562">
        <f ca="1">IF(Cashflow!N$111="C/I",0,IF(N$33=0,0,IF(N$213&lt;$Q$7,0,$H$35*$J$5*$Q$4*2*PI()*$AE$8/($X$12*(LN(SQRT($J$4/(N$32*PI()))/($J$10/2))-(1/2)+I$211)))))</f>
        <v>0</v>
      </c>
      <c r="O219" s="562">
        <f ca="1">IF(Cashflow!O$111="C/I",0,IF(O$33=0,0,IF(O$213&lt;$Q$7,0,$H$35*$J$5*$Q$4*2*PI()*$AE$8/($X$12*(LN(SQRT($J$4/(O$32*PI()))/($J$10/2))-(1/2)+J$211)))))</f>
        <v>0</v>
      </c>
      <c r="P219" s="562">
        <f ca="1">IF(Cashflow!P$111="C/I",0,IF(P$33=0,0,IF(P$213&lt;$Q$7,0,$H$35*$J$5*$Q$4*2*PI()*$AE$8/($X$12*(LN(SQRT($J$4/(P$32*PI()))/($J$10/2))-(1/2)+K$211)))))</f>
        <v>0</v>
      </c>
      <c r="Q219" s="562">
        <f ca="1">IF(Cashflow!Q$111="C/I",0,IF(Q$33=0,0,IF(Q$213&lt;$Q$7,0,$H$35*$J$5*$Q$4*2*PI()*$AE$8/($X$12*(LN(SQRT($J$4/(Q$32*PI()))/($J$10/2))-(1/2)+L$211)))))</f>
        <v>0</v>
      </c>
      <c r="R219" s="562">
        <f ca="1">IF(Cashflow!R$111="C/I",0,IF(R$33=0,0,IF(R$213&lt;$Q$7,0,$H$35*$J$5*$Q$4*2*PI()*$AE$8/($X$12*(LN(SQRT($J$4/(R$32*PI()))/($J$10/2))-(1/2)+M$211)))))</f>
        <v>0</v>
      </c>
      <c r="S219" s="562">
        <f ca="1">IF(Cashflow!S$111="C/I",0,IF(S$33=0,0,IF(S$213&lt;$Q$7,0,$H$35*$J$5*$Q$4*2*PI()*$AE$8/($X$12*(LN(SQRT($J$4/(S$32*PI()))/($J$10/2))-(1/2)+N$211)))))</f>
        <v>0</v>
      </c>
      <c r="T219" s="562">
        <f ca="1">IF(Cashflow!T$111="C/I",0,IF(T$33=0,0,IF(T$213&lt;$Q$7,0,$H$35*$J$5*$Q$4*2*PI()*$AE$8/($X$12*(LN(SQRT($J$4/(T$32*PI()))/($J$10/2))-(1/2)+O$211)))))</f>
        <v>0</v>
      </c>
      <c r="U219" s="562">
        <f ca="1">IF(Cashflow!U$111="C/I",0,IF(U$33=0,0,IF(U$213&lt;$Q$7,0,$H$35*$J$5*$Q$4*2*PI()*$AE$8/($X$12*(LN(SQRT($J$4/(U$32*PI()))/($J$10/2))-(1/2)+P$211)))))</f>
        <v>0</v>
      </c>
      <c r="V219" s="562">
        <f ca="1">IF(Cashflow!V$111="C/I",0,IF(V$33=0,0,IF(V$213&lt;$Q$7,0,$H$35*$J$5*$Q$4*2*PI()*$AE$8/($X$12*(LN(SQRT($J$4/(V$32*PI()))/($J$10/2))-(1/2)+Q$211)))))</f>
        <v>0</v>
      </c>
      <c r="W219" s="562">
        <f ca="1">IF(Cashflow!W$111="C/I",0,IF(W$33=0,0,IF(W$213&lt;$Q$7,0,$H$35*$J$5*$Q$4*2*PI()*$AE$8/($X$12*(LN(SQRT($J$4/(W$32*PI()))/($J$10/2))-(1/2)+R$211)))))</f>
        <v>0</v>
      </c>
      <c r="X219" s="562">
        <f ca="1">IF(Cashflow!X$111="C/I",0,IF(X$33=0,0,IF(X$213&lt;$Q$7,0,$H$35*$J$5*$Q$4*2*PI()*$AE$8/($X$12*(LN(SQRT($J$4/(X$32*PI()))/($J$10/2))-(1/2)+S$211)))))</f>
        <v>0</v>
      </c>
      <c r="Y219" s="562">
        <f ca="1">IF(Cashflow!Y$111="C/I",0,IF(Y$33=0,0,IF(Y$213&lt;$Q$7,0,$H$35*$J$5*$Q$4*2*PI()*$AE$8/($X$12*(LN(SQRT($J$4/(Y$32*PI()))/($J$10/2))-(1/2)+T$211)))))</f>
        <v>0</v>
      </c>
      <c r="Z219" s="562">
        <f ca="1">IF(Cashflow!Z$111="C/I",0,IF(Z$33=0,0,IF(Z$213&lt;$Q$7,0,$H$35*$J$5*$Q$4*2*PI()*$AE$8/($X$12*(LN(SQRT($J$4/(Z$32*PI()))/($J$10/2))-(1/2)+U$211)))))</f>
        <v>0</v>
      </c>
      <c r="AA219" s="562">
        <f ca="1">IF(Cashflow!AA$111="C/I",0,IF(AA$33=0,0,IF(AA$213&lt;$Q$7,0,$H$35*$J$5*$Q$4*2*PI()*$AE$8/($X$12*(LN(SQRT($J$4/(AA$32*PI()))/($J$10/2))-(1/2)+V$211)))))</f>
        <v>0</v>
      </c>
      <c r="AB219" s="562">
        <f ca="1">IF(Cashflow!AB$111="C/I",0,IF(AB$33=0,0,IF(AB$213&lt;$Q$7,0,$H$35*$J$5*$Q$4*2*PI()*$AE$8/($X$12*(LN(SQRT($J$4/(AB$32*PI()))/($J$10/2))-(1/2)+W$211)))))</f>
        <v>0</v>
      </c>
      <c r="AC219" s="562">
        <f ca="1">IF(Cashflow!AC$111="C/I",0,IF(AC$33=0,0,IF(AC$213&lt;$Q$7,0,$H$35*$J$5*$Q$4*2*PI()*$AE$8/($X$12*(LN(SQRT($J$4/(AC$32*PI()))/($J$10/2))-(1/2)+X$211)))))</f>
        <v>0</v>
      </c>
      <c r="AD219" s="562">
        <f ca="1">IF(Cashflow!AD$111="C/I",0,IF(AD$33=0,0,IF(AD$213&lt;$Q$7,0,$H$35*$J$5*$Q$4*2*PI()*$AE$8/($X$12*(LN(SQRT($J$4/(AD$32*PI()))/($J$10/2))-(1/2)+Y$211)))))</f>
        <v>0</v>
      </c>
      <c r="AE219" s="562">
        <f ca="1">IF(Cashflow!AE$111="C/I",0,IF(AE$33=0,0,IF(AE$213&lt;$Q$7,0,$H$35*$J$5*$Q$4*2*PI()*$AE$8/($X$12*(LN(SQRT($J$4/(AE$32*PI()))/($J$10/2))-(1/2)+Z$211)))))</f>
        <v>0</v>
      </c>
      <c r="AF219" s="562">
        <f ca="1">IF(Cashflow!AF$111="C/I",0,IF(AF$33=0,0,IF(AF$213&lt;$Q$7,0,$H$35*$J$5*$Q$4*2*PI()*$AE$8/($X$12*(LN(SQRT($J$4/(AF$32*PI()))/($J$10/2))-(1/2)+AA$211)))))</f>
        <v>0</v>
      </c>
      <c r="AG219" s="562">
        <f ca="1">IF(Cashflow!AG$111="C/I",0,IF(AG$33=0,0,IF(AG$213&lt;$Q$7,0,$H$35*$J$5*$Q$4*2*PI()*$AE$8/($X$12*(LN(SQRT($J$4/(AG$32*PI()))/($J$10/2))-(1/2)+AB$211)))))</f>
        <v>0</v>
      </c>
      <c r="AH219" s="19"/>
      <c r="AI219" s="19"/>
      <c r="AJ219" s="19"/>
      <c r="AK219" s="21"/>
      <c r="AL219" s="21"/>
      <c r="AM219" s="19"/>
      <c r="AN219" s="19"/>
      <c r="AO219" s="326"/>
      <c r="AP219" s="326"/>
      <c r="AQ219" s="326"/>
      <c r="AR219" s="326"/>
      <c r="AS219" s="326"/>
      <c r="AT219" s="326"/>
      <c r="AU219" s="326"/>
      <c r="AV219" s="326"/>
      <c r="AW219" s="326"/>
      <c r="AX219" s="326"/>
      <c r="AY219" s="326"/>
      <c r="AZ219" s="326"/>
    </row>
    <row r="220" spans="1:52">
      <c r="A220" s="19"/>
      <c r="B220" s="191" t="str">
        <f>"Injection for wells built in Year "&amp;Cashflow!I$164</f>
        <v>Injection for wells built in Year 2023</v>
      </c>
      <c r="C220" s="563"/>
      <c r="D220" s="563"/>
      <c r="E220" s="563"/>
      <c r="F220" s="563"/>
      <c r="G220" s="563"/>
      <c r="H220" s="563"/>
      <c r="I220" s="562">
        <f>IF(Cashflow!I$111="C/I",0,IF(I$33=0,0,IF(I$213&lt;$Q$7,0,$I$35*$J$5*$Q$4*2*PI()*$AE$8/($X$12*(LN(SQRT($J$4/(I$32*PI()))/($J$10/2))-(1/2)+C$211)))))</f>
        <v>0</v>
      </c>
      <c r="J220" s="562">
        <f>IF(Cashflow!J$111="C/I",0,IF(J$33=0,0,IF(J$213&lt;$Q$7,0,$I$35*$J$5*$Q$4*2*PI()*$AE$8/($X$12*(LN(SQRT($J$4/(J$32*PI()))/($J$10/2))-(1/2)+D$211)))))</f>
        <v>0</v>
      </c>
      <c r="K220" s="562">
        <f>IF(Cashflow!K$111="C/I",0,IF(K$33=0,0,IF(K$213&lt;$Q$7,0,$I$35*$J$5*$Q$4*2*PI()*$AE$8/($X$12*(LN(SQRT($J$4/(K$32*PI()))/($J$10/2))-(1/2)+E$211)))))</f>
        <v>4.5492379455696078E-2</v>
      </c>
      <c r="L220" s="562">
        <f ca="1">IF(Cashflow!L$111="C/I",0,IF(L$33=0,0,IF(L$213&lt;$Q$7,0,$I$35*$J$5*$Q$4*2*PI()*$AE$8/($X$12*(LN(SQRT($J$4/(L$32*PI()))/($J$10/2))-(1/2)+F$211)))))</f>
        <v>3.9880235256626817E-2</v>
      </c>
      <c r="M220" s="562">
        <f ca="1">IF(Cashflow!M$111="C/I",0,IF(M$33=0,0,IF(M$213&lt;$Q$7,0,$I$35*$J$5*$Q$4*2*PI()*$AE$8/($X$12*(LN(SQRT($J$4/(M$32*PI()))/($J$10/2))-(1/2)+G$211)))))</f>
        <v>3.5230213315222011E-2</v>
      </c>
      <c r="N220" s="562">
        <f ca="1">IF(Cashflow!N$111="C/I",0,IF(N$33=0,0,IF(N$213&lt;$Q$7,0,$I$35*$J$5*$Q$4*2*PI()*$AE$8/($X$12*(LN(SQRT($J$4/(N$32*PI()))/($J$10/2))-(1/2)+H$211)))))</f>
        <v>3.163479768623411E-2</v>
      </c>
      <c r="O220" s="562">
        <f ca="1">IF(Cashflow!O$111="C/I",0,IF(O$33=0,0,IF(O$213&lt;$Q$7,0,$I$35*$J$5*$Q$4*2*PI()*$AE$8/($X$12*(LN(SQRT($J$4/(O$32*PI()))/($J$10/2))-(1/2)+I$211)))))</f>
        <v>6.9448209306272879E-2</v>
      </c>
      <c r="P220" s="562">
        <f ca="1">IF(Cashflow!P$111="C/I",0,IF(P$33=0,0,IF(P$213&lt;$Q$7,0,$I$35*$J$5*$Q$4*2*PI()*$AE$8/($X$12*(LN(SQRT($J$4/(P$32*PI()))/($J$10/2))-(1/2)+J$211)))))</f>
        <v>5.6049012602369774E-2</v>
      </c>
      <c r="Q220" s="562">
        <f ca="1">IF(Cashflow!Q$111="C/I",0,IF(Q$33=0,0,IF(Q$213&lt;$Q$7,0,$I$35*$J$5*$Q$4*2*PI()*$AE$8/($X$12*(LN(SQRT($J$4/(Q$32*PI()))/($J$10/2))-(1/2)+K$211)))))</f>
        <v>4.6984012488468174E-2</v>
      </c>
      <c r="R220" s="562">
        <f ca="1">IF(Cashflow!R$111="C/I",0,IF(R$33=0,0,IF(R$213&lt;$Q$7,0,$I$35*$J$5*$Q$4*2*PI()*$AE$8/($X$12*(LN(SQRT($J$4/(R$32*PI()))/($J$10/2))-(1/2)+L$211)))))</f>
        <v>4.0443022910458544E-2</v>
      </c>
      <c r="S220" s="562">
        <f ca="1">IF(Cashflow!S$111="C/I",0,IF(S$33=0,0,IF(S$213&lt;$Q$7,0,$I$35*$J$5*$Q$4*2*PI()*$AE$8/($X$12*(LN(SQRT($J$4/(S$32*PI()))/($J$10/2))-(1/2)+M$211)))))</f>
        <v>3.550070845651495E-2</v>
      </c>
      <c r="T220" s="562">
        <f ca="1">IF(Cashflow!T$111="C/I",0,IF(T$33=0,0,IF(T$213&lt;$Q$7,0,$I$35*$J$5*$Q$4*2*PI()*$AE$8/($X$12*(LN(SQRT($J$4/(T$32*PI()))/($J$10/2))-(1/2)+N$211)))))</f>
        <v>3.163479768623411E-2</v>
      </c>
      <c r="U220" s="562">
        <f ca="1">IF(Cashflow!U$111="C/I",0,IF(U$33=0,0,IF(U$213&lt;$Q$7,0,$I$35*$J$5*$Q$4*2*PI()*$AE$8/($X$12*(LN(SQRT($J$4/(U$32*PI()))/($J$10/2))-(1/2)+O$211)))))</f>
        <v>6.9448209306272879E-2</v>
      </c>
      <c r="V220" s="562">
        <f ca="1">IF(Cashflow!V$111="C/I",0,IF(V$33=0,0,IF(V$213&lt;$Q$7,0,$I$35*$J$5*$Q$4*2*PI()*$AE$8/($X$12*(LN(SQRT($J$4/(V$32*PI()))/($J$10/2))-(1/2)+P$211)))))</f>
        <v>5.6049012602369774E-2</v>
      </c>
      <c r="W220" s="562">
        <f ca="1">IF(Cashflow!W$111="C/I",0,IF(W$33=0,0,IF(W$213&lt;$Q$7,0,$I$35*$J$5*$Q$4*2*PI()*$AE$8/($X$12*(LN(SQRT($J$4/(W$32*PI()))/($J$10/2))-(1/2)+Q$211)))))</f>
        <v>4.6984012488468174E-2</v>
      </c>
      <c r="X220" s="562">
        <f ca="1">IF(Cashflow!X$111="C/I",0,IF(X$33=0,0,IF(X$213&lt;$Q$7,0,$I$35*$J$5*$Q$4*2*PI()*$AE$8/($X$12*(LN(SQRT($J$4/(X$32*PI()))/($J$10/2))-(1/2)+R$211)))))</f>
        <v>4.0443022910458544E-2</v>
      </c>
      <c r="Y220" s="562">
        <f ca="1">IF(Cashflow!Y$111="C/I",0,IF(Y$33=0,0,IF(Y$213&lt;$Q$7,0,$I$35*$J$5*$Q$4*2*PI()*$AE$8/($X$12*(LN(SQRT($J$4/(Y$32*PI()))/($J$10/2))-(1/2)+S$211)))))</f>
        <v>3.550070845651495E-2</v>
      </c>
      <c r="Z220" s="562">
        <f ca="1">IF(Cashflow!Z$111="C/I",0,IF(Z$33=0,0,IF(Z$213&lt;$Q$7,0,$I$35*$J$5*$Q$4*2*PI()*$AE$8/($X$12*(LN(SQRT($J$4/(Z$32*PI()))/($J$10/2))-(1/2)+T$211)))))</f>
        <v>3.163479768623411E-2</v>
      </c>
      <c r="AA220" s="562">
        <f ca="1">IF(Cashflow!AA$111="C/I",0,IF(AA$33=0,0,IF(AA$213&lt;$Q$7,0,$I$35*$J$5*$Q$4*2*PI()*$AE$8/($X$12*(LN(SQRT($J$4/(AA$32*PI()))/($J$10/2))-(1/2)+U$211)))))</f>
        <v>6.9448209306272879E-2</v>
      </c>
      <c r="AB220" s="562">
        <f ca="1">IF(Cashflow!AB$111="C/I",0,IF(AB$33=0,0,IF(AB$213&lt;$Q$7,0,$I$35*$J$5*$Q$4*2*PI()*$AE$8/($X$12*(LN(SQRT($J$4/(AB$32*PI()))/($J$10/2))-(1/2)+V$211)))))</f>
        <v>5.6049012602369774E-2</v>
      </c>
      <c r="AC220" s="562">
        <f ca="1">IF(Cashflow!AC$111="C/I",0,IF(AC$33=0,0,IF(AC$213&lt;$Q$7,0,$I$35*$J$5*$Q$4*2*PI()*$AE$8/($X$12*(LN(SQRT($J$4/(AC$32*PI()))/($J$10/2))-(1/2)+W$211)))))</f>
        <v>4.6984012488468174E-2</v>
      </c>
      <c r="AD220" s="562">
        <f ca="1">IF(Cashflow!AD$111="C/I",0,IF(AD$33=0,0,IF(AD$213&lt;$Q$7,0,$I$35*$J$5*$Q$4*2*PI()*$AE$8/($X$12*(LN(SQRT($J$4/(AD$32*PI()))/($J$10/2))-(1/2)+X$211)))))</f>
        <v>4.0443022910458544E-2</v>
      </c>
      <c r="AE220" s="562">
        <f ca="1">IF(Cashflow!AE$111="C/I",0,IF(AE$33=0,0,IF(AE$213&lt;$Q$7,0,$I$35*$J$5*$Q$4*2*PI()*$AE$8/($X$12*(LN(SQRT($J$4/(AE$32*PI()))/($J$10/2))-(1/2)+Y$211)))))</f>
        <v>3.550070845651495E-2</v>
      </c>
      <c r="AF220" s="562">
        <f ca="1">IF(Cashflow!AF$111="C/I",0,IF(AF$33=0,0,IF(AF$213&lt;$Q$7,0,$I$35*$J$5*$Q$4*2*PI()*$AE$8/($X$12*(LN(SQRT($J$4/(AF$32*PI()))/($J$10/2))-(1/2)+Z$211)))))</f>
        <v>3.163479768623411E-2</v>
      </c>
      <c r="AG220" s="562">
        <f ca="1">IF(Cashflow!AG$111="C/I",0,IF(AG$33=0,0,IF(AG$213&lt;$Q$7,0,$I$35*$J$5*$Q$4*2*PI()*$AE$8/($X$12*(LN(SQRT($J$4/(AG$32*PI()))/($J$10/2))-(1/2)+AA$211)))))</f>
        <v>6.9448209306272879E-2</v>
      </c>
      <c r="AH220" s="19"/>
      <c r="AI220" s="19"/>
      <c r="AJ220" s="19"/>
      <c r="AK220" s="21"/>
      <c r="AL220" s="21"/>
      <c r="AM220" s="19"/>
      <c r="AN220" s="19"/>
      <c r="AO220" s="326"/>
      <c r="AP220" s="326"/>
      <c r="AQ220" s="326"/>
      <c r="AR220" s="326"/>
      <c r="AS220" s="326"/>
      <c r="AT220" s="326"/>
      <c r="AU220" s="326"/>
      <c r="AV220" s="326"/>
      <c r="AW220" s="326"/>
      <c r="AX220" s="326"/>
      <c r="AY220" s="326"/>
      <c r="AZ220" s="326"/>
    </row>
    <row r="221" spans="1:52">
      <c r="A221" s="19"/>
      <c r="B221" s="191" t="str">
        <f>"Injection for wells built in Year "&amp;Cashflow!J$164</f>
        <v>Injection for wells built in Year 2024</v>
      </c>
      <c r="C221" s="563"/>
      <c r="D221" s="563"/>
      <c r="E221" s="563"/>
      <c r="F221" s="563"/>
      <c r="G221" s="563"/>
      <c r="H221" s="563"/>
      <c r="I221" s="563"/>
      <c r="J221" s="562">
        <f>IF(Cashflow!J$111="C/I",0,IF(J$33=0,0,IF(J$213&lt;$Q$7,0,$J$35*$J$5*$Q$4*2*PI()*$AE$8/($X$12*(LN(SQRT($J$4/(J$32*PI()))/($J$10/2))-(1/2)+C$211)))))</f>
        <v>0</v>
      </c>
      <c r="K221" s="562">
        <f>IF(Cashflow!K$111="C/I",0,IF(K$33=0,0,IF(K$213&lt;$Q$7,0,$J$35*$J$5*$Q$4*2*PI()*$AE$8/($X$12*(LN(SQRT($J$4/(K$32*PI()))/($J$10/2))-(1/2)+D$211)))))</f>
        <v>0.10787838297195118</v>
      </c>
      <c r="L221" s="562">
        <f ca="1">IF(Cashflow!L$111="C/I",0,IF(L$33=0,0,IF(L$213&lt;$Q$7,0,$J$35*$J$5*$Q$4*2*PI()*$AE$8/($X$12*(LN(SQRT($J$4/(L$32*PI()))/($J$10/2))-(1/2)+E$211)))))</f>
        <v>9.2452332083504896E-2</v>
      </c>
      <c r="M221" s="562">
        <f ca="1">IF(Cashflow!M$111="C/I",0,IF(M$33=0,0,IF(M$213&lt;$Q$7,0,$J$35*$J$5*$Q$4*2*PI()*$AE$8/($X$12*(LN(SQRT($J$4/(M$32*PI()))/($J$10/2))-(1/2)+F$211)))))</f>
        <v>8.0184683861990375E-2</v>
      </c>
      <c r="N221" s="562">
        <f ca="1">IF(Cashflow!N$111="C/I",0,IF(N$33=0,0,IF(N$213&lt;$Q$7,0,$J$35*$J$5*$Q$4*2*PI()*$AE$8/($X$12*(LN(SQRT($J$4/(N$32*PI()))/($J$10/2))-(1/2)+G$211)))))</f>
        <v>7.1001416913029899E-2</v>
      </c>
      <c r="O221" s="562">
        <f ca="1">IF(Cashflow!O$111="C/I",0,IF(O$33=0,0,IF(O$213&lt;$Q$7,0,$J$35*$J$5*$Q$4*2*PI()*$AE$8/($X$12*(LN(SQRT($J$4/(O$32*PI()))/($J$10/2))-(1/2)+H$211)))))</f>
        <v>6.3269595372468221E-2</v>
      </c>
      <c r="P221" s="562">
        <f ca="1">IF(Cashflow!P$111="C/I",0,IF(P$33=0,0,IF(P$213&lt;$Q$7,0,$J$35*$J$5*$Q$4*2*PI()*$AE$8/($X$12*(LN(SQRT($J$4/(P$32*PI()))/($J$10/2))-(1/2)+I$211)))))</f>
        <v>0.13889641861254576</v>
      </c>
      <c r="Q221" s="562">
        <f ca="1">IF(Cashflow!Q$111="C/I",0,IF(Q$33=0,0,IF(Q$213&lt;$Q$7,0,$J$35*$J$5*$Q$4*2*PI()*$AE$8/($X$12*(LN(SQRT($J$4/(Q$32*PI()))/($J$10/2))-(1/2)+J$211)))))</f>
        <v>0.11209802520473955</v>
      </c>
      <c r="R221" s="562">
        <f ca="1">IF(Cashflow!R$111="C/I",0,IF(R$33=0,0,IF(R$213&lt;$Q$7,0,$J$35*$J$5*$Q$4*2*PI()*$AE$8/($X$12*(LN(SQRT($J$4/(R$32*PI()))/($J$10/2))-(1/2)+K$211)))))</f>
        <v>9.3968024976936348E-2</v>
      </c>
      <c r="S221" s="562">
        <f ca="1">IF(Cashflow!S$111="C/I",0,IF(S$33=0,0,IF(S$213&lt;$Q$7,0,$J$35*$J$5*$Q$4*2*PI()*$AE$8/($X$12*(LN(SQRT($J$4/(S$32*PI()))/($J$10/2))-(1/2)+L$211)))))</f>
        <v>8.0886045820917088E-2</v>
      </c>
      <c r="T221" s="562">
        <f ca="1">IF(Cashflow!T$111="C/I",0,IF(T$33=0,0,IF(T$213&lt;$Q$7,0,$J$35*$J$5*$Q$4*2*PI()*$AE$8/($X$12*(LN(SQRT($J$4/(T$32*PI()))/($J$10/2))-(1/2)+M$211)))))</f>
        <v>7.1001416913029899E-2</v>
      </c>
      <c r="U221" s="562">
        <f ca="1">IF(Cashflow!U$111="C/I",0,IF(U$33=0,0,IF(U$213&lt;$Q$7,0,$J$35*$J$5*$Q$4*2*PI()*$AE$8/($X$12*(LN(SQRT($J$4/(U$32*PI()))/($J$10/2))-(1/2)+N$211)))))</f>
        <v>6.3269595372468221E-2</v>
      </c>
      <c r="V221" s="562">
        <f ca="1">IF(Cashflow!V$111="C/I",0,IF(V$33=0,0,IF(V$213&lt;$Q$7,0,$J$35*$J$5*$Q$4*2*PI()*$AE$8/($X$12*(LN(SQRT($J$4/(V$32*PI()))/($J$10/2))-(1/2)+O$211)))))</f>
        <v>0.13889641861254576</v>
      </c>
      <c r="W221" s="562">
        <f ca="1">IF(Cashflow!W$111="C/I",0,IF(W$33=0,0,IF(W$213&lt;$Q$7,0,$J$35*$J$5*$Q$4*2*PI()*$AE$8/($X$12*(LN(SQRT($J$4/(W$32*PI()))/($J$10/2))-(1/2)+P$211)))))</f>
        <v>0.11209802520473955</v>
      </c>
      <c r="X221" s="562">
        <f ca="1">IF(Cashflow!X$111="C/I",0,IF(X$33=0,0,IF(X$213&lt;$Q$7,0,$J$35*$J$5*$Q$4*2*PI()*$AE$8/($X$12*(LN(SQRT($J$4/(X$32*PI()))/($J$10/2))-(1/2)+Q$211)))))</f>
        <v>9.3968024976936348E-2</v>
      </c>
      <c r="Y221" s="562">
        <f ca="1">IF(Cashflow!Y$111="C/I",0,IF(Y$33=0,0,IF(Y$213&lt;$Q$7,0,$J$35*$J$5*$Q$4*2*PI()*$AE$8/($X$12*(LN(SQRT($J$4/(Y$32*PI()))/($J$10/2))-(1/2)+R$211)))))</f>
        <v>8.0886045820917088E-2</v>
      </c>
      <c r="Z221" s="562">
        <f ca="1">IF(Cashflow!Z$111="C/I",0,IF(Z$33=0,0,IF(Z$213&lt;$Q$7,0,$J$35*$J$5*$Q$4*2*PI()*$AE$8/($X$12*(LN(SQRT($J$4/(Z$32*PI()))/($J$10/2))-(1/2)+S$211)))))</f>
        <v>7.1001416913029899E-2</v>
      </c>
      <c r="AA221" s="562">
        <f ca="1">IF(Cashflow!AA$111="C/I",0,IF(AA$33=0,0,IF(AA$213&lt;$Q$7,0,$J$35*$J$5*$Q$4*2*PI()*$AE$8/($X$12*(LN(SQRT($J$4/(AA$32*PI()))/($J$10/2))-(1/2)+T$211)))))</f>
        <v>6.3269595372468221E-2</v>
      </c>
      <c r="AB221" s="562">
        <f ca="1">IF(Cashflow!AB$111="C/I",0,IF(AB$33=0,0,IF(AB$213&lt;$Q$7,0,$J$35*$J$5*$Q$4*2*PI()*$AE$8/($X$12*(LN(SQRT($J$4/(AB$32*PI()))/($J$10/2))-(1/2)+U$211)))))</f>
        <v>0.13889641861254576</v>
      </c>
      <c r="AC221" s="562">
        <f ca="1">IF(Cashflow!AC$111="C/I",0,IF(AC$33=0,0,IF(AC$213&lt;$Q$7,0,$J$35*$J$5*$Q$4*2*PI()*$AE$8/($X$12*(LN(SQRT($J$4/(AC$32*PI()))/($J$10/2))-(1/2)+V$211)))))</f>
        <v>0.11209802520473955</v>
      </c>
      <c r="AD221" s="562">
        <f ca="1">IF(Cashflow!AD$111="C/I",0,IF(AD$33=0,0,IF(AD$213&lt;$Q$7,0,$J$35*$J$5*$Q$4*2*PI()*$AE$8/($X$12*(LN(SQRT($J$4/(AD$32*PI()))/($J$10/2))-(1/2)+W$211)))))</f>
        <v>9.3968024976936348E-2</v>
      </c>
      <c r="AE221" s="562">
        <f ca="1">IF(Cashflow!AE$111="C/I",0,IF(AE$33=0,0,IF(AE$213&lt;$Q$7,0,$J$35*$J$5*$Q$4*2*PI()*$AE$8/($X$12*(LN(SQRT($J$4/(AE$32*PI()))/($J$10/2))-(1/2)+X$211)))))</f>
        <v>8.0886045820917088E-2</v>
      </c>
      <c r="AF221" s="562">
        <f ca="1">IF(Cashflow!AF$111="C/I",0,IF(AF$33=0,0,IF(AF$213&lt;$Q$7,0,$J$35*$J$5*$Q$4*2*PI()*$AE$8/($X$12*(LN(SQRT($J$4/(AF$32*PI()))/($J$10/2))-(1/2)+Y$211)))))</f>
        <v>7.1001416913029899E-2</v>
      </c>
      <c r="AG221" s="562">
        <f ca="1">IF(Cashflow!AG$111="C/I",0,IF(AG$33=0,0,IF(AG$213&lt;$Q$7,0,$J$35*$J$5*$Q$4*2*PI()*$AE$8/($X$12*(LN(SQRT($J$4/(AG$32*PI()))/($J$10/2))-(1/2)+Z$211)))))</f>
        <v>6.3269595372468221E-2</v>
      </c>
      <c r="AH221" s="19"/>
      <c r="AI221" s="19"/>
      <c r="AJ221" s="19"/>
      <c r="AK221" s="21"/>
      <c r="AL221" s="21"/>
      <c r="AM221" s="19"/>
      <c r="AN221" s="19"/>
      <c r="AO221" s="326"/>
      <c r="AP221" s="326"/>
      <c r="AQ221" s="326"/>
      <c r="AR221" s="326"/>
      <c r="AS221" s="326"/>
      <c r="AT221" s="326"/>
      <c r="AU221" s="326"/>
      <c r="AV221" s="326"/>
      <c r="AW221" s="326"/>
      <c r="AX221" s="326"/>
      <c r="AY221" s="326"/>
      <c r="AZ221" s="326"/>
    </row>
    <row r="222" spans="1:52">
      <c r="A222" s="19"/>
      <c r="B222" s="191" t="str">
        <f>"Injection for wells built in Year "&amp;Cashflow!K$164</f>
        <v>Injection for wells built in Year 2025</v>
      </c>
      <c r="C222" s="563"/>
      <c r="D222" s="563"/>
      <c r="E222" s="563"/>
      <c r="F222" s="563"/>
      <c r="G222" s="563"/>
      <c r="H222" s="563"/>
      <c r="I222" s="563"/>
      <c r="J222" s="563"/>
      <c r="K222" s="562">
        <f>IF(Cashflow!K$111="C/I",0,IF(K$33=0,0,IF(K$213&lt;$Q$7,0,$K$35*$J$5*$Q$4*2*PI()*$AE$8/($X$12*(LN(SQRT($J$4/(K$32*PI()))/($J$10/2))-(1/2)+C$211)))))</f>
        <v>6.6237942543428616E-2</v>
      </c>
      <c r="L222" s="562">
        <f ca="1">IF(Cashflow!L$111="C/I",0,IF(L$33=0,0,IF(L$213&lt;$Q$7,0,$K$35*$J$5*$Q$4*2*PI()*$AE$8/($X$12*(LN(SQRT($J$4/(L$32*PI()))/($J$10/2))-(1/2)+D$211)))))</f>
        <v>5.4973866487186919E-2</v>
      </c>
      <c r="M222" s="562">
        <f ca="1">IF(Cashflow!M$111="C/I",0,IF(M$33=0,0,IF(M$213&lt;$Q$7,0,$K$35*$J$5*$Q$4*2*PI()*$AE$8/($X$12*(LN(SQRT($J$4/(M$32*PI()))/($J$10/2))-(1/2)+E$211)))))</f>
        <v>4.6511387613503846E-2</v>
      </c>
      <c r="N222" s="562">
        <f ca="1">IF(Cashflow!N$111="C/I",0,IF(N$33=0,0,IF(N$213&lt;$Q$7,0,$K$35*$J$5*$Q$4*2*PI()*$AE$8/($X$12*(LN(SQRT($J$4/(N$32*PI()))/($J$10/2))-(1/2)+F$211)))))</f>
        <v>4.0443022910458544E-2</v>
      </c>
      <c r="O222" s="562">
        <f ca="1">IF(Cashflow!O$111="C/I",0,IF(O$33=0,0,IF(O$213&lt;$Q$7,0,$K$35*$J$5*$Q$4*2*PI()*$AE$8/($X$12*(LN(SQRT($J$4/(O$32*PI()))/($J$10/2))-(1/2)+G$211)))))</f>
        <v>3.550070845651495E-2</v>
      </c>
      <c r="P222" s="562">
        <f ca="1">IF(Cashflow!P$111="C/I",0,IF(P$33=0,0,IF(P$213&lt;$Q$7,0,$K$35*$J$5*$Q$4*2*PI()*$AE$8/($X$12*(LN(SQRT($J$4/(P$32*PI()))/($J$10/2))-(1/2)+H$211)))))</f>
        <v>3.163479768623411E-2</v>
      </c>
      <c r="Q222" s="562">
        <f ca="1">IF(Cashflow!Q$111="C/I",0,IF(Q$33=0,0,IF(Q$213&lt;$Q$7,0,$K$35*$J$5*$Q$4*2*PI()*$AE$8/($X$12*(LN(SQRT($J$4/(Q$32*PI()))/($J$10/2))-(1/2)+I$211)))))</f>
        <v>6.9448209306272879E-2</v>
      </c>
      <c r="R222" s="562">
        <f ca="1">IF(Cashflow!R$111="C/I",0,IF(R$33=0,0,IF(R$213&lt;$Q$7,0,$K$35*$J$5*$Q$4*2*PI()*$AE$8/($X$12*(LN(SQRT($J$4/(R$32*PI()))/($J$10/2))-(1/2)+J$211)))))</f>
        <v>5.6049012602369774E-2</v>
      </c>
      <c r="S222" s="562">
        <f ca="1">IF(Cashflow!S$111="C/I",0,IF(S$33=0,0,IF(S$213&lt;$Q$7,0,$K$35*$J$5*$Q$4*2*PI()*$AE$8/($X$12*(LN(SQRT($J$4/(S$32*PI()))/($J$10/2))-(1/2)+K$211)))))</f>
        <v>4.6984012488468174E-2</v>
      </c>
      <c r="T222" s="562">
        <f ca="1">IF(Cashflow!T$111="C/I",0,IF(T$33=0,0,IF(T$213&lt;$Q$7,0,$K$35*$J$5*$Q$4*2*PI()*$AE$8/($X$12*(LN(SQRT($J$4/(T$32*PI()))/($J$10/2))-(1/2)+L$211)))))</f>
        <v>4.0443022910458544E-2</v>
      </c>
      <c r="U222" s="562">
        <f ca="1">IF(Cashflow!U$111="C/I",0,IF(U$33=0,0,IF(U$213&lt;$Q$7,0,$K$35*$J$5*$Q$4*2*PI()*$AE$8/($X$12*(LN(SQRT($J$4/(U$32*PI()))/($J$10/2))-(1/2)+M$211)))))</f>
        <v>3.550070845651495E-2</v>
      </c>
      <c r="V222" s="562">
        <f ca="1">IF(Cashflow!V$111="C/I",0,IF(V$33=0,0,IF(V$213&lt;$Q$7,0,$K$35*$J$5*$Q$4*2*PI()*$AE$8/($X$12*(LN(SQRT($J$4/(V$32*PI()))/($J$10/2))-(1/2)+N$211)))))</f>
        <v>3.163479768623411E-2</v>
      </c>
      <c r="W222" s="562">
        <f ca="1">IF(Cashflow!W$111="C/I",0,IF(W$33=0,0,IF(W$213&lt;$Q$7,0,$K$35*$J$5*$Q$4*2*PI()*$AE$8/($X$12*(LN(SQRT($J$4/(W$32*PI()))/($J$10/2))-(1/2)+O$211)))))</f>
        <v>6.9448209306272879E-2</v>
      </c>
      <c r="X222" s="562">
        <f ca="1">IF(Cashflow!X$111="C/I",0,IF(X$33=0,0,IF(X$213&lt;$Q$7,0,$K$35*$J$5*$Q$4*2*PI()*$AE$8/($X$12*(LN(SQRT($J$4/(X$32*PI()))/($J$10/2))-(1/2)+P$211)))))</f>
        <v>5.6049012602369774E-2</v>
      </c>
      <c r="Y222" s="562">
        <f ca="1">IF(Cashflow!Y$111="C/I",0,IF(Y$33=0,0,IF(Y$213&lt;$Q$7,0,$K$35*$J$5*$Q$4*2*PI()*$AE$8/($X$12*(LN(SQRT($J$4/(Y$32*PI()))/($J$10/2))-(1/2)+Q$211)))))</f>
        <v>4.6984012488468174E-2</v>
      </c>
      <c r="Z222" s="562">
        <f ca="1">IF(Cashflow!Z$111="C/I",0,IF(Z$33=0,0,IF(Z$213&lt;$Q$7,0,$K$35*$J$5*$Q$4*2*PI()*$AE$8/($X$12*(LN(SQRT($J$4/(Z$32*PI()))/($J$10/2))-(1/2)+R$211)))))</f>
        <v>4.0443022910458544E-2</v>
      </c>
      <c r="AA222" s="562">
        <f ca="1">IF(Cashflow!AA$111="C/I",0,IF(AA$33=0,0,IF(AA$213&lt;$Q$7,0,$K$35*$J$5*$Q$4*2*PI()*$AE$8/($X$12*(LN(SQRT($J$4/(AA$32*PI()))/($J$10/2))-(1/2)+S$211)))))</f>
        <v>3.550070845651495E-2</v>
      </c>
      <c r="AB222" s="562">
        <f ca="1">IF(Cashflow!AB$111="C/I",0,IF(AB$33=0,0,IF(AB$213&lt;$Q$7,0,$K$35*$J$5*$Q$4*2*PI()*$AE$8/($X$12*(LN(SQRT($J$4/(AB$32*PI()))/($J$10/2))-(1/2)+T$211)))))</f>
        <v>3.163479768623411E-2</v>
      </c>
      <c r="AC222" s="562">
        <f ca="1">IF(Cashflow!AC$111="C/I",0,IF(AC$33=0,0,IF(AC$213&lt;$Q$7,0,$K$35*$J$5*$Q$4*2*PI()*$AE$8/($X$12*(LN(SQRT($J$4/(AC$32*PI()))/($J$10/2))-(1/2)+U$211)))))</f>
        <v>6.9448209306272879E-2</v>
      </c>
      <c r="AD222" s="562">
        <f ca="1">IF(Cashflow!AD$111="C/I",0,IF(AD$33=0,0,IF(AD$213&lt;$Q$7,0,$K$35*$J$5*$Q$4*2*PI()*$AE$8/($X$12*(LN(SQRT($J$4/(AD$32*PI()))/($J$10/2))-(1/2)+V$211)))))</f>
        <v>5.6049012602369774E-2</v>
      </c>
      <c r="AE222" s="562">
        <f ca="1">IF(Cashflow!AE$111="C/I",0,IF(AE$33=0,0,IF(AE$213&lt;$Q$7,0,$K$35*$J$5*$Q$4*2*PI()*$AE$8/($X$12*(LN(SQRT($J$4/(AE$32*PI()))/($J$10/2))-(1/2)+W$211)))))</f>
        <v>4.6984012488468174E-2</v>
      </c>
      <c r="AF222" s="562">
        <f ca="1">IF(Cashflow!AF$111="C/I",0,IF(AF$33=0,0,IF(AF$213&lt;$Q$7,0,$K$35*$J$5*$Q$4*2*PI()*$AE$8/($X$12*(LN(SQRT($J$4/(AF$32*PI()))/($J$10/2))-(1/2)+X$211)))))</f>
        <v>4.0443022910458544E-2</v>
      </c>
      <c r="AG222" s="562">
        <f ca="1">IF(Cashflow!AG$111="C/I",0,IF(AG$33=0,0,IF(AG$213&lt;$Q$7,0,$K$35*$J$5*$Q$4*2*PI()*$AE$8/($X$12*(LN(SQRT($J$4/(AG$32*PI()))/($J$10/2))-(1/2)+Y$211)))))</f>
        <v>3.550070845651495E-2</v>
      </c>
      <c r="AH222" s="19"/>
      <c r="AI222" s="19"/>
      <c r="AJ222" s="19"/>
      <c r="AK222" s="21"/>
      <c r="AL222" s="21"/>
      <c r="AM222" s="19"/>
      <c r="AN222" s="19"/>
      <c r="AO222" s="326"/>
      <c r="AP222" s="326"/>
      <c r="AQ222" s="326"/>
      <c r="AR222" s="326"/>
      <c r="AS222" s="326"/>
      <c r="AT222" s="326"/>
      <c r="AU222" s="326"/>
      <c r="AV222" s="326"/>
      <c r="AW222" s="326"/>
      <c r="AX222" s="326"/>
      <c r="AY222" s="326"/>
      <c r="AZ222" s="326"/>
    </row>
    <row r="223" spans="1:52">
      <c r="A223" s="19"/>
      <c r="B223" s="191" t="str">
        <f>"Injection for wells built in Year "&amp;Cashflow!L$164</f>
        <v>Injection for wells built in Year 2026</v>
      </c>
      <c r="C223" s="563"/>
      <c r="D223" s="563"/>
      <c r="E223" s="563"/>
      <c r="F223" s="563"/>
      <c r="G223" s="563"/>
      <c r="H223" s="563"/>
      <c r="I223" s="563"/>
      <c r="J223" s="563"/>
      <c r="K223" s="563"/>
      <c r="L223" s="562">
        <f ca="1">IF(Cashflow!L$111="C/I",0,IF(L$33=0,0,IF(L$213&lt;$Q$7,0,$L$35*$J$5*$Q$4*2*PI()*$AE$8/($X$12*(LN(SQRT($J$4/(L$32*PI()))/($J$10/2))-(1/2)+C$211)))))</f>
        <v>0.13561019853723641</v>
      </c>
      <c r="M223" s="562">
        <f ca="1">IF(Cashflow!M$111="C/I",0,IF(M$33=0,0,IF(M$213&lt;$Q$7,0,$L$35*$J$5*$Q$4*2*PI()*$AE$8/($X$12*(LN(SQRT($J$4/(M$32*PI()))/($J$10/2))-(1/2)+D$211)))))</f>
        <v>0.11075544503425101</v>
      </c>
      <c r="N223" s="562">
        <f ca="1">IF(Cashflow!N$111="C/I",0,IF(N$33=0,0,IF(N$213&lt;$Q$7,0,$L$35*$J$5*$Q$4*2*PI()*$AE$8/($X$12*(LN(SQRT($J$4/(N$32*PI()))/($J$10/2))-(1/2)+E$211)))))</f>
        <v>9.3968024976936348E-2</v>
      </c>
      <c r="O223" s="562">
        <f ca="1">IF(Cashflow!O$111="C/I",0,IF(O$33=0,0,IF(O$213&lt;$Q$7,0,$L$35*$J$5*$Q$4*2*PI()*$AE$8/($X$12*(LN(SQRT($J$4/(O$32*PI()))/($J$10/2))-(1/2)+F$211)))))</f>
        <v>8.0886045820917088E-2</v>
      </c>
      <c r="P223" s="562">
        <f ca="1">IF(Cashflow!P$111="C/I",0,IF(P$33=0,0,IF(P$213&lt;$Q$7,0,$L$35*$J$5*$Q$4*2*PI()*$AE$8/($X$12*(LN(SQRT($J$4/(P$32*PI()))/($J$10/2))-(1/2)+G$211)))))</f>
        <v>7.1001416913029899E-2</v>
      </c>
      <c r="Q223" s="562">
        <f ca="1">IF(Cashflow!Q$111="C/I",0,IF(Q$33=0,0,IF(Q$213&lt;$Q$7,0,$L$35*$J$5*$Q$4*2*PI()*$AE$8/($X$12*(LN(SQRT($J$4/(Q$32*PI()))/($J$10/2))-(1/2)+H$211)))))</f>
        <v>6.3269595372468221E-2</v>
      </c>
      <c r="R223" s="562">
        <f ca="1">IF(Cashflow!R$111="C/I",0,IF(R$33=0,0,IF(R$213&lt;$Q$7,0,$L$35*$J$5*$Q$4*2*PI()*$AE$8/($X$12*(LN(SQRT($J$4/(R$32*PI()))/($J$10/2))-(1/2)+I$211)))))</f>
        <v>0.13889641861254576</v>
      </c>
      <c r="S223" s="562">
        <f ca="1">IF(Cashflow!S$111="C/I",0,IF(S$33=0,0,IF(S$213&lt;$Q$7,0,$L$35*$J$5*$Q$4*2*PI()*$AE$8/($X$12*(LN(SQRT($J$4/(S$32*PI()))/($J$10/2))-(1/2)+J$211)))))</f>
        <v>0.11209802520473955</v>
      </c>
      <c r="T223" s="562">
        <f ca="1">IF(Cashflow!T$111="C/I",0,IF(T$33=0,0,IF(T$213&lt;$Q$7,0,$L$35*$J$5*$Q$4*2*PI()*$AE$8/($X$12*(LN(SQRT($J$4/(T$32*PI()))/($J$10/2))-(1/2)+K$211)))))</f>
        <v>9.3968024976936348E-2</v>
      </c>
      <c r="U223" s="562">
        <f ca="1">IF(Cashflow!U$111="C/I",0,IF(U$33=0,0,IF(U$213&lt;$Q$7,0,$L$35*$J$5*$Q$4*2*PI()*$AE$8/($X$12*(LN(SQRT($J$4/(U$32*PI()))/($J$10/2))-(1/2)+L$211)))))</f>
        <v>8.0886045820917088E-2</v>
      </c>
      <c r="V223" s="562">
        <f ca="1">IF(Cashflow!V$111="C/I",0,IF(V$33=0,0,IF(V$213&lt;$Q$7,0,$L$35*$J$5*$Q$4*2*PI()*$AE$8/($X$12*(LN(SQRT($J$4/(V$32*PI()))/($J$10/2))-(1/2)+M$211)))))</f>
        <v>7.1001416913029899E-2</v>
      </c>
      <c r="W223" s="562">
        <f ca="1">IF(Cashflow!W$111="C/I",0,IF(W$33=0,0,IF(W$213&lt;$Q$7,0,$L$35*$J$5*$Q$4*2*PI()*$AE$8/($X$12*(LN(SQRT($J$4/(W$32*PI()))/($J$10/2))-(1/2)+N$211)))))</f>
        <v>6.3269595372468221E-2</v>
      </c>
      <c r="X223" s="562">
        <f ca="1">IF(Cashflow!X$111="C/I",0,IF(X$33=0,0,IF(X$213&lt;$Q$7,0,$L$35*$J$5*$Q$4*2*PI()*$AE$8/($X$12*(LN(SQRT($J$4/(X$32*PI()))/($J$10/2))-(1/2)+O$211)))))</f>
        <v>0.13889641861254576</v>
      </c>
      <c r="Y223" s="562">
        <f ca="1">IF(Cashflow!Y$111="C/I",0,IF(Y$33=0,0,IF(Y$213&lt;$Q$7,0,$L$35*$J$5*$Q$4*2*PI()*$AE$8/($X$12*(LN(SQRT($J$4/(Y$32*PI()))/($J$10/2))-(1/2)+P$211)))))</f>
        <v>0.11209802520473955</v>
      </c>
      <c r="Z223" s="562">
        <f ca="1">IF(Cashflow!Z$111="C/I",0,IF(Z$33=0,0,IF(Z$213&lt;$Q$7,0,$L$35*$J$5*$Q$4*2*PI()*$AE$8/($X$12*(LN(SQRT($J$4/(Z$32*PI()))/($J$10/2))-(1/2)+Q$211)))))</f>
        <v>9.3968024976936348E-2</v>
      </c>
      <c r="AA223" s="562">
        <f ca="1">IF(Cashflow!AA$111="C/I",0,IF(AA$33=0,0,IF(AA$213&lt;$Q$7,0,$L$35*$J$5*$Q$4*2*PI()*$AE$8/($X$12*(LN(SQRT($J$4/(AA$32*PI()))/($J$10/2))-(1/2)+R$211)))))</f>
        <v>8.0886045820917088E-2</v>
      </c>
      <c r="AB223" s="562">
        <f ca="1">IF(Cashflow!AB$111="C/I",0,IF(AB$33=0,0,IF(AB$213&lt;$Q$7,0,$L$35*$J$5*$Q$4*2*PI()*$AE$8/($X$12*(LN(SQRT($J$4/(AB$32*PI()))/($J$10/2))-(1/2)+S$211)))))</f>
        <v>7.1001416913029899E-2</v>
      </c>
      <c r="AC223" s="562">
        <f ca="1">IF(Cashflow!AC$111="C/I",0,IF(AC$33=0,0,IF(AC$213&lt;$Q$7,0,$L$35*$J$5*$Q$4*2*PI()*$AE$8/($X$12*(LN(SQRT($J$4/(AC$32*PI()))/($J$10/2))-(1/2)+T$211)))))</f>
        <v>6.3269595372468221E-2</v>
      </c>
      <c r="AD223" s="562">
        <f ca="1">IF(Cashflow!AD$111="C/I",0,IF(AD$33=0,0,IF(AD$213&lt;$Q$7,0,$L$35*$J$5*$Q$4*2*PI()*$AE$8/($X$12*(LN(SQRT($J$4/(AD$32*PI()))/($J$10/2))-(1/2)+U$211)))))</f>
        <v>0.13889641861254576</v>
      </c>
      <c r="AE223" s="562">
        <f ca="1">IF(Cashflow!AE$111="C/I",0,IF(AE$33=0,0,IF(AE$213&lt;$Q$7,0,$L$35*$J$5*$Q$4*2*PI()*$AE$8/($X$12*(LN(SQRT($J$4/(AE$32*PI()))/($J$10/2))-(1/2)+V$211)))))</f>
        <v>0.11209802520473955</v>
      </c>
      <c r="AF223" s="562">
        <f ca="1">IF(Cashflow!AF$111="C/I",0,IF(AF$33=0,0,IF(AF$213&lt;$Q$7,0,$L$35*$J$5*$Q$4*2*PI()*$AE$8/($X$12*(LN(SQRT($J$4/(AF$32*PI()))/($J$10/2))-(1/2)+W$211)))))</f>
        <v>9.3968024976936348E-2</v>
      </c>
      <c r="AG223" s="562">
        <f ca="1">IF(Cashflow!AG$111="C/I",0,IF(AG$33=0,0,IF(AG$213&lt;$Q$7,0,$L$35*$J$5*$Q$4*2*PI()*$AE$8/($X$12*(LN(SQRT($J$4/(AG$32*PI()))/($J$10/2))-(1/2)+X$211)))))</f>
        <v>8.0886045820917088E-2</v>
      </c>
      <c r="AH223" s="19"/>
      <c r="AI223" s="19"/>
      <c r="AJ223" s="19"/>
      <c r="AK223" s="21"/>
      <c r="AL223" s="21"/>
      <c r="AM223" s="19"/>
      <c r="AN223" s="19"/>
      <c r="AO223" s="326"/>
      <c r="AP223" s="326"/>
      <c r="AQ223" s="326"/>
      <c r="AR223" s="326"/>
      <c r="AS223" s="326"/>
      <c r="AT223" s="326"/>
      <c r="AU223" s="326"/>
      <c r="AV223" s="326"/>
      <c r="AW223" s="326"/>
      <c r="AX223" s="326"/>
      <c r="AY223" s="326"/>
      <c r="AZ223" s="326"/>
    </row>
    <row r="224" spans="1:52">
      <c r="A224" s="19"/>
      <c r="B224" s="191" t="str">
        <f>"Injection for wells built in Year "&amp;Cashflow!M$164</f>
        <v>Injection for wells built in Year 2027</v>
      </c>
      <c r="C224" s="563"/>
      <c r="D224" s="563"/>
      <c r="E224" s="563"/>
      <c r="F224" s="563"/>
      <c r="G224" s="563"/>
      <c r="H224" s="563"/>
      <c r="I224" s="563"/>
      <c r="J224" s="563"/>
      <c r="K224" s="563"/>
      <c r="L224" s="563"/>
      <c r="M224" s="562">
        <f ca="1">IF(Cashflow!M$111="C/I",0,IF(M$33=0,0,IF(M$213&lt;$Q$7,0,$M$35*$J$5*$Q$4*2*PI()*$AE$8/($X$12*(LN(SQRT($J$4/(M$32*PI()))/($J$10/2))-(1/2)+C$211)))))</f>
        <v>6.8420536876308849E-2</v>
      </c>
      <c r="N224" s="562">
        <f ca="1">IF(Cashflow!N$111="C/I",0,IF(N$33=0,0,IF(N$213&lt;$Q$7,0,$M$35*$J$5*$Q$4*2*PI()*$AE$8/($X$12*(LN(SQRT($J$4/(N$32*PI()))/($J$10/2))-(1/2)+D$211)))))</f>
        <v>5.6049012602369774E-2</v>
      </c>
      <c r="O224" s="562">
        <f ca="1">IF(Cashflow!O$111="C/I",0,IF(O$33=0,0,IF(O$213&lt;$Q$7,0,$M$35*$J$5*$Q$4*2*PI()*$AE$8/($X$12*(LN(SQRT($J$4/(O$32*PI()))/($J$10/2))-(1/2)+E$211)))))</f>
        <v>4.6984012488468174E-2</v>
      </c>
      <c r="P224" s="562">
        <f ca="1">IF(Cashflow!P$111="C/I",0,IF(P$33=0,0,IF(P$213&lt;$Q$7,0,$M$35*$J$5*$Q$4*2*PI()*$AE$8/($X$12*(LN(SQRT($J$4/(P$32*PI()))/($J$10/2))-(1/2)+F$211)))))</f>
        <v>4.0443022910458544E-2</v>
      </c>
      <c r="Q224" s="562">
        <f ca="1">IF(Cashflow!Q$111="C/I",0,IF(Q$33=0,0,IF(Q$213&lt;$Q$7,0,$M$35*$J$5*$Q$4*2*PI()*$AE$8/($X$12*(LN(SQRT($J$4/(Q$32*PI()))/($J$10/2))-(1/2)+G$211)))))</f>
        <v>3.550070845651495E-2</v>
      </c>
      <c r="R224" s="562">
        <f ca="1">IF(Cashflow!R$111="C/I",0,IF(R$33=0,0,IF(R$213&lt;$Q$7,0,$M$35*$J$5*$Q$4*2*PI()*$AE$8/($X$12*(LN(SQRT($J$4/(R$32*PI()))/($J$10/2))-(1/2)+H$211)))))</f>
        <v>3.163479768623411E-2</v>
      </c>
      <c r="S224" s="562">
        <f ca="1">IF(Cashflow!S$111="C/I",0,IF(S$33=0,0,IF(S$213&lt;$Q$7,0,$M$35*$J$5*$Q$4*2*PI()*$AE$8/($X$12*(LN(SQRT($J$4/(S$32*PI()))/($J$10/2))-(1/2)+I$211)))))</f>
        <v>6.9448209306272879E-2</v>
      </c>
      <c r="T224" s="562">
        <f ca="1">IF(Cashflow!T$111="C/I",0,IF(T$33=0,0,IF(T$213&lt;$Q$7,0,$M$35*$J$5*$Q$4*2*PI()*$AE$8/($X$12*(LN(SQRT($J$4/(T$32*PI()))/($J$10/2))-(1/2)+J$211)))))</f>
        <v>5.6049012602369774E-2</v>
      </c>
      <c r="U224" s="562">
        <f ca="1">IF(Cashflow!U$111="C/I",0,IF(U$33=0,0,IF(U$213&lt;$Q$7,0,$M$35*$J$5*$Q$4*2*PI()*$AE$8/($X$12*(LN(SQRT($J$4/(U$32*PI()))/($J$10/2))-(1/2)+K$211)))))</f>
        <v>4.6984012488468174E-2</v>
      </c>
      <c r="V224" s="562">
        <f ca="1">IF(Cashflow!V$111="C/I",0,IF(V$33=0,0,IF(V$213&lt;$Q$7,0,$M$35*$J$5*$Q$4*2*PI()*$AE$8/($X$12*(LN(SQRT($J$4/(V$32*PI()))/($J$10/2))-(1/2)+L$211)))))</f>
        <v>4.0443022910458544E-2</v>
      </c>
      <c r="W224" s="562">
        <f ca="1">IF(Cashflow!W$111="C/I",0,IF(W$33=0,0,IF(W$213&lt;$Q$7,0,$M$35*$J$5*$Q$4*2*PI()*$AE$8/($X$12*(LN(SQRT($J$4/(W$32*PI()))/($J$10/2))-(1/2)+M$211)))))</f>
        <v>3.550070845651495E-2</v>
      </c>
      <c r="X224" s="562">
        <f ca="1">IF(Cashflow!X$111="C/I",0,IF(X$33=0,0,IF(X$213&lt;$Q$7,0,$M$35*$J$5*$Q$4*2*PI()*$AE$8/($X$12*(LN(SQRT($J$4/(X$32*PI()))/($J$10/2))-(1/2)+N$211)))))</f>
        <v>3.163479768623411E-2</v>
      </c>
      <c r="Y224" s="562">
        <f ca="1">IF(Cashflow!Y$111="C/I",0,IF(Y$33=0,0,IF(Y$213&lt;$Q$7,0,$M$35*$J$5*$Q$4*2*PI()*$AE$8/($X$12*(LN(SQRT($J$4/(Y$32*PI()))/($J$10/2))-(1/2)+O$211)))))</f>
        <v>6.9448209306272879E-2</v>
      </c>
      <c r="Z224" s="562">
        <f ca="1">IF(Cashflow!Z$111="C/I",0,IF(Z$33=0,0,IF(Z$213&lt;$Q$7,0,$M$35*$J$5*$Q$4*2*PI()*$AE$8/($X$12*(LN(SQRT($J$4/(Z$32*PI()))/($J$10/2))-(1/2)+P$211)))))</f>
        <v>5.6049012602369774E-2</v>
      </c>
      <c r="AA224" s="562">
        <f ca="1">IF(Cashflow!AA$111="C/I",0,IF(AA$33=0,0,IF(AA$213&lt;$Q$7,0,$M$35*$J$5*$Q$4*2*PI()*$AE$8/($X$12*(LN(SQRT($J$4/(AA$32*PI()))/($J$10/2))-(1/2)+Q$211)))))</f>
        <v>4.6984012488468174E-2</v>
      </c>
      <c r="AB224" s="562">
        <f ca="1">IF(Cashflow!AB$111="C/I",0,IF(AB$33=0,0,IF(AB$213&lt;$Q$7,0,$M$35*$J$5*$Q$4*2*PI()*$AE$8/($X$12*(LN(SQRT($J$4/(AB$32*PI()))/($J$10/2))-(1/2)+R$211)))))</f>
        <v>4.0443022910458544E-2</v>
      </c>
      <c r="AC224" s="562">
        <f ca="1">IF(Cashflow!AC$111="C/I",0,IF(AC$33=0,0,IF(AC$213&lt;$Q$7,0,$M$35*$J$5*$Q$4*2*PI()*$AE$8/($X$12*(LN(SQRT($J$4/(AC$32*PI()))/($J$10/2))-(1/2)+S$211)))))</f>
        <v>3.550070845651495E-2</v>
      </c>
      <c r="AD224" s="562">
        <f ca="1">IF(Cashflow!AD$111="C/I",0,IF(AD$33=0,0,IF(AD$213&lt;$Q$7,0,$M$35*$J$5*$Q$4*2*PI()*$AE$8/($X$12*(LN(SQRT($J$4/(AD$32*PI()))/($J$10/2))-(1/2)+T$211)))))</f>
        <v>3.163479768623411E-2</v>
      </c>
      <c r="AE224" s="562">
        <f ca="1">IF(Cashflow!AE$111="C/I",0,IF(AE$33=0,0,IF(AE$213&lt;$Q$7,0,$M$35*$J$5*$Q$4*2*PI()*$AE$8/($X$12*(LN(SQRT($J$4/(AE$32*PI()))/($J$10/2))-(1/2)+U$211)))))</f>
        <v>6.9448209306272879E-2</v>
      </c>
      <c r="AF224" s="562">
        <f ca="1">IF(Cashflow!AF$111="C/I",0,IF(AF$33=0,0,IF(AF$213&lt;$Q$7,0,$M$35*$J$5*$Q$4*2*PI()*$AE$8/($X$12*(LN(SQRT($J$4/(AF$32*PI()))/($J$10/2))-(1/2)+V$211)))))</f>
        <v>5.6049012602369774E-2</v>
      </c>
      <c r="AG224" s="562">
        <f ca="1">IF(Cashflow!AG$111="C/I",0,IF(AG$33=0,0,IF(AG$213&lt;$Q$7,0,$M$35*$J$5*$Q$4*2*PI()*$AE$8/($X$12*(LN(SQRT($J$4/(AG$32*PI()))/($J$10/2))-(1/2)+W$211)))))</f>
        <v>4.6984012488468174E-2</v>
      </c>
      <c r="AH224" s="19"/>
      <c r="AI224" s="19"/>
      <c r="AJ224" s="19"/>
      <c r="AK224" s="21"/>
      <c r="AL224" s="21"/>
      <c r="AM224" s="19"/>
      <c r="AN224" s="19"/>
      <c r="AO224" s="326"/>
      <c r="AP224" s="326"/>
      <c r="AQ224" s="326"/>
      <c r="AR224" s="326"/>
      <c r="AS224" s="326"/>
      <c r="AT224" s="326"/>
      <c r="AU224" s="326"/>
      <c r="AV224" s="326"/>
      <c r="AW224" s="326"/>
      <c r="AX224" s="326"/>
      <c r="AY224" s="326"/>
      <c r="AZ224" s="326"/>
    </row>
    <row r="225" spans="1:52">
      <c r="A225" s="19"/>
      <c r="B225" s="191" t="str">
        <f>"Injection for wells built in Year "&amp;Cashflow!N$164</f>
        <v>Injection for wells built in Year 2028</v>
      </c>
      <c r="C225" s="563"/>
      <c r="D225" s="563"/>
      <c r="E225" s="563"/>
      <c r="F225" s="563"/>
      <c r="G225" s="563"/>
      <c r="H225" s="563"/>
      <c r="I225" s="563"/>
      <c r="J225" s="563"/>
      <c r="K225" s="563"/>
      <c r="L225" s="563"/>
      <c r="M225" s="563"/>
      <c r="N225" s="562">
        <f ca="1">IF(Cashflow!N$111="C/I",0,IF(N$33=0,0,IF(N$213&lt;$Q$7,0,$N$35*$J$5*$Q$4*2*PI()*$AE$8/($X$12*(LN(SQRT($J$4/(N$32*PI()))/($J$10/2))-(1/2)+C$211)))))</f>
        <v>0.13889641861254576</v>
      </c>
      <c r="O225" s="562">
        <f ca="1">IF(Cashflow!O$111="C/I",0,IF(O$33=0,0,IF(O$213&lt;$Q$7,0,$N$35*$J$5*$Q$4*2*PI()*$AE$8/($X$12*(LN(SQRT($J$4/(O$32*PI()))/($J$10/2))-(1/2)+D$211)))))</f>
        <v>0.11209802520473955</v>
      </c>
      <c r="P225" s="562">
        <f ca="1">IF(Cashflow!P$111="C/I",0,IF(P$33=0,0,IF(P$213&lt;$Q$7,0,$N$35*$J$5*$Q$4*2*PI()*$AE$8/($X$12*(LN(SQRT($J$4/(P$32*PI()))/($J$10/2))-(1/2)+E$211)))))</f>
        <v>9.3968024976936348E-2</v>
      </c>
      <c r="Q225" s="562">
        <f ca="1">IF(Cashflow!Q$111="C/I",0,IF(Q$33=0,0,IF(Q$213&lt;$Q$7,0,$N$35*$J$5*$Q$4*2*PI()*$AE$8/($X$12*(LN(SQRT($J$4/(Q$32*PI()))/($J$10/2))-(1/2)+F$211)))))</f>
        <v>8.0886045820917088E-2</v>
      </c>
      <c r="R225" s="562">
        <f ca="1">IF(Cashflow!R$111="C/I",0,IF(R$33=0,0,IF(R$213&lt;$Q$7,0,$N$35*$J$5*$Q$4*2*PI()*$AE$8/($X$12*(LN(SQRT($J$4/(R$32*PI()))/($J$10/2))-(1/2)+G$211)))))</f>
        <v>7.1001416913029899E-2</v>
      </c>
      <c r="S225" s="562">
        <f ca="1">IF(Cashflow!S$111="C/I",0,IF(S$33=0,0,IF(S$213&lt;$Q$7,0,$N$35*$J$5*$Q$4*2*PI()*$AE$8/($X$12*(LN(SQRT($J$4/(S$32*PI()))/($J$10/2))-(1/2)+H$211)))))</f>
        <v>6.3269595372468221E-2</v>
      </c>
      <c r="T225" s="562">
        <f ca="1">IF(Cashflow!T$111="C/I",0,IF(T$33=0,0,IF(T$213&lt;$Q$7,0,$N$35*$J$5*$Q$4*2*PI()*$AE$8/($X$12*(LN(SQRT($J$4/(T$32*PI()))/($J$10/2))-(1/2)+I$211)))))</f>
        <v>0.13889641861254576</v>
      </c>
      <c r="U225" s="562">
        <f ca="1">IF(Cashflow!U$111="C/I",0,IF(U$33=0,0,IF(U$213&lt;$Q$7,0,$N$35*$J$5*$Q$4*2*PI()*$AE$8/($X$12*(LN(SQRT($J$4/(U$32*PI()))/($J$10/2))-(1/2)+J$211)))))</f>
        <v>0.11209802520473955</v>
      </c>
      <c r="V225" s="562">
        <f ca="1">IF(Cashflow!V$111="C/I",0,IF(V$33=0,0,IF(V$213&lt;$Q$7,0,$N$35*$J$5*$Q$4*2*PI()*$AE$8/($X$12*(LN(SQRT($J$4/(V$32*PI()))/($J$10/2))-(1/2)+K$211)))))</f>
        <v>9.3968024976936348E-2</v>
      </c>
      <c r="W225" s="562">
        <f ca="1">IF(Cashflow!W$111="C/I",0,IF(W$33=0,0,IF(W$213&lt;$Q$7,0,$N$35*$J$5*$Q$4*2*PI()*$AE$8/($X$12*(LN(SQRT($J$4/(W$32*PI()))/($J$10/2))-(1/2)+L$211)))))</f>
        <v>8.0886045820917088E-2</v>
      </c>
      <c r="X225" s="562">
        <f ca="1">IF(Cashflow!X$111="C/I",0,IF(X$33=0,0,IF(X$213&lt;$Q$7,0,$N$35*$J$5*$Q$4*2*PI()*$AE$8/($X$12*(LN(SQRT($J$4/(X$32*PI()))/($J$10/2))-(1/2)+M$211)))))</f>
        <v>7.1001416913029899E-2</v>
      </c>
      <c r="Y225" s="562">
        <f ca="1">IF(Cashflow!Y$111="C/I",0,IF(Y$33=0,0,IF(Y$213&lt;$Q$7,0,$N$35*$J$5*$Q$4*2*PI()*$AE$8/($X$12*(LN(SQRT($J$4/(Y$32*PI()))/($J$10/2))-(1/2)+N$211)))))</f>
        <v>6.3269595372468221E-2</v>
      </c>
      <c r="Z225" s="562">
        <f ca="1">IF(Cashflow!Z$111="C/I",0,IF(Z$33=0,0,IF(Z$213&lt;$Q$7,0,$N$35*$J$5*$Q$4*2*PI()*$AE$8/($X$12*(LN(SQRT($J$4/(Z$32*PI()))/($J$10/2))-(1/2)+O$211)))))</f>
        <v>0.13889641861254576</v>
      </c>
      <c r="AA225" s="562">
        <f ca="1">IF(Cashflow!AA$111="C/I",0,IF(AA$33=0,0,IF(AA$213&lt;$Q$7,0,$N$35*$J$5*$Q$4*2*PI()*$AE$8/($X$12*(LN(SQRT($J$4/(AA$32*PI()))/($J$10/2))-(1/2)+P$211)))))</f>
        <v>0.11209802520473955</v>
      </c>
      <c r="AB225" s="562">
        <f ca="1">IF(Cashflow!AB$111="C/I",0,IF(AB$33=0,0,IF(AB$213&lt;$Q$7,0,$N$35*$J$5*$Q$4*2*PI()*$AE$8/($X$12*(LN(SQRT($J$4/(AB$32*PI()))/($J$10/2))-(1/2)+Q$211)))))</f>
        <v>9.3968024976936348E-2</v>
      </c>
      <c r="AC225" s="562">
        <f ca="1">IF(Cashflow!AC$111="C/I",0,IF(AC$33=0,0,IF(AC$213&lt;$Q$7,0,$N$35*$J$5*$Q$4*2*PI()*$AE$8/($X$12*(LN(SQRT($J$4/(AC$32*PI()))/($J$10/2))-(1/2)+R$211)))))</f>
        <v>8.0886045820917088E-2</v>
      </c>
      <c r="AD225" s="562">
        <f ca="1">IF(Cashflow!AD$111="C/I",0,IF(AD$33=0,0,IF(AD$213&lt;$Q$7,0,$N$35*$J$5*$Q$4*2*PI()*$AE$8/($X$12*(LN(SQRT($J$4/(AD$32*PI()))/($J$10/2))-(1/2)+S$211)))))</f>
        <v>7.1001416913029899E-2</v>
      </c>
      <c r="AE225" s="562">
        <f ca="1">IF(Cashflow!AE$111="C/I",0,IF(AE$33=0,0,IF(AE$213&lt;$Q$7,0,$N$35*$J$5*$Q$4*2*PI()*$AE$8/($X$12*(LN(SQRT($J$4/(AE$32*PI()))/($J$10/2))-(1/2)+T$211)))))</f>
        <v>6.3269595372468221E-2</v>
      </c>
      <c r="AF225" s="562">
        <f ca="1">IF(Cashflow!AF$111="C/I",0,IF(AF$33=0,0,IF(AF$213&lt;$Q$7,0,$N$35*$J$5*$Q$4*2*PI()*$AE$8/($X$12*(LN(SQRT($J$4/(AF$32*PI()))/($J$10/2))-(1/2)+U$211)))))</f>
        <v>0.13889641861254576</v>
      </c>
      <c r="AG225" s="562">
        <f ca="1">IF(Cashflow!AG$111="C/I",0,IF(AG$33=0,0,IF(AG$213&lt;$Q$7,0,$N$35*$J$5*$Q$4*2*PI()*$AE$8/($X$12*(LN(SQRT($J$4/(AG$32*PI()))/($J$10/2))-(1/2)+V$211)))))</f>
        <v>0.11209802520473955</v>
      </c>
      <c r="AH225" s="19"/>
      <c r="AI225" s="19"/>
      <c r="AJ225" s="19"/>
      <c r="AK225" s="21"/>
      <c r="AL225" s="21"/>
      <c r="AM225" s="19"/>
      <c r="AN225" s="19"/>
      <c r="AO225" s="326"/>
      <c r="AP225" s="326"/>
      <c r="AQ225" s="326"/>
      <c r="AR225" s="326"/>
      <c r="AS225" s="326"/>
      <c r="AT225" s="326"/>
      <c r="AU225" s="326"/>
      <c r="AV225" s="326"/>
      <c r="AW225" s="326"/>
      <c r="AX225" s="326"/>
      <c r="AY225" s="326"/>
      <c r="AZ225" s="326"/>
    </row>
    <row r="226" spans="1:52">
      <c r="A226" s="19"/>
      <c r="B226" s="191" t="str">
        <f>"Injection for wells built in Year "&amp;Cashflow!O$164</f>
        <v>Injection for wells built in Year 2029</v>
      </c>
      <c r="C226" s="563"/>
      <c r="D226" s="563"/>
      <c r="E226" s="563"/>
      <c r="F226" s="563"/>
      <c r="G226" s="563"/>
      <c r="H226" s="563"/>
      <c r="I226" s="563"/>
      <c r="J226" s="563"/>
      <c r="K226" s="563"/>
      <c r="L226" s="563"/>
      <c r="M226" s="563"/>
      <c r="N226" s="563"/>
      <c r="O226" s="562">
        <f ca="1">IF(Cashflow!O$111="C/I",0,IF(O$33=0,0,IF(O$213&lt;$Q$7,0,$O$35*$J$5*$Q$4*2*PI()*$AE$8/($X$12*(LN(SQRT($J$4/(O$32*PI()))/($J$10/2))-(1/2)+C$211)))))</f>
        <v>0</v>
      </c>
      <c r="P226" s="562">
        <f ca="1">IF(Cashflow!P$111="C/I",0,IF(P$33=0,0,IF(P$213&lt;$Q$7,0,$O$35*$J$5*$Q$4*2*PI()*$AE$8/($X$12*(LN(SQRT($J$4/(P$32*PI()))/($J$10/2))-(1/2)+D$211)))))</f>
        <v>0</v>
      </c>
      <c r="Q226" s="562">
        <f ca="1">IF(Cashflow!Q$111="C/I",0,IF(Q$33=0,0,IF(Q$213&lt;$Q$7,0,$O$35*$J$5*$Q$4*2*PI()*$AE$8/($X$12*(LN(SQRT($J$4/(Q$32*PI()))/($J$10/2))-(1/2)+E$211)))))</f>
        <v>0</v>
      </c>
      <c r="R226" s="562">
        <f ca="1">IF(Cashflow!R$111="C/I",0,IF(R$33=0,0,IF(R$213&lt;$Q$7,0,$O$35*$J$5*$Q$4*2*PI()*$AE$8/($X$12*(LN(SQRT($J$4/(R$32*PI()))/($J$10/2))-(1/2)+F$211)))))</f>
        <v>0</v>
      </c>
      <c r="S226" s="562">
        <f ca="1">IF(Cashflow!S$111="C/I",0,IF(S$33=0,0,IF(S$213&lt;$Q$7,0,$O$35*$J$5*$Q$4*2*PI()*$AE$8/($X$12*(LN(SQRT($J$4/(S$32*PI()))/($J$10/2))-(1/2)+G$211)))))</f>
        <v>0</v>
      </c>
      <c r="T226" s="562">
        <f ca="1">IF(Cashflow!T$111="C/I",0,IF(T$33=0,0,IF(T$213&lt;$Q$7,0,$O$35*$J$5*$Q$4*2*PI()*$AE$8/($X$12*(LN(SQRT($J$4/(T$32*PI()))/($J$10/2))-(1/2)+H$211)))))</f>
        <v>0</v>
      </c>
      <c r="U226" s="562">
        <f ca="1">IF(Cashflow!U$111="C/I",0,IF(U$33=0,0,IF(U$213&lt;$Q$7,0,$O$35*$J$5*$Q$4*2*PI()*$AE$8/($X$12*(LN(SQRT($J$4/(U$32*PI()))/($J$10/2))-(1/2)+I$211)))))</f>
        <v>0</v>
      </c>
      <c r="V226" s="562">
        <f ca="1">IF(Cashflow!V$111="C/I",0,IF(V$33=0,0,IF(V$213&lt;$Q$7,0,$O$35*$J$5*$Q$4*2*PI()*$AE$8/($X$12*(LN(SQRT($J$4/(V$32*PI()))/($J$10/2))-(1/2)+J$211)))))</f>
        <v>0</v>
      </c>
      <c r="W226" s="562">
        <f ca="1">IF(Cashflow!W$111="C/I",0,IF(W$33=0,0,IF(W$213&lt;$Q$7,0,$O$35*$J$5*$Q$4*2*PI()*$AE$8/($X$12*(LN(SQRT($J$4/(W$32*PI()))/($J$10/2))-(1/2)+K$211)))))</f>
        <v>0</v>
      </c>
      <c r="X226" s="562">
        <f ca="1">IF(Cashflow!X$111="C/I",0,IF(X$33=0,0,IF(X$213&lt;$Q$7,0,$O$35*$J$5*$Q$4*2*PI()*$AE$8/($X$12*(LN(SQRT($J$4/(X$32*PI()))/($J$10/2))-(1/2)+L$211)))))</f>
        <v>0</v>
      </c>
      <c r="Y226" s="562">
        <f ca="1">IF(Cashflow!Y$111="C/I",0,IF(Y$33=0,0,IF(Y$213&lt;$Q$7,0,$O$35*$J$5*$Q$4*2*PI()*$AE$8/($X$12*(LN(SQRT($J$4/(Y$32*PI()))/($J$10/2))-(1/2)+M$211)))))</f>
        <v>0</v>
      </c>
      <c r="Z226" s="562">
        <f ca="1">IF(Cashflow!Z$111="C/I",0,IF(Z$33=0,0,IF(Z$213&lt;$Q$7,0,$O$35*$J$5*$Q$4*2*PI()*$AE$8/($X$12*(LN(SQRT($J$4/(Z$32*PI()))/($J$10/2))-(1/2)+N$211)))))</f>
        <v>0</v>
      </c>
      <c r="AA226" s="562">
        <f ca="1">IF(Cashflow!AA$111="C/I",0,IF(AA$33=0,0,IF(AA$213&lt;$Q$7,0,$O$35*$J$5*$Q$4*2*PI()*$AE$8/($X$12*(LN(SQRT($J$4/(AA$32*PI()))/($J$10/2))-(1/2)+O$211)))))</f>
        <v>0</v>
      </c>
      <c r="AB226" s="562">
        <f ca="1">IF(Cashflow!AB$111="C/I",0,IF(AB$33=0,0,IF(AB$213&lt;$Q$7,0,$O$35*$J$5*$Q$4*2*PI()*$AE$8/($X$12*(LN(SQRT($J$4/(AB$32*PI()))/($J$10/2))-(1/2)+P$211)))))</f>
        <v>0</v>
      </c>
      <c r="AC226" s="562">
        <f ca="1">IF(Cashflow!AC$111="C/I",0,IF(AC$33=0,0,IF(AC$213&lt;$Q$7,0,$O$35*$J$5*$Q$4*2*PI()*$AE$8/($X$12*(LN(SQRT($J$4/(AC$32*PI()))/($J$10/2))-(1/2)+Q$211)))))</f>
        <v>0</v>
      </c>
      <c r="AD226" s="562">
        <f ca="1">IF(Cashflow!AD$111="C/I",0,IF(AD$33=0,0,IF(AD$213&lt;$Q$7,0,$O$35*$J$5*$Q$4*2*PI()*$AE$8/($X$12*(LN(SQRT($J$4/(AD$32*PI()))/($J$10/2))-(1/2)+R$211)))))</f>
        <v>0</v>
      </c>
      <c r="AE226" s="562">
        <f ca="1">IF(Cashflow!AE$111="C/I",0,IF(AE$33=0,0,IF(AE$213&lt;$Q$7,0,$O$35*$J$5*$Q$4*2*PI()*$AE$8/($X$12*(LN(SQRT($J$4/(AE$32*PI()))/($J$10/2))-(1/2)+S$211)))))</f>
        <v>0</v>
      </c>
      <c r="AF226" s="562">
        <f ca="1">IF(Cashflow!AF$111="C/I",0,IF(AF$33=0,0,IF(AF$213&lt;$Q$7,0,$O$35*$J$5*$Q$4*2*PI()*$AE$8/($X$12*(LN(SQRT($J$4/(AF$32*PI()))/($J$10/2))-(1/2)+T$211)))))</f>
        <v>0</v>
      </c>
      <c r="AG226" s="562">
        <f ca="1">IF(Cashflow!AG$111="C/I",0,IF(AG$33=0,0,IF(AG$213&lt;$Q$7,0,$O$35*$J$5*$Q$4*2*PI()*$AE$8/($X$12*(LN(SQRT($J$4/(AG$32*PI()))/($J$10/2))-(1/2)+U$211)))))</f>
        <v>0</v>
      </c>
      <c r="AH226" s="19"/>
      <c r="AI226" s="19"/>
      <c r="AJ226" s="19"/>
      <c r="AK226" s="21"/>
      <c r="AL226" s="21"/>
      <c r="AM226" s="19"/>
      <c r="AN226" s="19"/>
      <c r="AO226" s="326"/>
      <c r="AP226" s="326"/>
      <c r="AQ226" s="326"/>
      <c r="AR226" s="326"/>
      <c r="AS226" s="326"/>
      <c r="AT226" s="326"/>
      <c r="AU226" s="326"/>
      <c r="AV226" s="326"/>
      <c r="AW226" s="326"/>
      <c r="AX226" s="326"/>
      <c r="AY226" s="326"/>
      <c r="AZ226" s="326"/>
    </row>
    <row r="227" spans="1:52">
      <c r="A227" s="19"/>
      <c r="B227" s="191" t="str">
        <f>"Injection for wells built in Year "&amp;Cashflow!P$164</f>
        <v>Injection for wells built in Year 2030</v>
      </c>
      <c r="C227" s="563"/>
      <c r="D227" s="563"/>
      <c r="E227" s="563"/>
      <c r="F227" s="563"/>
      <c r="G227" s="563"/>
      <c r="H227" s="563"/>
      <c r="I227" s="563"/>
      <c r="J227" s="563"/>
      <c r="K227" s="563"/>
      <c r="L227" s="563"/>
      <c r="M227" s="563"/>
      <c r="N227" s="563"/>
      <c r="O227" s="563"/>
      <c r="P227" s="562">
        <f ca="1">IF(Cashflow!P$111="C/I",0,IF(P$33=0,0,IF(P$213&lt;$Q$7,0,$P$35*$J$5*$Q$4*2*PI()*$AE$8/($X$12*(LN(SQRT($J$4/(P$32*PI()))/($J$10/2))-(1/2)+C$211)))))</f>
        <v>0</v>
      </c>
      <c r="Q227" s="562">
        <f ca="1">IF(Cashflow!Q$111="C/I",0,IF(Q$33=0,0,IF(Q$213&lt;$Q$7,0,$P$35*$J$5*$Q$4*2*PI()*$AE$8/($X$12*(LN(SQRT($J$4/(Q$32*PI()))/($J$10/2))-(1/2)+D$211)))))</f>
        <v>0</v>
      </c>
      <c r="R227" s="562">
        <f ca="1">IF(Cashflow!R$111="C/I",0,IF(R$33=0,0,IF(R$213&lt;$Q$7,0,$P$35*$J$5*$Q$4*2*PI()*$AE$8/($X$12*(LN(SQRT($J$4/(R$32*PI()))/($J$10/2))-(1/2)+E$211)))))</f>
        <v>0</v>
      </c>
      <c r="S227" s="562">
        <f ca="1">IF(Cashflow!S$111="C/I",0,IF(S$33=0,0,IF(S$213&lt;$Q$7,0,$P$35*$J$5*$Q$4*2*PI()*$AE$8/($X$12*(LN(SQRT($J$4/(S$32*PI()))/($J$10/2))-(1/2)+F$211)))))</f>
        <v>0</v>
      </c>
      <c r="T227" s="562">
        <f ca="1">IF(Cashflow!T$111="C/I",0,IF(T$33=0,0,IF(T$213&lt;$Q$7,0,$P$35*$J$5*$Q$4*2*PI()*$AE$8/($X$12*(LN(SQRT($J$4/(T$32*PI()))/($J$10/2))-(1/2)+G$211)))))</f>
        <v>0</v>
      </c>
      <c r="U227" s="562">
        <f ca="1">IF(Cashflow!U$111="C/I",0,IF(U$33=0,0,IF(U$213&lt;$Q$7,0,$P$35*$J$5*$Q$4*2*PI()*$AE$8/($X$12*(LN(SQRT($J$4/(U$32*PI()))/($J$10/2))-(1/2)+H$211)))))</f>
        <v>0</v>
      </c>
      <c r="V227" s="562">
        <f ca="1">IF(Cashflow!V$111="C/I",0,IF(V$33=0,0,IF(V$213&lt;$Q$7,0,$P$35*$J$5*$Q$4*2*PI()*$AE$8/($X$12*(LN(SQRT($J$4/(V$32*PI()))/($J$10/2))-(1/2)+I$211)))))</f>
        <v>0</v>
      </c>
      <c r="W227" s="562">
        <f ca="1">IF(Cashflow!W$111="C/I",0,IF(W$33=0,0,IF(W$213&lt;$Q$7,0,$P$35*$J$5*$Q$4*2*PI()*$AE$8/($X$12*(LN(SQRT($J$4/(W$32*PI()))/($J$10/2))-(1/2)+J$211)))))</f>
        <v>0</v>
      </c>
      <c r="X227" s="562">
        <f ca="1">IF(Cashflow!X$111="C/I",0,IF(X$33=0,0,IF(X$213&lt;$Q$7,0,$P$35*$J$5*$Q$4*2*PI()*$AE$8/($X$12*(LN(SQRT($J$4/(X$32*PI()))/($J$10/2))-(1/2)+K$211)))))</f>
        <v>0</v>
      </c>
      <c r="Y227" s="562">
        <f ca="1">IF(Cashflow!Y$111="C/I",0,IF(Y$33=0,0,IF(Y$213&lt;$Q$7,0,$P$35*$J$5*$Q$4*2*PI()*$AE$8/($X$12*(LN(SQRT($J$4/(Y$32*PI()))/($J$10/2))-(1/2)+L$211)))))</f>
        <v>0</v>
      </c>
      <c r="Z227" s="562">
        <f ca="1">IF(Cashflow!Z$111="C/I",0,IF(Z$33=0,0,IF(Z$213&lt;$Q$7,0,$P$35*$J$5*$Q$4*2*PI()*$AE$8/($X$12*(LN(SQRT($J$4/(Z$32*PI()))/($J$10/2))-(1/2)+M$211)))))</f>
        <v>0</v>
      </c>
      <c r="AA227" s="562">
        <f ca="1">IF(Cashflow!AA$111="C/I",0,IF(AA$33=0,0,IF(AA$213&lt;$Q$7,0,$P$35*$J$5*$Q$4*2*PI()*$AE$8/($X$12*(LN(SQRT($J$4/(AA$32*PI()))/($J$10/2))-(1/2)+N$211)))))</f>
        <v>0</v>
      </c>
      <c r="AB227" s="562">
        <f ca="1">IF(Cashflow!AB$111="C/I",0,IF(AB$33=0,0,IF(AB$213&lt;$Q$7,0,$P$35*$J$5*$Q$4*2*PI()*$AE$8/($X$12*(LN(SQRT($J$4/(AB$32*PI()))/($J$10/2))-(1/2)+O$211)))))</f>
        <v>0</v>
      </c>
      <c r="AC227" s="562">
        <f ca="1">IF(Cashflow!AC$111="C/I",0,IF(AC$33=0,0,IF(AC$213&lt;$Q$7,0,$P$35*$J$5*$Q$4*2*PI()*$AE$8/($X$12*(LN(SQRT($J$4/(AC$32*PI()))/($J$10/2))-(1/2)+P$211)))))</f>
        <v>0</v>
      </c>
      <c r="AD227" s="562">
        <f ca="1">IF(Cashflow!AD$111="C/I",0,IF(AD$33=0,0,IF(AD$213&lt;$Q$7,0,$P$35*$J$5*$Q$4*2*PI()*$AE$8/($X$12*(LN(SQRT($J$4/(AD$32*PI()))/($J$10/2))-(1/2)+Q$211)))))</f>
        <v>0</v>
      </c>
      <c r="AE227" s="562">
        <f ca="1">IF(Cashflow!AE$111="C/I",0,IF(AE$33=0,0,IF(AE$213&lt;$Q$7,0,$P$35*$J$5*$Q$4*2*PI()*$AE$8/($X$12*(LN(SQRT($J$4/(AE$32*PI()))/($J$10/2))-(1/2)+R$211)))))</f>
        <v>0</v>
      </c>
      <c r="AF227" s="562">
        <f ca="1">IF(Cashflow!AF$111="C/I",0,IF(AF$33=0,0,IF(AF$213&lt;$Q$7,0,$P$35*$J$5*$Q$4*2*PI()*$AE$8/($X$12*(LN(SQRT($J$4/(AF$32*PI()))/($J$10/2))-(1/2)+S$211)))))</f>
        <v>0</v>
      </c>
      <c r="AG227" s="562">
        <f ca="1">IF(Cashflow!AG$111="C/I",0,IF(AG$33=0,0,IF(AG$213&lt;$Q$7,0,$P$35*$J$5*$Q$4*2*PI()*$AE$8/($X$12*(LN(SQRT($J$4/(AG$32*PI()))/($J$10/2))-(1/2)+T$211)))))</f>
        <v>0</v>
      </c>
      <c r="AH227" s="19"/>
      <c r="AI227" s="19"/>
      <c r="AJ227" s="19"/>
      <c r="AK227" s="21"/>
      <c r="AL227" s="21"/>
      <c r="AM227" s="19"/>
      <c r="AN227" s="19"/>
      <c r="AO227" s="326"/>
      <c r="AP227" s="326"/>
      <c r="AQ227" s="326"/>
      <c r="AR227" s="326"/>
      <c r="AS227" s="326"/>
      <c r="AT227" s="326"/>
      <c r="AU227" s="326"/>
      <c r="AV227" s="326"/>
      <c r="AW227" s="326"/>
      <c r="AX227" s="326"/>
      <c r="AY227" s="326"/>
      <c r="AZ227" s="326"/>
    </row>
    <row r="228" spans="1:52">
      <c r="A228" s="19"/>
      <c r="B228" s="191" t="str">
        <f>"Injection for wells built in Year "&amp;Cashflow!Q$164</f>
        <v>Injection for wells built in Year 2031</v>
      </c>
      <c r="C228" s="563"/>
      <c r="D228" s="563"/>
      <c r="E228" s="563"/>
      <c r="F228" s="563"/>
      <c r="G228" s="563"/>
      <c r="H228" s="563"/>
      <c r="I228" s="563"/>
      <c r="J228" s="563"/>
      <c r="K228" s="563"/>
      <c r="L228" s="563"/>
      <c r="M228" s="563"/>
      <c r="N228" s="563"/>
      <c r="O228" s="563"/>
      <c r="P228" s="563"/>
      <c r="Q228" s="562">
        <f ca="1">IF(Cashflow!Q$111="C/I",0,IF(Q$33=0,0,IF(Q$213&lt;$Q$7,0,$Q$35*$J$5*$Q$4*2*PI()*$AE$8/($X$12*(LN(SQRT($J$4/(Q$32*PI()))/($J$10/2))-(1/2)+C$211)))))</f>
        <v>0</v>
      </c>
      <c r="R228" s="562">
        <f ca="1">IF(Cashflow!R$111="C/I",0,IF(R$33=0,0,IF(R$213&lt;$Q$7,0,$Q$35*$J$5*$Q$4*2*PI()*$AE$8/($X$12*(LN(SQRT($J$4/(R$32*PI()))/($J$10/2))-(1/2)+D$211)))))</f>
        <v>0</v>
      </c>
      <c r="S228" s="562">
        <f ca="1">IF(Cashflow!S$111="C/I",0,IF(S$33=0,0,IF(S$213&lt;$Q$7,0,$Q$35*$J$5*$Q$4*2*PI()*$AE$8/($X$12*(LN(SQRT($J$4/(S$32*PI()))/($J$10/2))-(1/2)+E$211)))))</f>
        <v>0</v>
      </c>
      <c r="T228" s="562">
        <f ca="1">IF(Cashflow!T$111="C/I",0,IF(T$33=0,0,IF(T$213&lt;$Q$7,0,$Q$35*$J$5*$Q$4*2*PI()*$AE$8/($X$12*(LN(SQRT($J$4/(T$32*PI()))/($J$10/2))-(1/2)+F$211)))))</f>
        <v>0</v>
      </c>
      <c r="U228" s="562">
        <f ca="1">IF(Cashflow!U$111="C/I",0,IF(U$33=0,0,IF(U$213&lt;$Q$7,0,$Q$35*$J$5*$Q$4*2*PI()*$AE$8/($X$12*(LN(SQRT($J$4/(U$32*PI()))/($J$10/2))-(1/2)+G$211)))))</f>
        <v>0</v>
      </c>
      <c r="V228" s="562">
        <f ca="1">IF(Cashflow!V$111="C/I",0,IF(V$33=0,0,IF(V$213&lt;$Q$7,0,$Q$35*$J$5*$Q$4*2*PI()*$AE$8/($X$12*(LN(SQRT($J$4/(V$32*PI()))/($J$10/2))-(1/2)+H$211)))))</f>
        <v>0</v>
      </c>
      <c r="W228" s="562">
        <f ca="1">IF(Cashflow!W$111="C/I",0,IF(W$33=0,0,IF(W$213&lt;$Q$7,0,$Q$35*$J$5*$Q$4*2*PI()*$AE$8/($X$12*(LN(SQRT($J$4/(W$32*PI()))/($J$10/2))-(1/2)+I$211)))))</f>
        <v>0</v>
      </c>
      <c r="X228" s="562">
        <f ca="1">IF(Cashflow!X$111="C/I",0,IF(X$33=0,0,IF(X$213&lt;$Q$7,0,$Q$35*$J$5*$Q$4*2*PI()*$AE$8/($X$12*(LN(SQRT($J$4/(X$32*PI()))/($J$10/2))-(1/2)+J$211)))))</f>
        <v>0</v>
      </c>
      <c r="Y228" s="562">
        <f ca="1">IF(Cashflow!Y$111="C/I",0,IF(Y$33=0,0,IF(Y$213&lt;$Q$7,0,$Q$35*$J$5*$Q$4*2*PI()*$AE$8/($X$12*(LN(SQRT($J$4/(Y$32*PI()))/($J$10/2))-(1/2)+K$211)))))</f>
        <v>0</v>
      </c>
      <c r="Z228" s="562">
        <f ca="1">IF(Cashflow!Z$111="C/I",0,IF(Z$33=0,0,IF(Z$213&lt;$Q$7,0,$Q$35*$J$5*$Q$4*2*PI()*$AE$8/($X$12*(LN(SQRT($J$4/(Z$32*PI()))/($J$10/2))-(1/2)+L$211)))))</f>
        <v>0</v>
      </c>
      <c r="AA228" s="562">
        <f ca="1">IF(Cashflow!AA$111="C/I",0,IF(AA$33=0,0,IF(AA$213&lt;$Q$7,0,$Q$35*$J$5*$Q$4*2*PI()*$AE$8/($X$12*(LN(SQRT($J$4/(AA$32*PI()))/($J$10/2))-(1/2)+M$211)))))</f>
        <v>0</v>
      </c>
      <c r="AB228" s="562">
        <f ca="1">IF(Cashflow!AB$111="C/I",0,IF(AB$33=0,0,IF(AB$213&lt;$Q$7,0,$Q$35*$J$5*$Q$4*2*PI()*$AE$8/($X$12*(LN(SQRT($J$4/(AB$32*PI()))/($J$10/2))-(1/2)+N$211)))))</f>
        <v>0</v>
      </c>
      <c r="AC228" s="562">
        <f ca="1">IF(Cashflow!AC$111="C/I",0,IF(AC$33=0,0,IF(AC$213&lt;$Q$7,0,$Q$35*$J$5*$Q$4*2*PI()*$AE$8/($X$12*(LN(SQRT($J$4/(AC$32*PI()))/($J$10/2))-(1/2)+O$211)))))</f>
        <v>0</v>
      </c>
      <c r="AD228" s="562">
        <f ca="1">IF(Cashflow!AD$111="C/I",0,IF(AD$33=0,0,IF(AD$213&lt;$Q$7,0,$Q$35*$J$5*$Q$4*2*PI()*$AE$8/($X$12*(LN(SQRT($J$4/(AD$32*PI()))/($J$10/2))-(1/2)+P$211)))))</f>
        <v>0</v>
      </c>
      <c r="AE228" s="562">
        <f ca="1">IF(Cashflow!AE$111="C/I",0,IF(AE$33=0,0,IF(AE$213&lt;$Q$7,0,$Q$35*$J$5*$Q$4*2*PI()*$AE$8/($X$12*(LN(SQRT($J$4/(AE$32*PI()))/($J$10/2))-(1/2)+Q$211)))))</f>
        <v>0</v>
      </c>
      <c r="AF228" s="562">
        <f ca="1">IF(Cashflow!AF$111="C/I",0,IF(AF$33=0,0,IF(AF$213&lt;$Q$7,0,$Q$35*$J$5*$Q$4*2*PI()*$AE$8/($X$12*(LN(SQRT($J$4/(AF$32*PI()))/($J$10/2))-(1/2)+R$211)))))</f>
        <v>0</v>
      </c>
      <c r="AG228" s="562">
        <f ca="1">IF(Cashflow!AG$111="C/I",0,IF(AG$33=0,0,IF(AG$213&lt;$Q$7,0,$Q$35*$J$5*$Q$4*2*PI()*$AE$8/($X$12*(LN(SQRT($J$4/(AG$32*PI()))/($J$10/2))-(1/2)+S$211)))))</f>
        <v>0</v>
      </c>
      <c r="AH228" s="19"/>
      <c r="AI228" s="19"/>
      <c r="AJ228" s="19"/>
      <c r="AK228" s="21"/>
      <c r="AL228" s="21"/>
      <c r="AM228" s="19"/>
      <c r="AN228" s="19"/>
      <c r="AO228" s="326"/>
      <c r="AP228" s="326"/>
      <c r="AQ228" s="326"/>
      <c r="AR228" s="326"/>
      <c r="AS228" s="326"/>
      <c r="AT228" s="326"/>
      <c r="AU228" s="326"/>
      <c r="AV228" s="326"/>
      <c r="AW228" s="326"/>
      <c r="AX228" s="326"/>
      <c r="AY228" s="326"/>
      <c r="AZ228" s="326"/>
    </row>
    <row r="229" spans="1:52">
      <c r="A229" s="19"/>
      <c r="B229" s="191" t="str">
        <f>"Injection for wells built in Year "&amp;Cashflow!R$164</f>
        <v>Injection for wells built in Year 2032</v>
      </c>
      <c r="C229" s="563"/>
      <c r="D229" s="563"/>
      <c r="E229" s="563"/>
      <c r="F229" s="563"/>
      <c r="G229" s="563"/>
      <c r="H229" s="563"/>
      <c r="I229" s="563"/>
      <c r="J229" s="563"/>
      <c r="K229" s="563"/>
      <c r="L229" s="563"/>
      <c r="M229" s="563"/>
      <c r="N229" s="563"/>
      <c r="O229" s="563"/>
      <c r="P229" s="563"/>
      <c r="Q229" s="563"/>
      <c r="R229" s="562">
        <f ca="1">IF(Cashflow!R$111="C/I",0,IF(R$33=0,0,IF(R$213&lt;$Q$7,0,$R$35*$J$5*$Q$4*2*PI()*$AE$8/($X$12*(LN(SQRT($J$4/(R$32*PI()))/($J$10/2))-(1/2)+C$211)))))</f>
        <v>0</v>
      </c>
      <c r="S229" s="562">
        <f ca="1">IF(Cashflow!S$111="C/I",0,IF(S$33=0,0,IF(S$213&lt;$Q$7,0,$R$35*$J$5*$Q$4*2*PI()*$AE$8/($X$12*(LN(SQRT($J$4/(S$32*PI()))/($J$10/2))-(1/2)+D$211)))))</f>
        <v>0</v>
      </c>
      <c r="T229" s="562">
        <f ca="1">IF(Cashflow!T$111="C/I",0,IF(T$33=0,0,IF(T$213&lt;$Q$7,0,$R$35*$J$5*$Q$4*2*PI()*$AE$8/($X$12*(LN(SQRT($J$4/(T$32*PI()))/($J$10/2))-(1/2)+E$211)))))</f>
        <v>0</v>
      </c>
      <c r="U229" s="562">
        <f ca="1">IF(Cashflow!U$111="C/I",0,IF(U$33=0,0,IF(U$213&lt;$Q$7,0,$R$35*$J$5*$Q$4*2*PI()*$AE$8/($X$12*(LN(SQRT($J$4/(U$32*PI()))/($J$10/2))-(1/2)+F$211)))))</f>
        <v>0</v>
      </c>
      <c r="V229" s="562">
        <f ca="1">IF(Cashflow!V$111="C/I",0,IF(V$33=0,0,IF(V$213&lt;$Q$7,0,$R$35*$J$5*$Q$4*2*PI()*$AE$8/($X$12*(LN(SQRT($J$4/(V$32*PI()))/($J$10/2))-(1/2)+G$211)))))</f>
        <v>0</v>
      </c>
      <c r="W229" s="562">
        <f ca="1">IF(Cashflow!W$111="C/I",0,IF(W$33=0,0,IF(W$213&lt;$Q$7,0,$R$35*$J$5*$Q$4*2*PI()*$AE$8/($X$12*(LN(SQRT($J$4/(W$32*PI()))/($J$10/2))-(1/2)+H$211)))))</f>
        <v>0</v>
      </c>
      <c r="X229" s="562">
        <f ca="1">IF(Cashflow!X$111="C/I",0,IF(X$33=0,0,IF(X$213&lt;$Q$7,0,$R$35*$J$5*$Q$4*2*PI()*$AE$8/($X$12*(LN(SQRT($J$4/(X$32*PI()))/($J$10/2))-(1/2)+I$211)))))</f>
        <v>0</v>
      </c>
      <c r="Y229" s="562">
        <f ca="1">IF(Cashflow!Y$111="C/I",0,IF(Y$33=0,0,IF(Y$213&lt;$Q$7,0,$R$35*$J$5*$Q$4*2*PI()*$AE$8/($X$12*(LN(SQRT($J$4/(Y$32*PI()))/($J$10/2))-(1/2)+J$211)))))</f>
        <v>0</v>
      </c>
      <c r="Z229" s="562">
        <f ca="1">IF(Cashflow!Z$111="C/I",0,IF(Z$33=0,0,IF(Z$213&lt;$Q$7,0,$R$35*$J$5*$Q$4*2*PI()*$AE$8/($X$12*(LN(SQRT($J$4/(Z$32*PI()))/($J$10/2))-(1/2)+K$211)))))</f>
        <v>0</v>
      </c>
      <c r="AA229" s="562">
        <f ca="1">IF(Cashflow!AA$111="C/I",0,IF(AA$33=0,0,IF(AA$213&lt;$Q$7,0,$R$35*$J$5*$Q$4*2*PI()*$AE$8/($X$12*(LN(SQRT($J$4/(AA$32*PI()))/($J$10/2))-(1/2)+L$211)))))</f>
        <v>0</v>
      </c>
      <c r="AB229" s="562">
        <f ca="1">IF(Cashflow!AB$111="C/I",0,IF(AB$33=0,0,IF(AB$213&lt;$Q$7,0,$R$35*$J$5*$Q$4*2*PI()*$AE$8/($X$12*(LN(SQRT($J$4/(AB$32*PI()))/($J$10/2))-(1/2)+M$211)))))</f>
        <v>0</v>
      </c>
      <c r="AC229" s="562">
        <f ca="1">IF(Cashflow!AC$111="C/I",0,IF(AC$33=0,0,IF(AC$213&lt;$Q$7,0,$R$35*$J$5*$Q$4*2*PI()*$AE$8/($X$12*(LN(SQRT($J$4/(AC$32*PI()))/($J$10/2))-(1/2)+N$211)))))</f>
        <v>0</v>
      </c>
      <c r="AD229" s="562">
        <f ca="1">IF(Cashflow!AD$111="C/I",0,IF(AD$33=0,0,IF(AD$213&lt;$Q$7,0,$R$35*$J$5*$Q$4*2*PI()*$AE$8/($X$12*(LN(SQRT($J$4/(AD$32*PI()))/($J$10/2))-(1/2)+O$211)))))</f>
        <v>0</v>
      </c>
      <c r="AE229" s="562">
        <f ca="1">IF(Cashflow!AE$111="C/I",0,IF(AE$33=0,0,IF(AE$213&lt;$Q$7,0,$R$35*$J$5*$Q$4*2*PI()*$AE$8/($X$12*(LN(SQRT($J$4/(AE$32*PI()))/($J$10/2))-(1/2)+P$211)))))</f>
        <v>0</v>
      </c>
      <c r="AF229" s="562">
        <f ca="1">IF(Cashflow!AF$111="C/I",0,IF(AF$33=0,0,IF(AF$213&lt;$Q$7,0,$R$35*$J$5*$Q$4*2*PI()*$AE$8/($X$12*(LN(SQRT($J$4/(AF$32*PI()))/($J$10/2))-(1/2)+Q$211)))))</f>
        <v>0</v>
      </c>
      <c r="AG229" s="562">
        <f ca="1">IF(Cashflow!AG$111="C/I",0,IF(AG$33=0,0,IF(AG$213&lt;$Q$7,0,$R$35*$J$5*$Q$4*2*PI()*$AE$8/($X$12*(LN(SQRT($J$4/(AG$32*PI()))/($J$10/2))-(1/2)+R$211)))))</f>
        <v>0</v>
      </c>
      <c r="AH229" s="19"/>
      <c r="AI229" s="19"/>
      <c r="AJ229" s="19"/>
      <c r="AK229" s="21"/>
      <c r="AL229" s="21"/>
      <c r="AM229" s="19"/>
      <c r="AN229" s="19"/>
      <c r="AO229" s="326"/>
      <c r="AP229" s="326"/>
      <c r="AQ229" s="326"/>
      <c r="AR229" s="326"/>
      <c r="AS229" s="326"/>
      <c r="AT229" s="326"/>
      <c r="AU229" s="326"/>
      <c r="AV229" s="326"/>
      <c r="AW229" s="326"/>
      <c r="AX229" s="326"/>
      <c r="AY229" s="326"/>
      <c r="AZ229" s="326"/>
    </row>
    <row r="230" spans="1:52">
      <c r="A230" s="19"/>
      <c r="B230" s="191" t="str">
        <f>"Injection for wells built in Year "&amp;Cashflow!S$164</f>
        <v>Injection for wells built in Year 2033</v>
      </c>
      <c r="C230" s="563"/>
      <c r="D230" s="563"/>
      <c r="E230" s="563"/>
      <c r="F230" s="563"/>
      <c r="G230" s="563"/>
      <c r="H230" s="563"/>
      <c r="I230" s="563"/>
      <c r="J230" s="563"/>
      <c r="K230" s="563"/>
      <c r="L230" s="563"/>
      <c r="M230" s="563"/>
      <c r="N230" s="563"/>
      <c r="O230" s="563"/>
      <c r="P230" s="563"/>
      <c r="Q230" s="563"/>
      <c r="R230" s="563"/>
      <c r="S230" s="562">
        <f ca="1">IF(Cashflow!S$111="C/I",0,IF(S$33=0,0,IF(S$213&lt;$Q$7,0,$S$35*$J$5*$Q$4*2*PI()*$AE$8/($X$12*(LN(SQRT($J$4/(S$32*PI()))/($J$10/2))-(1/2)+C$211)))))</f>
        <v>0</v>
      </c>
      <c r="T230" s="562">
        <f ca="1">IF(Cashflow!T$111="C/I",0,IF(T$33=0,0,IF(T$213&lt;$Q$7,0,$S$35*$J$5*$Q$4*2*PI()*$AE$8/($X$12*(LN(SQRT($J$4/(T$32*PI()))/($J$10/2))-(1/2)+D$211)))))</f>
        <v>0</v>
      </c>
      <c r="U230" s="562">
        <f ca="1">IF(Cashflow!U$111="C/I",0,IF(U$33=0,0,IF(U$213&lt;$Q$7,0,$S$35*$J$5*$Q$4*2*PI()*$AE$8/($X$12*(LN(SQRT($J$4/(U$32*PI()))/($J$10/2))-(1/2)+E$211)))))</f>
        <v>0</v>
      </c>
      <c r="V230" s="562">
        <f ca="1">IF(Cashflow!V$111="C/I",0,IF(V$33=0,0,IF(V$213&lt;$Q$7,0,$S$35*$J$5*$Q$4*2*PI()*$AE$8/($X$12*(LN(SQRT($J$4/(V$32*PI()))/($J$10/2))-(1/2)+F$211)))))</f>
        <v>0</v>
      </c>
      <c r="W230" s="562">
        <f ca="1">IF(Cashflow!W$111="C/I",0,IF(W$33=0,0,IF(W$213&lt;$Q$7,0,$S$35*$J$5*$Q$4*2*PI()*$AE$8/($X$12*(LN(SQRT($J$4/(W$32*PI()))/($J$10/2))-(1/2)+G$211)))))</f>
        <v>0</v>
      </c>
      <c r="X230" s="562">
        <f ca="1">IF(Cashflow!X$111="C/I",0,IF(X$33=0,0,IF(X$213&lt;$Q$7,0,$S$35*$J$5*$Q$4*2*PI()*$AE$8/($X$12*(LN(SQRT($J$4/(X$32*PI()))/($J$10/2))-(1/2)+H$211)))))</f>
        <v>0</v>
      </c>
      <c r="Y230" s="562">
        <f ca="1">IF(Cashflow!Y$111="C/I",0,IF(Y$33=0,0,IF(Y$213&lt;$Q$7,0,$S$35*$J$5*$Q$4*2*PI()*$AE$8/($X$12*(LN(SQRT($J$4/(Y$32*PI()))/($J$10/2))-(1/2)+I$211)))))</f>
        <v>0</v>
      </c>
      <c r="Z230" s="562">
        <f ca="1">IF(Cashflow!Z$111="C/I",0,IF(Z$33=0,0,IF(Z$213&lt;$Q$7,0,$S$35*$J$5*$Q$4*2*PI()*$AE$8/($X$12*(LN(SQRT($J$4/(Z$32*PI()))/($J$10/2))-(1/2)+J$211)))))</f>
        <v>0</v>
      </c>
      <c r="AA230" s="562">
        <f ca="1">IF(Cashflow!AA$111="C/I",0,IF(AA$33=0,0,IF(AA$213&lt;$Q$7,0,$S$35*$J$5*$Q$4*2*PI()*$AE$8/($X$12*(LN(SQRT($J$4/(AA$32*PI()))/($J$10/2))-(1/2)+K$211)))))</f>
        <v>0</v>
      </c>
      <c r="AB230" s="562">
        <f ca="1">IF(Cashflow!AB$111="C/I",0,IF(AB$33=0,0,IF(AB$213&lt;$Q$7,0,$S$35*$J$5*$Q$4*2*PI()*$AE$8/($X$12*(LN(SQRT($J$4/(AB$32*PI()))/($J$10/2))-(1/2)+L$211)))))</f>
        <v>0</v>
      </c>
      <c r="AC230" s="562">
        <f ca="1">IF(Cashflow!AC$111="C/I",0,IF(AC$33=0,0,IF(AC$213&lt;$Q$7,0,$S$35*$J$5*$Q$4*2*PI()*$AE$8/($X$12*(LN(SQRT($J$4/(AC$32*PI()))/($J$10/2))-(1/2)+M$211)))))</f>
        <v>0</v>
      </c>
      <c r="AD230" s="562">
        <f ca="1">IF(Cashflow!AD$111="C/I",0,IF(AD$33=0,0,IF(AD$213&lt;$Q$7,0,$S$35*$J$5*$Q$4*2*PI()*$AE$8/($X$12*(LN(SQRT($J$4/(AD$32*PI()))/($J$10/2))-(1/2)+N$211)))))</f>
        <v>0</v>
      </c>
      <c r="AE230" s="562">
        <f ca="1">IF(Cashflow!AE$111="C/I",0,IF(AE$33=0,0,IF(AE$213&lt;$Q$7,0,$S$35*$J$5*$Q$4*2*PI()*$AE$8/($X$12*(LN(SQRT($J$4/(AE$32*PI()))/($J$10/2))-(1/2)+O$211)))))</f>
        <v>0</v>
      </c>
      <c r="AF230" s="562">
        <f ca="1">IF(Cashflow!AF$111="C/I",0,IF(AF$33=0,0,IF(AF$213&lt;$Q$7,0,$S$35*$J$5*$Q$4*2*PI()*$AE$8/($X$12*(LN(SQRT($J$4/(AF$32*PI()))/($J$10/2))-(1/2)+P$211)))))</f>
        <v>0</v>
      </c>
      <c r="AG230" s="562">
        <f ca="1">IF(Cashflow!AG$111="C/I",0,IF(AG$33=0,0,IF(AG$213&lt;$Q$7,0,$S$35*$J$5*$Q$4*2*PI()*$AE$8/($X$12*(LN(SQRT($J$4/(AG$32*PI()))/($J$10/2))-(1/2)+Q$211)))))</f>
        <v>0</v>
      </c>
      <c r="AH230" s="19"/>
      <c r="AI230" s="19"/>
      <c r="AJ230" s="19"/>
      <c r="AK230" s="21"/>
      <c r="AL230" s="21"/>
      <c r="AM230" s="19"/>
      <c r="AN230" s="19"/>
      <c r="AO230" s="326"/>
      <c r="AP230" s="326"/>
      <c r="AQ230" s="326"/>
      <c r="AR230" s="326"/>
      <c r="AS230" s="326"/>
      <c r="AT230" s="326"/>
      <c r="AU230" s="326"/>
      <c r="AV230" s="326"/>
      <c r="AW230" s="326"/>
      <c r="AX230" s="326"/>
      <c r="AY230" s="326"/>
      <c r="AZ230" s="326"/>
    </row>
    <row r="231" spans="1:52">
      <c r="A231" s="19"/>
      <c r="B231" s="191" t="str">
        <f>"Injection for wells built in Year "&amp;Cashflow!T$164</f>
        <v>Injection for wells built in Year 2034</v>
      </c>
      <c r="C231" s="563"/>
      <c r="D231" s="563"/>
      <c r="E231" s="563"/>
      <c r="F231" s="563"/>
      <c r="G231" s="563"/>
      <c r="H231" s="563"/>
      <c r="I231" s="563"/>
      <c r="J231" s="563"/>
      <c r="K231" s="563"/>
      <c r="L231" s="563"/>
      <c r="M231" s="563"/>
      <c r="N231" s="563"/>
      <c r="O231" s="563"/>
      <c r="P231" s="563"/>
      <c r="Q231" s="563"/>
      <c r="R231" s="563"/>
      <c r="S231" s="563"/>
      <c r="T231" s="562">
        <f ca="1">IF(Cashflow!T$111="C/I",0,IF(T$33=0,0,IF(T$213&lt;$Q$7,0,$T$35*$J$5*$Q$4*2*PI()*$AE$8/($X$12*(LN(SQRT($J$4/(T$32*PI()))/($J$10/2))-(1/2)+C$211)))))</f>
        <v>0</v>
      </c>
      <c r="U231" s="562">
        <f ca="1">IF(Cashflow!U$111="C/I",0,IF(U$33=0,0,IF(U$213&lt;$Q$7,0,$T$35*$J$5*$Q$4*2*PI()*$AE$8/($X$12*(LN(SQRT($J$4/(U$32*PI()))/($J$10/2))-(1/2)+D$211)))))</f>
        <v>0</v>
      </c>
      <c r="V231" s="562">
        <f ca="1">IF(Cashflow!V$111="C/I",0,IF(V$33=0,0,IF(V$213&lt;$Q$7,0,$T$35*$J$5*$Q$4*2*PI()*$AE$8/($X$12*(LN(SQRT($J$4/(V$32*PI()))/($J$10/2))-(1/2)+E$211)))))</f>
        <v>0</v>
      </c>
      <c r="W231" s="562">
        <f ca="1">IF(Cashflow!W$111="C/I",0,IF(W$33=0,0,IF(W$213&lt;$Q$7,0,$T$35*$J$5*$Q$4*2*PI()*$AE$8/($X$12*(LN(SQRT($J$4/(W$32*PI()))/($J$10/2))-(1/2)+F$211)))))</f>
        <v>0</v>
      </c>
      <c r="X231" s="562">
        <f ca="1">IF(Cashflow!X$111="C/I",0,IF(X$33=0,0,IF(X$213&lt;$Q$7,0,$T$35*$J$5*$Q$4*2*PI()*$AE$8/($X$12*(LN(SQRT($J$4/(X$32*PI()))/($J$10/2))-(1/2)+G$211)))))</f>
        <v>0</v>
      </c>
      <c r="Y231" s="562">
        <f ca="1">IF(Cashflow!Y$111="C/I",0,IF(Y$33=0,0,IF(Y$213&lt;$Q$7,0,$T$35*$J$5*$Q$4*2*PI()*$AE$8/($X$12*(LN(SQRT($J$4/(Y$32*PI()))/($J$10/2))-(1/2)+H$211)))))</f>
        <v>0</v>
      </c>
      <c r="Z231" s="562">
        <f ca="1">IF(Cashflow!Z$111="C/I",0,IF(Z$33=0,0,IF(Z$213&lt;$Q$7,0,$T$35*$J$5*$Q$4*2*PI()*$AE$8/($X$12*(LN(SQRT($J$4/(Z$32*PI()))/($J$10/2))-(1/2)+I$211)))))</f>
        <v>0</v>
      </c>
      <c r="AA231" s="562">
        <f ca="1">IF(Cashflow!AA$111="C/I",0,IF(AA$33=0,0,IF(AA$213&lt;$Q$7,0,$T$35*$J$5*$Q$4*2*PI()*$AE$8/($X$12*(LN(SQRT($J$4/(AA$32*PI()))/($J$10/2))-(1/2)+J$211)))))</f>
        <v>0</v>
      </c>
      <c r="AB231" s="562">
        <f ca="1">IF(Cashflow!AB$111="C/I",0,IF(AB$33=0,0,IF(AB$213&lt;$Q$7,0,$T$35*$J$5*$Q$4*2*PI()*$AE$8/($X$12*(LN(SQRT($J$4/(AB$32*PI()))/($J$10/2))-(1/2)+K$211)))))</f>
        <v>0</v>
      </c>
      <c r="AC231" s="562">
        <f ca="1">IF(Cashflow!AC$111="C/I",0,IF(AC$33=0,0,IF(AC$213&lt;$Q$7,0,$T$35*$J$5*$Q$4*2*PI()*$AE$8/($X$12*(LN(SQRT($J$4/(AC$32*PI()))/($J$10/2))-(1/2)+L$211)))))</f>
        <v>0</v>
      </c>
      <c r="AD231" s="562">
        <f ca="1">IF(Cashflow!AD$111="C/I",0,IF(AD$33=0,0,IF(AD$213&lt;$Q$7,0,$T$35*$J$5*$Q$4*2*PI()*$AE$8/($X$12*(LN(SQRT($J$4/(AD$32*PI()))/($J$10/2))-(1/2)+M$211)))))</f>
        <v>0</v>
      </c>
      <c r="AE231" s="562">
        <f ca="1">IF(Cashflow!AE$111="C/I",0,IF(AE$33=0,0,IF(AE$213&lt;$Q$7,0,$T$35*$J$5*$Q$4*2*PI()*$AE$8/($X$12*(LN(SQRT($J$4/(AE$32*PI()))/($J$10/2))-(1/2)+N$211)))))</f>
        <v>0</v>
      </c>
      <c r="AF231" s="562">
        <f ca="1">IF(Cashflow!AF$111="C/I",0,IF(AF$33=0,0,IF(AF$213&lt;$Q$7,0,$T$35*$J$5*$Q$4*2*PI()*$AE$8/($X$12*(LN(SQRT($J$4/(AF$32*PI()))/($J$10/2))-(1/2)+O$211)))))</f>
        <v>0</v>
      </c>
      <c r="AG231" s="562">
        <f ca="1">IF(Cashflow!AG$111="C/I",0,IF(AG$33=0,0,IF(AG$213&lt;$Q$7,0,$T$35*$J$5*$Q$4*2*PI()*$AE$8/($X$12*(LN(SQRT($J$4/(AG$32*PI()))/($J$10/2))-(1/2)+P$211)))))</f>
        <v>0</v>
      </c>
      <c r="AH231" s="19"/>
      <c r="AI231" s="19"/>
      <c r="AJ231" s="19"/>
      <c r="AK231" s="21"/>
      <c r="AL231" s="21"/>
      <c r="AM231" s="19"/>
      <c r="AN231" s="19"/>
      <c r="AO231" s="326"/>
      <c r="AP231" s="326"/>
      <c r="AQ231" s="326"/>
      <c r="AR231" s="326"/>
      <c r="AS231" s="326"/>
      <c r="AT231" s="326"/>
      <c r="AU231" s="326"/>
      <c r="AV231" s="326"/>
      <c r="AW231" s="326"/>
      <c r="AX231" s="326"/>
      <c r="AY231" s="326"/>
      <c r="AZ231" s="326"/>
    </row>
    <row r="232" spans="1:52">
      <c r="A232" s="19"/>
      <c r="B232" s="191" t="str">
        <f>"Injection for wells built in Year "&amp;Cashflow!U$164</f>
        <v>Injection for wells built in Year 2035</v>
      </c>
      <c r="C232" s="563"/>
      <c r="D232" s="563"/>
      <c r="E232" s="563"/>
      <c r="F232" s="563"/>
      <c r="G232" s="563"/>
      <c r="H232" s="563"/>
      <c r="I232" s="563"/>
      <c r="J232" s="563"/>
      <c r="K232" s="563"/>
      <c r="L232" s="563"/>
      <c r="M232" s="563"/>
      <c r="N232" s="563"/>
      <c r="O232" s="563"/>
      <c r="P232" s="563"/>
      <c r="Q232" s="563"/>
      <c r="R232" s="563"/>
      <c r="S232" s="563"/>
      <c r="T232" s="563"/>
      <c r="U232" s="562">
        <f ca="1">IF(Cashflow!U$111="C/I",0,IF(U$33=0,0,IF(U$213&lt;$Q$7,0,$U$35*$J$5*$Q$4*2*PI()*$AE$8/($X$12*(LN(SQRT($J$4/(U$32*PI()))/($J$10/2))-(1/2)+C$211)))))</f>
        <v>0</v>
      </c>
      <c r="V232" s="562">
        <f ca="1">IF(Cashflow!V$111="C/I",0,IF(V$33=0,0,IF(V$213&lt;$Q$7,0,$U$35*$J$5*$Q$4*2*PI()*$AE$8/($X$12*(LN(SQRT($J$4/(V$32*PI()))/($J$10/2))-(1/2)+D$211)))))</f>
        <v>0</v>
      </c>
      <c r="W232" s="562">
        <f ca="1">IF(Cashflow!W$111="C/I",0,IF(W$33=0,0,IF(W$213&lt;$Q$7,0,$U$35*$J$5*$Q$4*2*PI()*$AE$8/($X$12*(LN(SQRT($J$4/(W$32*PI()))/($J$10/2))-(1/2)+E$211)))))</f>
        <v>0</v>
      </c>
      <c r="X232" s="562">
        <f ca="1">IF(Cashflow!X$111="C/I",0,IF(X$33=0,0,IF(X$213&lt;$Q$7,0,$U$35*$J$5*$Q$4*2*PI()*$AE$8/($X$12*(LN(SQRT($J$4/(X$32*PI()))/($J$10/2))-(1/2)+F$211)))))</f>
        <v>0</v>
      </c>
      <c r="Y232" s="562">
        <f ca="1">IF(Cashflow!Y$111="C/I",0,IF(Y$33=0,0,IF(Y$213&lt;$Q$7,0,$U$35*$J$5*$Q$4*2*PI()*$AE$8/($X$12*(LN(SQRT($J$4/(Y$32*PI()))/($J$10/2))-(1/2)+G$211)))))</f>
        <v>0</v>
      </c>
      <c r="Z232" s="562">
        <f ca="1">IF(Cashflow!Z$111="C/I",0,IF(Z$33=0,0,IF(Z$213&lt;$Q$7,0,$U$35*$J$5*$Q$4*2*PI()*$AE$8/($X$12*(LN(SQRT($J$4/(Z$32*PI()))/($J$10/2))-(1/2)+H$211)))))</f>
        <v>0</v>
      </c>
      <c r="AA232" s="562">
        <f ca="1">IF(Cashflow!AA$111="C/I",0,IF(AA$33=0,0,IF(AA$213&lt;$Q$7,0,$U$35*$J$5*$Q$4*2*PI()*$AE$8/($X$12*(LN(SQRT($J$4/(AA$32*PI()))/($J$10/2))-(1/2)+I$211)))))</f>
        <v>0</v>
      </c>
      <c r="AB232" s="562">
        <f ca="1">IF(Cashflow!AB$111="C/I",0,IF(AB$33=0,0,IF(AB$213&lt;$Q$7,0,$U$35*$J$5*$Q$4*2*PI()*$AE$8/($X$12*(LN(SQRT($J$4/(AB$32*PI()))/($J$10/2))-(1/2)+J$211)))))</f>
        <v>0</v>
      </c>
      <c r="AC232" s="562">
        <f ca="1">IF(Cashflow!AC$111="C/I",0,IF(AC$33=0,0,IF(AC$213&lt;$Q$7,0,$U$35*$J$5*$Q$4*2*PI()*$AE$8/($X$12*(LN(SQRT($J$4/(AC$32*PI()))/($J$10/2))-(1/2)+K$211)))))</f>
        <v>0</v>
      </c>
      <c r="AD232" s="562">
        <f ca="1">IF(Cashflow!AD$111="C/I",0,IF(AD$33=0,0,IF(AD$213&lt;$Q$7,0,$U$35*$J$5*$Q$4*2*PI()*$AE$8/($X$12*(LN(SQRT($J$4/(AD$32*PI()))/($J$10/2))-(1/2)+L$211)))))</f>
        <v>0</v>
      </c>
      <c r="AE232" s="562">
        <f ca="1">IF(Cashflow!AE$111="C/I",0,IF(AE$33=0,0,IF(AE$213&lt;$Q$7,0,$U$35*$J$5*$Q$4*2*PI()*$AE$8/($X$12*(LN(SQRT($J$4/(AE$32*PI()))/($J$10/2))-(1/2)+M$211)))))</f>
        <v>0</v>
      </c>
      <c r="AF232" s="562">
        <f ca="1">IF(Cashflow!AF$111="C/I",0,IF(AF$33=0,0,IF(AF$213&lt;$Q$7,0,$U$35*$J$5*$Q$4*2*PI()*$AE$8/($X$12*(LN(SQRT($J$4/(AF$32*PI()))/($J$10/2))-(1/2)+N$211)))))</f>
        <v>0</v>
      </c>
      <c r="AG232" s="562">
        <f ca="1">IF(Cashflow!AG$111="C/I",0,IF(AG$33=0,0,IF(AG$213&lt;$Q$7,0,$U$35*$J$5*$Q$4*2*PI()*$AE$8/($X$12*(LN(SQRT($J$4/(AG$32*PI()))/($J$10/2))-(1/2)+O$211)))))</f>
        <v>0</v>
      </c>
      <c r="AH232" s="19"/>
      <c r="AI232" s="19"/>
      <c r="AJ232" s="19"/>
      <c r="AK232" s="21"/>
      <c r="AL232" s="21"/>
      <c r="AM232" s="19"/>
      <c r="AN232" s="19"/>
      <c r="AO232" s="326"/>
      <c r="AP232" s="326"/>
      <c r="AQ232" s="326"/>
      <c r="AR232" s="326"/>
      <c r="AS232" s="326"/>
      <c r="AT232" s="326"/>
      <c r="AU232" s="326"/>
      <c r="AV232" s="326"/>
      <c r="AW232" s="326"/>
      <c r="AX232" s="326"/>
      <c r="AY232" s="326"/>
      <c r="AZ232" s="326"/>
    </row>
    <row r="233" spans="1:52">
      <c r="A233" s="19"/>
      <c r="B233" s="191" t="str">
        <f>"Injection for wells built in Year "&amp;Cashflow!V$164</f>
        <v>Injection for wells built in Year 2036</v>
      </c>
      <c r="C233" s="563"/>
      <c r="D233" s="563"/>
      <c r="E233" s="563"/>
      <c r="F233" s="563"/>
      <c r="G233" s="563"/>
      <c r="H233" s="563"/>
      <c r="I233" s="563"/>
      <c r="J233" s="563"/>
      <c r="K233" s="563"/>
      <c r="L233" s="563"/>
      <c r="M233" s="563"/>
      <c r="N233" s="563"/>
      <c r="O233" s="563"/>
      <c r="P233" s="563"/>
      <c r="Q233" s="563"/>
      <c r="R233" s="563"/>
      <c r="S233" s="563"/>
      <c r="T233" s="563"/>
      <c r="U233" s="563"/>
      <c r="V233" s="562">
        <f ca="1">IF(Cashflow!V$111="C/I",0,IF(V$33=0,0,IF(V$213&lt;$Q$7,0,$V$35*$J$5*$Q$4*2*PI()*$AE$8/($X$12*(LN(SQRT($J$4/(V$32*PI()))/($J$10/2))-(1/2)+C$211)))))</f>
        <v>0</v>
      </c>
      <c r="W233" s="562">
        <f ca="1">IF(Cashflow!W$111="C/I",0,IF(W$33=0,0,IF(W$213&lt;$Q$7,0,$V$35*$J$5*$Q$4*2*PI()*$AE$8/($X$12*(LN(SQRT($J$4/(W$32*PI()))/($J$10/2))-(1/2)+D$211)))))</f>
        <v>0</v>
      </c>
      <c r="X233" s="562">
        <f ca="1">IF(Cashflow!X$111="C/I",0,IF(X$33=0,0,IF(X$213&lt;$Q$7,0,$V$35*$J$5*$Q$4*2*PI()*$AE$8/($X$12*(LN(SQRT($J$4/(X$32*PI()))/($J$10/2))-(1/2)+E$211)))))</f>
        <v>0</v>
      </c>
      <c r="Y233" s="562">
        <f ca="1">IF(Cashflow!Y$111="C/I",0,IF(Y$33=0,0,IF(Y$213&lt;$Q$7,0,$V$35*$J$5*$Q$4*2*PI()*$AE$8/($X$12*(LN(SQRT($J$4/(Y$32*PI()))/($J$10/2))-(1/2)+F$211)))))</f>
        <v>0</v>
      </c>
      <c r="Z233" s="562">
        <f ca="1">IF(Cashflow!Z$111="C/I",0,IF(Z$33=0,0,IF(Z$213&lt;$Q$7,0,$V$35*$J$5*$Q$4*2*PI()*$AE$8/($X$12*(LN(SQRT($J$4/(Z$32*PI()))/($J$10/2))-(1/2)+G$211)))))</f>
        <v>0</v>
      </c>
      <c r="AA233" s="562">
        <f ca="1">IF(Cashflow!AA$111="C/I",0,IF(AA$33=0,0,IF(AA$213&lt;$Q$7,0,$V$35*$J$5*$Q$4*2*PI()*$AE$8/($X$12*(LN(SQRT($J$4/(AA$32*PI()))/($J$10/2))-(1/2)+H$211)))))</f>
        <v>0</v>
      </c>
      <c r="AB233" s="562">
        <f ca="1">IF(Cashflow!AB$111="C/I",0,IF(AB$33=0,0,IF(AB$213&lt;$Q$7,0,$V$35*$J$5*$Q$4*2*PI()*$AE$8/($X$12*(LN(SQRT($J$4/(AB$32*PI()))/($J$10/2))-(1/2)+I$211)))))</f>
        <v>0</v>
      </c>
      <c r="AC233" s="562">
        <f ca="1">IF(Cashflow!AC$111="C/I",0,IF(AC$33=0,0,IF(AC$213&lt;$Q$7,0,$V$35*$J$5*$Q$4*2*PI()*$AE$8/($X$12*(LN(SQRT($J$4/(AC$32*PI()))/($J$10/2))-(1/2)+J$211)))))</f>
        <v>0</v>
      </c>
      <c r="AD233" s="562">
        <f ca="1">IF(Cashflow!AD$111="C/I",0,IF(AD$33=0,0,IF(AD$213&lt;$Q$7,0,$V$35*$J$5*$Q$4*2*PI()*$AE$8/($X$12*(LN(SQRT($J$4/(AD$32*PI()))/($J$10/2))-(1/2)+K$211)))))</f>
        <v>0</v>
      </c>
      <c r="AE233" s="562">
        <f ca="1">IF(Cashflow!AE$111="C/I",0,IF(AE$33=0,0,IF(AE$213&lt;$Q$7,0,$V$35*$J$5*$Q$4*2*PI()*$AE$8/($X$12*(LN(SQRT($J$4/(AE$32*PI()))/($J$10/2))-(1/2)+L$211)))))</f>
        <v>0</v>
      </c>
      <c r="AF233" s="562">
        <f ca="1">IF(Cashflow!AF$111="C/I",0,IF(AF$33=0,0,IF(AF$213&lt;$Q$7,0,$V$35*$J$5*$Q$4*2*PI()*$AE$8/($X$12*(LN(SQRT($J$4/(AF$32*PI()))/($J$10/2))-(1/2)+M$211)))))</f>
        <v>0</v>
      </c>
      <c r="AG233" s="562">
        <f ca="1">IF(Cashflow!AG$111="C/I",0,IF(AG$33=0,0,IF(AG$213&lt;$Q$7,0,$V$35*$J$5*$Q$4*2*PI()*$AE$8/($X$12*(LN(SQRT($J$4/(AG$32*PI()))/($J$10/2))-(1/2)+N$211)))))</f>
        <v>0</v>
      </c>
      <c r="AH233" s="19"/>
      <c r="AI233" s="19"/>
      <c r="AJ233" s="19"/>
      <c r="AK233" s="21"/>
      <c r="AL233" s="21"/>
      <c r="AM233" s="19"/>
      <c r="AN233" s="19"/>
      <c r="AO233" s="326"/>
      <c r="AP233" s="326"/>
      <c r="AQ233" s="326"/>
      <c r="AR233" s="326"/>
      <c r="AS233" s="326"/>
      <c r="AT233" s="326"/>
      <c r="AU233" s="326"/>
      <c r="AV233" s="326"/>
      <c r="AW233" s="326"/>
      <c r="AX233" s="326"/>
      <c r="AY233" s="326"/>
      <c r="AZ233" s="326"/>
    </row>
    <row r="234" spans="1:52">
      <c r="A234" s="19"/>
      <c r="B234" s="191" t="str">
        <f>"Injection for wells built in Year "&amp;Cashflow!W$164</f>
        <v>Injection for wells built in Year 2037</v>
      </c>
      <c r="C234" s="563"/>
      <c r="D234" s="563"/>
      <c r="E234" s="563"/>
      <c r="F234" s="563"/>
      <c r="G234" s="563"/>
      <c r="H234" s="563"/>
      <c r="I234" s="563"/>
      <c r="J234" s="563"/>
      <c r="K234" s="563"/>
      <c r="L234" s="563"/>
      <c r="M234" s="563"/>
      <c r="N234" s="563"/>
      <c r="O234" s="563"/>
      <c r="P234" s="563"/>
      <c r="Q234" s="563"/>
      <c r="R234" s="563"/>
      <c r="S234" s="563"/>
      <c r="T234" s="563"/>
      <c r="U234" s="563"/>
      <c r="V234" s="563"/>
      <c r="W234" s="562">
        <f ca="1">IF(Cashflow!W$111="C/I",0,IF(W$33=0,0,IF(W$213&lt;$Q$7,0,$W$35*$J$5*$Q$4*2*PI()*$AE$8/($X$12*(LN(SQRT($J$4/(W$32*PI()))/($J$10/2))-(1/2)+C$211)))))</f>
        <v>0</v>
      </c>
      <c r="X234" s="562">
        <f ca="1">IF(Cashflow!X$111="C/I",0,IF(X$33=0,0,IF(X$213&lt;$Q$7,0,$W$35*$J$5*$Q$4*2*PI()*$AE$8/($X$12*(LN(SQRT($J$4/(X$32*PI()))/($J$10/2))-(1/2)+D$211)))))</f>
        <v>0</v>
      </c>
      <c r="Y234" s="562">
        <f ca="1">IF(Cashflow!Y$111="C/I",0,IF(Y$33=0,0,IF(Y$213&lt;$Q$7,0,$W$35*$J$5*$Q$4*2*PI()*$AE$8/($X$12*(LN(SQRT($J$4/(Y$32*PI()))/($J$10/2))-(1/2)+E$211)))))</f>
        <v>0</v>
      </c>
      <c r="Z234" s="562">
        <f ca="1">IF(Cashflow!Z$111="C/I",0,IF(Z$33=0,0,IF(Z$213&lt;$Q$7,0,$W$35*$J$5*$Q$4*2*PI()*$AE$8/($X$12*(LN(SQRT($J$4/(Z$32*PI()))/($J$10/2))-(1/2)+F$211)))))</f>
        <v>0</v>
      </c>
      <c r="AA234" s="562">
        <f ca="1">IF(Cashflow!AA$111="C/I",0,IF(AA$33=0,0,IF(AA$213&lt;$Q$7,0,$W$35*$J$5*$Q$4*2*PI()*$AE$8/($X$12*(LN(SQRT($J$4/(AA$32*PI()))/($J$10/2))-(1/2)+G$211)))))</f>
        <v>0</v>
      </c>
      <c r="AB234" s="562">
        <f ca="1">IF(Cashflow!AB$111="C/I",0,IF(AB$33=0,0,IF(AB$213&lt;$Q$7,0,$W$35*$J$5*$Q$4*2*PI()*$AE$8/($X$12*(LN(SQRT($J$4/(AB$32*PI()))/($J$10/2))-(1/2)+H$211)))))</f>
        <v>0</v>
      </c>
      <c r="AC234" s="562">
        <f ca="1">IF(Cashflow!AC$111="C/I",0,IF(AC$33=0,0,IF(AC$213&lt;$Q$7,0,$W$35*$J$5*$Q$4*2*PI()*$AE$8/($X$12*(LN(SQRT($J$4/(AC$32*PI()))/($J$10/2))-(1/2)+I$211)))))</f>
        <v>0</v>
      </c>
      <c r="AD234" s="562">
        <f ca="1">IF(Cashflow!AD$111="C/I",0,IF(AD$33=0,0,IF(AD$213&lt;$Q$7,0,$W$35*$J$5*$Q$4*2*PI()*$AE$8/($X$12*(LN(SQRT($J$4/(AD$32*PI()))/($J$10/2))-(1/2)+J$211)))))</f>
        <v>0</v>
      </c>
      <c r="AE234" s="562">
        <f ca="1">IF(Cashflow!AE$111="C/I",0,IF(AE$33=0,0,IF(AE$213&lt;$Q$7,0,$W$35*$J$5*$Q$4*2*PI()*$AE$8/($X$12*(LN(SQRT($J$4/(AE$32*PI()))/($J$10/2))-(1/2)+K$211)))))</f>
        <v>0</v>
      </c>
      <c r="AF234" s="562">
        <f ca="1">IF(Cashflow!AF$111="C/I",0,IF(AF$33=0,0,IF(AF$213&lt;$Q$7,0,$W$35*$J$5*$Q$4*2*PI()*$AE$8/($X$12*(LN(SQRT($J$4/(AF$32*PI()))/($J$10/2))-(1/2)+L$211)))))</f>
        <v>0</v>
      </c>
      <c r="AG234" s="562">
        <f ca="1">IF(Cashflow!AG$111="C/I",0,IF(AG$33=0,0,IF(AG$213&lt;$Q$7,0,$W$35*$J$5*$Q$4*2*PI()*$AE$8/($X$12*(LN(SQRT($J$4/(AG$32*PI()))/($J$10/2))-(1/2)+M$211)))))</f>
        <v>0</v>
      </c>
      <c r="AH234" s="19"/>
      <c r="AI234" s="19"/>
      <c r="AJ234" s="19"/>
      <c r="AK234" s="21"/>
      <c r="AL234" s="21"/>
      <c r="AM234" s="19"/>
      <c r="AN234" s="19"/>
      <c r="AO234" s="326"/>
      <c r="AP234" s="326"/>
      <c r="AQ234" s="326"/>
      <c r="AR234" s="326"/>
      <c r="AS234" s="326"/>
      <c r="AT234" s="326"/>
      <c r="AU234" s="326"/>
      <c r="AV234" s="326"/>
      <c r="AW234" s="326"/>
      <c r="AX234" s="326"/>
      <c r="AY234" s="326"/>
      <c r="AZ234" s="326"/>
    </row>
    <row r="235" spans="1:52">
      <c r="A235" s="19"/>
      <c r="B235" s="191" t="str">
        <f>"Injection for wells built in Year "&amp;Cashflow!X$164</f>
        <v>Injection for wells built in Year 2038</v>
      </c>
      <c r="C235" s="563"/>
      <c r="D235" s="563"/>
      <c r="E235" s="563"/>
      <c r="F235" s="563"/>
      <c r="G235" s="563"/>
      <c r="H235" s="563"/>
      <c r="I235" s="563"/>
      <c r="J235" s="563"/>
      <c r="K235" s="563"/>
      <c r="L235" s="563"/>
      <c r="M235" s="563"/>
      <c r="N235" s="563"/>
      <c r="O235" s="563"/>
      <c r="P235" s="563"/>
      <c r="Q235" s="563"/>
      <c r="R235" s="563"/>
      <c r="S235" s="563"/>
      <c r="T235" s="563"/>
      <c r="U235" s="563"/>
      <c r="V235" s="563"/>
      <c r="W235" s="563"/>
      <c r="X235" s="562">
        <f ca="1">IF(Cashflow!X$111="C/I",0,IF(X$33=0,0,IF(X$213&lt;$Q$7,0,$X$35*$J$5*$Q$4*2*PI()*$AE$8/($X$12*(LN(SQRT($J$4/(X$32*PI()))/($J$10/2))-(1/2)+C$211)))))</f>
        <v>0</v>
      </c>
      <c r="Y235" s="562">
        <f ca="1">IF(Cashflow!Y$111="C/I",0,IF(Y$33=0,0,IF(Y$213&lt;$Q$7,0,$X$35*$J$5*$Q$4*2*PI()*$AE$8/($X$12*(LN(SQRT($J$4/(Y$32*PI()))/($J$10/2))-(1/2)+D$211)))))</f>
        <v>0</v>
      </c>
      <c r="Z235" s="562">
        <f ca="1">IF(Cashflow!Z$111="C/I",0,IF(Z$33=0,0,IF(Z$213&lt;$Q$7,0,$X$35*$J$5*$Q$4*2*PI()*$AE$8/($X$12*(LN(SQRT($J$4/(Z$32*PI()))/($J$10/2))-(1/2)+E$211)))))</f>
        <v>0</v>
      </c>
      <c r="AA235" s="562">
        <f ca="1">IF(Cashflow!AA$111="C/I",0,IF(AA$33=0,0,IF(AA$213&lt;$Q$7,0,$X$35*$J$5*$Q$4*2*PI()*$AE$8/($X$12*(LN(SQRT($J$4/(AA$32*PI()))/($J$10/2))-(1/2)+F$211)))))</f>
        <v>0</v>
      </c>
      <c r="AB235" s="562">
        <f ca="1">IF(Cashflow!AB$111="C/I",0,IF(AB$33=0,0,IF(AB$213&lt;$Q$7,0,$X$35*$J$5*$Q$4*2*PI()*$AE$8/($X$12*(LN(SQRT($J$4/(AB$32*PI()))/($J$10/2))-(1/2)+G$211)))))</f>
        <v>0</v>
      </c>
      <c r="AC235" s="562">
        <f ca="1">IF(Cashflow!AC$111="C/I",0,IF(AC$33=0,0,IF(AC$213&lt;$Q$7,0,$X$35*$J$5*$Q$4*2*PI()*$AE$8/($X$12*(LN(SQRT($J$4/(AC$32*PI()))/($J$10/2))-(1/2)+H$211)))))</f>
        <v>0</v>
      </c>
      <c r="AD235" s="562">
        <f ca="1">IF(Cashflow!AD$111="C/I",0,IF(AD$33=0,0,IF(AD$213&lt;$Q$7,0,$X$35*$J$5*$Q$4*2*PI()*$AE$8/($X$12*(LN(SQRT($J$4/(AD$32*PI()))/($J$10/2))-(1/2)+I$211)))))</f>
        <v>0</v>
      </c>
      <c r="AE235" s="562">
        <f ca="1">IF(Cashflow!AE$111="C/I",0,IF(AE$33=0,0,IF(AE$213&lt;$Q$7,0,$X$35*$J$5*$Q$4*2*PI()*$AE$8/($X$12*(LN(SQRT($J$4/(AE$32*PI()))/($J$10/2))-(1/2)+J$211)))))</f>
        <v>0</v>
      </c>
      <c r="AF235" s="562">
        <f ca="1">IF(Cashflow!AF$111="C/I",0,IF(AF$33=0,0,IF(AF$213&lt;$Q$7,0,$X$35*$J$5*$Q$4*2*PI()*$AE$8/($X$12*(LN(SQRT($J$4/(AF$32*PI()))/($J$10/2))-(1/2)+K$211)))))</f>
        <v>0</v>
      </c>
      <c r="AG235" s="562">
        <f ca="1">IF(Cashflow!AG$111="C/I",0,IF(AG$33=0,0,IF(AG$213&lt;$Q$7,0,$X$35*$J$5*$Q$4*2*PI()*$AE$8/($X$12*(LN(SQRT($J$4/(AG$32*PI()))/($J$10/2))-(1/2)+L$211)))))</f>
        <v>0</v>
      </c>
      <c r="AH235" s="19"/>
      <c r="AI235" s="19"/>
      <c r="AJ235" s="19"/>
      <c r="AK235" s="21"/>
      <c r="AL235" s="21"/>
      <c r="AM235" s="19"/>
      <c r="AN235" s="19"/>
      <c r="AO235" s="326"/>
      <c r="AP235" s="326"/>
      <c r="AQ235" s="326"/>
      <c r="AR235" s="326"/>
      <c r="AS235" s="326"/>
      <c r="AT235" s="326"/>
      <c r="AU235" s="326"/>
      <c r="AV235" s="326"/>
      <c r="AW235" s="326"/>
      <c r="AX235" s="326"/>
      <c r="AY235" s="326"/>
      <c r="AZ235" s="326"/>
    </row>
    <row r="236" spans="1:52">
      <c r="A236" s="19"/>
      <c r="B236" s="191" t="str">
        <f>"Injection for wells built in Year "&amp;Cashflow!Y$164</f>
        <v>Injection for wells built in Year 2039</v>
      </c>
      <c r="C236" s="563"/>
      <c r="D236" s="563"/>
      <c r="E236" s="563"/>
      <c r="F236" s="563"/>
      <c r="G236" s="563"/>
      <c r="H236" s="563"/>
      <c r="I236" s="563"/>
      <c r="J236" s="563"/>
      <c r="K236" s="563"/>
      <c r="L236" s="563"/>
      <c r="M236" s="563"/>
      <c r="N236" s="563"/>
      <c r="O236" s="563"/>
      <c r="P236" s="563"/>
      <c r="Q236" s="563"/>
      <c r="R236" s="563"/>
      <c r="S236" s="563"/>
      <c r="T236" s="563"/>
      <c r="U236" s="563"/>
      <c r="V236" s="563"/>
      <c r="W236" s="563"/>
      <c r="X236" s="563"/>
      <c r="Y236" s="562">
        <f ca="1">IF(Cashflow!Y$111="C/I",0,IF(Y$33=0,0,IF(Y$213&lt;$Q$7,0,$Y$35*$J$5*$Q$4*2*PI()*$AE$8/($X$12*(LN(SQRT($J$4/(Y$32*PI()))/($J$10/2))-(1/2)+C$211)))))</f>
        <v>0</v>
      </c>
      <c r="Z236" s="562">
        <f ca="1">IF(Cashflow!Z$111="C/I",0,IF(Z$33=0,0,IF(Z$213&lt;$Q$7,0,$Y$35*$J$5*$Q$4*2*PI()*$AE$8/($X$12*(LN(SQRT($J$4/(Z$32*PI()))/($J$10/2))-(1/2)+D$211)))))</f>
        <v>0</v>
      </c>
      <c r="AA236" s="562">
        <f ca="1">IF(Cashflow!AA$111="C/I",0,IF(AA$33=0,0,IF(AA$213&lt;$Q$7,0,$Y$35*$J$5*$Q$4*2*PI()*$AE$8/($X$12*(LN(SQRT($J$4/(AA$32*PI()))/($J$10/2))-(1/2)+E$211)))))</f>
        <v>0</v>
      </c>
      <c r="AB236" s="562">
        <f ca="1">IF(Cashflow!AB$111="C/I",0,IF(AB$33=0,0,IF(AB$213&lt;$Q$7,0,$Y$35*$J$5*$Q$4*2*PI()*$AE$8/($X$12*(LN(SQRT($J$4/(AB$32*PI()))/($J$10/2))-(1/2)+F$211)))))</f>
        <v>0</v>
      </c>
      <c r="AC236" s="562">
        <f ca="1">IF(Cashflow!AC$111="C/I",0,IF(AC$33=0,0,IF(AC$213&lt;$Q$7,0,$Y$35*$J$5*$Q$4*2*PI()*$AE$8/($X$12*(LN(SQRT($J$4/(AC$32*PI()))/($J$10/2))-(1/2)+G$211)))))</f>
        <v>0</v>
      </c>
      <c r="AD236" s="562">
        <f ca="1">IF(Cashflow!AD$111="C/I",0,IF(AD$33=0,0,IF(AD$213&lt;$Q$7,0,$Y$35*$J$5*$Q$4*2*PI()*$AE$8/($X$12*(LN(SQRT($J$4/(AD$32*PI()))/($J$10/2))-(1/2)+H$211)))))</f>
        <v>0</v>
      </c>
      <c r="AE236" s="562">
        <f ca="1">IF(Cashflow!AE$111="C/I",0,IF(AE$33=0,0,IF(AE$213&lt;$Q$7,0,$Y$35*$J$5*$Q$4*2*PI()*$AE$8/($X$12*(LN(SQRT($J$4/(AE$32*PI()))/($J$10/2))-(1/2)+I$211)))))</f>
        <v>0</v>
      </c>
      <c r="AF236" s="562">
        <f ca="1">IF(Cashflow!AF$111="C/I",0,IF(AF$33=0,0,IF(AF$213&lt;$Q$7,0,$Y$35*$J$5*$Q$4*2*PI()*$AE$8/($X$12*(LN(SQRT($J$4/(AF$32*PI()))/($J$10/2))-(1/2)+J$211)))))</f>
        <v>0</v>
      </c>
      <c r="AG236" s="562">
        <f ca="1">IF(Cashflow!AG$111="C/I",0,IF(AG$33=0,0,IF(AG$213&lt;$Q$7,0,$Y$35*$J$5*$Q$4*2*PI()*$AE$8/($X$12*(LN(SQRT($J$4/(AG$32*PI()))/($J$10/2))-(1/2)+K$211)))))</f>
        <v>0</v>
      </c>
      <c r="AH236" s="19"/>
      <c r="AI236" s="19"/>
      <c r="AJ236" s="19"/>
      <c r="AK236" s="21"/>
      <c r="AL236" s="21"/>
      <c r="AM236" s="19"/>
      <c r="AN236" s="19"/>
      <c r="AO236" s="326"/>
      <c r="AP236" s="326"/>
      <c r="AQ236" s="326"/>
      <c r="AR236" s="326"/>
      <c r="AS236" s="326"/>
      <c r="AT236" s="326"/>
      <c r="AU236" s="326"/>
      <c r="AV236" s="326"/>
      <c r="AW236" s="326"/>
      <c r="AX236" s="326"/>
      <c r="AY236" s="326"/>
      <c r="AZ236" s="326"/>
    </row>
    <row r="237" spans="1:52">
      <c r="A237" s="19"/>
      <c r="B237" s="191" t="str">
        <f>"Injection for wells built in Year "&amp;Cashflow!Z$164</f>
        <v>Injection for wells built in Year 2040</v>
      </c>
      <c r="C237" s="563"/>
      <c r="D237" s="563"/>
      <c r="E237" s="563"/>
      <c r="F237" s="563"/>
      <c r="G237" s="563"/>
      <c r="H237" s="563"/>
      <c r="I237" s="563"/>
      <c r="J237" s="563"/>
      <c r="K237" s="563"/>
      <c r="L237" s="563"/>
      <c r="M237" s="563"/>
      <c r="N237" s="563"/>
      <c r="O237" s="563"/>
      <c r="P237" s="563"/>
      <c r="Q237" s="563"/>
      <c r="R237" s="563"/>
      <c r="S237" s="563"/>
      <c r="T237" s="563"/>
      <c r="U237" s="563"/>
      <c r="V237" s="563"/>
      <c r="W237" s="563"/>
      <c r="X237" s="563"/>
      <c r="Y237" s="563"/>
      <c r="Z237" s="562">
        <f ca="1">IF(Cashflow!Z$111="C/I",0,IF(Z$33=0,0,IF(Z$213&lt;$Q$7,0,$Z$35*$J$5*$Q$4*2*PI()*$AE$8/($X$12*(LN(SQRT($J$4/(Z$32*PI()))/($J$10/2))-(1/2)+C$211)))))</f>
        <v>0</v>
      </c>
      <c r="AA237" s="562">
        <f ca="1">IF(Cashflow!AA$111="C/I",0,IF(AA$33=0,0,IF(AA$213&lt;$Q$7,0,$Z$35*$J$5*$Q$4*2*PI()*$AE$8/($X$12*(LN(SQRT($J$4/(AA$32*PI()))/($J$10/2))-(1/2)+D$211)))))</f>
        <v>0</v>
      </c>
      <c r="AB237" s="562">
        <f ca="1">IF(Cashflow!AB$111="C/I",0,IF(AB$33=0,0,IF(AB$213&lt;$Q$7,0,$Z$35*$J$5*$Q$4*2*PI()*$AE$8/($X$12*(LN(SQRT($J$4/(AB$32*PI()))/($J$10/2))-(1/2)+E$211)))))</f>
        <v>0</v>
      </c>
      <c r="AC237" s="562">
        <f ca="1">IF(Cashflow!AC$111="C/I",0,IF(AC$33=0,0,IF(AC$213&lt;$Q$7,0,$Z$35*$J$5*$Q$4*2*PI()*$AE$8/($X$12*(LN(SQRT($J$4/(AC$32*PI()))/($J$10/2))-(1/2)+F$211)))))</f>
        <v>0</v>
      </c>
      <c r="AD237" s="562">
        <f ca="1">IF(Cashflow!AD$111="C/I",0,IF(AD$33=0,0,IF(AD$213&lt;$Q$7,0,$Z$35*$J$5*$Q$4*2*PI()*$AE$8/($X$12*(LN(SQRT($J$4/(AD$32*PI()))/($J$10/2))-(1/2)+G$211)))))</f>
        <v>0</v>
      </c>
      <c r="AE237" s="562">
        <f ca="1">IF(Cashflow!AE$111="C/I",0,IF(AE$33=0,0,IF(AE$213&lt;$Q$7,0,$Z$35*$J$5*$Q$4*2*PI()*$AE$8/($X$12*(LN(SQRT($J$4/(AE$32*PI()))/($J$10/2))-(1/2)+H$211)))))</f>
        <v>0</v>
      </c>
      <c r="AF237" s="562">
        <f ca="1">IF(Cashflow!AF$111="C/I",0,IF(AF$33=0,0,IF(AF$213&lt;$Q$7,0,$Z$35*$J$5*$Q$4*2*PI()*$AE$8/($X$12*(LN(SQRT($J$4/(AF$32*PI()))/($J$10/2))-(1/2)+I$211)))))</f>
        <v>0</v>
      </c>
      <c r="AG237" s="562">
        <f ca="1">IF(Cashflow!AG$111="C/I",0,IF(AG$33=0,0,IF(AG$213&lt;$Q$7,0,$Z$35*$J$5*$Q$4*2*PI()*$AE$8/($X$12*(LN(SQRT($J$4/(AG$32*PI()))/($J$10/2))-(1/2)+J$211)))))</f>
        <v>0</v>
      </c>
      <c r="AH237" s="19"/>
      <c r="AI237" s="19"/>
      <c r="AJ237" s="19"/>
      <c r="AK237" s="21"/>
      <c r="AL237" s="21"/>
      <c r="AM237" s="19"/>
      <c r="AN237" s="19"/>
      <c r="AO237" s="326"/>
      <c r="AP237" s="326"/>
      <c r="AQ237" s="326"/>
      <c r="AR237" s="326"/>
      <c r="AS237" s="326"/>
      <c r="AT237" s="326"/>
      <c r="AU237" s="326"/>
      <c r="AV237" s="326"/>
      <c r="AW237" s="326"/>
      <c r="AX237" s="326"/>
      <c r="AY237" s="326"/>
      <c r="AZ237" s="326"/>
    </row>
    <row r="238" spans="1:52">
      <c r="A238" s="19"/>
      <c r="B238" s="191" t="str">
        <f>"Injection for wells built in Year "&amp;Cashflow!AA$164</f>
        <v>Injection for wells built in Year 2041</v>
      </c>
      <c r="C238" s="563"/>
      <c r="D238" s="563"/>
      <c r="E238" s="563"/>
      <c r="F238" s="563"/>
      <c r="G238" s="563"/>
      <c r="H238" s="563"/>
      <c r="I238" s="563"/>
      <c r="J238" s="563"/>
      <c r="K238" s="563"/>
      <c r="L238" s="563"/>
      <c r="M238" s="563"/>
      <c r="N238" s="563"/>
      <c r="O238" s="563"/>
      <c r="P238" s="563"/>
      <c r="Q238" s="563"/>
      <c r="R238" s="563"/>
      <c r="S238" s="563"/>
      <c r="T238" s="563"/>
      <c r="U238" s="563"/>
      <c r="V238" s="563"/>
      <c r="W238" s="563"/>
      <c r="X238" s="563"/>
      <c r="Y238" s="563"/>
      <c r="Z238" s="563"/>
      <c r="AA238" s="562">
        <f ca="1">IF(Cashflow!AA$111="C/I",0,IF(AA$33=0,0,IF(AA$213&lt;$Q$7,0,$AA$35*$J$5*$Q$4*2*PI()*$AE$8/($X$12*(LN(SQRT($J$4/(AA$32*PI()))/($J$10/2))-(1/2)+C$211)))))</f>
        <v>0</v>
      </c>
      <c r="AB238" s="562">
        <f ca="1">IF(Cashflow!AB$111="C/I",0,IF(AB$33=0,0,IF(AB$213&lt;$Q$7,0,$AA$35*$J$5*$Q$4*2*PI()*$AE$8/($X$12*(LN(SQRT($J$4/(AB$32*PI()))/($J$10/2))-(1/2)+D$211)))))</f>
        <v>0</v>
      </c>
      <c r="AC238" s="562">
        <f ca="1">IF(Cashflow!AC$111="C/I",0,IF(AC$33=0,0,IF(AC$213&lt;$Q$7,0,$AA$35*$J$5*$Q$4*2*PI()*$AE$8/($X$12*(LN(SQRT($J$4/(AC$32*PI()))/($J$10/2))-(1/2)+E$211)))))</f>
        <v>0</v>
      </c>
      <c r="AD238" s="562">
        <f ca="1">IF(Cashflow!AD$111="C/I",0,IF(AD$33=0,0,IF(AD$213&lt;$Q$7,0,$AA$35*$J$5*$Q$4*2*PI()*$AE$8/($X$12*(LN(SQRT($J$4/(AD$32*PI()))/($J$10/2))-(1/2)+F$211)))))</f>
        <v>0</v>
      </c>
      <c r="AE238" s="562">
        <f ca="1">IF(Cashflow!AE$111="C/I",0,IF(AE$33=0,0,IF(AE$213&lt;$Q$7,0,$AA$35*$J$5*$Q$4*2*PI()*$AE$8/($X$12*(LN(SQRT($J$4/(AE$32*PI()))/($J$10/2))-(1/2)+G$211)))))</f>
        <v>0</v>
      </c>
      <c r="AF238" s="562">
        <f ca="1">IF(Cashflow!AF$111="C/I",0,IF(AF$33=0,0,IF(AF$213&lt;$Q$7,0,$AA$35*$J$5*$Q$4*2*PI()*$AE$8/($X$12*(LN(SQRT($J$4/(AF$32*PI()))/($J$10/2))-(1/2)+H$211)))))</f>
        <v>0</v>
      </c>
      <c r="AG238" s="562">
        <f ca="1">IF(Cashflow!AG$111="C/I",0,IF(AG$33=0,0,IF(AG$213&lt;$Q$7,0,$AA$35*$J$5*$Q$4*2*PI()*$AE$8/($X$12*(LN(SQRT($J$4/(AG$32*PI()))/($J$10/2))-(1/2)+I$211)))))</f>
        <v>0</v>
      </c>
      <c r="AH238" s="19"/>
      <c r="AI238" s="19"/>
      <c r="AJ238" s="19"/>
      <c r="AK238" s="21"/>
      <c r="AL238" s="21"/>
      <c r="AM238" s="19"/>
      <c r="AN238" s="19"/>
      <c r="AO238" s="326"/>
      <c r="AP238" s="326"/>
      <c r="AQ238" s="326"/>
      <c r="AR238" s="326"/>
      <c r="AS238" s="326"/>
      <c r="AT238" s="326"/>
      <c r="AU238" s="326"/>
      <c r="AV238" s="326"/>
      <c r="AW238" s="326"/>
      <c r="AX238" s="326"/>
      <c r="AY238" s="326"/>
      <c r="AZ238" s="326"/>
    </row>
    <row r="239" spans="1:52">
      <c r="A239" s="19"/>
      <c r="B239" s="191" t="str">
        <f>"Injection for wells built in Year "&amp;Cashflow!AB$164</f>
        <v>Injection for wells built in Year 2042</v>
      </c>
      <c r="C239" s="563"/>
      <c r="D239" s="563"/>
      <c r="E239" s="563"/>
      <c r="F239" s="563"/>
      <c r="G239" s="563"/>
      <c r="H239" s="563"/>
      <c r="I239" s="563"/>
      <c r="J239" s="563"/>
      <c r="K239" s="563"/>
      <c r="L239" s="563"/>
      <c r="M239" s="563"/>
      <c r="N239" s="563"/>
      <c r="O239" s="563"/>
      <c r="P239" s="563"/>
      <c r="Q239" s="563"/>
      <c r="R239" s="563"/>
      <c r="S239" s="563"/>
      <c r="T239" s="563"/>
      <c r="U239" s="563"/>
      <c r="V239" s="563"/>
      <c r="W239" s="563"/>
      <c r="X239" s="563"/>
      <c r="Y239" s="563"/>
      <c r="Z239" s="563"/>
      <c r="AA239" s="563"/>
      <c r="AB239" s="562">
        <f ca="1">IF(Cashflow!AB$111="C/I",0,IF(AB$33=0,0,IF(AB$213&lt;$Q$7,0,$AB$35*$J$5*$Q$4*2*PI()*$AE$8/($X$12*(LN(SQRT($J$4/(AB$32*PI()))/($J$10/2))-(1/2)+C$211)))))</f>
        <v>0</v>
      </c>
      <c r="AC239" s="562">
        <f ca="1">IF(Cashflow!AC$111="C/I",0,IF(AC$33=0,0,IF(AC$213&lt;$Q$7,0,$AB$35*$J$5*$Q$4*2*PI()*$AE$8/($X$12*(LN(SQRT($J$4/(AC$32*PI()))/($J$10/2))-(1/2)+D$211)))))</f>
        <v>0</v>
      </c>
      <c r="AD239" s="562">
        <f ca="1">IF(Cashflow!AD$111="C/I",0,IF(AD$33=0,0,IF(AD$213&lt;$Q$7,0,$AB$35*$J$5*$Q$4*2*PI()*$AE$8/($X$12*(LN(SQRT($J$4/(AD$32*PI()))/($J$10/2))-(1/2)+E$211)))))</f>
        <v>0</v>
      </c>
      <c r="AE239" s="562">
        <f ca="1">IF(Cashflow!AE$111="C/I",0,IF(AE$33=0,0,IF(AE$213&lt;$Q$7,0,$AB$35*$J$5*$Q$4*2*PI()*$AE$8/($X$12*(LN(SQRT($J$4/(AE$32*PI()))/($J$10/2))-(1/2)+F$211)))))</f>
        <v>0</v>
      </c>
      <c r="AF239" s="562">
        <f ca="1">IF(Cashflow!AF$111="C/I",0,IF(AF$33=0,0,IF(AF$213&lt;$Q$7,0,$AB$35*$J$5*$Q$4*2*PI()*$AE$8/($X$12*(LN(SQRT($J$4/(AF$32*PI()))/($J$10/2))-(1/2)+G$211)))))</f>
        <v>0</v>
      </c>
      <c r="AG239" s="562">
        <f ca="1">IF(Cashflow!AG$111="C/I",0,IF(AG$33=0,0,IF(AG$213&lt;$Q$7,0,$AB$35*$J$5*$Q$4*2*PI()*$AE$8/($X$12*(LN(SQRT($J$4/(AG$32*PI()))/($J$10/2))-(1/2)+H$211)))))</f>
        <v>0</v>
      </c>
      <c r="AH239" s="19"/>
      <c r="AI239" s="19"/>
      <c r="AJ239" s="19"/>
      <c r="AK239" s="21"/>
      <c r="AL239" s="21"/>
      <c r="AM239" s="19"/>
      <c r="AN239" s="19"/>
      <c r="AO239" s="326"/>
      <c r="AP239" s="326"/>
      <c r="AQ239" s="326"/>
      <c r="AR239" s="326"/>
      <c r="AS239" s="326"/>
      <c r="AT239" s="326"/>
      <c r="AU239" s="326"/>
      <c r="AV239" s="326"/>
      <c r="AW239" s="326"/>
      <c r="AX239" s="326"/>
      <c r="AY239" s="326"/>
      <c r="AZ239" s="326"/>
    </row>
    <row r="240" spans="1:52">
      <c r="A240" s="19"/>
      <c r="B240" s="191" t="str">
        <f>"Injection for wells built in Year "&amp;Cashflow!AC$164</f>
        <v>Injection for wells built in Year 2043</v>
      </c>
      <c r="C240" s="563"/>
      <c r="D240" s="563"/>
      <c r="E240" s="563"/>
      <c r="F240" s="563"/>
      <c r="G240" s="563"/>
      <c r="H240" s="563"/>
      <c r="I240" s="563"/>
      <c r="J240" s="563"/>
      <c r="K240" s="563"/>
      <c r="L240" s="563"/>
      <c r="M240" s="563"/>
      <c r="N240" s="563"/>
      <c r="O240" s="563"/>
      <c r="P240" s="563"/>
      <c r="Q240" s="563"/>
      <c r="R240" s="563"/>
      <c r="S240" s="563"/>
      <c r="T240" s="563"/>
      <c r="U240" s="563"/>
      <c r="V240" s="563"/>
      <c r="W240" s="563"/>
      <c r="X240" s="563"/>
      <c r="Y240" s="563"/>
      <c r="Z240" s="563"/>
      <c r="AA240" s="563"/>
      <c r="AB240" s="563"/>
      <c r="AC240" s="562">
        <f ca="1">IF(Cashflow!AC$111="C/I",0,IF(AC$33=0,0,IF(AC$213&lt;$Q$7,0,$AC$35*$J$5*$Q$4*2*PI()*$AE$8/($X$12*(LN(SQRT($J$4/(AC$32*PI()))/($J$10/2))-(1/2)+C$211)))))</f>
        <v>0</v>
      </c>
      <c r="AD240" s="562">
        <f ca="1">IF(Cashflow!AD$111="C/I",0,IF(AD$33=0,0,IF(AD$213&lt;$Q$7,0,$AC$35*$J$5*$Q$4*2*PI()*$AE$8/($X$12*(LN(SQRT($J$4/(AD$32*PI()))/($J$10/2))-(1/2)+D$211)))))</f>
        <v>0</v>
      </c>
      <c r="AE240" s="562">
        <f ca="1">IF(Cashflow!AE$111="C/I",0,IF(AE$33=0,0,IF(AE$213&lt;$Q$7,0,$AC$35*$J$5*$Q$4*2*PI()*$AE$8/($X$12*(LN(SQRT($J$4/(AE$32*PI()))/($J$10/2))-(1/2)+E$211)))))</f>
        <v>0</v>
      </c>
      <c r="AF240" s="562">
        <f ca="1">IF(Cashflow!AF$111="C/I",0,IF(AF$33=0,0,IF(AF$213&lt;$Q$7,0,$AC$35*$J$5*$Q$4*2*PI()*$AE$8/($X$12*(LN(SQRT($J$4/(AF$32*PI()))/($J$10/2))-(1/2)+F$211)))))</f>
        <v>0</v>
      </c>
      <c r="AG240" s="562">
        <f ca="1">IF(Cashflow!AG$111="C/I",0,IF(AG$33=0,0,IF(AG$213&lt;$Q$7,0,$AC$35*$J$5*$Q$4*2*PI()*$AE$8/($X$12*(LN(SQRT($J$4/(AG$32*PI()))/($J$10/2))-(1/2)+G$211)))))</f>
        <v>0</v>
      </c>
      <c r="AH240" s="19"/>
      <c r="AI240" s="19"/>
      <c r="AJ240" s="19"/>
      <c r="AK240" s="21"/>
      <c r="AL240" s="21"/>
      <c r="AM240" s="19"/>
      <c r="AN240" s="19"/>
      <c r="AO240" s="326"/>
      <c r="AP240" s="326"/>
      <c r="AQ240" s="326"/>
      <c r="AR240" s="326"/>
      <c r="AS240" s="326"/>
      <c r="AT240" s="326"/>
      <c r="AU240" s="326"/>
      <c r="AV240" s="326"/>
      <c r="AW240" s="326"/>
      <c r="AX240" s="326"/>
      <c r="AY240" s="326"/>
      <c r="AZ240" s="326"/>
    </row>
    <row r="241" spans="1:52">
      <c r="A241" s="19"/>
      <c r="B241" s="191" t="str">
        <f>"Injection for wells built in Year "&amp;Cashflow!AD$164</f>
        <v>Injection for wells built in Year 2044</v>
      </c>
      <c r="C241" s="563"/>
      <c r="D241" s="563"/>
      <c r="E241" s="563"/>
      <c r="F241" s="563"/>
      <c r="G241" s="563"/>
      <c r="H241" s="563"/>
      <c r="I241" s="563"/>
      <c r="J241" s="563"/>
      <c r="K241" s="563"/>
      <c r="L241" s="563"/>
      <c r="M241" s="563"/>
      <c r="N241" s="563"/>
      <c r="O241" s="563"/>
      <c r="P241" s="563"/>
      <c r="Q241" s="563"/>
      <c r="R241" s="563"/>
      <c r="S241" s="563"/>
      <c r="T241" s="563"/>
      <c r="U241" s="563"/>
      <c r="V241" s="563"/>
      <c r="W241" s="563"/>
      <c r="X241" s="563"/>
      <c r="Y241" s="563"/>
      <c r="Z241" s="563"/>
      <c r="AA241" s="563"/>
      <c r="AB241" s="563"/>
      <c r="AC241" s="563"/>
      <c r="AD241" s="562">
        <f ca="1">IF(Cashflow!AD$111="C/I",0,IF(AD$33=0,0,IF(AD$213&lt;$Q$7,0,$AD$35*$J$5*$Q$4*2*PI()*$AE$8/($X$12*(LN(SQRT($J$4/(AD$32*PI()))/($J$10/2))-(1/2)+C$211)))))</f>
        <v>0</v>
      </c>
      <c r="AE241" s="562">
        <f ca="1">IF(Cashflow!AE$111="C/I",0,IF(AE$33=0,0,IF(AE$213&lt;$Q$7,0,$AD$35*$J$5*$Q$4*2*PI()*$AE$8/($X$12*(LN(SQRT($J$4/(AE$32*PI()))/($J$10/2))-(1/2)+D$211)))))</f>
        <v>0</v>
      </c>
      <c r="AF241" s="562">
        <f ca="1">IF(Cashflow!AF$111="C/I",0,IF(AF$33=0,0,IF(AF$213&lt;$Q$7,0,$AD$35*$J$5*$Q$4*2*PI()*$AE$8/($X$12*(LN(SQRT($J$4/(AF$32*PI()))/($J$10/2))-(1/2)+E$211)))))</f>
        <v>0</v>
      </c>
      <c r="AG241" s="562">
        <f ca="1">IF(Cashflow!AG$111="C/I",0,IF(AG$33=0,0,IF(AG$213&lt;$Q$7,0,$AD$35*$J$5*$Q$4*2*PI()*$AE$8/($X$12*(LN(SQRT($J$4/(AG$32*PI()))/($J$10/2))-(1/2)+F$211)))))</f>
        <v>0</v>
      </c>
      <c r="AH241" s="19"/>
      <c r="AI241" s="19"/>
      <c r="AJ241" s="19"/>
      <c r="AK241" s="21"/>
      <c r="AL241" s="21"/>
      <c r="AM241" s="19"/>
      <c r="AN241" s="19"/>
      <c r="AO241" s="326"/>
      <c r="AP241" s="326"/>
      <c r="AQ241" s="326"/>
      <c r="AR241" s="326"/>
      <c r="AS241" s="326"/>
      <c r="AT241" s="326"/>
      <c r="AU241" s="326"/>
      <c r="AV241" s="326"/>
      <c r="AW241" s="326"/>
      <c r="AX241" s="326"/>
      <c r="AY241" s="326"/>
      <c r="AZ241" s="326"/>
    </row>
    <row r="242" spans="1:52">
      <c r="A242" s="19"/>
      <c r="B242" s="191" t="str">
        <f>"Injection for wells built in Year "&amp;Cashflow!AE$164</f>
        <v>Injection for wells built in Year 2045</v>
      </c>
      <c r="C242" s="563"/>
      <c r="D242" s="563"/>
      <c r="E242" s="563"/>
      <c r="F242" s="563"/>
      <c r="G242" s="563"/>
      <c r="H242" s="563"/>
      <c r="I242" s="563"/>
      <c r="J242" s="563"/>
      <c r="K242" s="563"/>
      <c r="L242" s="563"/>
      <c r="M242" s="563"/>
      <c r="N242" s="563"/>
      <c r="O242" s="563"/>
      <c r="P242" s="563"/>
      <c r="Q242" s="563"/>
      <c r="R242" s="563"/>
      <c r="S242" s="563"/>
      <c r="T242" s="563"/>
      <c r="U242" s="563"/>
      <c r="V242" s="563"/>
      <c r="W242" s="563"/>
      <c r="X242" s="563"/>
      <c r="Y242" s="563"/>
      <c r="Z242" s="563"/>
      <c r="AA242" s="563"/>
      <c r="AB242" s="563"/>
      <c r="AC242" s="563"/>
      <c r="AD242" s="563"/>
      <c r="AE242" s="562">
        <f ca="1">IF(Cashflow!AE$111="C/I",0,IF(AE$33=0,0,IF(AE$213&lt;$Q$7,0,$AE$35*$J$5*$Q$4*2*PI()*$AE$8/($X$12*(LN(SQRT($J$4/(AE$32*PI()))/($J$10/2))-(1/2)+C$211)))))</f>
        <v>0</v>
      </c>
      <c r="AF242" s="562">
        <f ca="1">IF(Cashflow!AF$111="C/I",0,IF(AF$33=0,0,IF(AF$213&lt;$Q$7,0,$AE$35*$J$5*$Q$4*2*PI()*$AE$8/($X$12*(LN(SQRT($J$4/(AF$32*PI()))/($J$10/2))-(1/2)+D$211)))))</f>
        <v>0</v>
      </c>
      <c r="AG242" s="562">
        <f ca="1">IF(Cashflow!AG$111="C/I",0,IF(AG$33=0,0,IF(AG$213&lt;$Q$7,0,$AE$35*$J$5*$Q$4*2*PI()*$AE$8/($X$12*(LN(SQRT($J$4/(AG$32*PI()))/($J$10/2))-(1/2)+E$211)))))</f>
        <v>0</v>
      </c>
      <c r="AH242" s="19"/>
      <c r="AI242" s="19"/>
      <c r="AJ242" s="19"/>
      <c r="AK242" s="21"/>
      <c r="AL242" s="21"/>
      <c r="AM242" s="19"/>
      <c r="AN242" s="19"/>
      <c r="AO242" s="326"/>
      <c r="AP242" s="326"/>
      <c r="AQ242" s="326"/>
      <c r="AR242" s="326"/>
      <c r="AS242" s="326"/>
      <c r="AT242" s="326"/>
      <c r="AU242" s="326"/>
      <c r="AV242" s="326"/>
      <c r="AW242" s="326"/>
      <c r="AX242" s="326"/>
      <c r="AY242" s="326"/>
      <c r="AZ242" s="326"/>
    </row>
    <row r="243" spans="1:52">
      <c r="A243" s="19"/>
      <c r="B243" s="191" t="str">
        <f>"Injection for wells built in Year "&amp;Cashflow!AF$164</f>
        <v>Injection for wells built in Year 2046</v>
      </c>
      <c r="C243" s="563"/>
      <c r="D243" s="563"/>
      <c r="E243" s="563"/>
      <c r="F243" s="563"/>
      <c r="G243" s="563"/>
      <c r="H243" s="563"/>
      <c r="I243" s="563"/>
      <c r="J243" s="563"/>
      <c r="K243" s="563"/>
      <c r="L243" s="563"/>
      <c r="M243" s="563"/>
      <c r="N243" s="563"/>
      <c r="O243" s="563"/>
      <c r="P243" s="563"/>
      <c r="Q243" s="563"/>
      <c r="R243" s="563"/>
      <c r="S243" s="563"/>
      <c r="T243" s="563"/>
      <c r="U243" s="563"/>
      <c r="V243" s="563"/>
      <c r="W243" s="563"/>
      <c r="X243" s="563"/>
      <c r="Y243" s="563"/>
      <c r="Z243" s="563"/>
      <c r="AA243" s="563"/>
      <c r="AB243" s="563"/>
      <c r="AC243" s="563"/>
      <c r="AD243" s="563"/>
      <c r="AE243" s="563"/>
      <c r="AF243" s="562">
        <f ca="1">IF(Cashflow!AF$111="C/I",0,IF(AF$33=0,0,IF(AF$213&lt;$Q$7,0,$AF$35*$J$5*$Q$4*2*PI()*$AE$8/($X$12*(LN(SQRT($J$4/(AF$32*PI()))/($J$10/2))-(1/2)+C$211)))))</f>
        <v>0</v>
      </c>
      <c r="AG243" s="562">
        <f ca="1">IF(Cashflow!AG$111="C/I",0,IF(AG$33=0,0,IF(AG$213&lt;$Q$7,0,$AF$35*$J$5*$Q$4*2*PI()*$AE$8/($X$12*(LN(SQRT($J$4/(AG$32*PI()))/($J$10/2))-(1/2)+D$211)))))</f>
        <v>0</v>
      </c>
      <c r="AH243" s="19"/>
      <c r="AI243" s="19"/>
      <c r="AJ243" s="19"/>
      <c r="AK243" s="21"/>
      <c r="AL243" s="21"/>
      <c r="AM243" s="19"/>
      <c r="AN243" s="19"/>
      <c r="AO243" s="326"/>
      <c r="AP243" s="326"/>
      <c r="AQ243" s="326"/>
      <c r="AR243" s="326"/>
      <c r="AS243" s="326"/>
      <c r="AT243" s="326"/>
      <c r="AU243" s="326"/>
      <c r="AV243" s="326"/>
      <c r="AW243" s="326"/>
      <c r="AX243" s="326"/>
      <c r="AY243" s="326"/>
      <c r="AZ243" s="326"/>
    </row>
    <row r="244" spans="1:52">
      <c r="A244" s="19"/>
      <c r="B244" s="191" t="str">
        <f>"Injection for wells built in Year "&amp;Cashflow!AG$164</f>
        <v>Injection for wells built in Year 2047</v>
      </c>
      <c r="C244" s="563"/>
      <c r="D244" s="563"/>
      <c r="E244" s="563"/>
      <c r="F244" s="563"/>
      <c r="G244" s="563"/>
      <c r="H244" s="563"/>
      <c r="I244" s="563"/>
      <c r="J244" s="563"/>
      <c r="K244" s="563"/>
      <c r="L244" s="563"/>
      <c r="M244" s="563"/>
      <c r="N244" s="563"/>
      <c r="O244" s="563"/>
      <c r="P244" s="563"/>
      <c r="Q244" s="563"/>
      <c r="R244" s="563"/>
      <c r="S244" s="563"/>
      <c r="T244" s="563"/>
      <c r="U244" s="563"/>
      <c r="V244" s="563"/>
      <c r="W244" s="563"/>
      <c r="X244" s="563"/>
      <c r="Y244" s="563"/>
      <c r="Z244" s="563"/>
      <c r="AA244" s="563"/>
      <c r="AB244" s="563"/>
      <c r="AC244" s="563"/>
      <c r="AD244" s="563"/>
      <c r="AE244" s="563"/>
      <c r="AF244" s="563"/>
      <c r="AG244" s="562">
        <f ca="1">IF(Cashflow!AG$111="C/I",0,IF(AG$33=0,0,IF(AG$213&lt;$Q$7,0,$AG$35*$J$5*$Q$4*2*PI()*$AE$8/($X$12*(LN(SQRT($J$4/(AG$32*PI()))/($J$10/2))-(1/2)+C$211)))))</f>
        <v>0</v>
      </c>
      <c r="AH244" s="19"/>
      <c r="AI244" s="19"/>
      <c r="AJ244" s="19"/>
      <c r="AK244" s="21"/>
      <c r="AL244" s="21"/>
      <c r="AM244" s="19"/>
      <c r="AN244" s="19"/>
      <c r="AO244" s="326"/>
      <c r="AP244" s="326"/>
      <c r="AQ244" s="326"/>
      <c r="AR244" s="326"/>
      <c r="AS244" s="326"/>
      <c r="AT244" s="326"/>
      <c r="AU244" s="326"/>
      <c r="AV244" s="326"/>
      <c r="AW244" s="326"/>
      <c r="AX244" s="326"/>
      <c r="AY244" s="326"/>
      <c r="AZ244" s="326"/>
    </row>
    <row r="245" spans="1:52">
      <c r="A245" s="19"/>
      <c r="B245" s="71" t="s">
        <v>706</v>
      </c>
      <c r="C245" s="1161">
        <f t="shared" ref="C245:AG245" si="43">SUM(C214:C244)</f>
        <v>0</v>
      </c>
      <c r="D245" s="1161">
        <f t="shared" si="43"/>
        <v>0</v>
      </c>
      <c r="E245" s="1161">
        <f t="shared" si="43"/>
        <v>0</v>
      </c>
      <c r="F245" s="1161">
        <f t="shared" si="43"/>
        <v>0</v>
      </c>
      <c r="G245" s="1161">
        <f t="shared" si="43"/>
        <v>0</v>
      </c>
      <c r="H245" s="1161">
        <f t="shared" si="43"/>
        <v>0</v>
      </c>
      <c r="I245" s="1161">
        <f t="shared" si="43"/>
        <v>0</v>
      </c>
      <c r="J245" s="1161">
        <f t="shared" si="43"/>
        <v>0</v>
      </c>
      <c r="K245" s="1161">
        <f t="shared" si="43"/>
        <v>0.21960870497107587</v>
      </c>
      <c r="L245" s="1161">
        <f t="shared" ca="1" si="43"/>
        <v>0.32291663236455503</v>
      </c>
      <c r="M245" s="1161">
        <f t="shared" ca="1" si="43"/>
        <v>0.34110226670127608</v>
      </c>
      <c r="N245" s="1161">
        <f t="shared" ca="1" si="43"/>
        <v>0.43199269370157445</v>
      </c>
      <c r="O245" s="1161">
        <f t="shared" ca="1" si="43"/>
        <v>0.4081865966493809</v>
      </c>
      <c r="P245" s="1161">
        <f t="shared" ca="1" si="43"/>
        <v>0.43199269370157445</v>
      </c>
      <c r="Q245" s="1161">
        <f t="shared" ca="1" si="43"/>
        <v>0.40818659664938084</v>
      </c>
      <c r="R245" s="1161">
        <f t="shared" ca="1" si="43"/>
        <v>0.43199269370157445</v>
      </c>
      <c r="S245" s="1161">
        <f t="shared" ca="1" si="43"/>
        <v>0.4081865966493809</v>
      </c>
      <c r="T245" s="1161">
        <f t="shared" ca="1" si="43"/>
        <v>0.43199269370157445</v>
      </c>
      <c r="U245" s="1161">
        <f t="shared" ca="1" si="43"/>
        <v>0.4081865966493809</v>
      </c>
      <c r="V245" s="1161">
        <f t="shared" ca="1" si="43"/>
        <v>0.43199269370157445</v>
      </c>
      <c r="W245" s="1161">
        <f t="shared" ca="1" si="43"/>
        <v>0.40818659664938084</v>
      </c>
      <c r="X245" s="1161">
        <f t="shared" ca="1" si="43"/>
        <v>0.43199269370157445</v>
      </c>
      <c r="Y245" s="1161">
        <f t="shared" ca="1" si="43"/>
        <v>0.4081865966493809</v>
      </c>
      <c r="Z245" s="1161">
        <f t="shared" ca="1" si="43"/>
        <v>0.43199269370157445</v>
      </c>
      <c r="AA245" s="1161">
        <f t="shared" ca="1" si="43"/>
        <v>0.4081865966493809</v>
      </c>
      <c r="AB245" s="1161">
        <f t="shared" ca="1" si="43"/>
        <v>0.43199269370157445</v>
      </c>
      <c r="AC245" s="1161">
        <f t="shared" ca="1" si="43"/>
        <v>0.40818659664938084</v>
      </c>
      <c r="AD245" s="1161">
        <f t="shared" ca="1" si="43"/>
        <v>0.43199269370157445</v>
      </c>
      <c r="AE245" s="1161">
        <f t="shared" ca="1" si="43"/>
        <v>0.4081865966493809</v>
      </c>
      <c r="AF245" s="1161">
        <f t="shared" ca="1" si="43"/>
        <v>0.43199269370157445</v>
      </c>
      <c r="AG245" s="1161">
        <f t="shared" ca="1" si="43"/>
        <v>0.4081865966493809</v>
      </c>
      <c r="AH245" s="19"/>
      <c r="AI245" s="19"/>
      <c r="AJ245" s="19"/>
      <c r="AK245" s="21"/>
      <c r="AL245" s="21"/>
      <c r="AM245" s="19"/>
      <c r="AN245" s="19"/>
      <c r="AO245" s="326"/>
      <c r="AP245" s="326"/>
      <c r="AQ245" s="326"/>
      <c r="AR245" s="326"/>
      <c r="AS245" s="326"/>
      <c r="AT245" s="326"/>
      <c r="AU245" s="326"/>
      <c r="AV245" s="326"/>
      <c r="AW245" s="326"/>
      <c r="AX245" s="326"/>
      <c r="AY245" s="326"/>
      <c r="AZ245" s="326"/>
    </row>
    <row r="246" spans="1:52">
      <c r="A246" s="19"/>
      <c r="B246" s="28"/>
      <c r="C246" s="164"/>
      <c r="D246" s="19"/>
      <c r="E246" s="19"/>
      <c r="F246" s="19"/>
      <c r="G246" s="19"/>
      <c r="H246" s="19"/>
      <c r="I246" s="19"/>
      <c r="J246" s="132"/>
      <c r="K246" s="137"/>
      <c r="L246" s="132"/>
      <c r="M246" s="137"/>
      <c r="N246" s="28"/>
      <c r="O246" s="28"/>
      <c r="P246" s="19"/>
      <c r="Q246" s="19"/>
      <c r="R246" s="19"/>
      <c r="S246" s="19"/>
      <c r="T246" s="19"/>
      <c r="U246" s="19"/>
      <c r="V246" s="19"/>
      <c r="W246" s="19"/>
      <c r="X246" s="19"/>
      <c r="Y246" s="19"/>
      <c r="Z246" s="19"/>
      <c r="AA246" s="19"/>
      <c r="AB246" s="19"/>
      <c r="AC246" s="19"/>
      <c r="AD246" s="19"/>
      <c r="AE246" s="19"/>
      <c r="AF246" s="19"/>
      <c r="AG246" s="19"/>
      <c r="AH246" s="19"/>
      <c r="AI246" s="19"/>
      <c r="AJ246" s="19"/>
      <c r="AK246" s="21"/>
      <c r="AL246" s="21"/>
      <c r="AM246" s="19"/>
      <c r="AN246" s="19"/>
      <c r="AO246" s="326"/>
      <c r="AP246" s="326"/>
      <c r="AQ246" s="326"/>
      <c r="AR246" s="326"/>
      <c r="AS246" s="326"/>
      <c r="AT246" s="326"/>
      <c r="AU246" s="326"/>
      <c r="AV246" s="326"/>
      <c r="AW246" s="326"/>
      <c r="AX246" s="326"/>
      <c r="AY246" s="326"/>
      <c r="AZ246" s="326"/>
    </row>
    <row r="247" spans="1:52" ht="15" thickBot="1">
      <c r="A247" s="19"/>
      <c r="B247" s="458" t="s">
        <v>748</v>
      </c>
      <c r="C247" s="32">
        <f>Cashflow!C$30</f>
        <v>2017</v>
      </c>
      <c r="D247" s="32">
        <f>Cashflow!D$30</f>
        <v>2018</v>
      </c>
      <c r="E247" s="32">
        <f>Cashflow!E$30</f>
        <v>2019</v>
      </c>
      <c r="F247" s="32">
        <f>Cashflow!F$30</f>
        <v>2020</v>
      </c>
      <c r="G247" s="32">
        <f>Cashflow!G$30</f>
        <v>2021</v>
      </c>
      <c r="H247" s="32">
        <f>Cashflow!H$30</f>
        <v>2022</v>
      </c>
      <c r="I247" s="32">
        <f>Cashflow!I$30</f>
        <v>2023</v>
      </c>
      <c r="J247" s="32">
        <f>Cashflow!J$30</f>
        <v>2024</v>
      </c>
      <c r="K247" s="32">
        <f>Cashflow!K$30</f>
        <v>2025</v>
      </c>
      <c r="L247" s="32">
        <f>Cashflow!L$30</f>
        <v>2026</v>
      </c>
      <c r="M247" s="32">
        <f>Cashflow!M$30</f>
        <v>2027</v>
      </c>
      <c r="N247" s="32">
        <f>Cashflow!N$30</f>
        <v>2028</v>
      </c>
      <c r="O247" s="32">
        <f>Cashflow!O$30</f>
        <v>2029</v>
      </c>
      <c r="P247" s="32">
        <f>Cashflow!P$30</f>
        <v>2030</v>
      </c>
      <c r="Q247" s="32">
        <f>Cashflow!Q$30</f>
        <v>2031</v>
      </c>
      <c r="R247" s="32">
        <f>Cashflow!R$30</f>
        <v>2032</v>
      </c>
      <c r="S247" s="32">
        <f>Cashflow!S$30</f>
        <v>2033</v>
      </c>
      <c r="T247" s="32">
        <f>Cashflow!T$30</f>
        <v>2034</v>
      </c>
      <c r="U247" s="32">
        <f>Cashflow!U$30</f>
        <v>2035</v>
      </c>
      <c r="V247" s="32">
        <f>Cashflow!V$30</f>
        <v>2036</v>
      </c>
      <c r="W247" s="32">
        <f>Cashflow!W$30</f>
        <v>2037</v>
      </c>
      <c r="X247" s="32">
        <f>Cashflow!X$30</f>
        <v>2038</v>
      </c>
      <c r="Y247" s="32">
        <f>Cashflow!Y$30</f>
        <v>2039</v>
      </c>
      <c r="Z247" s="32">
        <f>Cashflow!Z$30</f>
        <v>2040</v>
      </c>
      <c r="AA247" s="32">
        <f>Cashflow!AA$30</f>
        <v>2041</v>
      </c>
      <c r="AB247" s="32">
        <f>Cashflow!AB$30</f>
        <v>2042</v>
      </c>
      <c r="AC247" s="32">
        <f>Cashflow!AC$30</f>
        <v>2043</v>
      </c>
      <c r="AD247" s="32">
        <f>Cashflow!AD$30</f>
        <v>2044</v>
      </c>
      <c r="AE247" s="32">
        <f>Cashflow!AE$30</f>
        <v>2045</v>
      </c>
      <c r="AF247" s="32">
        <f>Cashflow!AF$30</f>
        <v>2046</v>
      </c>
      <c r="AG247" s="32">
        <f>Cashflow!AG$30</f>
        <v>2047</v>
      </c>
      <c r="AH247" s="19"/>
      <c r="AI247" s="19"/>
      <c r="AJ247" s="19"/>
      <c r="AK247" s="21"/>
      <c r="AL247" s="21"/>
      <c r="AM247" s="19"/>
      <c r="AN247" s="19"/>
      <c r="AO247" s="326"/>
      <c r="AP247" s="326"/>
      <c r="AQ247" s="326"/>
      <c r="AR247" s="326"/>
      <c r="AS247" s="326"/>
      <c r="AT247" s="326"/>
      <c r="AU247" s="326"/>
      <c r="AV247" s="326"/>
      <c r="AW247" s="326"/>
      <c r="AX247" s="326"/>
      <c r="AY247" s="326"/>
      <c r="AZ247" s="326"/>
    </row>
    <row r="248" spans="1:52" ht="15" thickTop="1">
      <c r="A248" s="19"/>
      <c r="B248" s="191" t="str">
        <f>"Injection for single well built in Year "&amp;Cashflow!C$164</f>
        <v>Injection for single well built in Year 2017</v>
      </c>
      <c r="C248" s="562">
        <f t="shared" ref="C248:AG248" si="44">IF($C$35=0,0,C214/$C$35)</f>
        <v>0</v>
      </c>
      <c r="D248" s="562">
        <f t="shared" si="44"/>
        <v>0</v>
      </c>
      <c r="E248" s="562">
        <f t="shared" si="44"/>
        <v>0</v>
      </c>
      <c r="F248" s="562">
        <f t="shared" si="44"/>
        <v>0</v>
      </c>
      <c r="G248" s="562">
        <f t="shared" si="44"/>
        <v>0</v>
      </c>
      <c r="H248" s="562">
        <f t="shared" si="44"/>
        <v>0</v>
      </c>
      <c r="I248" s="562">
        <f t="shared" si="44"/>
        <v>0</v>
      </c>
      <c r="J248" s="562">
        <f t="shared" si="44"/>
        <v>0</v>
      </c>
      <c r="K248" s="562">
        <f t="shared" si="44"/>
        <v>0</v>
      </c>
      <c r="L248" s="562">
        <f t="shared" si="44"/>
        <v>0</v>
      </c>
      <c r="M248" s="562">
        <f t="shared" si="44"/>
        <v>0</v>
      </c>
      <c r="N248" s="562">
        <f t="shared" si="44"/>
        <v>0</v>
      </c>
      <c r="O248" s="562">
        <f t="shared" si="44"/>
        <v>0</v>
      </c>
      <c r="P248" s="562">
        <f t="shared" si="44"/>
        <v>0</v>
      </c>
      <c r="Q248" s="562">
        <f t="shared" si="44"/>
        <v>0</v>
      </c>
      <c r="R248" s="562">
        <f t="shared" si="44"/>
        <v>0</v>
      </c>
      <c r="S248" s="562">
        <f t="shared" si="44"/>
        <v>0</v>
      </c>
      <c r="T248" s="562">
        <f t="shared" si="44"/>
        <v>0</v>
      </c>
      <c r="U248" s="562">
        <f t="shared" si="44"/>
        <v>0</v>
      </c>
      <c r="V248" s="562">
        <f t="shared" si="44"/>
        <v>0</v>
      </c>
      <c r="W248" s="562">
        <f t="shared" si="44"/>
        <v>0</v>
      </c>
      <c r="X248" s="562">
        <f t="shared" si="44"/>
        <v>0</v>
      </c>
      <c r="Y248" s="562">
        <f t="shared" si="44"/>
        <v>0</v>
      </c>
      <c r="Z248" s="562">
        <f t="shared" si="44"/>
        <v>0</v>
      </c>
      <c r="AA248" s="562">
        <f t="shared" si="44"/>
        <v>0</v>
      </c>
      <c r="AB248" s="562">
        <f t="shared" si="44"/>
        <v>0</v>
      </c>
      <c r="AC248" s="562">
        <f t="shared" si="44"/>
        <v>0</v>
      </c>
      <c r="AD248" s="562">
        <f t="shared" si="44"/>
        <v>0</v>
      </c>
      <c r="AE248" s="562">
        <f t="shared" si="44"/>
        <v>0</v>
      </c>
      <c r="AF248" s="562">
        <f t="shared" si="44"/>
        <v>0</v>
      </c>
      <c r="AG248" s="562">
        <f t="shared" si="44"/>
        <v>0</v>
      </c>
      <c r="AH248" s="19"/>
      <c r="AI248" s="19"/>
      <c r="AJ248" s="19"/>
      <c r="AK248" s="21"/>
      <c r="AL248" s="21"/>
      <c r="AM248" s="19"/>
      <c r="AN248" s="19"/>
      <c r="AO248" s="326"/>
      <c r="AP248" s="326"/>
      <c r="AQ248" s="326"/>
      <c r="AR248" s="326"/>
      <c r="AS248" s="326"/>
      <c r="AT248" s="326"/>
      <c r="AU248" s="326"/>
      <c r="AV248" s="326"/>
      <c r="AW248" s="326"/>
      <c r="AX248" s="326"/>
      <c r="AY248" s="326"/>
      <c r="AZ248" s="326"/>
    </row>
    <row r="249" spans="1:52">
      <c r="A249" s="19"/>
      <c r="B249" s="191" t="str">
        <f>"Injection for single well built in Year "&amp;Cashflow!D$164</f>
        <v>Injection for single well built in Year 2018</v>
      </c>
      <c r="C249" s="563"/>
      <c r="D249" s="562">
        <f t="shared" ref="D249:AG249" si="45">IF($D$35=0,0,D215/$D$35)</f>
        <v>0</v>
      </c>
      <c r="E249" s="562">
        <f t="shared" si="45"/>
        <v>0</v>
      </c>
      <c r="F249" s="562">
        <f t="shared" si="45"/>
        <v>0</v>
      </c>
      <c r="G249" s="562">
        <f t="shared" si="45"/>
        <v>0</v>
      </c>
      <c r="H249" s="562">
        <f t="shared" si="45"/>
        <v>0</v>
      </c>
      <c r="I249" s="562">
        <f t="shared" si="45"/>
        <v>0</v>
      </c>
      <c r="J249" s="562">
        <f t="shared" si="45"/>
        <v>0</v>
      </c>
      <c r="K249" s="562">
        <f t="shared" si="45"/>
        <v>0</v>
      </c>
      <c r="L249" s="562">
        <f t="shared" si="45"/>
        <v>0</v>
      </c>
      <c r="M249" s="562">
        <f t="shared" si="45"/>
        <v>0</v>
      </c>
      <c r="N249" s="562">
        <f t="shared" si="45"/>
        <v>0</v>
      </c>
      <c r="O249" s="562">
        <f t="shared" si="45"/>
        <v>0</v>
      </c>
      <c r="P249" s="562">
        <f t="shared" si="45"/>
        <v>0</v>
      </c>
      <c r="Q249" s="562">
        <f t="shared" si="45"/>
        <v>0</v>
      </c>
      <c r="R249" s="562">
        <f t="shared" si="45"/>
        <v>0</v>
      </c>
      <c r="S249" s="562">
        <f t="shared" si="45"/>
        <v>0</v>
      </c>
      <c r="T249" s="562">
        <f t="shared" si="45"/>
        <v>0</v>
      </c>
      <c r="U249" s="562">
        <f t="shared" si="45"/>
        <v>0</v>
      </c>
      <c r="V249" s="562">
        <f t="shared" si="45"/>
        <v>0</v>
      </c>
      <c r="W249" s="562">
        <f t="shared" si="45"/>
        <v>0</v>
      </c>
      <c r="X249" s="562">
        <f t="shared" si="45"/>
        <v>0</v>
      </c>
      <c r="Y249" s="562">
        <f t="shared" si="45"/>
        <v>0</v>
      </c>
      <c r="Z249" s="562">
        <f t="shared" si="45"/>
        <v>0</v>
      </c>
      <c r="AA249" s="562">
        <f t="shared" si="45"/>
        <v>0</v>
      </c>
      <c r="AB249" s="562">
        <f t="shared" si="45"/>
        <v>0</v>
      </c>
      <c r="AC249" s="562">
        <f t="shared" si="45"/>
        <v>0</v>
      </c>
      <c r="AD249" s="562">
        <f t="shared" si="45"/>
        <v>0</v>
      </c>
      <c r="AE249" s="562">
        <f t="shared" si="45"/>
        <v>0</v>
      </c>
      <c r="AF249" s="562">
        <f t="shared" si="45"/>
        <v>0</v>
      </c>
      <c r="AG249" s="562">
        <f t="shared" si="45"/>
        <v>0</v>
      </c>
      <c r="AH249" s="19"/>
      <c r="AI249" s="19"/>
      <c r="AJ249" s="19"/>
      <c r="AK249" s="21"/>
      <c r="AL249" s="21"/>
      <c r="AM249" s="19"/>
      <c r="AN249" s="19"/>
      <c r="AO249" s="326"/>
      <c r="AP249" s="326"/>
      <c r="AQ249" s="326"/>
      <c r="AR249" s="326"/>
      <c r="AS249" s="326"/>
      <c r="AT249" s="326"/>
      <c r="AU249" s="326"/>
      <c r="AV249" s="326"/>
      <c r="AW249" s="326"/>
      <c r="AX249" s="326"/>
      <c r="AY249" s="326"/>
      <c r="AZ249" s="326"/>
    </row>
    <row r="250" spans="1:52">
      <c r="A250" s="19"/>
      <c r="B250" s="191" t="str">
        <f>"Injection for single well built in Year "&amp;Cashflow!E$164</f>
        <v>Injection for single well built in Year 2019</v>
      </c>
      <c r="C250" s="563"/>
      <c r="D250" s="563"/>
      <c r="E250" s="562">
        <f t="shared" ref="E250:AG250" si="46">IF($E$35=0,0,E216/$E$35)</f>
        <v>0</v>
      </c>
      <c r="F250" s="562">
        <f t="shared" si="46"/>
        <v>0</v>
      </c>
      <c r="G250" s="562">
        <f t="shared" si="46"/>
        <v>0</v>
      </c>
      <c r="H250" s="562">
        <f t="shared" si="46"/>
        <v>0</v>
      </c>
      <c r="I250" s="562">
        <f t="shared" si="46"/>
        <v>0</v>
      </c>
      <c r="J250" s="562">
        <f t="shared" si="46"/>
        <v>0</v>
      </c>
      <c r="K250" s="562">
        <f t="shared" si="46"/>
        <v>0</v>
      </c>
      <c r="L250" s="562">
        <f t="shared" si="46"/>
        <v>0</v>
      </c>
      <c r="M250" s="562">
        <f t="shared" si="46"/>
        <v>0</v>
      </c>
      <c r="N250" s="562">
        <f t="shared" si="46"/>
        <v>0</v>
      </c>
      <c r="O250" s="562">
        <f t="shared" si="46"/>
        <v>0</v>
      </c>
      <c r="P250" s="562">
        <f t="shared" si="46"/>
        <v>0</v>
      </c>
      <c r="Q250" s="562">
        <f t="shared" si="46"/>
        <v>0</v>
      </c>
      <c r="R250" s="562">
        <f t="shared" si="46"/>
        <v>0</v>
      </c>
      <c r="S250" s="562">
        <f t="shared" si="46"/>
        <v>0</v>
      </c>
      <c r="T250" s="562">
        <f t="shared" si="46"/>
        <v>0</v>
      </c>
      <c r="U250" s="562">
        <f t="shared" si="46"/>
        <v>0</v>
      </c>
      <c r="V250" s="562">
        <f t="shared" si="46"/>
        <v>0</v>
      </c>
      <c r="W250" s="562">
        <f t="shared" si="46"/>
        <v>0</v>
      </c>
      <c r="X250" s="562">
        <f t="shared" si="46"/>
        <v>0</v>
      </c>
      <c r="Y250" s="562">
        <f t="shared" si="46"/>
        <v>0</v>
      </c>
      <c r="Z250" s="562">
        <f t="shared" si="46"/>
        <v>0</v>
      </c>
      <c r="AA250" s="562">
        <f t="shared" si="46"/>
        <v>0</v>
      </c>
      <c r="AB250" s="562">
        <f t="shared" si="46"/>
        <v>0</v>
      </c>
      <c r="AC250" s="562">
        <f t="shared" si="46"/>
        <v>0</v>
      </c>
      <c r="AD250" s="562">
        <f t="shared" si="46"/>
        <v>0</v>
      </c>
      <c r="AE250" s="562">
        <f t="shared" si="46"/>
        <v>0</v>
      </c>
      <c r="AF250" s="562">
        <f t="shared" si="46"/>
        <v>0</v>
      </c>
      <c r="AG250" s="562">
        <f t="shared" si="46"/>
        <v>0</v>
      </c>
      <c r="AH250" s="19"/>
      <c r="AI250" s="19"/>
      <c r="AJ250" s="19"/>
      <c r="AK250" s="21"/>
      <c r="AL250" s="21"/>
      <c r="AM250" s="19"/>
      <c r="AN250" s="19"/>
      <c r="AO250" s="326"/>
      <c r="AP250" s="326"/>
      <c r="AQ250" s="326"/>
      <c r="AR250" s="326"/>
      <c r="AS250" s="326"/>
      <c r="AT250" s="326"/>
      <c r="AU250" s="326"/>
      <c r="AV250" s="326"/>
      <c r="AW250" s="326"/>
      <c r="AX250" s="326"/>
      <c r="AY250" s="326"/>
      <c r="AZ250" s="326"/>
    </row>
    <row r="251" spans="1:52">
      <c r="A251" s="19"/>
      <c r="B251" s="191" t="str">
        <f>"Injection for single well built in Year "&amp;Cashflow!F$164</f>
        <v>Injection for single well built in Year 2020</v>
      </c>
      <c r="C251" s="563"/>
      <c r="D251" s="563"/>
      <c r="E251" s="563"/>
      <c r="F251" s="562">
        <f t="shared" ref="F251:AG251" si="47">IF($F$35=0,0,F217/$F$35)</f>
        <v>0</v>
      </c>
      <c r="G251" s="562">
        <f t="shared" si="47"/>
        <v>0</v>
      </c>
      <c r="H251" s="562">
        <f t="shared" si="47"/>
        <v>0</v>
      </c>
      <c r="I251" s="562">
        <f t="shared" si="47"/>
        <v>0</v>
      </c>
      <c r="J251" s="562">
        <f t="shared" si="47"/>
        <v>0</v>
      </c>
      <c r="K251" s="562">
        <f t="shared" si="47"/>
        <v>0</v>
      </c>
      <c r="L251" s="562">
        <f t="shared" si="47"/>
        <v>0</v>
      </c>
      <c r="M251" s="562">
        <f t="shared" si="47"/>
        <v>0</v>
      </c>
      <c r="N251" s="562">
        <f t="shared" si="47"/>
        <v>0</v>
      </c>
      <c r="O251" s="562">
        <f t="shared" si="47"/>
        <v>0</v>
      </c>
      <c r="P251" s="562">
        <f t="shared" si="47"/>
        <v>0</v>
      </c>
      <c r="Q251" s="562">
        <f t="shared" si="47"/>
        <v>0</v>
      </c>
      <c r="R251" s="562">
        <f t="shared" si="47"/>
        <v>0</v>
      </c>
      <c r="S251" s="562">
        <f t="shared" si="47"/>
        <v>0</v>
      </c>
      <c r="T251" s="562">
        <f t="shared" si="47"/>
        <v>0</v>
      </c>
      <c r="U251" s="562">
        <f t="shared" si="47"/>
        <v>0</v>
      </c>
      <c r="V251" s="562">
        <f t="shared" si="47"/>
        <v>0</v>
      </c>
      <c r="W251" s="562">
        <f t="shared" si="47"/>
        <v>0</v>
      </c>
      <c r="X251" s="562">
        <f t="shared" si="47"/>
        <v>0</v>
      </c>
      <c r="Y251" s="562">
        <f t="shared" si="47"/>
        <v>0</v>
      </c>
      <c r="Z251" s="562">
        <f t="shared" si="47"/>
        <v>0</v>
      </c>
      <c r="AA251" s="562">
        <f t="shared" si="47"/>
        <v>0</v>
      </c>
      <c r="AB251" s="562">
        <f t="shared" si="47"/>
        <v>0</v>
      </c>
      <c r="AC251" s="562">
        <f t="shared" si="47"/>
        <v>0</v>
      </c>
      <c r="AD251" s="562">
        <f t="shared" si="47"/>
        <v>0</v>
      </c>
      <c r="AE251" s="562">
        <f t="shared" si="47"/>
        <v>0</v>
      </c>
      <c r="AF251" s="562">
        <f t="shared" si="47"/>
        <v>0</v>
      </c>
      <c r="AG251" s="562">
        <f t="shared" si="47"/>
        <v>0</v>
      </c>
      <c r="AH251" s="19"/>
      <c r="AI251" s="19"/>
      <c r="AJ251" s="19"/>
      <c r="AK251" s="21"/>
      <c r="AL251" s="21"/>
      <c r="AM251" s="19"/>
      <c r="AN251" s="19"/>
      <c r="AO251" s="326"/>
      <c r="AP251" s="326"/>
      <c r="AQ251" s="326"/>
      <c r="AR251" s="326"/>
      <c r="AS251" s="326"/>
      <c r="AT251" s="326"/>
      <c r="AU251" s="326"/>
      <c r="AV251" s="326"/>
      <c r="AW251" s="326"/>
      <c r="AX251" s="326"/>
      <c r="AY251" s="326"/>
      <c r="AZ251" s="326"/>
    </row>
    <row r="252" spans="1:52">
      <c r="A252" s="19"/>
      <c r="B252" s="191" t="str">
        <f>"Injection for single well built in Year "&amp;Cashflow!G$164</f>
        <v>Injection for single well built in Year 2021</v>
      </c>
      <c r="C252" s="563"/>
      <c r="D252" s="563"/>
      <c r="E252" s="563"/>
      <c r="F252" s="563"/>
      <c r="G252" s="562">
        <f t="shared" ref="G252:AG252" si="48">IF($G$35=0,0,G218/$G$35)</f>
        <v>0</v>
      </c>
      <c r="H252" s="562">
        <f t="shared" si="48"/>
        <v>0</v>
      </c>
      <c r="I252" s="562">
        <f t="shared" si="48"/>
        <v>0</v>
      </c>
      <c r="J252" s="562">
        <f t="shared" si="48"/>
        <v>0</v>
      </c>
      <c r="K252" s="562">
        <f t="shared" si="48"/>
        <v>0</v>
      </c>
      <c r="L252" s="562">
        <f t="shared" si="48"/>
        <v>0</v>
      </c>
      <c r="M252" s="562">
        <f t="shared" si="48"/>
        <v>0</v>
      </c>
      <c r="N252" s="562">
        <f t="shared" si="48"/>
        <v>0</v>
      </c>
      <c r="O252" s="562">
        <f t="shared" si="48"/>
        <v>0</v>
      </c>
      <c r="P252" s="562">
        <f t="shared" si="48"/>
        <v>0</v>
      </c>
      <c r="Q252" s="562">
        <f t="shared" si="48"/>
        <v>0</v>
      </c>
      <c r="R252" s="562">
        <f t="shared" si="48"/>
        <v>0</v>
      </c>
      <c r="S252" s="562">
        <f t="shared" si="48"/>
        <v>0</v>
      </c>
      <c r="T252" s="562">
        <f t="shared" si="48"/>
        <v>0</v>
      </c>
      <c r="U252" s="562">
        <f t="shared" si="48"/>
        <v>0</v>
      </c>
      <c r="V252" s="562">
        <f t="shared" si="48"/>
        <v>0</v>
      </c>
      <c r="W252" s="562">
        <f t="shared" si="48"/>
        <v>0</v>
      </c>
      <c r="X252" s="562">
        <f t="shared" si="48"/>
        <v>0</v>
      </c>
      <c r="Y252" s="562">
        <f t="shared" si="48"/>
        <v>0</v>
      </c>
      <c r="Z252" s="562">
        <f t="shared" si="48"/>
        <v>0</v>
      </c>
      <c r="AA252" s="562">
        <f t="shared" si="48"/>
        <v>0</v>
      </c>
      <c r="AB252" s="562">
        <f t="shared" si="48"/>
        <v>0</v>
      </c>
      <c r="AC252" s="562">
        <f t="shared" si="48"/>
        <v>0</v>
      </c>
      <c r="AD252" s="562">
        <f t="shared" si="48"/>
        <v>0</v>
      </c>
      <c r="AE252" s="562">
        <f t="shared" si="48"/>
        <v>0</v>
      </c>
      <c r="AF252" s="562">
        <f t="shared" si="48"/>
        <v>0</v>
      </c>
      <c r="AG252" s="562">
        <f t="shared" si="48"/>
        <v>0</v>
      </c>
      <c r="AH252" s="19"/>
      <c r="AI252" s="19"/>
      <c r="AJ252" s="19"/>
      <c r="AK252" s="21"/>
      <c r="AL252" s="21"/>
      <c r="AM252" s="19"/>
      <c r="AN252" s="19"/>
      <c r="AO252" s="326"/>
      <c r="AP252" s="326"/>
      <c r="AQ252" s="326"/>
      <c r="AR252" s="326"/>
      <c r="AS252" s="326"/>
      <c r="AT252" s="326"/>
      <c r="AU252" s="326"/>
      <c r="AV252" s="326"/>
      <c r="AW252" s="326"/>
      <c r="AX252" s="326"/>
      <c r="AY252" s="326"/>
      <c r="AZ252" s="326"/>
    </row>
    <row r="253" spans="1:52">
      <c r="A253" s="19"/>
      <c r="B253" s="191" t="str">
        <f>"Injection for single well built in Year "&amp;Cashflow!H$164</f>
        <v>Injection for single well built in Year 2022</v>
      </c>
      <c r="C253" s="563"/>
      <c r="D253" s="563"/>
      <c r="E253" s="563"/>
      <c r="F253" s="563"/>
      <c r="G253" s="563"/>
      <c r="H253" s="562">
        <f t="shared" ref="H253:AG253" si="49">IF($H$35=0,0,H219/$H$35)</f>
        <v>0</v>
      </c>
      <c r="I253" s="562">
        <f t="shared" si="49"/>
        <v>0</v>
      </c>
      <c r="J253" s="562">
        <f t="shared" si="49"/>
        <v>0</v>
      </c>
      <c r="K253" s="562">
        <f t="shared" si="49"/>
        <v>0</v>
      </c>
      <c r="L253" s="562">
        <f t="shared" si="49"/>
        <v>0</v>
      </c>
      <c r="M253" s="562">
        <f t="shared" si="49"/>
        <v>0</v>
      </c>
      <c r="N253" s="562">
        <f t="shared" si="49"/>
        <v>0</v>
      </c>
      <c r="O253" s="562">
        <f t="shared" si="49"/>
        <v>0</v>
      </c>
      <c r="P253" s="562">
        <f t="shared" si="49"/>
        <v>0</v>
      </c>
      <c r="Q253" s="562">
        <f t="shared" si="49"/>
        <v>0</v>
      </c>
      <c r="R253" s="562">
        <f t="shared" si="49"/>
        <v>0</v>
      </c>
      <c r="S253" s="562">
        <f t="shared" si="49"/>
        <v>0</v>
      </c>
      <c r="T253" s="562">
        <f t="shared" si="49"/>
        <v>0</v>
      </c>
      <c r="U253" s="562">
        <f t="shared" si="49"/>
        <v>0</v>
      </c>
      <c r="V253" s="562">
        <f t="shared" si="49"/>
        <v>0</v>
      </c>
      <c r="W253" s="562">
        <f t="shared" si="49"/>
        <v>0</v>
      </c>
      <c r="X253" s="562">
        <f t="shared" si="49"/>
        <v>0</v>
      </c>
      <c r="Y253" s="562">
        <f t="shared" si="49"/>
        <v>0</v>
      </c>
      <c r="Z253" s="562">
        <f t="shared" si="49"/>
        <v>0</v>
      </c>
      <c r="AA253" s="562">
        <f t="shared" si="49"/>
        <v>0</v>
      </c>
      <c r="AB253" s="562">
        <f t="shared" si="49"/>
        <v>0</v>
      </c>
      <c r="AC253" s="562">
        <f t="shared" si="49"/>
        <v>0</v>
      </c>
      <c r="AD253" s="562">
        <f t="shared" si="49"/>
        <v>0</v>
      </c>
      <c r="AE253" s="562">
        <f t="shared" si="49"/>
        <v>0</v>
      </c>
      <c r="AF253" s="562">
        <f t="shared" si="49"/>
        <v>0</v>
      </c>
      <c r="AG253" s="562">
        <f t="shared" si="49"/>
        <v>0</v>
      </c>
      <c r="AH253" s="19"/>
      <c r="AI253" s="19"/>
      <c r="AJ253" s="19"/>
      <c r="AK253" s="21"/>
      <c r="AL253" s="21"/>
      <c r="AM253" s="19"/>
      <c r="AN253" s="19"/>
      <c r="AO253" s="326"/>
      <c r="AP253" s="326"/>
      <c r="AQ253" s="326"/>
      <c r="AR253" s="326"/>
      <c r="AS253" s="326"/>
      <c r="AT253" s="326"/>
      <c r="AU253" s="326"/>
      <c r="AV253" s="326"/>
      <c r="AW253" s="326"/>
      <c r="AX253" s="326"/>
      <c r="AY253" s="326"/>
      <c r="AZ253" s="326"/>
    </row>
    <row r="254" spans="1:52">
      <c r="A254" s="19"/>
      <c r="B254" s="191" t="str">
        <f>"Injection for single well built in Year "&amp;Cashflow!I$164</f>
        <v>Injection for single well built in Year 2023</v>
      </c>
      <c r="C254" s="563"/>
      <c r="D254" s="563"/>
      <c r="E254" s="563"/>
      <c r="F254" s="563"/>
      <c r="G254" s="563"/>
      <c r="H254" s="563"/>
      <c r="I254" s="562">
        <f t="shared" ref="I254:AG254" si="50">IF($I$35=0,0,I220/$I$35)</f>
        <v>0</v>
      </c>
      <c r="J254" s="562">
        <f t="shared" si="50"/>
        <v>0</v>
      </c>
      <c r="K254" s="562">
        <f t="shared" si="50"/>
        <v>4.5492379455696078E-2</v>
      </c>
      <c r="L254" s="562">
        <f t="shared" ca="1" si="50"/>
        <v>3.9880235256626817E-2</v>
      </c>
      <c r="M254" s="562">
        <f t="shared" ca="1" si="50"/>
        <v>3.5230213315222011E-2</v>
      </c>
      <c r="N254" s="562">
        <f t="shared" ca="1" si="50"/>
        <v>3.163479768623411E-2</v>
      </c>
      <c r="O254" s="562">
        <f t="shared" ca="1" si="50"/>
        <v>6.9448209306272879E-2</v>
      </c>
      <c r="P254" s="562">
        <f t="shared" ca="1" si="50"/>
        <v>5.6049012602369774E-2</v>
      </c>
      <c r="Q254" s="562">
        <f t="shared" ca="1" si="50"/>
        <v>4.6984012488468174E-2</v>
      </c>
      <c r="R254" s="562">
        <f t="shared" ca="1" si="50"/>
        <v>4.0443022910458544E-2</v>
      </c>
      <c r="S254" s="562">
        <f t="shared" ca="1" si="50"/>
        <v>3.550070845651495E-2</v>
      </c>
      <c r="T254" s="562">
        <f t="shared" ca="1" si="50"/>
        <v>3.163479768623411E-2</v>
      </c>
      <c r="U254" s="562">
        <f t="shared" ca="1" si="50"/>
        <v>6.9448209306272879E-2</v>
      </c>
      <c r="V254" s="562">
        <f t="shared" ca="1" si="50"/>
        <v>5.6049012602369774E-2</v>
      </c>
      <c r="W254" s="562">
        <f t="shared" ca="1" si="50"/>
        <v>4.6984012488468174E-2</v>
      </c>
      <c r="X254" s="562">
        <f t="shared" ca="1" si="50"/>
        <v>4.0443022910458544E-2</v>
      </c>
      <c r="Y254" s="562">
        <f t="shared" ca="1" si="50"/>
        <v>3.550070845651495E-2</v>
      </c>
      <c r="Z254" s="562">
        <f t="shared" ca="1" si="50"/>
        <v>3.163479768623411E-2</v>
      </c>
      <c r="AA254" s="562">
        <f t="shared" ca="1" si="50"/>
        <v>6.9448209306272879E-2</v>
      </c>
      <c r="AB254" s="562">
        <f t="shared" ca="1" si="50"/>
        <v>5.6049012602369774E-2</v>
      </c>
      <c r="AC254" s="562">
        <f t="shared" ca="1" si="50"/>
        <v>4.6984012488468174E-2</v>
      </c>
      <c r="AD254" s="562">
        <f t="shared" ca="1" si="50"/>
        <v>4.0443022910458544E-2</v>
      </c>
      <c r="AE254" s="562">
        <f t="shared" ca="1" si="50"/>
        <v>3.550070845651495E-2</v>
      </c>
      <c r="AF254" s="562">
        <f t="shared" ca="1" si="50"/>
        <v>3.163479768623411E-2</v>
      </c>
      <c r="AG254" s="562">
        <f t="shared" ca="1" si="50"/>
        <v>6.9448209306272879E-2</v>
      </c>
      <c r="AH254" s="19"/>
      <c r="AI254" s="19"/>
      <c r="AJ254" s="19"/>
      <c r="AK254" s="21"/>
      <c r="AL254" s="21"/>
      <c r="AM254" s="19"/>
      <c r="AN254" s="19"/>
      <c r="AO254" s="326"/>
      <c r="AP254" s="326"/>
      <c r="AQ254" s="326"/>
      <c r="AR254" s="326"/>
      <c r="AS254" s="326"/>
      <c r="AT254" s="326"/>
      <c r="AU254" s="326"/>
      <c r="AV254" s="326"/>
      <c r="AW254" s="326"/>
      <c r="AX254" s="326"/>
      <c r="AY254" s="326"/>
      <c r="AZ254" s="326"/>
    </row>
    <row r="255" spans="1:52">
      <c r="A255" s="19"/>
      <c r="B255" s="191" t="str">
        <f>"Injection for single well built in Year "&amp;Cashflow!J$164</f>
        <v>Injection for single well built in Year 2024</v>
      </c>
      <c r="C255" s="563"/>
      <c r="D255" s="563"/>
      <c r="E255" s="563"/>
      <c r="F255" s="563"/>
      <c r="G255" s="563"/>
      <c r="H255" s="563"/>
      <c r="I255" s="563"/>
      <c r="J255" s="562">
        <f t="shared" ref="J255:AG255" si="51">IF($J$35=0,0,J221/$J$35)</f>
        <v>0</v>
      </c>
      <c r="K255" s="562">
        <f t="shared" si="51"/>
        <v>5.3939191485975591E-2</v>
      </c>
      <c r="L255" s="562">
        <f t="shared" ca="1" si="51"/>
        <v>4.6226166041752448E-2</v>
      </c>
      <c r="M255" s="562">
        <f t="shared" ca="1" si="51"/>
        <v>4.0092341930995187E-2</v>
      </c>
      <c r="N255" s="562">
        <f t="shared" ca="1" si="51"/>
        <v>3.550070845651495E-2</v>
      </c>
      <c r="O255" s="562">
        <f t="shared" ca="1" si="51"/>
        <v>3.163479768623411E-2</v>
      </c>
      <c r="P255" s="562">
        <f t="shared" ca="1" si="51"/>
        <v>6.9448209306272879E-2</v>
      </c>
      <c r="Q255" s="562">
        <f t="shared" ca="1" si="51"/>
        <v>5.6049012602369774E-2</v>
      </c>
      <c r="R255" s="562">
        <f t="shared" ca="1" si="51"/>
        <v>4.6984012488468174E-2</v>
      </c>
      <c r="S255" s="562">
        <f t="shared" ca="1" si="51"/>
        <v>4.0443022910458544E-2</v>
      </c>
      <c r="T255" s="562">
        <f t="shared" ca="1" si="51"/>
        <v>3.550070845651495E-2</v>
      </c>
      <c r="U255" s="562">
        <f t="shared" ca="1" si="51"/>
        <v>3.163479768623411E-2</v>
      </c>
      <c r="V255" s="562">
        <f t="shared" ca="1" si="51"/>
        <v>6.9448209306272879E-2</v>
      </c>
      <c r="W255" s="562">
        <f t="shared" ca="1" si="51"/>
        <v>5.6049012602369774E-2</v>
      </c>
      <c r="X255" s="562">
        <f t="shared" ca="1" si="51"/>
        <v>4.6984012488468174E-2</v>
      </c>
      <c r="Y255" s="562">
        <f t="shared" ca="1" si="51"/>
        <v>4.0443022910458544E-2</v>
      </c>
      <c r="Z255" s="562">
        <f t="shared" ca="1" si="51"/>
        <v>3.550070845651495E-2</v>
      </c>
      <c r="AA255" s="562">
        <f t="shared" ca="1" si="51"/>
        <v>3.163479768623411E-2</v>
      </c>
      <c r="AB255" s="562">
        <f t="shared" ca="1" si="51"/>
        <v>6.9448209306272879E-2</v>
      </c>
      <c r="AC255" s="562">
        <f t="shared" ca="1" si="51"/>
        <v>5.6049012602369774E-2</v>
      </c>
      <c r="AD255" s="562">
        <f t="shared" ca="1" si="51"/>
        <v>4.6984012488468174E-2</v>
      </c>
      <c r="AE255" s="562">
        <f t="shared" ca="1" si="51"/>
        <v>4.0443022910458544E-2</v>
      </c>
      <c r="AF255" s="562">
        <f t="shared" ca="1" si="51"/>
        <v>3.550070845651495E-2</v>
      </c>
      <c r="AG255" s="562">
        <f t="shared" ca="1" si="51"/>
        <v>3.163479768623411E-2</v>
      </c>
      <c r="AH255" s="19"/>
      <c r="AI255" s="19"/>
      <c r="AJ255" s="19"/>
      <c r="AK255" s="21"/>
      <c r="AL255" s="21"/>
      <c r="AM255" s="19"/>
      <c r="AN255" s="19"/>
      <c r="AO255" s="326"/>
      <c r="AP255" s="326"/>
      <c r="AQ255" s="326"/>
      <c r="AR255" s="326"/>
      <c r="AS255" s="326"/>
      <c r="AT255" s="326"/>
      <c r="AU255" s="326"/>
      <c r="AV255" s="326"/>
      <c r="AW255" s="326"/>
      <c r="AX255" s="326"/>
      <c r="AY255" s="326"/>
      <c r="AZ255" s="326"/>
    </row>
    <row r="256" spans="1:52">
      <c r="A256" s="19"/>
      <c r="B256" s="191" t="str">
        <f>"Injection for single well built in Year "&amp;Cashflow!K$164</f>
        <v>Injection for single well built in Year 2025</v>
      </c>
      <c r="C256" s="563"/>
      <c r="D256" s="563"/>
      <c r="E256" s="563"/>
      <c r="F256" s="563"/>
      <c r="G256" s="563"/>
      <c r="H256" s="563"/>
      <c r="I256" s="563"/>
      <c r="J256" s="563"/>
      <c r="K256" s="562">
        <f t="shared" ref="K256:AG256" si="52">IF($K$35=0,0,K222/$K$35)</f>
        <v>6.6237942543428616E-2</v>
      </c>
      <c r="L256" s="562">
        <f t="shared" ca="1" si="52"/>
        <v>5.4973866487186919E-2</v>
      </c>
      <c r="M256" s="562">
        <f t="shared" ca="1" si="52"/>
        <v>4.6511387613503846E-2</v>
      </c>
      <c r="N256" s="562">
        <f t="shared" ca="1" si="52"/>
        <v>4.0443022910458544E-2</v>
      </c>
      <c r="O256" s="562">
        <f t="shared" ca="1" si="52"/>
        <v>3.550070845651495E-2</v>
      </c>
      <c r="P256" s="562">
        <f t="shared" ca="1" si="52"/>
        <v>3.163479768623411E-2</v>
      </c>
      <c r="Q256" s="562">
        <f t="shared" ca="1" si="52"/>
        <v>6.9448209306272879E-2</v>
      </c>
      <c r="R256" s="562">
        <f t="shared" ca="1" si="52"/>
        <v>5.6049012602369774E-2</v>
      </c>
      <c r="S256" s="562">
        <f t="shared" ca="1" si="52"/>
        <v>4.6984012488468174E-2</v>
      </c>
      <c r="T256" s="562">
        <f t="shared" ca="1" si="52"/>
        <v>4.0443022910458544E-2</v>
      </c>
      <c r="U256" s="562">
        <f t="shared" ca="1" si="52"/>
        <v>3.550070845651495E-2</v>
      </c>
      <c r="V256" s="562">
        <f t="shared" ca="1" si="52"/>
        <v>3.163479768623411E-2</v>
      </c>
      <c r="W256" s="562">
        <f t="shared" ca="1" si="52"/>
        <v>6.9448209306272879E-2</v>
      </c>
      <c r="X256" s="562">
        <f t="shared" ca="1" si="52"/>
        <v>5.6049012602369774E-2</v>
      </c>
      <c r="Y256" s="562">
        <f t="shared" ca="1" si="52"/>
        <v>4.6984012488468174E-2</v>
      </c>
      <c r="Z256" s="562">
        <f t="shared" ca="1" si="52"/>
        <v>4.0443022910458544E-2</v>
      </c>
      <c r="AA256" s="562">
        <f t="shared" ca="1" si="52"/>
        <v>3.550070845651495E-2</v>
      </c>
      <c r="AB256" s="562">
        <f t="shared" ca="1" si="52"/>
        <v>3.163479768623411E-2</v>
      </c>
      <c r="AC256" s="562">
        <f t="shared" ca="1" si="52"/>
        <v>6.9448209306272879E-2</v>
      </c>
      <c r="AD256" s="562">
        <f t="shared" ca="1" si="52"/>
        <v>5.6049012602369774E-2</v>
      </c>
      <c r="AE256" s="562">
        <f t="shared" ca="1" si="52"/>
        <v>4.6984012488468174E-2</v>
      </c>
      <c r="AF256" s="562">
        <f t="shared" ca="1" si="52"/>
        <v>4.0443022910458544E-2</v>
      </c>
      <c r="AG256" s="562">
        <f t="shared" ca="1" si="52"/>
        <v>3.550070845651495E-2</v>
      </c>
      <c r="AH256" s="19"/>
      <c r="AI256" s="19"/>
      <c r="AJ256" s="19"/>
      <c r="AK256" s="21"/>
      <c r="AL256" s="21"/>
      <c r="AM256" s="19"/>
      <c r="AN256" s="19"/>
      <c r="AO256" s="326"/>
      <c r="AP256" s="326"/>
      <c r="AQ256" s="326"/>
      <c r="AR256" s="326"/>
      <c r="AS256" s="326"/>
      <c r="AT256" s="326"/>
      <c r="AU256" s="326"/>
      <c r="AV256" s="326"/>
      <c r="AW256" s="326"/>
      <c r="AX256" s="326"/>
      <c r="AY256" s="326"/>
      <c r="AZ256" s="326"/>
    </row>
    <row r="257" spans="1:52">
      <c r="A257" s="19"/>
      <c r="B257" s="191" t="str">
        <f>"Injection for single well built in Year "&amp;Cashflow!L$164</f>
        <v>Injection for single well built in Year 2026</v>
      </c>
      <c r="C257" s="563"/>
      <c r="D257" s="563"/>
      <c r="E257" s="563"/>
      <c r="F257" s="563"/>
      <c r="G257" s="563"/>
      <c r="H257" s="563"/>
      <c r="I257" s="563"/>
      <c r="J257" s="563"/>
      <c r="K257" s="563"/>
      <c r="L257" s="562">
        <f t="shared" ref="L257:AG257" ca="1" si="53">IF($L$35=0,0,L223/$L$35)</f>
        <v>6.7805099268618205E-2</v>
      </c>
      <c r="M257" s="562">
        <f t="shared" ca="1" si="53"/>
        <v>5.5377722517125506E-2</v>
      </c>
      <c r="N257" s="562">
        <f t="shared" ca="1" si="53"/>
        <v>4.6984012488468174E-2</v>
      </c>
      <c r="O257" s="562">
        <f t="shared" ca="1" si="53"/>
        <v>4.0443022910458544E-2</v>
      </c>
      <c r="P257" s="562">
        <f t="shared" ca="1" si="53"/>
        <v>3.550070845651495E-2</v>
      </c>
      <c r="Q257" s="562">
        <f t="shared" ca="1" si="53"/>
        <v>3.163479768623411E-2</v>
      </c>
      <c r="R257" s="562">
        <f t="shared" ca="1" si="53"/>
        <v>6.9448209306272879E-2</v>
      </c>
      <c r="S257" s="562">
        <f t="shared" ca="1" si="53"/>
        <v>5.6049012602369774E-2</v>
      </c>
      <c r="T257" s="562">
        <f t="shared" ca="1" si="53"/>
        <v>4.6984012488468174E-2</v>
      </c>
      <c r="U257" s="562">
        <f t="shared" ca="1" si="53"/>
        <v>4.0443022910458544E-2</v>
      </c>
      <c r="V257" s="562">
        <f t="shared" ca="1" si="53"/>
        <v>3.550070845651495E-2</v>
      </c>
      <c r="W257" s="562">
        <f t="shared" ca="1" si="53"/>
        <v>3.163479768623411E-2</v>
      </c>
      <c r="X257" s="562">
        <f t="shared" ca="1" si="53"/>
        <v>6.9448209306272879E-2</v>
      </c>
      <c r="Y257" s="562">
        <f t="shared" ca="1" si="53"/>
        <v>5.6049012602369774E-2</v>
      </c>
      <c r="Z257" s="562">
        <f t="shared" ca="1" si="53"/>
        <v>4.6984012488468174E-2</v>
      </c>
      <c r="AA257" s="562">
        <f t="shared" ca="1" si="53"/>
        <v>4.0443022910458544E-2</v>
      </c>
      <c r="AB257" s="562">
        <f t="shared" ca="1" si="53"/>
        <v>3.550070845651495E-2</v>
      </c>
      <c r="AC257" s="562">
        <f t="shared" ca="1" si="53"/>
        <v>3.163479768623411E-2</v>
      </c>
      <c r="AD257" s="562">
        <f t="shared" ca="1" si="53"/>
        <v>6.9448209306272879E-2</v>
      </c>
      <c r="AE257" s="562">
        <f t="shared" ca="1" si="53"/>
        <v>5.6049012602369774E-2</v>
      </c>
      <c r="AF257" s="562">
        <f t="shared" ca="1" si="53"/>
        <v>4.6984012488468174E-2</v>
      </c>
      <c r="AG257" s="562">
        <f t="shared" ca="1" si="53"/>
        <v>4.0443022910458544E-2</v>
      </c>
      <c r="AH257" s="19"/>
      <c r="AI257" s="19"/>
      <c r="AJ257" s="19"/>
      <c r="AK257" s="21"/>
      <c r="AL257" s="21"/>
      <c r="AM257" s="19"/>
      <c r="AN257" s="19"/>
      <c r="AO257" s="326"/>
      <c r="AP257" s="326"/>
      <c r="AQ257" s="326"/>
      <c r="AR257" s="326"/>
      <c r="AS257" s="326"/>
      <c r="AT257" s="326"/>
      <c r="AU257" s="326"/>
      <c r="AV257" s="326"/>
      <c r="AW257" s="326"/>
      <c r="AX257" s="326"/>
      <c r="AY257" s="326"/>
      <c r="AZ257" s="326"/>
    </row>
    <row r="258" spans="1:52">
      <c r="A258" s="19"/>
      <c r="B258" s="191" t="str">
        <f>"Injection for single well built in Year "&amp;Cashflow!M$164</f>
        <v>Injection for single well built in Year 2027</v>
      </c>
      <c r="C258" s="563"/>
      <c r="D258" s="563"/>
      <c r="E258" s="563"/>
      <c r="F258" s="563"/>
      <c r="G258" s="563"/>
      <c r="H258" s="563"/>
      <c r="I258" s="563"/>
      <c r="J258" s="563"/>
      <c r="K258" s="563"/>
      <c r="L258" s="563"/>
      <c r="M258" s="562">
        <f t="shared" ref="M258:AG258" ca="1" si="54">IF($M$35=0,0,M224/$M$35)</f>
        <v>6.8420536876308849E-2</v>
      </c>
      <c r="N258" s="562">
        <f t="shared" ca="1" si="54"/>
        <v>5.6049012602369774E-2</v>
      </c>
      <c r="O258" s="562">
        <f t="shared" ca="1" si="54"/>
        <v>4.6984012488468174E-2</v>
      </c>
      <c r="P258" s="562">
        <f t="shared" ca="1" si="54"/>
        <v>4.0443022910458544E-2</v>
      </c>
      <c r="Q258" s="562">
        <f t="shared" ca="1" si="54"/>
        <v>3.550070845651495E-2</v>
      </c>
      <c r="R258" s="562">
        <f t="shared" ca="1" si="54"/>
        <v>3.163479768623411E-2</v>
      </c>
      <c r="S258" s="562">
        <f t="shared" ca="1" si="54"/>
        <v>6.9448209306272879E-2</v>
      </c>
      <c r="T258" s="562">
        <f t="shared" ca="1" si="54"/>
        <v>5.6049012602369774E-2</v>
      </c>
      <c r="U258" s="562">
        <f t="shared" ca="1" si="54"/>
        <v>4.6984012488468174E-2</v>
      </c>
      <c r="V258" s="562">
        <f t="shared" ca="1" si="54"/>
        <v>4.0443022910458544E-2</v>
      </c>
      <c r="W258" s="562">
        <f t="shared" ca="1" si="54"/>
        <v>3.550070845651495E-2</v>
      </c>
      <c r="X258" s="562">
        <f t="shared" ca="1" si="54"/>
        <v>3.163479768623411E-2</v>
      </c>
      <c r="Y258" s="562">
        <f t="shared" ca="1" si="54"/>
        <v>6.9448209306272879E-2</v>
      </c>
      <c r="Z258" s="562">
        <f t="shared" ca="1" si="54"/>
        <v>5.6049012602369774E-2</v>
      </c>
      <c r="AA258" s="562">
        <f t="shared" ca="1" si="54"/>
        <v>4.6984012488468174E-2</v>
      </c>
      <c r="AB258" s="562">
        <f t="shared" ca="1" si="54"/>
        <v>4.0443022910458544E-2</v>
      </c>
      <c r="AC258" s="562">
        <f t="shared" ca="1" si="54"/>
        <v>3.550070845651495E-2</v>
      </c>
      <c r="AD258" s="562">
        <f t="shared" ca="1" si="54"/>
        <v>3.163479768623411E-2</v>
      </c>
      <c r="AE258" s="562">
        <f t="shared" ca="1" si="54"/>
        <v>6.9448209306272879E-2</v>
      </c>
      <c r="AF258" s="562">
        <f t="shared" ca="1" si="54"/>
        <v>5.6049012602369774E-2</v>
      </c>
      <c r="AG258" s="562">
        <f t="shared" ca="1" si="54"/>
        <v>4.6984012488468174E-2</v>
      </c>
      <c r="AH258" s="19"/>
      <c r="AI258" s="19"/>
      <c r="AJ258" s="19"/>
      <c r="AK258" s="21"/>
      <c r="AL258" s="21"/>
      <c r="AM258" s="19"/>
      <c r="AN258" s="19"/>
      <c r="AO258" s="326"/>
      <c r="AP258" s="326"/>
      <c r="AQ258" s="326"/>
      <c r="AR258" s="326"/>
      <c r="AS258" s="326"/>
      <c r="AT258" s="326"/>
      <c r="AU258" s="326"/>
      <c r="AV258" s="326"/>
      <c r="AW258" s="326"/>
      <c r="AX258" s="326"/>
      <c r="AY258" s="326"/>
      <c r="AZ258" s="326"/>
    </row>
    <row r="259" spans="1:52">
      <c r="A259" s="19"/>
      <c r="B259" s="191" t="str">
        <f>"Injection for single well built in Year "&amp;Cashflow!N$164</f>
        <v>Injection for single well built in Year 2028</v>
      </c>
      <c r="C259" s="563"/>
      <c r="D259" s="563"/>
      <c r="E259" s="563"/>
      <c r="F259" s="563"/>
      <c r="G259" s="563"/>
      <c r="H259" s="563"/>
      <c r="I259" s="563"/>
      <c r="J259" s="563"/>
      <c r="K259" s="563"/>
      <c r="L259" s="563"/>
      <c r="M259" s="563"/>
      <c r="N259" s="562">
        <f t="shared" ref="N259:AG259" ca="1" si="55">IF($N$35=0,0,N225/$N$35)</f>
        <v>6.9448209306272879E-2</v>
      </c>
      <c r="O259" s="562">
        <f t="shared" ca="1" si="55"/>
        <v>5.6049012602369774E-2</v>
      </c>
      <c r="P259" s="562">
        <f t="shared" ca="1" si="55"/>
        <v>4.6984012488468174E-2</v>
      </c>
      <c r="Q259" s="562">
        <f t="shared" ca="1" si="55"/>
        <v>4.0443022910458544E-2</v>
      </c>
      <c r="R259" s="562">
        <f t="shared" ca="1" si="55"/>
        <v>3.550070845651495E-2</v>
      </c>
      <c r="S259" s="562">
        <f t="shared" ca="1" si="55"/>
        <v>3.163479768623411E-2</v>
      </c>
      <c r="T259" s="562">
        <f t="shared" ca="1" si="55"/>
        <v>6.9448209306272879E-2</v>
      </c>
      <c r="U259" s="562">
        <f t="shared" ca="1" si="55"/>
        <v>5.6049012602369774E-2</v>
      </c>
      <c r="V259" s="562">
        <f t="shared" ca="1" si="55"/>
        <v>4.6984012488468174E-2</v>
      </c>
      <c r="W259" s="562">
        <f t="shared" ca="1" si="55"/>
        <v>4.0443022910458544E-2</v>
      </c>
      <c r="X259" s="562">
        <f t="shared" ca="1" si="55"/>
        <v>3.550070845651495E-2</v>
      </c>
      <c r="Y259" s="562">
        <f t="shared" ca="1" si="55"/>
        <v>3.163479768623411E-2</v>
      </c>
      <c r="Z259" s="562">
        <f t="shared" ca="1" si="55"/>
        <v>6.9448209306272879E-2</v>
      </c>
      <c r="AA259" s="562">
        <f t="shared" ca="1" si="55"/>
        <v>5.6049012602369774E-2</v>
      </c>
      <c r="AB259" s="562">
        <f t="shared" ca="1" si="55"/>
        <v>4.6984012488468174E-2</v>
      </c>
      <c r="AC259" s="562">
        <f t="shared" ca="1" si="55"/>
        <v>4.0443022910458544E-2</v>
      </c>
      <c r="AD259" s="562">
        <f t="shared" ca="1" si="55"/>
        <v>3.550070845651495E-2</v>
      </c>
      <c r="AE259" s="562">
        <f t="shared" ca="1" si="55"/>
        <v>3.163479768623411E-2</v>
      </c>
      <c r="AF259" s="562">
        <f t="shared" ca="1" si="55"/>
        <v>6.9448209306272879E-2</v>
      </c>
      <c r="AG259" s="562">
        <f t="shared" ca="1" si="55"/>
        <v>5.6049012602369774E-2</v>
      </c>
      <c r="AH259" s="19"/>
      <c r="AI259" s="19"/>
      <c r="AJ259" s="19"/>
      <c r="AK259" s="21"/>
      <c r="AL259" s="21"/>
      <c r="AM259" s="19"/>
      <c r="AN259" s="19"/>
      <c r="AO259" s="326"/>
      <c r="AP259" s="326"/>
      <c r="AQ259" s="326"/>
      <c r="AR259" s="326"/>
      <c r="AS259" s="326"/>
      <c r="AT259" s="326"/>
      <c r="AU259" s="326"/>
      <c r="AV259" s="326"/>
      <c r="AW259" s="326"/>
      <c r="AX259" s="326"/>
      <c r="AY259" s="326"/>
      <c r="AZ259" s="326"/>
    </row>
    <row r="260" spans="1:52">
      <c r="A260" s="19"/>
      <c r="B260" s="191" t="str">
        <f>"Injection for single well built in Year "&amp;Cashflow!O$164</f>
        <v>Injection for single well built in Year 2029</v>
      </c>
      <c r="C260" s="563"/>
      <c r="D260" s="563"/>
      <c r="E260" s="563"/>
      <c r="F260" s="563"/>
      <c r="G260" s="563"/>
      <c r="H260" s="563"/>
      <c r="I260" s="563"/>
      <c r="J260" s="563"/>
      <c r="K260" s="563"/>
      <c r="L260" s="563"/>
      <c r="M260" s="563"/>
      <c r="N260" s="563"/>
      <c r="O260" s="562">
        <f t="shared" ref="O260:AG260" ca="1" si="56">IF($O$35=0,0,O226/$O$35)</f>
        <v>0</v>
      </c>
      <c r="P260" s="562">
        <f t="shared" ca="1" si="56"/>
        <v>0</v>
      </c>
      <c r="Q260" s="562">
        <f t="shared" ca="1" si="56"/>
        <v>0</v>
      </c>
      <c r="R260" s="562">
        <f t="shared" ca="1" si="56"/>
        <v>0</v>
      </c>
      <c r="S260" s="562">
        <f t="shared" ca="1" si="56"/>
        <v>0</v>
      </c>
      <c r="T260" s="562">
        <f t="shared" ca="1" si="56"/>
        <v>0</v>
      </c>
      <c r="U260" s="562">
        <f t="shared" ca="1" si="56"/>
        <v>0</v>
      </c>
      <c r="V260" s="562">
        <f t="shared" ca="1" si="56"/>
        <v>0</v>
      </c>
      <c r="W260" s="562">
        <f t="shared" ca="1" si="56"/>
        <v>0</v>
      </c>
      <c r="X260" s="562">
        <f t="shared" ca="1" si="56"/>
        <v>0</v>
      </c>
      <c r="Y260" s="562">
        <f t="shared" ca="1" si="56"/>
        <v>0</v>
      </c>
      <c r="Z260" s="562">
        <f t="shared" ca="1" si="56"/>
        <v>0</v>
      </c>
      <c r="AA260" s="562">
        <f t="shared" ca="1" si="56"/>
        <v>0</v>
      </c>
      <c r="AB260" s="562">
        <f t="shared" ca="1" si="56"/>
        <v>0</v>
      </c>
      <c r="AC260" s="562">
        <f t="shared" ca="1" si="56"/>
        <v>0</v>
      </c>
      <c r="AD260" s="562">
        <f t="shared" ca="1" si="56"/>
        <v>0</v>
      </c>
      <c r="AE260" s="562">
        <f t="shared" ca="1" si="56"/>
        <v>0</v>
      </c>
      <c r="AF260" s="562">
        <f t="shared" ca="1" si="56"/>
        <v>0</v>
      </c>
      <c r="AG260" s="562">
        <f t="shared" ca="1" si="56"/>
        <v>0</v>
      </c>
      <c r="AH260" s="19"/>
      <c r="AI260" s="19"/>
      <c r="AJ260" s="19"/>
      <c r="AK260" s="21"/>
      <c r="AL260" s="21"/>
      <c r="AM260" s="19"/>
      <c r="AN260" s="19"/>
      <c r="AO260" s="326"/>
      <c r="AP260" s="326"/>
      <c r="AQ260" s="326"/>
      <c r="AR260" s="326"/>
      <c r="AS260" s="326"/>
      <c r="AT260" s="326"/>
      <c r="AU260" s="326"/>
      <c r="AV260" s="326"/>
      <c r="AW260" s="326"/>
      <c r="AX260" s="326"/>
      <c r="AY260" s="326"/>
      <c r="AZ260" s="326"/>
    </row>
    <row r="261" spans="1:52">
      <c r="A261" s="19"/>
      <c r="B261" s="191" t="str">
        <f>"Injection for single well built in Year "&amp;Cashflow!P$164</f>
        <v>Injection for single well built in Year 2030</v>
      </c>
      <c r="C261" s="563"/>
      <c r="D261" s="563"/>
      <c r="E261" s="563"/>
      <c r="F261" s="563"/>
      <c r="G261" s="563"/>
      <c r="H261" s="563"/>
      <c r="I261" s="563"/>
      <c r="J261" s="563"/>
      <c r="K261" s="563"/>
      <c r="L261" s="563"/>
      <c r="M261" s="563"/>
      <c r="N261" s="563"/>
      <c r="O261" s="563"/>
      <c r="P261" s="562">
        <f t="shared" ref="P261:AG261" ca="1" si="57">IF($P$35=0,0,P227/$P$35)</f>
        <v>0</v>
      </c>
      <c r="Q261" s="562">
        <f t="shared" ca="1" si="57"/>
        <v>0</v>
      </c>
      <c r="R261" s="562">
        <f t="shared" ca="1" si="57"/>
        <v>0</v>
      </c>
      <c r="S261" s="562">
        <f t="shared" ca="1" si="57"/>
        <v>0</v>
      </c>
      <c r="T261" s="562">
        <f t="shared" ca="1" si="57"/>
        <v>0</v>
      </c>
      <c r="U261" s="562">
        <f t="shared" ca="1" si="57"/>
        <v>0</v>
      </c>
      <c r="V261" s="562">
        <f t="shared" ca="1" si="57"/>
        <v>0</v>
      </c>
      <c r="W261" s="562">
        <f t="shared" ca="1" si="57"/>
        <v>0</v>
      </c>
      <c r="X261" s="562">
        <f t="shared" ca="1" si="57"/>
        <v>0</v>
      </c>
      <c r="Y261" s="562">
        <f t="shared" ca="1" si="57"/>
        <v>0</v>
      </c>
      <c r="Z261" s="562">
        <f t="shared" ca="1" si="57"/>
        <v>0</v>
      </c>
      <c r="AA261" s="562">
        <f t="shared" ca="1" si="57"/>
        <v>0</v>
      </c>
      <c r="AB261" s="562">
        <f t="shared" ca="1" si="57"/>
        <v>0</v>
      </c>
      <c r="AC261" s="562">
        <f t="shared" ca="1" si="57"/>
        <v>0</v>
      </c>
      <c r="AD261" s="562">
        <f t="shared" ca="1" si="57"/>
        <v>0</v>
      </c>
      <c r="AE261" s="562">
        <f t="shared" ca="1" si="57"/>
        <v>0</v>
      </c>
      <c r="AF261" s="562">
        <f t="shared" ca="1" si="57"/>
        <v>0</v>
      </c>
      <c r="AG261" s="562">
        <f t="shared" ca="1" si="57"/>
        <v>0</v>
      </c>
      <c r="AH261" s="19"/>
      <c r="AI261" s="19"/>
      <c r="AJ261" s="19"/>
      <c r="AK261" s="21"/>
      <c r="AL261" s="21"/>
      <c r="AM261" s="19"/>
      <c r="AN261" s="19"/>
      <c r="AO261" s="326"/>
      <c r="AP261" s="326"/>
      <c r="AQ261" s="326"/>
      <c r="AR261" s="326"/>
      <c r="AS261" s="326"/>
      <c r="AT261" s="326"/>
      <c r="AU261" s="326"/>
      <c r="AV261" s="326"/>
      <c r="AW261" s="326"/>
      <c r="AX261" s="326"/>
      <c r="AY261" s="326"/>
      <c r="AZ261" s="326"/>
    </row>
    <row r="262" spans="1:52">
      <c r="A262" s="19"/>
      <c r="B262" s="191" t="str">
        <f>"Injection for single well built in Year "&amp;Cashflow!Q$164</f>
        <v>Injection for single well built in Year 2031</v>
      </c>
      <c r="C262" s="563"/>
      <c r="D262" s="563"/>
      <c r="E262" s="563"/>
      <c r="F262" s="563"/>
      <c r="G262" s="563"/>
      <c r="H262" s="563"/>
      <c r="I262" s="563"/>
      <c r="J262" s="563"/>
      <c r="K262" s="563"/>
      <c r="L262" s="563"/>
      <c r="M262" s="563"/>
      <c r="N262" s="563"/>
      <c r="O262" s="563"/>
      <c r="P262" s="563"/>
      <c r="Q262" s="562">
        <f t="shared" ref="Q262:AG262" ca="1" si="58">IF($Q$35=0,0,Q228/$Q$35)</f>
        <v>0</v>
      </c>
      <c r="R262" s="562">
        <f t="shared" ca="1" si="58"/>
        <v>0</v>
      </c>
      <c r="S262" s="562">
        <f t="shared" ca="1" si="58"/>
        <v>0</v>
      </c>
      <c r="T262" s="562">
        <f t="shared" ca="1" si="58"/>
        <v>0</v>
      </c>
      <c r="U262" s="562">
        <f t="shared" ca="1" si="58"/>
        <v>0</v>
      </c>
      <c r="V262" s="562">
        <f t="shared" ca="1" si="58"/>
        <v>0</v>
      </c>
      <c r="W262" s="562">
        <f t="shared" ca="1" si="58"/>
        <v>0</v>
      </c>
      <c r="X262" s="562">
        <f t="shared" ca="1" si="58"/>
        <v>0</v>
      </c>
      <c r="Y262" s="562">
        <f t="shared" ca="1" si="58"/>
        <v>0</v>
      </c>
      <c r="Z262" s="562">
        <f t="shared" ca="1" si="58"/>
        <v>0</v>
      </c>
      <c r="AA262" s="562">
        <f t="shared" ca="1" si="58"/>
        <v>0</v>
      </c>
      <c r="AB262" s="562">
        <f t="shared" ca="1" si="58"/>
        <v>0</v>
      </c>
      <c r="AC262" s="562">
        <f t="shared" ca="1" si="58"/>
        <v>0</v>
      </c>
      <c r="AD262" s="562">
        <f t="shared" ca="1" si="58"/>
        <v>0</v>
      </c>
      <c r="AE262" s="562">
        <f t="shared" ca="1" si="58"/>
        <v>0</v>
      </c>
      <c r="AF262" s="562">
        <f t="shared" ca="1" si="58"/>
        <v>0</v>
      </c>
      <c r="AG262" s="562">
        <f t="shared" ca="1" si="58"/>
        <v>0</v>
      </c>
      <c r="AH262" s="19"/>
      <c r="AI262" s="19"/>
      <c r="AJ262" s="19"/>
      <c r="AK262" s="21"/>
      <c r="AL262" s="21"/>
      <c r="AM262" s="19"/>
      <c r="AN262" s="19"/>
      <c r="AO262" s="326"/>
      <c r="AP262" s="326"/>
      <c r="AQ262" s="326"/>
      <c r="AR262" s="326"/>
      <c r="AS262" s="326"/>
      <c r="AT262" s="326"/>
      <c r="AU262" s="326"/>
      <c r="AV262" s="326"/>
      <c r="AW262" s="326"/>
      <c r="AX262" s="326"/>
      <c r="AY262" s="326"/>
      <c r="AZ262" s="326"/>
    </row>
    <row r="263" spans="1:52">
      <c r="A263" s="19"/>
      <c r="B263" s="191" t="str">
        <f>"Injection for single well built in Year "&amp;Cashflow!R$164</f>
        <v>Injection for single well built in Year 2032</v>
      </c>
      <c r="C263" s="563"/>
      <c r="D263" s="563"/>
      <c r="E263" s="563"/>
      <c r="F263" s="563"/>
      <c r="G263" s="563"/>
      <c r="H263" s="563"/>
      <c r="I263" s="563"/>
      <c r="J263" s="563"/>
      <c r="K263" s="563"/>
      <c r="L263" s="563"/>
      <c r="M263" s="563"/>
      <c r="N263" s="563"/>
      <c r="O263" s="563"/>
      <c r="P263" s="563"/>
      <c r="Q263" s="563"/>
      <c r="R263" s="562">
        <f t="shared" ref="R263:AG263" ca="1" si="59">IF($R$35=0,0,R229/$R$35)</f>
        <v>0</v>
      </c>
      <c r="S263" s="562">
        <f t="shared" ca="1" si="59"/>
        <v>0</v>
      </c>
      <c r="T263" s="562">
        <f t="shared" ca="1" si="59"/>
        <v>0</v>
      </c>
      <c r="U263" s="562">
        <f t="shared" ca="1" si="59"/>
        <v>0</v>
      </c>
      <c r="V263" s="562">
        <f t="shared" ca="1" si="59"/>
        <v>0</v>
      </c>
      <c r="W263" s="562">
        <f t="shared" ca="1" si="59"/>
        <v>0</v>
      </c>
      <c r="X263" s="562">
        <f t="shared" ca="1" si="59"/>
        <v>0</v>
      </c>
      <c r="Y263" s="562">
        <f t="shared" ca="1" si="59"/>
        <v>0</v>
      </c>
      <c r="Z263" s="562">
        <f t="shared" ca="1" si="59"/>
        <v>0</v>
      </c>
      <c r="AA263" s="562">
        <f t="shared" ca="1" si="59"/>
        <v>0</v>
      </c>
      <c r="AB263" s="562">
        <f t="shared" ca="1" si="59"/>
        <v>0</v>
      </c>
      <c r="AC263" s="562">
        <f t="shared" ca="1" si="59"/>
        <v>0</v>
      </c>
      <c r="AD263" s="562">
        <f t="shared" ca="1" si="59"/>
        <v>0</v>
      </c>
      <c r="AE263" s="562">
        <f t="shared" ca="1" si="59"/>
        <v>0</v>
      </c>
      <c r="AF263" s="562">
        <f t="shared" ca="1" si="59"/>
        <v>0</v>
      </c>
      <c r="AG263" s="562">
        <f t="shared" ca="1" si="59"/>
        <v>0</v>
      </c>
      <c r="AH263" s="19"/>
      <c r="AI263" s="19"/>
      <c r="AJ263" s="19"/>
      <c r="AK263" s="21"/>
      <c r="AL263" s="21"/>
      <c r="AM263" s="19"/>
      <c r="AN263" s="19"/>
      <c r="AO263" s="326"/>
      <c r="AP263" s="326"/>
      <c r="AQ263" s="326"/>
      <c r="AR263" s="326"/>
      <c r="AS263" s="326"/>
      <c r="AT263" s="326"/>
      <c r="AU263" s="326"/>
      <c r="AV263" s="326"/>
      <c r="AW263" s="326"/>
      <c r="AX263" s="326"/>
      <c r="AY263" s="326"/>
      <c r="AZ263" s="326"/>
    </row>
    <row r="264" spans="1:52">
      <c r="A264" s="19"/>
      <c r="B264" s="191" t="str">
        <f>"Injection for single well built in Year "&amp;Cashflow!S$164</f>
        <v>Injection for single well built in Year 2033</v>
      </c>
      <c r="C264" s="563"/>
      <c r="D264" s="563"/>
      <c r="E264" s="563"/>
      <c r="F264" s="563"/>
      <c r="G264" s="563"/>
      <c r="H264" s="563"/>
      <c r="I264" s="563"/>
      <c r="J264" s="563"/>
      <c r="K264" s="563"/>
      <c r="L264" s="563"/>
      <c r="M264" s="563"/>
      <c r="N264" s="563"/>
      <c r="O264" s="563"/>
      <c r="P264" s="563"/>
      <c r="Q264" s="563"/>
      <c r="R264" s="563"/>
      <c r="S264" s="562">
        <f t="shared" ref="S264:AG264" ca="1" si="60">IF($S$35=0,0,S230/$S$35)</f>
        <v>0</v>
      </c>
      <c r="T264" s="562">
        <f t="shared" ca="1" si="60"/>
        <v>0</v>
      </c>
      <c r="U264" s="562">
        <f t="shared" ca="1" si="60"/>
        <v>0</v>
      </c>
      <c r="V264" s="562">
        <f t="shared" ca="1" si="60"/>
        <v>0</v>
      </c>
      <c r="W264" s="562">
        <f t="shared" ca="1" si="60"/>
        <v>0</v>
      </c>
      <c r="X264" s="562">
        <f t="shared" ca="1" si="60"/>
        <v>0</v>
      </c>
      <c r="Y264" s="562">
        <f t="shared" ca="1" si="60"/>
        <v>0</v>
      </c>
      <c r="Z264" s="562">
        <f t="shared" ca="1" si="60"/>
        <v>0</v>
      </c>
      <c r="AA264" s="562">
        <f t="shared" ca="1" si="60"/>
        <v>0</v>
      </c>
      <c r="AB264" s="562">
        <f t="shared" ca="1" si="60"/>
        <v>0</v>
      </c>
      <c r="AC264" s="562">
        <f t="shared" ca="1" si="60"/>
        <v>0</v>
      </c>
      <c r="AD264" s="562">
        <f t="shared" ca="1" si="60"/>
        <v>0</v>
      </c>
      <c r="AE264" s="562">
        <f t="shared" ca="1" si="60"/>
        <v>0</v>
      </c>
      <c r="AF264" s="562">
        <f t="shared" ca="1" si="60"/>
        <v>0</v>
      </c>
      <c r="AG264" s="562">
        <f t="shared" ca="1" si="60"/>
        <v>0</v>
      </c>
      <c r="AH264" s="19"/>
      <c r="AI264" s="19"/>
      <c r="AJ264" s="19"/>
      <c r="AK264" s="21"/>
      <c r="AL264" s="21"/>
      <c r="AM264" s="19"/>
      <c r="AN264" s="19"/>
      <c r="AO264" s="326"/>
      <c r="AP264" s="326"/>
      <c r="AQ264" s="326"/>
      <c r="AR264" s="326"/>
      <c r="AS264" s="326"/>
      <c r="AT264" s="326"/>
      <c r="AU264" s="326"/>
      <c r="AV264" s="326"/>
      <c r="AW264" s="326"/>
      <c r="AX264" s="326"/>
      <c r="AY264" s="326"/>
      <c r="AZ264" s="326"/>
    </row>
    <row r="265" spans="1:52">
      <c r="A265" s="19"/>
      <c r="B265" s="191" t="str">
        <f>"Injection for single well built in Year "&amp;Cashflow!T$164</f>
        <v>Injection for single well built in Year 2034</v>
      </c>
      <c r="C265" s="563"/>
      <c r="D265" s="563"/>
      <c r="E265" s="563"/>
      <c r="F265" s="563"/>
      <c r="G265" s="563"/>
      <c r="H265" s="563"/>
      <c r="I265" s="563"/>
      <c r="J265" s="563"/>
      <c r="K265" s="563"/>
      <c r="L265" s="563"/>
      <c r="M265" s="563"/>
      <c r="N265" s="563"/>
      <c r="O265" s="563"/>
      <c r="P265" s="563"/>
      <c r="Q265" s="563"/>
      <c r="R265" s="563"/>
      <c r="S265" s="563"/>
      <c r="T265" s="562">
        <f t="shared" ref="T265:AG265" ca="1" si="61">IF($T$35=0,0,T231/$T$35)</f>
        <v>0</v>
      </c>
      <c r="U265" s="562">
        <f t="shared" ca="1" si="61"/>
        <v>0</v>
      </c>
      <c r="V265" s="562">
        <f t="shared" ca="1" si="61"/>
        <v>0</v>
      </c>
      <c r="W265" s="562">
        <f t="shared" ca="1" si="61"/>
        <v>0</v>
      </c>
      <c r="X265" s="562">
        <f t="shared" ca="1" si="61"/>
        <v>0</v>
      </c>
      <c r="Y265" s="562">
        <f t="shared" ca="1" si="61"/>
        <v>0</v>
      </c>
      <c r="Z265" s="562">
        <f t="shared" ca="1" si="61"/>
        <v>0</v>
      </c>
      <c r="AA265" s="562">
        <f t="shared" ca="1" si="61"/>
        <v>0</v>
      </c>
      <c r="AB265" s="562">
        <f t="shared" ca="1" si="61"/>
        <v>0</v>
      </c>
      <c r="AC265" s="562">
        <f t="shared" ca="1" si="61"/>
        <v>0</v>
      </c>
      <c r="AD265" s="562">
        <f t="shared" ca="1" si="61"/>
        <v>0</v>
      </c>
      <c r="AE265" s="562">
        <f t="shared" ca="1" si="61"/>
        <v>0</v>
      </c>
      <c r="AF265" s="562">
        <f t="shared" ca="1" si="61"/>
        <v>0</v>
      </c>
      <c r="AG265" s="562">
        <f t="shared" ca="1" si="61"/>
        <v>0</v>
      </c>
      <c r="AH265" s="19"/>
      <c r="AI265" s="19"/>
      <c r="AJ265" s="19"/>
      <c r="AK265" s="21"/>
      <c r="AL265" s="21"/>
      <c r="AM265" s="19"/>
      <c r="AN265" s="19"/>
      <c r="AO265" s="326"/>
      <c r="AP265" s="326"/>
      <c r="AQ265" s="326"/>
      <c r="AR265" s="326"/>
      <c r="AS265" s="326"/>
      <c r="AT265" s="326"/>
      <c r="AU265" s="326"/>
      <c r="AV265" s="326"/>
      <c r="AW265" s="326"/>
      <c r="AX265" s="326"/>
      <c r="AY265" s="326"/>
      <c r="AZ265" s="326"/>
    </row>
    <row r="266" spans="1:52">
      <c r="A266" s="19"/>
      <c r="B266" s="191" t="str">
        <f>"Injection for single well built in Year "&amp;Cashflow!U$164</f>
        <v>Injection for single well built in Year 2035</v>
      </c>
      <c r="C266" s="563"/>
      <c r="D266" s="563"/>
      <c r="E266" s="563"/>
      <c r="F266" s="563"/>
      <c r="G266" s="563"/>
      <c r="H266" s="563"/>
      <c r="I266" s="563"/>
      <c r="J266" s="563"/>
      <c r="K266" s="563"/>
      <c r="L266" s="563"/>
      <c r="M266" s="563"/>
      <c r="N266" s="563"/>
      <c r="O266" s="563"/>
      <c r="P266" s="563"/>
      <c r="Q266" s="563"/>
      <c r="R266" s="563"/>
      <c r="S266" s="563"/>
      <c r="T266" s="563"/>
      <c r="U266" s="562">
        <f t="shared" ref="U266:AG266" ca="1" si="62">IF($U$35=0,0,U232/$U$35)</f>
        <v>0</v>
      </c>
      <c r="V266" s="562">
        <f t="shared" ca="1" si="62"/>
        <v>0</v>
      </c>
      <c r="W266" s="562">
        <f t="shared" ca="1" si="62"/>
        <v>0</v>
      </c>
      <c r="X266" s="562">
        <f t="shared" ca="1" si="62"/>
        <v>0</v>
      </c>
      <c r="Y266" s="562">
        <f t="shared" ca="1" si="62"/>
        <v>0</v>
      </c>
      <c r="Z266" s="562">
        <f t="shared" ca="1" si="62"/>
        <v>0</v>
      </c>
      <c r="AA266" s="562">
        <f t="shared" ca="1" si="62"/>
        <v>0</v>
      </c>
      <c r="AB266" s="562">
        <f t="shared" ca="1" si="62"/>
        <v>0</v>
      </c>
      <c r="AC266" s="562">
        <f t="shared" ca="1" si="62"/>
        <v>0</v>
      </c>
      <c r="AD266" s="562">
        <f t="shared" ca="1" si="62"/>
        <v>0</v>
      </c>
      <c r="AE266" s="562">
        <f t="shared" ca="1" si="62"/>
        <v>0</v>
      </c>
      <c r="AF266" s="562">
        <f t="shared" ca="1" si="62"/>
        <v>0</v>
      </c>
      <c r="AG266" s="562">
        <f t="shared" ca="1" si="62"/>
        <v>0</v>
      </c>
      <c r="AH266" s="19"/>
      <c r="AI266" s="19"/>
      <c r="AJ266" s="19"/>
      <c r="AK266" s="21"/>
      <c r="AL266" s="21"/>
      <c r="AM266" s="19"/>
      <c r="AN266" s="19"/>
      <c r="AO266" s="326"/>
      <c r="AP266" s="326"/>
      <c r="AQ266" s="326"/>
      <c r="AR266" s="326"/>
      <c r="AS266" s="326"/>
      <c r="AT266" s="326"/>
      <c r="AU266" s="326"/>
      <c r="AV266" s="326"/>
      <c r="AW266" s="326"/>
      <c r="AX266" s="326"/>
      <c r="AY266" s="326"/>
      <c r="AZ266" s="326"/>
    </row>
    <row r="267" spans="1:52">
      <c r="A267" s="19"/>
      <c r="B267" s="191" t="str">
        <f>"Injection for single well built in Year "&amp;Cashflow!V$164</f>
        <v>Injection for single well built in Year 2036</v>
      </c>
      <c r="C267" s="563"/>
      <c r="D267" s="563"/>
      <c r="E267" s="563"/>
      <c r="F267" s="563"/>
      <c r="G267" s="563"/>
      <c r="H267" s="563"/>
      <c r="I267" s="563"/>
      <c r="J267" s="563"/>
      <c r="K267" s="563"/>
      <c r="L267" s="563"/>
      <c r="M267" s="563"/>
      <c r="N267" s="563"/>
      <c r="O267" s="563"/>
      <c r="P267" s="563"/>
      <c r="Q267" s="563"/>
      <c r="R267" s="563"/>
      <c r="S267" s="563"/>
      <c r="T267" s="563"/>
      <c r="U267" s="563"/>
      <c r="V267" s="562">
        <f t="shared" ref="V267:AG267" ca="1" si="63">IF($V$35=0,0,V233/$V$35)</f>
        <v>0</v>
      </c>
      <c r="W267" s="562">
        <f t="shared" ca="1" si="63"/>
        <v>0</v>
      </c>
      <c r="X267" s="562">
        <f t="shared" ca="1" si="63"/>
        <v>0</v>
      </c>
      <c r="Y267" s="562">
        <f t="shared" ca="1" si="63"/>
        <v>0</v>
      </c>
      <c r="Z267" s="562">
        <f t="shared" ca="1" si="63"/>
        <v>0</v>
      </c>
      <c r="AA267" s="562">
        <f t="shared" ca="1" si="63"/>
        <v>0</v>
      </c>
      <c r="AB267" s="562">
        <f t="shared" ca="1" si="63"/>
        <v>0</v>
      </c>
      <c r="AC267" s="562">
        <f t="shared" ca="1" si="63"/>
        <v>0</v>
      </c>
      <c r="AD267" s="562">
        <f t="shared" ca="1" si="63"/>
        <v>0</v>
      </c>
      <c r="AE267" s="562">
        <f t="shared" ca="1" si="63"/>
        <v>0</v>
      </c>
      <c r="AF267" s="562">
        <f t="shared" ca="1" si="63"/>
        <v>0</v>
      </c>
      <c r="AG267" s="562">
        <f t="shared" ca="1" si="63"/>
        <v>0</v>
      </c>
      <c r="AH267" s="19"/>
      <c r="AI267" s="19"/>
      <c r="AJ267" s="19"/>
      <c r="AK267" s="21"/>
      <c r="AL267" s="21"/>
      <c r="AM267" s="19"/>
      <c r="AN267" s="19"/>
      <c r="AO267" s="326"/>
      <c r="AP267" s="326"/>
      <c r="AQ267" s="326"/>
      <c r="AR267" s="326"/>
      <c r="AS267" s="326"/>
      <c r="AT267" s="326"/>
      <c r="AU267" s="326"/>
      <c r="AV267" s="326"/>
      <c r="AW267" s="326"/>
      <c r="AX267" s="326"/>
      <c r="AY267" s="326"/>
      <c r="AZ267" s="326"/>
    </row>
    <row r="268" spans="1:52">
      <c r="A268" s="19"/>
      <c r="B268" s="191" t="str">
        <f>"Injection for single well built in Year "&amp;Cashflow!W$164</f>
        <v>Injection for single well built in Year 2037</v>
      </c>
      <c r="C268" s="563"/>
      <c r="D268" s="563"/>
      <c r="E268" s="563"/>
      <c r="F268" s="563"/>
      <c r="G268" s="563"/>
      <c r="H268" s="563"/>
      <c r="I268" s="563"/>
      <c r="J268" s="563"/>
      <c r="K268" s="563"/>
      <c r="L268" s="563"/>
      <c r="M268" s="563"/>
      <c r="N268" s="563"/>
      <c r="O268" s="563"/>
      <c r="P268" s="563"/>
      <c r="Q268" s="563"/>
      <c r="R268" s="563"/>
      <c r="S268" s="563"/>
      <c r="T268" s="563"/>
      <c r="U268" s="563"/>
      <c r="V268" s="563"/>
      <c r="W268" s="562">
        <f t="shared" ref="W268:AG268" ca="1" si="64">IF($W$35=0,0,W234/$W$35)</f>
        <v>0</v>
      </c>
      <c r="X268" s="562">
        <f t="shared" ca="1" si="64"/>
        <v>0</v>
      </c>
      <c r="Y268" s="562">
        <f t="shared" ca="1" si="64"/>
        <v>0</v>
      </c>
      <c r="Z268" s="562">
        <f t="shared" ca="1" si="64"/>
        <v>0</v>
      </c>
      <c r="AA268" s="562">
        <f t="shared" ca="1" si="64"/>
        <v>0</v>
      </c>
      <c r="AB268" s="562">
        <f t="shared" ca="1" si="64"/>
        <v>0</v>
      </c>
      <c r="AC268" s="562">
        <f t="shared" ca="1" si="64"/>
        <v>0</v>
      </c>
      <c r="AD268" s="562">
        <f t="shared" ca="1" si="64"/>
        <v>0</v>
      </c>
      <c r="AE268" s="562">
        <f t="shared" ca="1" si="64"/>
        <v>0</v>
      </c>
      <c r="AF268" s="562">
        <f t="shared" ca="1" si="64"/>
        <v>0</v>
      </c>
      <c r="AG268" s="562">
        <f t="shared" ca="1" si="64"/>
        <v>0</v>
      </c>
      <c r="AH268" s="19"/>
      <c r="AI268" s="19"/>
      <c r="AJ268" s="19"/>
      <c r="AK268" s="21"/>
      <c r="AL268" s="21"/>
      <c r="AM268" s="19"/>
      <c r="AN268" s="19"/>
      <c r="AO268" s="326"/>
      <c r="AP268" s="326"/>
      <c r="AQ268" s="326"/>
      <c r="AR268" s="326"/>
      <c r="AS268" s="326"/>
      <c r="AT268" s="326"/>
      <c r="AU268" s="326"/>
      <c r="AV268" s="326"/>
      <c r="AW268" s="326"/>
      <c r="AX268" s="326"/>
      <c r="AY268" s="326"/>
      <c r="AZ268" s="326"/>
    </row>
    <row r="269" spans="1:52">
      <c r="A269" s="19"/>
      <c r="B269" s="191" t="str">
        <f>"Injection for single well built in Year "&amp;Cashflow!X$164</f>
        <v>Injection for single well built in Year 2038</v>
      </c>
      <c r="C269" s="563"/>
      <c r="D269" s="563"/>
      <c r="E269" s="563"/>
      <c r="F269" s="563"/>
      <c r="G269" s="563"/>
      <c r="H269" s="563"/>
      <c r="I269" s="563"/>
      <c r="J269" s="563"/>
      <c r="K269" s="563"/>
      <c r="L269" s="563"/>
      <c r="M269" s="563"/>
      <c r="N269" s="563"/>
      <c r="O269" s="563"/>
      <c r="P269" s="563"/>
      <c r="Q269" s="563"/>
      <c r="R269" s="563"/>
      <c r="S269" s="563"/>
      <c r="T269" s="563"/>
      <c r="U269" s="563"/>
      <c r="V269" s="563"/>
      <c r="W269" s="563"/>
      <c r="X269" s="562">
        <f t="shared" ref="X269:AG269" ca="1" si="65">IF($X$35=0,0,X235/$X$35)</f>
        <v>0</v>
      </c>
      <c r="Y269" s="562">
        <f t="shared" ca="1" si="65"/>
        <v>0</v>
      </c>
      <c r="Z269" s="562">
        <f t="shared" ca="1" si="65"/>
        <v>0</v>
      </c>
      <c r="AA269" s="562">
        <f t="shared" ca="1" si="65"/>
        <v>0</v>
      </c>
      <c r="AB269" s="562">
        <f t="shared" ca="1" si="65"/>
        <v>0</v>
      </c>
      <c r="AC269" s="562">
        <f t="shared" ca="1" si="65"/>
        <v>0</v>
      </c>
      <c r="AD269" s="562">
        <f t="shared" ca="1" si="65"/>
        <v>0</v>
      </c>
      <c r="AE269" s="562">
        <f t="shared" ca="1" si="65"/>
        <v>0</v>
      </c>
      <c r="AF269" s="562">
        <f t="shared" ca="1" si="65"/>
        <v>0</v>
      </c>
      <c r="AG269" s="562">
        <f t="shared" ca="1" si="65"/>
        <v>0</v>
      </c>
      <c r="AH269" s="19"/>
      <c r="AI269" s="19"/>
      <c r="AJ269" s="19"/>
      <c r="AK269" s="21"/>
      <c r="AL269" s="21"/>
      <c r="AM269" s="19"/>
      <c r="AN269" s="19"/>
      <c r="AO269" s="326"/>
      <c r="AP269" s="326"/>
      <c r="AQ269" s="326"/>
      <c r="AR269" s="326"/>
      <c r="AS269" s="326"/>
      <c r="AT269" s="326"/>
      <c r="AU269" s="326"/>
      <c r="AV269" s="326"/>
      <c r="AW269" s="326"/>
      <c r="AX269" s="326"/>
      <c r="AY269" s="326"/>
      <c r="AZ269" s="326"/>
    </row>
    <row r="270" spans="1:52">
      <c r="A270" s="19"/>
      <c r="B270" s="191" t="str">
        <f>"Injection for single well built in Year "&amp;Cashflow!Y$164</f>
        <v>Injection for single well built in Year 2039</v>
      </c>
      <c r="C270" s="563"/>
      <c r="D270" s="563"/>
      <c r="E270" s="563"/>
      <c r="F270" s="563"/>
      <c r="G270" s="563"/>
      <c r="H270" s="563"/>
      <c r="I270" s="563"/>
      <c r="J270" s="563"/>
      <c r="K270" s="563"/>
      <c r="L270" s="563"/>
      <c r="M270" s="563"/>
      <c r="N270" s="563"/>
      <c r="O270" s="563"/>
      <c r="P270" s="563"/>
      <c r="Q270" s="563"/>
      <c r="R270" s="563"/>
      <c r="S270" s="563"/>
      <c r="T270" s="563"/>
      <c r="U270" s="563"/>
      <c r="V270" s="563"/>
      <c r="W270" s="563"/>
      <c r="X270" s="563"/>
      <c r="Y270" s="562">
        <f t="shared" ref="Y270:AG270" ca="1" si="66">IF($Y$35=0,0,Y236/$Y$35)</f>
        <v>0</v>
      </c>
      <c r="Z270" s="562">
        <f t="shared" ca="1" si="66"/>
        <v>0</v>
      </c>
      <c r="AA270" s="562">
        <f t="shared" ca="1" si="66"/>
        <v>0</v>
      </c>
      <c r="AB270" s="562">
        <f t="shared" ca="1" si="66"/>
        <v>0</v>
      </c>
      <c r="AC270" s="562">
        <f t="shared" ca="1" si="66"/>
        <v>0</v>
      </c>
      <c r="AD270" s="562">
        <f t="shared" ca="1" si="66"/>
        <v>0</v>
      </c>
      <c r="AE270" s="562">
        <f t="shared" ca="1" si="66"/>
        <v>0</v>
      </c>
      <c r="AF270" s="562">
        <f t="shared" ca="1" si="66"/>
        <v>0</v>
      </c>
      <c r="AG270" s="562">
        <f t="shared" ca="1" si="66"/>
        <v>0</v>
      </c>
      <c r="AH270" s="19"/>
      <c r="AI270" s="19"/>
      <c r="AJ270" s="19"/>
      <c r="AK270" s="21"/>
      <c r="AL270" s="21"/>
      <c r="AM270" s="19"/>
      <c r="AN270" s="19"/>
      <c r="AO270" s="326"/>
      <c r="AP270" s="326"/>
      <c r="AQ270" s="326"/>
      <c r="AR270" s="326"/>
      <c r="AS270" s="326"/>
      <c r="AT270" s="326"/>
      <c r="AU270" s="326"/>
      <c r="AV270" s="326"/>
      <c r="AW270" s="326"/>
      <c r="AX270" s="326"/>
      <c r="AY270" s="326"/>
      <c r="AZ270" s="326"/>
    </row>
    <row r="271" spans="1:52">
      <c r="A271" s="19"/>
      <c r="B271" s="191" t="str">
        <f>"Injection for single well built in Year "&amp;Cashflow!Z$164</f>
        <v>Injection for single well built in Year 2040</v>
      </c>
      <c r="C271" s="563"/>
      <c r="D271" s="563"/>
      <c r="E271" s="563"/>
      <c r="F271" s="563"/>
      <c r="G271" s="563"/>
      <c r="H271" s="563"/>
      <c r="I271" s="563"/>
      <c r="J271" s="563"/>
      <c r="K271" s="563"/>
      <c r="L271" s="563"/>
      <c r="M271" s="563"/>
      <c r="N271" s="563"/>
      <c r="O271" s="563"/>
      <c r="P271" s="563"/>
      <c r="Q271" s="563"/>
      <c r="R271" s="563"/>
      <c r="S271" s="563"/>
      <c r="T271" s="563"/>
      <c r="U271" s="563"/>
      <c r="V271" s="563"/>
      <c r="W271" s="563"/>
      <c r="X271" s="563"/>
      <c r="Y271" s="563"/>
      <c r="Z271" s="562">
        <f t="shared" ref="Z271:AG271" ca="1" si="67">IF($Z$35=0,0,Z237/$Z$35)</f>
        <v>0</v>
      </c>
      <c r="AA271" s="562">
        <f t="shared" ca="1" si="67"/>
        <v>0</v>
      </c>
      <c r="AB271" s="562">
        <f t="shared" ca="1" si="67"/>
        <v>0</v>
      </c>
      <c r="AC271" s="562">
        <f t="shared" ca="1" si="67"/>
        <v>0</v>
      </c>
      <c r="AD271" s="562">
        <f t="shared" ca="1" si="67"/>
        <v>0</v>
      </c>
      <c r="AE271" s="562">
        <f t="shared" ca="1" si="67"/>
        <v>0</v>
      </c>
      <c r="AF271" s="562">
        <f t="shared" ca="1" si="67"/>
        <v>0</v>
      </c>
      <c r="AG271" s="562">
        <f t="shared" ca="1" si="67"/>
        <v>0</v>
      </c>
      <c r="AH271" s="19"/>
      <c r="AI271" s="19"/>
      <c r="AJ271" s="19"/>
      <c r="AK271" s="21"/>
      <c r="AL271" s="21"/>
      <c r="AM271" s="19"/>
      <c r="AN271" s="19"/>
      <c r="AO271" s="326"/>
      <c r="AP271" s="326"/>
      <c r="AQ271" s="326"/>
      <c r="AR271" s="326"/>
      <c r="AS271" s="326"/>
      <c r="AT271" s="326"/>
      <c r="AU271" s="326"/>
      <c r="AV271" s="326"/>
      <c r="AW271" s="326"/>
      <c r="AX271" s="326"/>
      <c r="AY271" s="326"/>
      <c r="AZ271" s="326"/>
    </row>
    <row r="272" spans="1:52">
      <c r="A272" s="19"/>
      <c r="B272" s="191" t="str">
        <f>"Injection for single well built in Year "&amp;Cashflow!AA$164</f>
        <v>Injection for single well built in Year 2041</v>
      </c>
      <c r="C272" s="563"/>
      <c r="D272" s="563"/>
      <c r="E272" s="563"/>
      <c r="F272" s="563"/>
      <c r="G272" s="563"/>
      <c r="H272" s="563"/>
      <c r="I272" s="563"/>
      <c r="J272" s="563"/>
      <c r="K272" s="563"/>
      <c r="L272" s="563"/>
      <c r="M272" s="563"/>
      <c r="N272" s="563"/>
      <c r="O272" s="563"/>
      <c r="P272" s="563"/>
      <c r="Q272" s="563"/>
      <c r="R272" s="563"/>
      <c r="S272" s="563"/>
      <c r="T272" s="563"/>
      <c r="U272" s="563"/>
      <c r="V272" s="563"/>
      <c r="W272" s="563"/>
      <c r="X272" s="563"/>
      <c r="Y272" s="563"/>
      <c r="Z272" s="563"/>
      <c r="AA272" s="562">
        <f t="shared" ref="AA272:AG272" ca="1" si="68">IF($AA$35=0,0,AA238/$AA$35)</f>
        <v>0</v>
      </c>
      <c r="AB272" s="562">
        <f t="shared" ca="1" si="68"/>
        <v>0</v>
      </c>
      <c r="AC272" s="562">
        <f t="shared" ca="1" si="68"/>
        <v>0</v>
      </c>
      <c r="AD272" s="562">
        <f t="shared" ca="1" si="68"/>
        <v>0</v>
      </c>
      <c r="AE272" s="562">
        <f t="shared" ca="1" si="68"/>
        <v>0</v>
      </c>
      <c r="AF272" s="562">
        <f t="shared" ca="1" si="68"/>
        <v>0</v>
      </c>
      <c r="AG272" s="562">
        <f t="shared" ca="1" si="68"/>
        <v>0</v>
      </c>
      <c r="AH272" s="19"/>
      <c r="AI272" s="19"/>
      <c r="AJ272" s="19"/>
      <c r="AK272" s="21"/>
      <c r="AL272" s="21"/>
      <c r="AM272" s="19"/>
      <c r="AN272" s="19"/>
      <c r="AO272" s="326"/>
      <c r="AP272" s="326"/>
      <c r="AQ272" s="326"/>
      <c r="AR272" s="326"/>
      <c r="AS272" s="326"/>
      <c r="AT272" s="326"/>
      <c r="AU272" s="326"/>
      <c r="AV272" s="326"/>
      <c r="AW272" s="326"/>
      <c r="AX272" s="326"/>
      <c r="AY272" s="326"/>
      <c r="AZ272" s="326"/>
    </row>
    <row r="273" spans="1:52">
      <c r="A273" s="19"/>
      <c r="B273" s="191" t="str">
        <f>"Injection for single well built in Year "&amp;Cashflow!AB$164</f>
        <v>Injection for single well built in Year 2042</v>
      </c>
      <c r="C273" s="563"/>
      <c r="D273" s="563"/>
      <c r="E273" s="563"/>
      <c r="F273" s="563"/>
      <c r="G273" s="563"/>
      <c r="H273" s="563"/>
      <c r="I273" s="563"/>
      <c r="J273" s="563"/>
      <c r="K273" s="563"/>
      <c r="L273" s="563"/>
      <c r="M273" s="563"/>
      <c r="N273" s="563"/>
      <c r="O273" s="563"/>
      <c r="P273" s="563"/>
      <c r="Q273" s="563"/>
      <c r="R273" s="563"/>
      <c r="S273" s="563"/>
      <c r="T273" s="563"/>
      <c r="U273" s="563"/>
      <c r="V273" s="563"/>
      <c r="W273" s="563"/>
      <c r="X273" s="563"/>
      <c r="Y273" s="563"/>
      <c r="Z273" s="563"/>
      <c r="AA273" s="563"/>
      <c r="AB273" s="562">
        <f t="shared" ref="AB273:AG273" ca="1" si="69">IF($AB$35=0,0,AB239/$AB$35)</f>
        <v>0</v>
      </c>
      <c r="AC273" s="562">
        <f t="shared" ca="1" si="69"/>
        <v>0</v>
      </c>
      <c r="AD273" s="562">
        <f t="shared" ca="1" si="69"/>
        <v>0</v>
      </c>
      <c r="AE273" s="562">
        <f t="shared" ca="1" si="69"/>
        <v>0</v>
      </c>
      <c r="AF273" s="562">
        <f t="shared" ca="1" si="69"/>
        <v>0</v>
      </c>
      <c r="AG273" s="562">
        <f t="shared" ca="1" si="69"/>
        <v>0</v>
      </c>
      <c r="AH273" s="19"/>
      <c r="AI273" s="19"/>
      <c r="AJ273" s="19"/>
      <c r="AK273" s="21"/>
      <c r="AL273" s="21"/>
      <c r="AM273" s="19"/>
      <c r="AN273" s="19"/>
      <c r="AO273" s="326"/>
      <c r="AP273" s="326"/>
      <c r="AQ273" s="326"/>
      <c r="AR273" s="326"/>
      <c r="AS273" s="326"/>
      <c r="AT273" s="326"/>
      <c r="AU273" s="326"/>
      <c r="AV273" s="326"/>
      <c r="AW273" s="326"/>
      <c r="AX273" s="326"/>
      <c r="AY273" s="326"/>
      <c r="AZ273" s="326"/>
    </row>
    <row r="274" spans="1:52">
      <c r="A274" s="19"/>
      <c r="B274" s="191" t="str">
        <f>"Injection for single well built in Year "&amp;Cashflow!AC$164</f>
        <v>Injection for single well built in Year 2043</v>
      </c>
      <c r="C274" s="563"/>
      <c r="D274" s="563"/>
      <c r="E274" s="563"/>
      <c r="F274" s="563"/>
      <c r="G274" s="563"/>
      <c r="H274" s="563"/>
      <c r="I274" s="563"/>
      <c r="J274" s="563"/>
      <c r="K274" s="563"/>
      <c r="L274" s="563"/>
      <c r="M274" s="563"/>
      <c r="N274" s="563"/>
      <c r="O274" s="563"/>
      <c r="P274" s="563"/>
      <c r="Q274" s="563"/>
      <c r="R274" s="563"/>
      <c r="S274" s="563"/>
      <c r="T274" s="563"/>
      <c r="U274" s="563"/>
      <c r="V274" s="563"/>
      <c r="W274" s="563"/>
      <c r="X274" s="563"/>
      <c r="Y274" s="563"/>
      <c r="Z274" s="563"/>
      <c r="AA274" s="563"/>
      <c r="AB274" s="563"/>
      <c r="AC274" s="562">
        <f ca="1">IF($AC$35=0,0,AC240/$AC$35)</f>
        <v>0</v>
      </c>
      <c r="AD274" s="562">
        <f ca="1">IF($AC$35=0,0,AD240/$AC$35)</f>
        <v>0</v>
      </c>
      <c r="AE274" s="562">
        <f ca="1">IF($AC$35=0,0,AE240/$AC$35)</f>
        <v>0</v>
      </c>
      <c r="AF274" s="562">
        <f ca="1">IF($AC$35=0,0,AF240/$AC$35)</f>
        <v>0</v>
      </c>
      <c r="AG274" s="562">
        <f ca="1">IF($AC$35=0,0,AG240/$AC$35)</f>
        <v>0</v>
      </c>
      <c r="AH274" s="19"/>
      <c r="AI274" s="19"/>
      <c r="AJ274" s="19"/>
      <c r="AK274" s="21"/>
      <c r="AL274" s="21"/>
      <c r="AM274" s="19"/>
      <c r="AN274" s="19"/>
      <c r="AO274" s="326"/>
      <c r="AP274" s="326"/>
      <c r="AQ274" s="326"/>
      <c r="AR274" s="326"/>
      <c r="AS274" s="326"/>
      <c r="AT274" s="326"/>
      <c r="AU274" s="326"/>
      <c r="AV274" s="326"/>
      <c r="AW274" s="326"/>
      <c r="AX274" s="326"/>
      <c r="AY274" s="326"/>
      <c r="AZ274" s="326"/>
    </row>
    <row r="275" spans="1:52">
      <c r="A275" s="19"/>
      <c r="B275" s="191" t="str">
        <f>"Injection for single well built in Year "&amp;Cashflow!AD$164</f>
        <v>Injection for single well built in Year 2044</v>
      </c>
      <c r="C275" s="563"/>
      <c r="D275" s="563"/>
      <c r="E275" s="563"/>
      <c r="F275" s="563"/>
      <c r="G275" s="563"/>
      <c r="H275" s="563"/>
      <c r="I275" s="563"/>
      <c r="J275" s="563"/>
      <c r="K275" s="563"/>
      <c r="L275" s="563"/>
      <c r="M275" s="563"/>
      <c r="N275" s="563"/>
      <c r="O275" s="563"/>
      <c r="P275" s="563"/>
      <c r="Q275" s="563"/>
      <c r="R275" s="563"/>
      <c r="S275" s="563"/>
      <c r="T275" s="563"/>
      <c r="U275" s="563"/>
      <c r="V275" s="563"/>
      <c r="W275" s="563"/>
      <c r="X275" s="563"/>
      <c r="Y275" s="563"/>
      <c r="Z275" s="563"/>
      <c r="AA275" s="563"/>
      <c r="AB275" s="563"/>
      <c r="AC275" s="563"/>
      <c r="AD275" s="562">
        <f ca="1">IF($AD$35=0,0,AD241/$AD$35)</f>
        <v>0</v>
      </c>
      <c r="AE275" s="562">
        <f ca="1">IF($AD$35=0,0,AE241/$AD$35)</f>
        <v>0</v>
      </c>
      <c r="AF275" s="562">
        <f ca="1">IF($AD$35=0,0,AF241/$AD$35)</f>
        <v>0</v>
      </c>
      <c r="AG275" s="562">
        <f ca="1">IF($AD$35=0,0,AG241/$AD$35)</f>
        <v>0</v>
      </c>
      <c r="AH275" s="19"/>
      <c r="AI275" s="19"/>
      <c r="AJ275" s="19"/>
      <c r="AK275" s="21"/>
      <c r="AL275" s="21"/>
      <c r="AM275" s="19"/>
      <c r="AN275" s="19"/>
      <c r="AO275" s="326"/>
      <c r="AP275" s="326"/>
      <c r="AQ275" s="326"/>
      <c r="AR275" s="326"/>
      <c r="AS275" s="326"/>
      <c r="AT275" s="326"/>
      <c r="AU275" s="326"/>
      <c r="AV275" s="326"/>
      <c r="AW275" s="326"/>
      <c r="AX275" s="326"/>
      <c r="AY275" s="326"/>
      <c r="AZ275" s="326"/>
    </row>
    <row r="276" spans="1:52">
      <c r="A276" s="19"/>
      <c r="B276" s="191" t="str">
        <f>"Injection for single well built in Year "&amp;Cashflow!AE$164</f>
        <v>Injection for single well built in Year 2045</v>
      </c>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2">
        <f ca="1">IF($AE$35=0,0,AE242/$AE$35)</f>
        <v>0</v>
      </c>
      <c r="AF276" s="562">
        <f ca="1">IF($AE$35=0,0,AF242/$AE$35)</f>
        <v>0</v>
      </c>
      <c r="AG276" s="562">
        <f ca="1">IF($AE$35=0,0,AG242/$AE$35)</f>
        <v>0</v>
      </c>
      <c r="AH276" s="19"/>
      <c r="AI276" s="19"/>
      <c r="AJ276" s="19"/>
      <c r="AK276" s="21"/>
      <c r="AL276" s="21"/>
      <c r="AM276" s="19"/>
      <c r="AN276" s="19"/>
      <c r="AO276" s="326"/>
      <c r="AP276" s="326"/>
      <c r="AQ276" s="326"/>
      <c r="AR276" s="326"/>
      <c r="AS276" s="326"/>
      <c r="AT276" s="326"/>
      <c r="AU276" s="326"/>
      <c r="AV276" s="326"/>
      <c r="AW276" s="326"/>
      <c r="AX276" s="326"/>
      <c r="AY276" s="326"/>
      <c r="AZ276" s="326"/>
    </row>
    <row r="277" spans="1:52">
      <c r="A277" s="19"/>
      <c r="B277" s="191" t="str">
        <f>"Injection for single well built in Year "&amp;Cashflow!AF$164</f>
        <v>Injection for single well built in Year 2046</v>
      </c>
      <c r="C277" s="563"/>
      <c r="D277" s="563"/>
      <c r="E277" s="563"/>
      <c r="F277" s="563"/>
      <c r="G277" s="563"/>
      <c r="H277" s="563"/>
      <c r="I277" s="563"/>
      <c r="J277" s="563"/>
      <c r="K277" s="563"/>
      <c r="L277" s="563"/>
      <c r="M277" s="563"/>
      <c r="N277" s="563"/>
      <c r="O277" s="563"/>
      <c r="P277" s="563"/>
      <c r="Q277" s="563"/>
      <c r="R277" s="563"/>
      <c r="S277" s="563"/>
      <c r="T277" s="563"/>
      <c r="U277" s="563"/>
      <c r="V277" s="563"/>
      <c r="W277" s="563"/>
      <c r="X277" s="563"/>
      <c r="Y277" s="563"/>
      <c r="Z277" s="563"/>
      <c r="AA277" s="563"/>
      <c r="AB277" s="563"/>
      <c r="AC277" s="563"/>
      <c r="AD277" s="563"/>
      <c r="AE277" s="563"/>
      <c r="AF277" s="562">
        <f ca="1">IF($AF$35=0,0,AF243/$AF$35)</f>
        <v>0</v>
      </c>
      <c r="AG277" s="562">
        <f ca="1">IF($AF$35=0,0,AG243/$AF$35)</f>
        <v>0</v>
      </c>
      <c r="AH277" s="19"/>
      <c r="AI277" s="19"/>
      <c r="AJ277" s="19"/>
      <c r="AK277" s="21"/>
      <c r="AL277" s="21"/>
      <c r="AM277" s="19"/>
      <c r="AN277" s="19"/>
      <c r="AO277" s="326"/>
      <c r="AP277" s="326"/>
      <c r="AQ277" s="326"/>
      <c r="AR277" s="326"/>
      <c r="AS277" s="326"/>
      <c r="AT277" s="326"/>
      <c r="AU277" s="326"/>
      <c r="AV277" s="326"/>
      <c r="AW277" s="326"/>
      <c r="AX277" s="326"/>
      <c r="AY277" s="326"/>
      <c r="AZ277" s="326"/>
    </row>
    <row r="278" spans="1:52">
      <c r="A278" s="19"/>
      <c r="B278" s="191" t="str">
        <f>"Injection for single well built in Year "&amp;Cashflow!AG$164</f>
        <v>Injection for single well built in Year 2047</v>
      </c>
      <c r="C278" s="567"/>
      <c r="D278" s="566"/>
      <c r="E278" s="566"/>
      <c r="F278" s="566"/>
      <c r="G278" s="566"/>
      <c r="H278" s="566"/>
      <c r="I278" s="566"/>
      <c r="J278" s="566"/>
      <c r="K278" s="566"/>
      <c r="L278" s="566"/>
      <c r="M278" s="566"/>
      <c r="N278" s="566"/>
      <c r="O278" s="566"/>
      <c r="P278" s="566"/>
      <c r="Q278" s="566"/>
      <c r="R278" s="566"/>
      <c r="S278" s="566"/>
      <c r="T278" s="566"/>
      <c r="U278" s="566"/>
      <c r="V278" s="566"/>
      <c r="W278" s="566"/>
      <c r="X278" s="566"/>
      <c r="Y278" s="566"/>
      <c r="Z278" s="566"/>
      <c r="AA278" s="566"/>
      <c r="AB278" s="566"/>
      <c r="AC278" s="566"/>
      <c r="AD278" s="566"/>
      <c r="AE278" s="566"/>
      <c r="AF278" s="566"/>
      <c r="AG278" s="562">
        <f ca="1">IF($AG$35=0,0,AG244/$AG$35)</f>
        <v>0</v>
      </c>
      <c r="AH278" s="19"/>
      <c r="AI278" s="19"/>
      <c r="AJ278" s="19"/>
      <c r="AK278" s="21"/>
      <c r="AL278" s="21"/>
      <c r="AM278" s="19"/>
      <c r="AN278" s="19"/>
      <c r="AO278" s="326"/>
      <c r="AP278" s="326"/>
      <c r="AQ278" s="326"/>
      <c r="AR278" s="326"/>
      <c r="AS278" s="326"/>
      <c r="AT278" s="326"/>
      <c r="AU278" s="326"/>
      <c r="AV278" s="326"/>
      <c r="AW278" s="326"/>
      <c r="AX278" s="326"/>
      <c r="AY278" s="326"/>
      <c r="AZ278" s="326"/>
    </row>
    <row r="279" spans="1:52">
      <c r="A279" s="19"/>
      <c r="B279" s="28"/>
      <c r="C279" s="164"/>
      <c r="D279" s="19"/>
      <c r="E279" s="19"/>
      <c r="F279" s="19"/>
      <c r="G279" s="19"/>
      <c r="H279" s="19"/>
      <c r="I279" s="19"/>
      <c r="J279" s="132"/>
      <c r="K279" s="137"/>
      <c r="L279" s="132"/>
      <c r="M279" s="137"/>
      <c r="N279" s="28"/>
      <c r="O279" s="28"/>
      <c r="P279" s="19"/>
      <c r="Q279" s="19"/>
      <c r="R279" s="19"/>
      <c r="S279" s="19"/>
      <c r="T279" s="19"/>
      <c r="U279" s="19"/>
      <c r="V279" s="19"/>
      <c r="W279" s="19"/>
      <c r="X279" s="19"/>
      <c r="Y279" s="19"/>
      <c r="Z279" s="19"/>
      <c r="AA279" s="19"/>
      <c r="AB279" s="19"/>
      <c r="AC279" s="19"/>
      <c r="AD279" s="19"/>
      <c r="AE279" s="19"/>
      <c r="AF279" s="19"/>
      <c r="AG279" s="19"/>
      <c r="AH279" s="19"/>
      <c r="AI279" s="19"/>
      <c r="AJ279" s="19"/>
      <c r="AK279" s="21"/>
      <c r="AL279" s="21"/>
      <c r="AM279" s="19"/>
      <c r="AN279" s="19"/>
      <c r="AO279" s="326"/>
      <c r="AP279" s="326"/>
      <c r="AQ279" s="326"/>
      <c r="AR279" s="326"/>
      <c r="AS279" s="326"/>
      <c r="AT279" s="326"/>
      <c r="AU279" s="326"/>
      <c r="AV279" s="326"/>
      <c r="AW279" s="326"/>
      <c r="AX279" s="326"/>
      <c r="AY279" s="326"/>
      <c r="AZ279" s="326"/>
    </row>
    <row r="280" spans="1:52">
      <c r="A280" s="19"/>
      <c r="B280" s="591"/>
      <c r="C280" s="594"/>
      <c r="D280" s="19"/>
      <c r="E280" s="19"/>
      <c r="F280" s="19"/>
      <c r="G280" s="19"/>
      <c r="H280" s="19"/>
      <c r="I280" s="19"/>
      <c r="J280" s="28"/>
      <c r="K280" s="28"/>
      <c r="L280" s="28"/>
      <c r="M280" s="28"/>
      <c r="N280" s="28"/>
      <c r="O280" s="28"/>
      <c r="P280" s="19"/>
      <c r="Q280" s="19"/>
      <c r="R280" s="19"/>
      <c r="S280" s="19"/>
      <c r="T280" s="19"/>
      <c r="U280" s="19"/>
      <c r="V280" s="19"/>
      <c r="W280" s="19"/>
      <c r="X280" s="19"/>
      <c r="Y280" s="19"/>
      <c r="Z280" s="19"/>
      <c r="AA280" s="19"/>
      <c r="AB280" s="19"/>
      <c r="AC280" s="19"/>
      <c r="AD280" s="19"/>
      <c r="AE280" s="19"/>
      <c r="AF280" s="19"/>
      <c r="AG280" s="19"/>
      <c r="AH280" s="19"/>
      <c r="AI280" s="19"/>
      <c r="AJ280" s="19"/>
      <c r="AK280" s="21"/>
      <c r="AL280" s="21"/>
      <c r="AM280" s="19"/>
      <c r="AN280" s="19"/>
      <c r="AO280" s="326"/>
      <c r="AP280" s="326"/>
      <c r="AQ280" s="326"/>
      <c r="AR280" s="326"/>
      <c r="AS280" s="326"/>
      <c r="AT280" s="326"/>
      <c r="AU280" s="326"/>
      <c r="AV280" s="326"/>
      <c r="AW280" s="326"/>
      <c r="AX280" s="326"/>
      <c r="AY280" s="326"/>
      <c r="AZ280" s="326"/>
    </row>
    <row r="281" spans="1:52">
      <c r="A281" s="19"/>
      <c r="B281" s="169"/>
      <c r="C281" s="555"/>
      <c r="D281" s="19"/>
      <c r="E281" s="19"/>
      <c r="F281" s="19"/>
      <c r="G281" s="19"/>
      <c r="H281" s="19"/>
      <c r="I281" s="19"/>
      <c r="J281" s="19"/>
      <c r="K281" s="137"/>
      <c r="L281" s="132"/>
      <c r="M281" s="137"/>
      <c r="N281" s="28"/>
      <c r="O281" s="28"/>
      <c r="P281" s="19"/>
      <c r="Q281" s="19"/>
      <c r="R281" s="19"/>
      <c r="S281" s="19"/>
      <c r="T281" s="19"/>
      <c r="U281" s="19"/>
      <c r="V281" s="19"/>
      <c r="W281" s="19"/>
      <c r="X281" s="19"/>
      <c r="Y281" s="19"/>
      <c r="Z281" s="19"/>
      <c r="AA281" s="19"/>
      <c r="AB281" s="19"/>
      <c r="AC281" s="19"/>
      <c r="AD281" s="19"/>
      <c r="AE281" s="19"/>
      <c r="AF281" s="19"/>
      <c r="AG281" s="19"/>
      <c r="AH281" s="19"/>
      <c r="AI281" s="19"/>
      <c r="AJ281" s="19"/>
      <c r="AK281" s="21"/>
      <c r="AL281" s="21"/>
      <c r="AM281" s="19"/>
      <c r="AN281" s="19"/>
      <c r="AO281" s="326"/>
      <c r="AP281" s="326"/>
      <c r="AQ281" s="326"/>
      <c r="AR281" s="326"/>
      <c r="AS281" s="326"/>
      <c r="AT281" s="326"/>
      <c r="AU281" s="326"/>
      <c r="AV281" s="326"/>
      <c r="AW281" s="326"/>
      <c r="AX281" s="326"/>
      <c r="AY281" s="326"/>
      <c r="AZ281" s="326"/>
    </row>
    <row r="282" spans="1:52">
      <c r="A282" s="19"/>
      <c r="B282" s="169"/>
      <c r="C282" s="555"/>
      <c r="D282" s="19"/>
      <c r="E282" s="19"/>
      <c r="F282" s="19"/>
      <c r="G282" s="19"/>
      <c r="H282" s="19"/>
      <c r="I282" s="19"/>
      <c r="J282" s="19"/>
      <c r="K282" s="137"/>
      <c r="L282" s="132"/>
      <c r="M282" s="137"/>
      <c r="N282" s="28"/>
      <c r="O282" s="28"/>
      <c r="P282" s="19"/>
      <c r="Q282" s="19"/>
      <c r="R282" s="19"/>
      <c r="S282" s="19"/>
      <c r="T282" s="19"/>
      <c r="U282" s="19"/>
      <c r="V282" s="19"/>
      <c r="W282" s="19"/>
      <c r="X282" s="19"/>
      <c r="Y282" s="19"/>
      <c r="Z282" s="19"/>
      <c r="AA282" s="19"/>
      <c r="AB282" s="19"/>
      <c r="AC282" s="19"/>
      <c r="AD282" s="19"/>
      <c r="AE282" s="19"/>
      <c r="AF282" s="19"/>
      <c r="AG282" s="19"/>
      <c r="AH282" s="19"/>
      <c r="AI282" s="19"/>
      <c r="AJ282" s="19"/>
      <c r="AK282" s="21"/>
      <c r="AL282" s="21"/>
      <c r="AM282" s="19"/>
      <c r="AN282" s="19"/>
      <c r="AO282" s="326"/>
      <c r="AP282" s="326"/>
      <c r="AQ282" s="326"/>
      <c r="AR282" s="326"/>
      <c r="AS282" s="326"/>
      <c r="AT282" s="326"/>
      <c r="AU282" s="326"/>
      <c r="AV282" s="326"/>
      <c r="AW282" s="326"/>
      <c r="AX282" s="326"/>
      <c r="AY282" s="326"/>
      <c r="AZ282" s="326"/>
    </row>
    <row r="283" spans="1:52">
      <c r="A283" s="19"/>
      <c r="B283" s="169"/>
      <c r="C283" s="555"/>
      <c r="D283" s="19"/>
      <c r="E283" s="19"/>
      <c r="F283" s="19"/>
      <c r="G283" s="19"/>
      <c r="H283" s="19"/>
      <c r="I283" s="19"/>
      <c r="J283" s="19"/>
      <c r="K283" s="137"/>
      <c r="L283" s="132"/>
      <c r="M283" s="137"/>
      <c r="N283" s="28"/>
      <c r="O283" s="28"/>
      <c r="P283" s="19"/>
      <c r="Q283" s="19"/>
      <c r="R283" s="19"/>
      <c r="S283" s="19"/>
      <c r="T283" s="19"/>
      <c r="U283" s="19"/>
      <c r="V283" s="19"/>
      <c r="W283" s="19"/>
      <c r="X283" s="19"/>
      <c r="Y283" s="19"/>
      <c r="Z283" s="19"/>
      <c r="AA283" s="19"/>
      <c r="AB283" s="19"/>
      <c r="AC283" s="19"/>
      <c r="AD283" s="19"/>
      <c r="AE283" s="19"/>
      <c r="AF283" s="19"/>
      <c r="AG283" s="19"/>
      <c r="AH283" s="19"/>
      <c r="AI283" s="19"/>
      <c r="AJ283" s="19"/>
      <c r="AK283" s="21"/>
      <c r="AL283" s="21"/>
      <c r="AM283" s="19"/>
      <c r="AN283" s="19"/>
      <c r="AO283" s="326"/>
      <c r="AP283" s="326"/>
      <c r="AQ283" s="326"/>
      <c r="AR283" s="326"/>
      <c r="AS283" s="326"/>
      <c r="AT283" s="326"/>
      <c r="AU283" s="326"/>
      <c r="AV283" s="326"/>
      <c r="AW283" s="326"/>
      <c r="AX283" s="326"/>
      <c r="AY283" s="326"/>
      <c r="AZ283" s="326"/>
    </row>
    <row r="284" spans="1:52">
      <c r="A284" s="19"/>
      <c r="B284" s="169"/>
      <c r="C284" s="555"/>
      <c r="D284" s="19"/>
      <c r="E284" s="19"/>
      <c r="F284" s="19"/>
      <c r="G284" s="19"/>
      <c r="H284" s="19"/>
      <c r="I284" s="19"/>
      <c r="J284" s="19"/>
      <c r="K284" s="137"/>
      <c r="L284" s="132"/>
      <c r="M284" s="137"/>
      <c r="N284" s="28"/>
      <c r="O284" s="28"/>
      <c r="P284" s="19"/>
      <c r="Q284" s="19"/>
      <c r="R284" s="19"/>
      <c r="S284" s="19"/>
      <c r="T284" s="19"/>
      <c r="U284" s="19"/>
      <c r="V284" s="19"/>
      <c r="W284" s="19"/>
      <c r="X284" s="19"/>
      <c r="Y284" s="19"/>
      <c r="Z284" s="19"/>
      <c r="AA284" s="19"/>
      <c r="AB284" s="19"/>
      <c r="AC284" s="19"/>
      <c r="AD284" s="19"/>
      <c r="AE284" s="19"/>
      <c r="AF284" s="19"/>
      <c r="AG284" s="19"/>
      <c r="AH284" s="19"/>
      <c r="AI284" s="19"/>
      <c r="AJ284" s="19"/>
      <c r="AK284" s="21"/>
      <c r="AL284" s="21"/>
      <c r="AM284" s="19"/>
      <c r="AN284" s="19"/>
      <c r="AO284" s="326"/>
      <c r="AP284" s="326"/>
      <c r="AQ284" s="326"/>
      <c r="AR284" s="326"/>
      <c r="AS284" s="326"/>
      <c r="AT284" s="326"/>
      <c r="AU284" s="326"/>
      <c r="AV284" s="326"/>
      <c r="AW284" s="326"/>
      <c r="AX284" s="326"/>
      <c r="AY284" s="326"/>
      <c r="AZ284" s="326"/>
    </row>
    <row r="285" spans="1:52">
      <c r="A285" s="19"/>
      <c r="B285" s="169"/>
      <c r="C285" s="555"/>
      <c r="D285" s="19"/>
      <c r="E285" s="19"/>
      <c r="F285" s="19"/>
      <c r="G285" s="19"/>
      <c r="H285" s="19"/>
      <c r="I285" s="19"/>
      <c r="J285" s="19"/>
      <c r="K285" s="137"/>
      <c r="L285" s="132"/>
      <c r="M285" s="137"/>
      <c r="N285" s="28"/>
      <c r="O285" s="28"/>
      <c r="P285" s="19"/>
      <c r="Q285" s="19"/>
      <c r="R285" s="19"/>
      <c r="S285" s="19"/>
      <c r="T285" s="19"/>
      <c r="U285" s="19"/>
      <c r="V285" s="19"/>
      <c r="W285" s="19"/>
      <c r="X285" s="19"/>
      <c r="Y285" s="19"/>
      <c r="Z285" s="19"/>
      <c r="AA285" s="19"/>
      <c r="AB285" s="19"/>
      <c r="AC285" s="19"/>
      <c r="AD285" s="19"/>
      <c r="AE285" s="19"/>
      <c r="AF285" s="19"/>
      <c r="AG285" s="19"/>
      <c r="AH285" s="19"/>
      <c r="AI285" s="19"/>
      <c r="AJ285" s="19"/>
      <c r="AK285" s="21"/>
      <c r="AL285" s="21"/>
      <c r="AM285" s="19"/>
      <c r="AN285" s="19"/>
      <c r="AO285" s="326"/>
      <c r="AP285" s="326"/>
      <c r="AQ285" s="326"/>
      <c r="AR285" s="326"/>
      <c r="AS285" s="326"/>
      <c r="AT285" s="326"/>
      <c r="AU285" s="326"/>
      <c r="AV285" s="326"/>
      <c r="AW285" s="326"/>
      <c r="AX285" s="326"/>
      <c r="AY285" s="326"/>
      <c r="AZ285" s="326"/>
    </row>
    <row r="286" spans="1:52">
      <c r="A286" s="19"/>
      <c r="B286" s="169"/>
      <c r="C286" s="555"/>
      <c r="D286" s="19"/>
      <c r="E286" s="19"/>
      <c r="F286" s="19"/>
      <c r="G286" s="19"/>
      <c r="H286" s="19"/>
      <c r="I286" s="19"/>
      <c r="J286" s="19"/>
      <c r="K286" s="137"/>
      <c r="L286" s="132"/>
      <c r="M286" s="137"/>
      <c r="N286" s="28"/>
      <c r="O286" s="28"/>
      <c r="P286" s="19"/>
      <c r="Q286" s="19"/>
      <c r="R286" s="19"/>
      <c r="S286" s="19"/>
      <c r="T286" s="19"/>
      <c r="U286" s="19"/>
      <c r="V286" s="19"/>
      <c r="W286" s="19"/>
      <c r="X286" s="19"/>
      <c r="Y286" s="19"/>
      <c r="Z286" s="19"/>
      <c r="AA286" s="19"/>
      <c r="AB286" s="19"/>
      <c r="AC286" s="19"/>
      <c r="AD286" s="19"/>
      <c r="AE286" s="19"/>
      <c r="AF286" s="19"/>
      <c r="AG286" s="19"/>
      <c r="AH286" s="19"/>
      <c r="AI286" s="19"/>
      <c r="AJ286" s="19"/>
      <c r="AK286" s="21"/>
      <c r="AL286" s="21"/>
      <c r="AM286" s="19"/>
      <c r="AN286" s="19"/>
      <c r="AO286" s="326"/>
      <c r="AP286" s="326"/>
      <c r="AQ286" s="326"/>
      <c r="AR286" s="326"/>
      <c r="AS286" s="326"/>
      <c r="AT286" s="326"/>
      <c r="AU286" s="326"/>
      <c r="AV286" s="326"/>
      <c r="AW286" s="326"/>
      <c r="AX286" s="326"/>
      <c r="AY286" s="326"/>
      <c r="AZ286" s="326"/>
    </row>
    <row r="287" spans="1:52">
      <c r="A287" s="19"/>
      <c r="B287" s="169"/>
      <c r="C287" s="555"/>
      <c r="D287" s="19"/>
      <c r="E287" s="19"/>
      <c r="F287" s="19"/>
      <c r="G287" s="19"/>
      <c r="H287" s="19"/>
      <c r="I287" s="19"/>
      <c r="J287" s="19"/>
      <c r="K287" s="137"/>
      <c r="L287" s="132"/>
      <c r="M287" s="137"/>
      <c r="N287" s="28"/>
      <c r="O287" s="28"/>
      <c r="P287" s="19"/>
      <c r="Q287" s="19"/>
      <c r="R287" s="19"/>
      <c r="S287" s="19"/>
      <c r="T287" s="19"/>
      <c r="U287" s="19"/>
      <c r="V287" s="19"/>
      <c r="W287" s="19"/>
      <c r="X287" s="19"/>
      <c r="Y287" s="19"/>
      <c r="Z287" s="19"/>
      <c r="AA287" s="19"/>
      <c r="AB287" s="19"/>
      <c r="AC287" s="19"/>
      <c r="AD287" s="19"/>
      <c r="AE287" s="19"/>
      <c r="AF287" s="19"/>
      <c r="AG287" s="19"/>
      <c r="AH287" s="19"/>
      <c r="AI287" s="19"/>
      <c r="AJ287" s="19"/>
      <c r="AK287" s="21"/>
      <c r="AL287" s="21"/>
      <c r="AM287" s="19"/>
      <c r="AN287" s="19"/>
      <c r="AO287" s="326"/>
      <c r="AP287" s="326"/>
      <c r="AQ287" s="326"/>
      <c r="AR287" s="326"/>
      <c r="AS287" s="326"/>
      <c r="AT287" s="326"/>
      <c r="AU287" s="326"/>
      <c r="AV287" s="326"/>
      <c r="AW287" s="326"/>
      <c r="AX287" s="326"/>
      <c r="AY287" s="326"/>
      <c r="AZ287" s="326"/>
    </row>
    <row r="288" spans="1:52">
      <c r="A288" s="19"/>
      <c r="B288" s="169"/>
      <c r="C288" s="555"/>
      <c r="D288" s="19"/>
      <c r="E288" s="19"/>
      <c r="F288" s="19"/>
      <c r="G288" s="19"/>
      <c r="H288" s="19"/>
      <c r="I288" s="19"/>
      <c r="J288" s="19"/>
      <c r="K288" s="137"/>
      <c r="L288" s="132"/>
      <c r="M288" s="137"/>
      <c r="N288" s="28"/>
      <c r="O288" s="28"/>
      <c r="P288" s="19"/>
      <c r="Q288" s="19"/>
      <c r="R288" s="19"/>
      <c r="S288" s="19"/>
      <c r="T288" s="19"/>
      <c r="U288" s="19"/>
      <c r="V288" s="19"/>
      <c r="W288" s="19"/>
      <c r="X288" s="19"/>
      <c r="Y288" s="19"/>
      <c r="Z288" s="19"/>
      <c r="AA288" s="19"/>
      <c r="AB288" s="19"/>
      <c r="AC288" s="19"/>
      <c r="AD288" s="19"/>
      <c r="AE288" s="19"/>
      <c r="AF288" s="19"/>
      <c r="AG288" s="19"/>
      <c r="AH288" s="19"/>
      <c r="AI288" s="19"/>
      <c r="AJ288" s="19"/>
      <c r="AK288" s="21"/>
      <c r="AL288" s="21"/>
      <c r="AM288" s="19"/>
      <c r="AN288" s="19"/>
      <c r="AO288" s="326"/>
      <c r="AP288" s="326"/>
      <c r="AQ288" s="326"/>
      <c r="AR288" s="326"/>
      <c r="AS288" s="326"/>
      <c r="AT288" s="326"/>
      <c r="AU288" s="326"/>
      <c r="AV288" s="326"/>
      <c r="AW288" s="326"/>
      <c r="AX288" s="326"/>
      <c r="AY288" s="326"/>
      <c r="AZ288" s="326"/>
    </row>
    <row r="289" spans="1:52">
      <c r="A289" s="19"/>
      <c r="B289" s="169"/>
      <c r="C289" s="555"/>
      <c r="D289" s="19"/>
      <c r="E289" s="19"/>
      <c r="F289" s="19"/>
      <c r="G289" s="19"/>
      <c r="H289" s="19"/>
      <c r="I289" s="19"/>
      <c r="J289" s="19"/>
      <c r="K289" s="137"/>
      <c r="L289" s="132"/>
      <c r="M289" s="137"/>
      <c r="N289" s="28"/>
      <c r="O289" s="28"/>
      <c r="P289" s="19"/>
      <c r="Q289" s="19"/>
      <c r="R289" s="19"/>
      <c r="S289" s="19"/>
      <c r="T289" s="19"/>
      <c r="U289" s="19"/>
      <c r="V289" s="19"/>
      <c r="W289" s="19"/>
      <c r="X289" s="19"/>
      <c r="Y289" s="19"/>
      <c r="Z289" s="19"/>
      <c r="AA289" s="19"/>
      <c r="AB289" s="19"/>
      <c r="AC289" s="19"/>
      <c r="AD289" s="19"/>
      <c r="AE289" s="19"/>
      <c r="AF289" s="19"/>
      <c r="AG289" s="19"/>
      <c r="AH289" s="19"/>
      <c r="AI289" s="19"/>
      <c r="AJ289" s="19"/>
      <c r="AK289" s="21"/>
      <c r="AL289" s="21"/>
      <c r="AM289" s="19"/>
      <c r="AN289" s="19"/>
      <c r="AO289" s="326"/>
      <c r="AP289" s="326"/>
      <c r="AQ289" s="326"/>
      <c r="AR289" s="326"/>
      <c r="AS289" s="326"/>
      <c r="AT289" s="326"/>
      <c r="AU289" s="326"/>
      <c r="AV289" s="326"/>
      <c r="AW289" s="326"/>
      <c r="AX289" s="326"/>
      <c r="AY289" s="326"/>
      <c r="AZ289" s="326"/>
    </row>
    <row r="290" spans="1:52">
      <c r="A290" s="19"/>
      <c r="B290" s="169"/>
      <c r="C290" s="555"/>
      <c r="D290" s="19"/>
      <c r="E290" s="19"/>
      <c r="F290" s="19"/>
      <c r="G290" s="19"/>
      <c r="H290" s="19"/>
      <c r="I290" s="19"/>
      <c r="J290" s="19"/>
      <c r="K290" s="137"/>
      <c r="L290" s="132"/>
      <c r="M290" s="137"/>
      <c r="N290" s="28"/>
      <c r="O290" s="28"/>
      <c r="P290" s="19"/>
      <c r="Q290" s="19"/>
      <c r="R290" s="19"/>
      <c r="S290" s="19"/>
      <c r="T290" s="19"/>
      <c r="U290" s="19"/>
      <c r="V290" s="19"/>
      <c r="W290" s="19"/>
      <c r="X290" s="19"/>
      <c r="Y290" s="19"/>
      <c r="Z290" s="19"/>
      <c r="AA290" s="19"/>
      <c r="AB290" s="19"/>
      <c r="AC290" s="19"/>
      <c r="AD290" s="19"/>
      <c r="AE290" s="19"/>
      <c r="AF290" s="19"/>
      <c r="AG290" s="19"/>
      <c r="AH290" s="19"/>
      <c r="AI290" s="19"/>
      <c r="AJ290" s="19"/>
      <c r="AK290" s="21"/>
      <c r="AL290" s="21"/>
      <c r="AM290" s="19"/>
      <c r="AN290" s="19"/>
      <c r="AO290" s="326"/>
      <c r="AP290" s="326"/>
      <c r="AQ290" s="326"/>
      <c r="AR290" s="326"/>
      <c r="AS290" s="326"/>
      <c r="AT290" s="326"/>
      <c r="AU290" s="326"/>
      <c r="AV290" s="326"/>
      <c r="AW290" s="326"/>
      <c r="AX290" s="326"/>
      <c r="AY290" s="326"/>
      <c r="AZ290" s="326"/>
    </row>
    <row r="291" spans="1:52">
      <c r="A291" s="19"/>
      <c r="B291" s="169"/>
      <c r="C291" s="555"/>
      <c r="D291" s="19"/>
      <c r="E291" s="19"/>
      <c r="F291" s="19"/>
      <c r="G291" s="19"/>
      <c r="H291" s="19"/>
      <c r="I291" s="19"/>
      <c r="J291" s="19"/>
      <c r="K291" s="137"/>
      <c r="L291" s="132"/>
      <c r="M291" s="137"/>
      <c r="N291" s="28"/>
      <c r="O291" s="28"/>
      <c r="P291" s="19"/>
      <c r="Q291" s="19"/>
      <c r="R291" s="19"/>
      <c r="S291" s="19"/>
      <c r="T291" s="19"/>
      <c r="U291" s="19"/>
      <c r="V291" s="19"/>
      <c r="W291" s="19"/>
      <c r="X291" s="19"/>
      <c r="Y291" s="19"/>
      <c r="Z291" s="19"/>
      <c r="AA291" s="19"/>
      <c r="AB291" s="19"/>
      <c r="AC291" s="19"/>
      <c r="AD291" s="19"/>
      <c r="AE291" s="19"/>
      <c r="AF291" s="19"/>
      <c r="AG291" s="19"/>
      <c r="AH291" s="19"/>
      <c r="AI291" s="19"/>
      <c r="AJ291" s="19"/>
      <c r="AK291" s="21"/>
      <c r="AL291" s="21"/>
      <c r="AM291" s="19"/>
      <c r="AN291" s="19"/>
      <c r="AO291" s="326"/>
      <c r="AP291" s="326"/>
      <c r="AQ291" s="326"/>
      <c r="AR291" s="326"/>
      <c r="AS291" s="326"/>
      <c r="AT291" s="326"/>
      <c r="AU291" s="326"/>
      <c r="AV291" s="326"/>
      <c r="AW291" s="326"/>
      <c r="AX291" s="326"/>
      <c r="AY291" s="326"/>
      <c r="AZ291" s="326"/>
    </row>
    <row r="292" spans="1:52">
      <c r="A292" s="19"/>
      <c r="B292" s="169"/>
      <c r="C292" s="555"/>
      <c r="D292" s="19"/>
      <c r="E292" s="19"/>
      <c r="F292" s="19"/>
      <c r="G292" s="19"/>
      <c r="H292" s="19"/>
      <c r="I292" s="19"/>
      <c r="J292" s="19"/>
      <c r="K292" s="137"/>
      <c r="L292" s="132"/>
      <c r="M292" s="137"/>
      <c r="N292" s="28"/>
      <c r="O292" s="28"/>
      <c r="P292" s="19"/>
      <c r="Q292" s="19"/>
      <c r="R292" s="19"/>
      <c r="S292" s="19"/>
      <c r="T292" s="19"/>
      <c r="U292" s="19"/>
      <c r="V292" s="19"/>
      <c r="W292" s="19"/>
      <c r="X292" s="19"/>
      <c r="Y292" s="19"/>
      <c r="Z292" s="19"/>
      <c r="AA292" s="19"/>
      <c r="AB292" s="19"/>
      <c r="AC292" s="19"/>
      <c r="AD292" s="19"/>
      <c r="AE292" s="19"/>
      <c r="AF292" s="19"/>
      <c r="AG292" s="19"/>
      <c r="AH292" s="19"/>
      <c r="AI292" s="19"/>
      <c r="AJ292" s="19"/>
      <c r="AK292" s="21"/>
      <c r="AL292" s="21"/>
      <c r="AM292" s="19"/>
      <c r="AN292" s="19"/>
      <c r="AO292" s="326"/>
      <c r="AP292" s="326"/>
      <c r="AQ292" s="326"/>
      <c r="AR292" s="326"/>
      <c r="AS292" s="326"/>
      <c r="AT292" s="326"/>
      <c r="AU292" s="326"/>
      <c r="AV292" s="326"/>
      <c r="AW292" s="326"/>
      <c r="AX292" s="326"/>
      <c r="AY292" s="326"/>
      <c r="AZ292" s="326"/>
    </row>
    <row r="293" spans="1:52">
      <c r="A293" s="19"/>
      <c r="B293" s="169"/>
      <c r="C293" s="555"/>
      <c r="D293" s="19"/>
      <c r="E293" s="19"/>
      <c r="F293" s="19"/>
      <c r="G293" s="19"/>
      <c r="H293" s="19"/>
      <c r="I293" s="19"/>
      <c r="J293" s="19"/>
      <c r="K293" s="137"/>
      <c r="L293" s="132"/>
      <c r="M293" s="137"/>
      <c r="N293" s="28"/>
      <c r="O293" s="28"/>
      <c r="P293" s="19"/>
      <c r="Q293" s="19"/>
      <c r="R293" s="19"/>
      <c r="S293" s="19"/>
      <c r="T293" s="19"/>
      <c r="U293" s="19"/>
      <c r="V293" s="19"/>
      <c r="W293" s="19"/>
      <c r="X293" s="19"/>
      <c r="Y293" s="19"/>
      <c r="Z293" s="19"/>
      <c r="AA293" s="19"/>
      <c r="AB293" s="19"/>
      <c r="AC293" s="19"/>
      <c r="AD293" s="19"/>
      <c r="AE293" s="19"/>
      <c r="AF293" s="19"/>
      <c r="AG293" s="19"/>
      <c r="AH293" s="19"/>
      <c r="AI293" s="19"/>
      <c r="AJ293" s="19"/>
      <c r="AK293" s="21"/>
      <c r="AL293" s="21"/>
      <c r="AM293" s="19"/>
      <c r="AN293" s="19"/>
      <c r="AO293" s="326"/>
      <c r="AP293" s="326"/>
      <c r="AQ293" s="326"/>
      <c r="AR293" s="326"/>
      <c r="AS293" s="326"/>
      <c r="AT293" s="326"/>
      <c r="AU293" s="326"/>
      <c r="AV293" s="326"/>
      <c r="AW293" s="326"/>
      <c r="AX293" s="326"/>
      <c r="AY293" s="326"/>
      <c r="AZ293" s="326"/>
    </row>
    <row r="294" spans="1:52">
      <c r="A294" s="19"/>
      <c r="B294" s="169"/>
      <c r="C294" s="555"/>
      <c r="D294" s="19"/>
      <c r="E294" s="19"/>
      <c r="F294" s="19"/>
      <c r="G294" s="19"/>
      <c r="H294" s="19"/>
      <c r="I294" s="19"/>
      <c r="J294" s="19"/>
      <c r="K294" s="137"/>
      <c r="L294" s="132"/>
      <c r="M294" s="137"/>
      <c r="N294" s="28"/>
      <c r="O294" s="28"/>
      <c r="P294" s="19"/>
      <c r="Q294" s="19"/>
      <c r="R294" s="19"/>
      <c r="S294" s="19"/>
      <c r="T294" s="19"/>
      <c r="U294" s="19"/>
      <c r="V294" s="19"/>
      <c r="W294" s="19"/>
      <c r="X294" s="19"/>
      <c r="Y294" s="19"/>
      <c r="Z294" s="19"/>
      <c r="AA294" s="19"/>
      <c r="AB294" s="19"/>
      <c r="AC294" s="19"/>
      <c r="AD294" s="19"/>
      <c r="AE294" s="19"/>
      <c r="AF294" s="19"/>
      <c r="AG294" s="19"/>
      <c r="AH294" s="19"/>
      <c r="AI294" s="19"/>
      <c r="AJ294" s="19"/>
      <c r="AK294" s="21"/>
      <c r="AL294" s="21"/>
      <c r="AM294" s="19"/>
      <c r="AN294" s="19"/>
      <c r="AO294" s="326"/>
      <c r="AP294" s="326"/>
      <c r="AQ294" s="326"/>
      <c r="AR294" s="326"/>
      <c r="AS294" s="326"/>
      <c r="AT294" s="326"/>
      <c r="AU294" s="326"/>
      <c r="AV294" s="326"/>
      <c r="AW294" s="326"/>
      <c r="AX294" s="326"/>
      <c r="AY294" s="326"/>
      <c r="AZ294" s="326"/>
    </row>
    <row r="295" spans="1:52">
      <c r="A295" s="19"/>
      <c r="B295" s="169"/>
      <c r="C295" s="555"/>
      <c r="D295" s="19"/>
      <c r="E295" s="19"/>
      <c r="F295" s="19"/>
      <c r="G295" s="19"/>
      <c r="H295" s="19"/>
      <c r="I295" s="19"/>
      <c r="J295" s="19"/>
      <c r="K295" s="137"/>
      <c r="L295" s="132"/>
      <c r="M295" s="137"/>
      <c r="N295" s="28"/>
      <c r="O295" s="28"/>
      <c r="P295" s="19"/>
      <c r="Q295" s="19"/>
      <c r="R295" s="19"/>
      <c r="S295" s="19"/>
      <c r="T295" s="19"/>
      <c r="U295" s="19"/>
      <c r="V295" s="19"/>
      <c r="W295" s="19"/>
      <c r="X295" s="19"/>
      <c r="Y295" s="19"/>
      <c r="Z295" s="19"/>
      <c r="AA295" s="19"/>
      <c r="AB295" s="19"/>
      <c r="AC295" s="19"/>
      <c r="AD295" s="19"/>
      <c r="AE295" s="19"/>
      <c r="AF295" s="19"/>
      <c r="AG295" s="19"/>
      <c r="AH295" s="19"/>
      <c r="AI295" s="19"/>
      <c r="AJ295" s="19"/>
      <c r="AK295" s="21"/>
      <c r="AL295" s="21"/>
      <c r="AM295" s="19"/>
      <c r="AN295" s="19"/>
      <c r="AO295" s="326"/>
      <c r="AP295" s="326"/>
      <c r="AQ295" s="326"/>
      <c r="AR295" s="326"/>
      <c r="AS295" s="326"/>
      <c r="AT295" s="326"/>
      <c r="AU295" s="326"/>
      <c r="AV295" s="326"/>
      <c r="AW295" s="326"/>
      <c r="AX295" s="326"/>
      <c r="AY295" s="326"/>
      <c r="AZ295" s="326"/>
    </row>
    <row r="296" spans="1:52">
      <c r="A296" s="19"/>
      <c r="B296" s="169"/>
      <c r="C296" s="555"/>
      <c r="D296" s="19"/>
      <c r="E296" s="19"/>
      <c r="F296" s="19"/>
      <c r="G296" s="19"/>
      <c r="H296" s="19"/>
      <c r="I296" s="19"/>
      <c r="J296" s="19"/>
      <c r="K296" s="137"/>
      <c r="L296" s="132"/>
      <c r="M296" s="137"/>
      <c r="N296" s="28"/>
      <c r="O296" s="28"/>
      <c r="P296" s="19"/>
      <c r="Q296" s="19"/>
      <c r="R296" s="19"/>
      <c r="S296" s="19"/>
      <c r="T296" s="19"/>
      <c r="U296" s="19"/>
      <c r="V296" s="19"/>
      <c r="W296" s="19"/>
      <c r="X296" s="19"/>
      <c r="Y296" s="19"/>
      <c r="Z296" s="19"/>
      <c r="AA296" s="19"/>
      <c r="AB296" s="19"/>
      <c r="AC296" s="19"/>
      <c r="AD296" s="19"/>
      <c r="AE296" s="19"/>
      <c r="AF296" s="19"/>
      <c r="AG296" s="19"/>
      <c r="AH296" s="19"/>
      <c r="AI296" s="19"/>
      <c r="AJ296" s="19"/>
      <c r="AK296" s="21"/>
      <c r="AL296" s="21"/>
      <c r="AM296" s="19"/>
      <c r="AN296" s="19"/>
      <c r="AO296" s="326"/>
      <c r="AP296" s="326"/>
      <c r="AQ296" s="326"/>
      <c r="AR296" s="326"/>
      <c r="AS296" s="326"/>
      <c r="AT296" s="326"/>
      <c r="AU296" s="326"/>
      <c r="AV296" s="326"/>
      <c r="AW296" s="326"/>
      <c r="AX296" s="326"/>
      <c r="AY296" s="326"/>
      <c r="AZ296" s="326"/>
    </row>
    <row r="297" spans="1:52">
      <c r="A297" s="19"/>
      <c r="B297" s="169"/>
      <c r="C297" s="555"/>
      <c r="D297" s="19"/>
      <c r="E297" s="19"/>
      <c r="F297" s="19"/>
      <c r="G297" s="19"/>
      <c r="H297" s="19"/>
      <c r="I297" s="19"/>
      <c r="J297" s="19"/>
      <c r="K297" s="137"/>
      <c r="L297" s="132"/>
      <c r="M297" s="137"/>
      <c r="N297" s="28"/>
      <c r="O297" s="28"/>
      <c r="P297" s="19"/>
      <c r="Q297" s="19"/>
      <c r="R297" s="19"/>
      <c r="S297" s="19"/>
      <c r="T297" s="19"/>
      <c r="U297" s="19"/>
      <c r="V297" s="19"/>
      <c r="W297" s="19"/>
      <c r="X297" s="19"/>
      <c r="Y297" s="19"/>
      <c r="Z297" s="19"/>
      <c r="AA297" s="19"/>
      <c r="AB297" s="19"/>
      <c r="AC297" s="19"/>
      <c r="AD297" s="19"/>
      <c r="AE297" s="19"/>
      <c r="AF297" s="19"/>
      <c r="AG297" s="19"/>
      <c r="AH297" s="19"/>
      <c r="AI297" s="19"/>
      <c r="AJ297" s="19"/>
      <c r="AK297" s="21"/>
      <c r="AL297" s="21"/>
      <c r="AM297" s="19"/>
      <c r="AN297" s="19"/>
      <c r="AO297" s="326"/>
      <c r="AP297" s="326"/>
      <c r="AQ297" s="326"/>
      <c r="AR297" s="326"/>
      <c r="AS297" s="326"/>
      <c r="AT297" s="326"/>
      <c r="AU297" s="326"/>
      <c r="AV297" s="326"/>
      <c r="AW297" s="326"/>
      <c r="AX297" s="326"/>
      <c r="AY297" s="326"/>
      <c r="AZ297" s="326"/>
    </row>
    <row r="298" spans="1:52">
      <c r="A298" s="19"/>
      <c r="B298" s="169"/>
      <c r="C298" s="555"/>
      <c r="D298" s="19"/>
      <c r="E298" s="19"/>
      <c r="F298" s="19"/>
      <c r="G298" s="19"/>
      <c r="H298" s="19"/>
      <c r="I298" s="19"/>
      <c r="J298" s="19"/>
      <c r="K298" s="137"/>
      <c r="L298" s="132"/>
      <c r="M298" s="137"/>
      <c r="N298" s="28"/>
      <c r="O298" s="28"/>
      <c r="P298" s="19"/>
      <c r="Q298" s="19"/>
      <c r="R298" s="19"/>
      <c r="S298" s="19"/>
      <c r="T298" s="19"/>
      <c r="U298" s="19"/>
      <c r="V298" s="19"/>
      <c r="W298" s="19"/>
      <c r="X298" s="19"/>
      <c r="Y298" s="19"/>
      <c r="Z298" s="19"/>
      <c r="AA298" s="19"/>
      <c r="AB298" s="19"/>
      <c r="AC298" s="19"/>
      <c r="AD298" s="19"/>
      <c r="AE298" s="19"/>
      <c r="AF298" s="19"/>
      <c r="AG298" s="19"/>
      <c r="AH298" s="19"/>
      <c r="AI298" s="19"/>
      <c r="AJ298" s="19"/>
      <c r="AK298" s="21"/>
      <c r="AL298" s="21"/>
      <c r="AM298" s="19"/>
      <c r="AN298" s="19"/>
      <c r="AO298" s="326"/>
      <c r="AP298" s="326"/>
      <c r="AQ298" s="326"/>
      <c r="AR298" s="326"/>
      <c r="AS298" s="326"/>
      <c r="AT298" s="326"/>
      <c r="AU298" s="326"/>
      <c r="AV298" s="326"/>
      <c r="AW298" s="326"/>
      <c r="AX298" s="326"/>
      <c r="AY298" s="326"/>
      <c r="AZ298" s="326"/>
    </row>
    <row r="299" spans="1:52">
      <c r="A299" s="19"/>
      <c r="B299" s="169"/>
      <c r="C299" s="555"/>
      <c r="D299" s="19"/>
      <c r="E299" s="19"/>
      <c r="F299" s="19"/>
      <c r="G299" s="19"/>
      <c r="H299" s="19"/>
      <c r="I299" s="19"/>
      <c r="J299" s="19"/>
      <c r="K299" s="137"/>
      <c r="L299" s="132"/>
      <c r="M299" s="137"/>
      <c r="N299" s="28"/>
      <c r="O299" s="28"/>
      <c r="P299" s="19"/>
      <c r="Q299" s="19"/>
      <c r="R299" s="19"/>
      <c r="S299" s="19"/>
      <c r="T299" s="19"/>
      <c r="U299" s="19"/>
      <c r="V299" s="19"/>
      <c r="W299" s="19"/>
      <c r="X299" s="19"/>
      <c r="Y299" s="19"/>
      <c r="Z299" s="19"/>
      <c r="AA299" s="19"/>
      <c r="AB299" s="19"/>
      <c r="AC299" s="19"/>
      <c r="AD299" s="19"/>
      <c r="AE299" s="19"/>
      <c r="AF299" s="19"/>
      <c r="AG299" s="19"/>
      <c r="AH299" s="19"/>
      <c r="AI299" s="19"/>
      <c r="AJ299" s="19"/>
      <c r="AK299" s="21"/>
      <c r="AL299" s="21"/>
      <c r="AM299" s="19"/>
      <c r="AN299" s="19"/>
      <c r="AO299" s="326"/>
      <c r="AP299" s="326"/>
      <c r="AQ299" s="326"/>
      <c r="AR299" s="326"/>
      <c r="AS299" s="326"/>
      <c r="AT299" s="326"/>
      <c r="AU299" s="326"/>
      <c r="AV299" s="326"/>
      <c r="AW299" s="326"/>
      <c r="AX299" s="326"/>
      <c r="AY299" s="326"/>
      <c r="AZ299" s="326"/>
    </row>
    <row r="300" spans="1:52">
      <c r="A300" s="19"/>
      <c r="B300" s="169"/>
      <c r="C300" s="555"/>
      <c r="D300" s="19"/>
      <c r="E300" s="19"/>
      <c r="F300" s="19"/>
      <c r="G300" s="19"/>
      <c r="H300" s="19"/>
      <c r="I300" s="19"/>
      <c r="J300" s="19"/>
      <c r="K300" s="137"/>
      <c r="L300" s="132"/>
      <c r="M300" s="137"/>
      <c r="N300" s="28"/>
      <c r="O300" s="28"/>
      <c r="P300" s="19"/>
      <c r="Q300" s="19"/>
      <c r="R300" s="19"/>
      <c r="S300" s="19"/>
      <c r="T300" s="19"/>
      <c r="U300" s="19"/>
      <c r="V300" s="19"/>
      <c r="W300" s="19"/>
      <c r="X300" s="19"/>
      <c r="Y300" s="19"/>
      <c r="Z300" s="19"/>
      <c r="AA300" s="19"/>
      <c r="AB300" s="19"/>
      <c r="AC300" s="19"/>
      <c r="AD300" s="19"/>
      <c r="AE300" s="19"/>
      <c r="AF300" s="19"/>
      <c r="AG300" s="19"/>
      <c r="AH300" s="19"/>
      <c r="AI300" s="19"/>
      <c r="AJ300" s="19"/>
      <c r="AK300" s="21"/>
      <c r="AL300" s="21"/>
      <c r="AM300" s="19"/>
      <c r="AN300" s="19"/>
      <c r="AO300" s="326"/>
      <c r="AP300" s="326"/>
      <c r="AQ300" s="326"/>
      <c r="AR300" s="326"/>
      <c r="AS300" s="326"/>
      <c r="AT300" s="326"/>
      <c r="AU300" s="326"/>
      <c r="AV300" s="326"/>
      <c r="AW300" s="326"/>
      <c r="AX300" s="326"/>
      <c r="AY300" s="326"/>
      <c r="AZ300" s="326"/>
    </row>
    <row r="301" spans="1:52">
      <c r="AO301" s="326"/>
      <c r="AP301" s="326"/>
      <c r="AQ301" s="326"/>
      <c r="AR301" s="326"/>
      <c r="AS301" s="326"/>
      <c r="AT301" s="326"/>
      <c r="AU301" s="326"/>
      <c r="AV301" s="326"/>
      <c r="AW301" s="326"/>
      <c r="AX301" s="326"/>
      <c r="AY301" s="326"/>
      <c r="AZ301" s="326"/>
    </row>
  </sheetData>
  <conditionalFormatting sqref="C64:AG64 C211:AG211 C34:AG37 C68:AG99">
    <cfRule type="cellIs" dxfId="155" priority="71" operator="equal">
      <formula>0</formula>
    </cfRule>
  </conditionalFormatting>
  <conditionalFormatting sqref="C102:AG132">
    <cfRule type="cellIs" dxfId="154" priority="70" operator="equal">
      <formula>0</formula>
    </cfRule>
  </conditionalFormatting>
  <conditionalFormatting sqref="Q8">
    <cfRule type="cellIs" dxfId="153" priority="62" operator="equal">
      <formula>0</formula>
    </cfRule>
  </conditionalFormatting>
  <conditionalFormatting sqref="C4">
    <cfRule type="cellIs" dxfId="152" priority="63" stopIfTrue="1" operator="equal">
      <formula>0</formula>
    </cfRule>
  </conditionalFormatting>
  <conditionalFormatting sqref="Q9">
    <cfRule type="cellIs" dxfId="151" priority="58" operator="equal">
      <formula>0</formula>
    </cfRule>
  </conditionalFormatting>
  <conditionalFormatting sqref="J14">
    <cfRule type="cellIs" dxfId="150" priority="53" operator="equal">
      <formula>0</formula>
    </cfRule>
  </conditionalFormatting>
  <conditionalFormatting sqref="J15">
    <cfRule type="cellIs" dxfId="149" priority="52" operator="equal">
      <formula>0</formula>
    </cfRule>
  </conditionalFormatting>
  <conditionalFormatting sqref="J16">
    <cfRule type="cellIs" dxfId="148" priority="55" operator="equal">
      <formula>0</formula>
    </cfRule>
  </conditionalFormatting>
  <conditionalFormatting sqref="J6">
    <cfRule type="cellIs" dxfId="147" priority="50" operator="equal">
      <formula>0</formula>
    </cfRule>
  </conditionalFormatting>
  <conditionalFormatting sqref="J5">
    <cfRule type="cellIs" dxfId="146" priority="42" operator="equal">
      <formula>0</formula>
    </cfRule>
  </conditionalFormatting>
  <conditionalFormatting sqref="J10">
    <cfRule type="cellIs" dxfId="145" priority="41" operator="equal">
      <formula>0</formula>
    </cfRule>
  </conditionalFormatting>
  <conditionalFormatting sqref="J4">
    <cfRule type="cellIs" dxfId="144" priority="43" operator="equal">
      <formula>0</formula>
    </cfRule>
  </conditionalFormatting>
  <conditionalFormatting sqref="Q4">
    <cfRule type="cellIs" dxfId="143" priority="48" operator="equal">
      <formula>0</formula>
    </cfRule>
  </conditionalFormatting>
  <conditionalFormatting sqref="Q7">
    <cfRule type="cellIs" dxfId="142" priority="39" operator="equal">
      <formula>0</formula>
    </cfRule>
  </conditionalFormatting>
  <conditionalFormatting sqref="J11">
    <cfRule type="cellIs" dxfId="141" priority="38" operator="equal">
      <formula>0</formula>
    </cfRule>
  </conditionalFormatting>
  <conditionalFormatting sqref="C214:AG244">
    <cfRule type="cellIs" dxfId="140" priority="36" operator="equal">
      <formula>0</formula>
    </cfRule>
  </conditionalFormatting>
  <conditionalFormatting sqref="C245:AG245">
    <cfRule type="cellIs" dxfId="139" priority="37" operator="equal">
      <formula>0</formula>
    </cfRule>
  </conditionalFormatting>
  <conditionalFormatting sqref="C248:AG278">
    <cfRule type="cellIs" dxfId="138" priority="35" operator="equal">
      <formula>0</formula>
    </cfRule>
  </conditionalFormatting>
  <conditionalFormatting sqref="C136:AG167">
    <cfRule type="cellIs" dxfId="137" priority="33" operator="equal">
      <formula>0</formula>
    </cfRule>
  </conditionalFormatting>
  <conditionalFormatting sqref="C175:AG206">
    <cfRule type="cellIs" dxfId="136" priority="30" operator="equal">
      <formula>0</formula>
    </cfRule>
  </conditionalFormatting>
  <conditionalFormatting sqref="C171:AG171">
    <cfRule type="cellIs" dxfId="135" priority="29" operator="equal">
      <formula>0</formula>
    </cfRule>
  </conditionalFormatting>
  <conditionalFormatting sqref="Q12">
    <cfRule type="cellIs" dxfId="134" priority="28" operator="equal">
      <formula>0</formula>
    </cfRule>
  </conditionalFormatting>
  <conditionalFormatting sqref="C58:AG58">
    <cfRule type="cellIs" dxfId="133" priority="27" operator="equal">
      <formula>0</formula>
    </cfRule>
  </conditionalFormatting>
  <conditionalFormatting sqref="C59:AG59">
    <cfRule type="cellIs" dxfId="132" priority="26" operator="equal">
      <formula>0</formula>
    </cfRule>
  </conditionalFormatting>
  <conditionalFormatting sqref="C23:AG23 C27:AG27 C19:AG19">
    <cfRule type="cellIs" dxfId="131" priority="25" operator="equal">
      <formula>0</formula>
    </cfRule>
  </conditionalFormatting>
  <conditionalFormatting sqref="C24:AG26 C20:AG22 C30:AG33">
    <cfRule type="cellIs" dxfId="130" priority="24" operator="equal">
      <formula>0</formula>
    </cfRule>
  </conditionalFormatting>
  <conditionalFormatting sqref="C29:AG29">
    <cfRule type="cellIs" dxfId="129" priority="23" operator="equal">
      <formula>0</formula>
    </cfRule>
  </conditionalFormatting>
  <conditionalFormatting sqref="C28:AG28">
    <cfRule type="cellIs" dxfId="128" priority="22" operator="equal">
      <formula>0</formula>
    </cfRule>
  </conditionalFormatting>
  <conditionalFormatting sqref="J8">
    <cfRule type="cellIs" dxfId="127" priority="21" operator="equal">
      <formula>0</formula>
    </cfRule>
  </conditionalFormatting>
  <conditionalFormatting sqref="X4">
    <cfRule type="cellIs" dxfId="126" priority="20" operator="equal">
      <formula>0</formula>
    </cfRule>
  </conditionalFormatting>
  <conditionalFormatting sqref="J9">
    <cfRule type="cellIs" dxfId="125" priority="19" operator="equal">
      <formula>0</formula>
    </cfRule>
  </conditionalFormatting>
  <conditionalFormatting sqref="C41:AG41">
    <cfRule type="cellIs" dxfId="124" priority="17" operator="equal">
      <formula>0</formula>
    </cfRule>
  </conditionalFormatting>
  <conditionalFormatting sqref="C42:AG42">
    <cfRule type="cellIs" dxfId="123" priority="16" operator="equal">
      <formula>0</formula>
    </cfRule>
  </conditionalFormatting>
  <conditionalFormatting sqref="X5">
    <cfRule type="cellIs" dxfId="122" priority="15" operator="equal">
      <formula>0</formula>
    </cfRule>
  </conditionalFormatting>
  <conditionalFormatting sqref="J7">
    <cfRule type="cellIs" dxfId="121" priority="14" operator="equal">
      <formula>0</formula>
    </cfRule>
  </conditionalFormatting>
  <conditionalFormatting sqref="C40:AG40">
    <cfRule type="cellIs" dxfId="120" priority="13" operator="equal">
      <formula>0</formula>
    </cfRule>
  </conditionalFormatting>
  <conditionalFormatting sqref="C43:AG43">
    <cfRule type="cellIs" dxfId="119" priority="12" operator="equal">
      <formula>0</formula>
    </cfRule>
  </conditionalFormatting>
  <conditionalFormatting sqref="J12">
    <cfRule type="cellIs" dxfId="118" priority="8" operator="equal">
      <formula>0</formula>
    </cfRule>
  </conditionalFormatting>
  <conditionalFormatting sqref="C47:AG47">
    <cfRule type="cellIs" dxfId="117" priority="7" operator="equal">
      <formula>0</formula>
    </cfRule>
  </conditionalFormatting>
  <conditionalFormatting sqref="C48:AG48">
    <cfRule type="cellIs" dxfId="116" priority="6" operator="equal">
      <formula>0</formula>
    </cfRule>
  </conditionalFormatting>
  <conditionalFormatting sqref="C49:AG49">
    <cfRule type="cellIs" dxfId="115" priority="5" operator="equal">
      <formula>0</formula>
    </cfRule>
  </conditionalFormatting>
  <conditionalFormatting sqref="C51:AG51">
    <cfRule type="cellIs" dxfId="114" priority="4" operator="equal">
      <formula>0</formula>
    </cfRule>
  </conditionalFormatting>
  <conditionalFormatting sqref="C52:AG52">
    <cfRule type="cellIs" dxfId="113" priority="3" operator="equal">
      <formula>0</formula>
    </cfRule>
  </conditionalFormatting>
  <conditionalFormatting sqref="C53:AG53">
    <cfRule type="cellIs" dxfId="112" priority="2" operator="equal">
      <formula>0</formula>
    </cfRule>
  </conditionalFormatting>
  <conditionalFormatting sqref="C54:AG54">
    <cfRule type="cellIs" dxfId="111" priority="1" operator="equal">
      <formula>0</formula>
    </cfRule>
  </conditionalFormatting>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CCFFCC"/>
  </sheetPr>
  <dimension ref="A1:BU338"/>
  <sheetViews>
    <sheetView workbookViewId="0">
      <pane xSplit="2" topLeftCell="Z1" activePane="topRight" state="frozen"/>
      <selection pane="topRight" activeCell="AD16" sqref="AD16"/>
    </sheetView>
  </sheetViews>
  <sheetFormatPr defaultRowHeight="14.4"/>
  <cols>
    <col min="1" max="1" width="5.33203125" customWidth="1"/>
    <col min="2" max="2" width="41.33203125" bestFit="1" customWidth="1"/>
    <col min="3" max="4" width="11.6640625" customWidth="1"/>
    <col min="5" max="8" width="12.44140625" customWidth="1"/>
    <col min="9" max="18" width="11.6640625" customWidth="1"/>
    <col min="19" max="22" width="14.44140625" customWidth="1"/>
    <col min="23" max="33" width="11.6640625" customWidth="1"/>
    <col min="35" max="35" width="9.6640625" customWidth="1"/>
    <col min="36" max="36" width="10" customWidth="1"/>
    <col min="37" max="37" width="9.33203125" customWidth="1"/>
    <col min="38" max="38" width="9.6640625" customWidth="1"/>
    <col min="39" max="39" width="10.33203125" customWidth="1"/>
    <col min="42" max="42" width="10.33203125" bestFit="1" customWidth="1"/>
  </cols>
  <sheetData>
    <row r="1" spans="1:73" s="326" customFormat="1" ht="24.6">
      <c r="B1" s="327" t="s">
        <v>904</v>
      </c>
      <c r="K1" s="328"/>
      <c r="L1" s="328"/>
      <c r="M1" s="328"/>
      <c r="N1" s="328"/>
      <c r="V1" s="28"/>
      <c r="W1" s="19"/>
      <c r="X1" s="19"/>
      <c r="Y1" s="19"/>
      <c r="Z1" s="19"/>
      <c r="AA1" s="19"/>
      <c r="AB1" s="19"/>
      <c r="AC1" s="19"/>
      <c r="AD1" s="19"/>
      <c r="AE1" s="19"/>
    </row>
    <row r="2" spans="1:73" s="326" customFormat="1" ht="13.2">
      <c r="E2" s="19"/>
      <c r="F2" s="19"/>
      <c r="G2" s="19"/>
      <c r="H2" s="19"/>
      <c r="I2" s="19"/>
      <c r="J2" s="19"/>
      <c r="K2" s="19"/>
      <c r="L2" s="19"/>
      <c r="M2" s="19"/>
      <c r="N2" s="19"/>
      <c r="O2" s="19"/>
      <c r="P2" s="19"/>
      <c r="V2" s="28"/>
      <c r="W2" s="19"/>
      <c r="X2" s="19"/>
      <c r="Y2" s="19"/>
      <c r="Z2" s="19"/>
      <c r="AA2" s="19"/>
      <c r="AB2" s="19"/>
      <c r="AC2" s="19"/>
      <c r="AD2" s="19"/>
      <c r="AE2" s="19"/>
    </row>
    <row r="3" spans="1:73" s="326" customFormat="1" ht="13.2">
      <c r="B3" s="332" t="s">
        <v>214</v>
      </c>
      <c r="C3" s="331"/>
      <c r="E3" s="19"/>
      <c r="F3" s="19"/>
      <c r="G3" s="19"/>
      <c r="H3" s="19"/>
      <c r="I3" s="220"/>
      <c r="J3" s="68"/>
      <c r="K3" s="68"/>
      <c r="L3" s="68"/>
      <c r="M3" s="19"/>
      <c r="N3" s="19"/>
      <c r="O3" s="19"/>
      <c r="P3" s="68"/>
      <c r="V3" s="28"/>
      <c r="W3" s="19"/>
      <c r="X3" s="19"/>
      <c r="Y3" s="19"/>
      <c r="Z3" s="19"/>
      <c r="AA3" s="19"/>
      <c r="AB3" s="19"/>
      <c r="AC3" s="19"/>
      <c r="AD3" s="19"/>
      <c r="AE3" s="19"/>
    </row>
    <row r="4" spans="1:73" s="326" customFormat="1" ht="13.8" thickBot="1">
      <c r="B4" s="334" t="s">
        <v>211</v>
      </c>
      <c r="C4" s="81"/>
      <c r="D4" s="329"/>
      <c r="E4" s="25" t="str">
        <f>Cashflow!E4</f>
        <v>Geological and flow variables</v>
      </c>
      <c r="F4" s="19"/>
      <c r="G4" s="19"/>
      <c r="H4" s="19"/>
      <c r="I4" s="220"/>
      <c r="J4" s="19"/>
      <c r="K4" s="25" t="str">
        <f>Cashflow!M4</f>
        <v>Production variables</v>
      </c>
      <c r="L4" s="19"/>
      <c r="M4" s="19"/>
      <c r="N4" s="19"/>
      <c r="O4" s="19"/>
      <c r="P4" s="19"/>
      <c r="Q4" s="333" t="s">
        <v>325</v>
      </c>
      <c r="V4" s="28"/>
      <c r="W4" s="25" t="s">
        <v>738</v>
      </c>
      <c r="X4" s="569"/>
      <c r="Y4" s="19"/>
      <c r="Z4" s="19"/>
      <c r="AA4" s="328"/>
      <c r="AB4" s="19"/>
      <c r="AC4" s="19"/>
      <c r="AD4" s="19"/>
      <c r="AE4" s="19"/>
    </row>
    <row r="5" spans="1:73" s="326" customFormat="1" ht="13.2">
      <c r="B5" s="334" t="s">
        <v>89</v>
      </c>
      <c r="C5" s="29"/>
      <c r="D5" s="329"/>
      <c r="E5" s="91" t="str">
        <f>Cashflow!E5</f>
        <v>Total area of reservoir (km2)</v>
      </c>
      <c r="F5" s="87"/>
      <c r="G5" s="87"/>
      <c r="H5" s="87"/>
      <c r="I5" s="830">
        <f>Cashflow!I5</f>
        <v>24000000</v>
      </c>
      <c r="J5" s="27"/>
      <c r="K5" s="91" t="str">
        <f>Cashflow!M9</f>
        <v>Completion interval of well, i.e. 'h' in kh/m-factor (m)</v>
      </c>
      <c r="L5" s="87"/>
      <c r="M5" s="87"/>
      <c r="N5" s="87"/>
      <c r="O5" s="125">
        <f>Cashflow!Q9</f>
        <v>300</v>
      </c>
      <c r="P5" s="19"/>
      <c r="Q5" s="91" t="str">
        <f>Flow!S8</f>
        <v>Initial water density, ρ (kg/m3)</v>
      </c>
      <c r="R5" s="637"/>
      <c r="S5" s="637"/>
      <c r="T5" s="637"/>
      <c r="U5" s="638">
        <f>Cashflow!$AM$6</f>
        <v>723.05</v>
      </c>
      <c r="V5" s="28"/>
      <c r="W5" s="336" t="str">
        <f>Flow!Z6</f>
        <v>Production well drawdown (Pa)</v>
      </c>
      <c r="X5" s="337"/>
      <c r="Y5" s="337"/>
      <c r="Z5" s="427"/>
      <c r="AA5" s="598">
        <f>Cashflow!AM21</f>
        <v>7000000</v>
      </c>
      <c r="AB5" s="19"/>
    </row>
    <row r="6" spans="1:73" s="326" customFormat="1" ht="13.8" thickBot="1">
      <c r="D6" s="329"/>
      <c r="E6" s="89" t="str">
        <f>Cashflow!E10</f>
        <v>Reservoir permeability (mD)</v>
      </c>
      <c r="F6" s="28"/>
      <c r="G6" s="28"/>
      <c r="H6" s="28"/>
      <c r="I6" s="831">
        <f>Cashflow!I10</f>
        <v>9.8692330000000007E-15</v>
      </c>
      <c r="J6" s="27"/>
      <c r="K6" s="90" t="str">
        <f>Cashflow!M17</f>
        <v>Isentropic turbine efficiency</v>
      </c>
      <c r="L6" s="86"/>
      <c r="M6" s="86"/>
      <c r="N6" s="86"/>
      <c r="O6" s="720">
        <f>Cashflow!Q17</f>
        <v>0.86</v>
      </c>
      <c r="P6" s="19"/>
      <c r="Q6" s="90" t="str">
        <f>Flow!S9</f>
        <v>Initial water viscosity, μ (kg/m*s)</v>
      </c>
      <c r="R6" s="973"/>
      <c r="S6" s="86"/>
      <c r="T6" s="340"/>
      <c r="U6" s="721">
        <f>Cashflow!$AM$7</f>
        <v>8.7999999999999998E-5</v>
      </c>
      <c r="V6" s="28"/>
      <c r="W6" s="339" t="s">
        <v>1391</v>
      </c>
      <c r="X6" s="340"/>
      <c r="Y6" s="340"/>
      <c r="Z6" s="601"/>
      <c r="AA6" s="709">
        <f>'Steam Tables'!U100*1000</f>
        <v>8038750</v>
      </c>
      <c r="AB6" s="19"/>
    </row>
    <row r="7" spans="1:73" s="326" customFormat="1" ht="13.2">
      <c r="D7" s="329"/>
      <c r="E7" s="89" t="str">
        <f>Cashflow!E12</f>
        <v>Reservoir pressure (Pa)</v>
      </c>
      <c r="F7" s="28"/>
      <c r="G7" s="28"/>
      <c r="H7" s="28"/>
      <c r="I7" s="831">
        <f>Cashflow!I12</f>
        <v>25000000</v>
      </c>
      <c r="J7" s="19"/>
      <c r="K7" s="234"/>
      <c r="L7" s="19"/>
      <c r="M7" s="19"/>
      <c r="N7" s="19"/>
      <c r="O7" s="19"/>
      <c r="P7" s="19"/>
      <c r="Q7" s="19"/>
      <c r="R7" s="19"/>
      <c r="S7" s="19"/>
      <c r="T7" s="19"/>
      <c r="U7" s="19"/>
      <c r="V7" s="28"/>
      <c r="AB7" s="19"/>
    </row>
    <row r="8" spans="1:73" s="326" customFormat="1" ht="13.8" thickBot="1">
      <c r="E8" s="89" t="str">
        <f>Cashflow!E18</f>
        <v>Wellbore diameter (m)</v>
      </c>
      <c r="F8" s="28"/>
      <c r="G8" s="28"/>
      <c r="H8" s="28"/>
      <c r="I8" s="128">
        <f>Cashflow!I18</f>
        <v>0.26</v>
      </c>
      <c r="J8" s="19"/>
      <c r="K8" s="25" t="str">
        <f>'Project-definition'!S13</f>
        <v>Well-related costs</v>
      </c>
      <c r="L8" s="19"/>
      <c r="M8" s="19"/>
      <c r="N8" s="19"/>
      <c r="O8" s="19"/>
      <c r="P8" s="69"/>
      <c r="Q8" s="19"/>
      <c r="R8" s="19"/>
      <c r="S8" s="19"/>
      <c r="T8" s="19"/>
      <c r="U8" s="19"/>
      <c r="V8" s="28"/>
      <c r="AB8" s="19"/>
    </row>
    <row r="9" spans="1:73" s="326" customFormat="1" ht="13.2">
      <c r="E9" s="89" t="str">
        <f>Cashflow!E19</f>
        <v>Tubing inner diameter (m)</v>
      </c>
      <c r="F9" s="28"/>
      <c r="G9" s="28"/>
      <c r="H9" s="28"/>
      <c r="I9" s="128">
        <f>Cashflow!I19</f>
        <v>0.15</v>
      </c>
      <c r="J9" s="19"/>
      <c r="K9" s="91" t="str">
        <f>Cashflow!S14</f>
        <v>Along hole depth of single well (m)</v>
      </c>
      <c r="L9" s="87"/>
      <c r="M9" s="87"/>
      <c r="N9" s="87"/>
      <c r="O9" s="125">
        <f>Cashflow!V14</f>
        <v>3000</v>
      </c>
      <c r="P9" s="19"/>
      <c r="Q9" s="19"/>
      <c r="R9" s="19"/>
      <c r="S9" s="19"/>
      <c r="T9" s="19"/>
      <c r="U9" s="19"/>
      <c r="V9" s="28"/>
      <c r="AB9" s="19"/>
      <c r="AC9" s="19"/>
      <c r="AD9" s="19"/>
      <c r="AE9" s="19"/>
    </row>
    <row r="10" spans="1:73" s="326" customFormat="1" ht="13.8" thickBot="1">
      <c r="B10" s="328"/>
      <c r="C10" s="328"/>
      <c r="D10" s="328"/>
      <c r="E10" s="90" t="str">
        <f>Cashflow!E20</f>
        <v>Tubing surface roughness (mm)</v>
      </c>
      <c r="F10" s="86"/>
      <c r="G10" s="86"/>
      <c r="H10" s="86"/>
      <c r="I10" s="829">
        <f>Cashflow!I20</f>
        <v>4.5699999999999998E-2</v>
      </c>
      <c r="J10" s="19"/>
      <c r="K10" s="90" t="str">
        <f>Cashflow!S15</f>
        <v>True vertical depth of well (m)</v>
      </c>
      <c r="L10" s="86"/>
      <c r="M10" s="86"/>
      <c r="N10" s="86"/>
      <c r="O10" s="864">
        <f>Cashflow!V15</f>
        <v>2000</v>
      </c>
      <c r="P10" s="19"/>
      <c r="Q10" s="19"/>
      <c r="R10" s="19"/>
      <c r="S10" s="19"/>
      <c r="T10" s="19"/>
      <c r="U10" s="19"/>
      <c r="V10" s="28"/>
      <c r="AB10" s="19"/>
      <c r="AC10" s="19"/>
      <c r="AD10" s="19"/>
      <c r="AE10" s="19"/>
    </row>
    <row r="11" spans="1:73" s="326" customFormat="1" ht="13.2"/>
    <row r="12" spans="1:73" s="326" customFormat="1" ht="13.8" thickBot="1">
      <c r="B12" s="31" t="s">
        <v>212</v>
      </c>
      <c r="C12" s="32">
        <f>Cashflow!C$30</f>
        <v>2017</v>
      </c>
      <c r="D12" s="32">
        <f>Cashflow!D$30</f>
        <v>2018</v>
      </c>
      <c r="E12" s="32">
        <f>Cashflow!E$30</f>
        <v>2019</v>
      </c>
      <c r="F12" s="32">
        <f>Cashflow!F$30</f>
        <v>2020</v>
      </c>
      <c r="G12" s="32">
        <f>Cashflow!G$30</f>
        <v>2021</v>
      </c>
      <c r="H12" s="32">
        <f>Cashflow!H$30</f>
        <v>2022</v>
      </c>
      <c r="I12" s="32">
        <f>Cashflow!I$30</f>
        <v>2023</v>
      </c>
      <c r="J12" s="32">
        <f>Cashflow!J$30</f>
        <v>2024</v>
      </c>
      <c r="K12" s="32">
        <f>Cashflow!K$30</f>
        <v>2025</v>
      </c>
      <c r="L12" s="32">
        <f>Cashflow!L$30</f>
        <v>2026</v>
      </c>
      <c r="M12" s="32">
        <f>Cashflow!M$30</f>
        <v>2027</v>
      </c>
      <c r="N12" s="32">
        <f>Cashflow!N$30</f>
        <v>2028</v>
      </c>
      <c r="O12" s="32">
        <f>Cashflow!O$30</f>
        <v>2029</v>
      </c>
      <c r="P12" s="32">
        <f>Cashflow!P$30</f>
        <v>2030</v>
      </c>
      <c r="Q12" s="32">
        <f>Cashflow!Q$30</f>
        <v>2031</v>
      </c>
      <c r="R12" s="32">
        <f>Cashflow!R$30</f>
        <v>2032</v>
      </c>
      <c r="S12" s="32">
        <f>Cashflow!S$30</f>
        <v>2033</v>
      </c>
      <c r="T12" s="32">
        <f>Cashflow!T$30</f>
        <v>2034</v>
      </c>
      <c r="U12" s="32">
        <f>Cashflow!U$30</f>
        <v>2035</v>
      </c>
      <c r="V12" s="32">
        <f>Cashflow!V$30</f>
        <v>2036</v>
      </c>
      <c r="W12" s="32">
        <f>Cashflow!W$30</f>
        <v>2037</v>
      </c>
      <c r="X12" s="32">
        <f>Cashflow!X$30</f>
        <v>2038</v>
      </c>
      <c r="Y12" s="32">
        <f>Cashflow!Y$30</f>
        <v>2039</v>
      </c>
      <c r="Z12" s="32">
        <f>Cashflow!Z$30</f>
        <v>2040</v>
      </c>
      <c r="AA12" s="32">
        <f>Cashflow!AA$30</f>
        <v>2041</v>
      </c>
      <c r="AB12" s="32">
        <f>Cashflow!AB$30</f>
        <v>2042</v>
      </c>
      <c r="AC12" s="32">
        <f>Cashflow!AC$30</f>
        <v>2043</v>
      </c>
      <c r="AD12" s="32">
        <f>Cashflow!AD$30</f>
        <v>2044</v>
      </c>
      <c r="AE12" s="32">
        <f>Cashflow!AE$30</f>
        <v>2045</v>
      </c>
      <c r="AF12" s="32">
        <f>Cashflow!AF$30</f>
        <v>2046</v>
      </c>
      <c r="AG12" s="32">
        <f>Cashflow!AG$30</f>
        <v>2047</v>
      </c>
    </row>
    <row r="13" spans="1:73" ht="15" customHeight="1" thickTop="1">
      <c r="A13" s="326"/>
      <c r="B13" s="221" t="s">
        <v>622</v>
      </c>
      <c r="C13" s="460">
        <f>Cashflow!C33</f>
        <v>0</v>
      </c>
      <c r="D13" s="460">
        <f>Cashflow!D33</f>
        <v>0</v>
      </c>
      <c r="E13" s="460">
        <f>Cashflow!E33</f>
        <v>0</v>
      </c>
      <c r="F13" s="460">
        <f>Cashflow!F33</f>
        <v>0</v>
      </c>
      <c r="G13" s="460">
        <f>Cashflow!G33</f>
        <v>0</v>
      </c>
      <c r="H13" s="460">
        <f>Cashflow!H33</f>
        <v>0</v>
      </c>
      <c r="I13" s="460">
        <f>Cashflow!I33</f>
        <v>0</v>
      </c>
      <c r="J13" s="460">
        <f>Cashflow!J33</f>
        <v>0</v>
      </c>
      <c r="K13" s="460">
        <f>Cashflow!K33</f>
        <v>0.21960870497107587</v>
      </c>
      <c r="L13" s="460">
        <f ca="1">Cashflow!L33</f>
        <v>0.32291663236455503</v>
      </c>
      <c r="M13" s="460">
        <f ca="1">Cashflow!M33</f>
        <v>0.34110226670127608</v>
      </c>
      <c r="N13" s="460">
        <f ca="1">Cashflow!N33</f>
        <v>0.43199269370157445</v>
      </c>
      <c r="O13" s="460">
        <f ca="1">Cashflow!O33</f>
        <v>0.4081865966493809</v>
      </c>
      <c r="P13" s="460">
        <f ca="1">Cashflow!P33</f>
        <v>0.43199269370157445</v>
      </c>
      <c r="Q13" s="460">
        <f ca="1">Cashflow!Q33</f>
        <v>0.40818659664938084</v>
      </c>
      <c r="R13" s="460">
        <f ca="1">Cashflow!R33</f>
        <v>0.43199269370157445</v>
      </c>
      <c r="S13" s="460">
        <f ca="1">Cashflow!S33</f>
        <v>0.4081865966493809</v>
      </c>
      <c r="T13" s="460">
        <f ca="1">Cashflow!T33</f>
        <v>0.43199269370157445</v>
      </c>
      <c r="U13" s="460">
        <f ca="1">Cashflow!U33</f>
        <v>0.4081865966493809</v>
      </c>
      <c r="V13" s="460">
        <f ca="1">Cashflow!V33</f>
        <v>0.43199269370157445</v>
      </c>
      <c r="W13" s="460">
        <f ca="1">Cashflow!W33</f>
        <v>0.40818659664938084</v>
      </c>
      <c r="X13" s="460">
        <f ca="1">Cashflow!X33</f>
        <v>0.43199269370157445</v>
      </c>
      <c r="Y13" s="460">
        <f ca="1">Cashflow!Y33</f>
        <v>0.4081865966493809</v>
      </c>
      <c r="Z13" s="460">
        <f ca="1">Cashflow!Z33</f>
        <v>0.43199269370157445</v>
      </c>
      <c r="AA13" s="460">
        <f ca="1">Cashflow!AA33</f>
        <v>0.4081865966493809</v>
      </c>
      <c r="AB13" s="460">
        <f ca="1">Cashflow!AB33</f>
        <v>0.43199269370157445</v>
      </c>
      <c r="AC13" s="460">
        <f ca="1">Cashflow!AC33</f>
        <v>0.40818659664938084</v>
      </c>
      <c r="AD13" s="460">
        <f ca="1">Cashflow!AD33</f>
        <v>0.43199269370157445</v>
      </c>
      <c r="AE13" s="460">
        <f ca="1">Cashflow!AE33</f>
        <v>0.4081865966493809</v>
      </c>
      <c r="AF13" s="460">
        <f ca="1">Cashflow!AF33</f>
        <v>0.43199269370157445</v>
      </c>
      <c r="AG13" s="460">
        <f ca="1">Cashflow!AG33</f>
        <v>0.4081865966493809</v>
      </c>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6"/>
      <c r="BP13" s="326"/>
      <c r="BQ13" s="326"/>
      <c r="BR13" s="326"/>
      <c r="BS13" s="326"/>
      <c r="BT13" s="326"/>
      <c r="BU13" s="326"/>
    </row>
    <row r="14" spans="1:73">
      <c r="A14" s="326"/>
      <c r="B14" s="221" t="s">
        <v>856</v>
      </c>
      <c r="C14" s="562">
        <f>Cashflow!C40</f>
        <v>0</v>
      </c>
      <c r="D14" s="562">
        <f>Cashflow!D40</f>
        <v>0</v>
      </c>
      <c r="E14" s="562">
        <f>Cashflow!E40</f>
        <v>0</v>
      </c>
      <c r="F14" s="562">
        <f>Cashflow!F40</f>
        <v>0</v>
      </c>
      <c r="G14" s="562">
        <f>Cashflow!G40</f>
        <v>0</v>
      </c>
      <c r="H14" s="562">
        <f>Cashflow!H40</f>
        <v>0</v>
      </c>
      <c r="I14" s="562">
        <f>Cashflow!I40</f>
        <v>0</v>
      </c>
      <c r="J14" s="562">
        <f>Cashflow!J40</f>
        <v>0</v>
      </c>
      <c r="K14" s="562">
        <f>Cashflow!K40</f>
        <v>164.88221569228375</v>
      </c>
      <c r="L14" s="562">
        <f ca="1">Cashflow!L40</f>
        <v>242.44580757930791</v>
      </c>
      <c r="M14" s="562">
        <f ca="1">Cashflow!M40</f>
        <v>256.09958183931809</v>
      </c>
      <c r="N14" s="562">
        <f ca="1">Cashflow!N40</f>
        <v>324.34011443114207</v>
      </c>
      <c r="O14" s="562">
        <f ca="1">Cashflow!O40</f>
        <v>306.46649676435516</v>
      </c>
      <c r="P14" s="562">
        <f ca="1">Cashflow!P40</f>
        <v>324.34011443114207</v>
      </c>
      <c r="Q14" s="562">
        <f ca="1">Cashflow!Q40</f>
        <v>306.4664967643551</v>
      </c>
      <c r="R14" s="562">
        <f ca="1">Cashflow!R40</f>
        <v>324.34011443114207</v>
      </c>
      <c r="S14" s="562">
        <f ca="1">Cashflow!S40</f>
        <v>306.46649676435516</v>
      </c>
      <c r="T14" s="562">
        <f ca="1">Cashflow!T40</f>
        <v>327.38237119932836</v>
      </c>
      <c r="U14" s="562">
        <f ca="1">Cashflow!U40</f>
        <v>312.34146452199587</v>
      </c>
      <c r="V14" s="562">
        <f ca="1">Cashflow!V40</f>
        <v>333.59997650010484</v>
      </c>
      <c r="W14" s="562">
        <f ca="1">Cashflow!W40</f>
        <v>318.21643227963654</v>
      </c>
      <c r="X14" s="562">
        <f ca="1">Cashflow!X40</f>
        <v>339.70608537333794</v>
      </c>
      <c r="Y14" s="562">
        <f ca="1">Cashflow!Y40</f>
        <v>323.72157826508408</v>
      </c>
      <c r="Z14" s="562">
        <f ca="1">Cashflow!Z40</f>
        <v>345.3756342798211</v>
      </c>
      <c r="AA14" s="562">
        <f ca="1">Cashflow!AA40</f>
        <v>329.0786917218993</v>
      </c>
      <c r="AB14" s="562">
        <f ca="1">Cashflow!AB40</f>
        <v>351.0451831863042</v>
      </c>
      <c r="AC14" s="562">
        <f ca="1">Cashflow!AC40</f>
        <v>334.17577641040157</v>
      </c>
      <c r="AD14" s="562">
        <f ca="1">Cashflow!AD40</f>
        <v>356.1251406736348</v>
      </c>
      <c r="AE14" s="562">
        <f ca="1">Cashflow!AE40</f>
        <v>338.92575034211114</v>
      </c>
      <c r="AF14" s="562">
        <f ca="1">Cashflow!AF40</f>
        <v>361.15214070404983</v>
      </c>
      <c r="AG14" s="562">
        <f ca="1">Cashflow!AG40</f>
        <v>343.60959756388456</v>
      </c>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6"/>
      <c r="BP14" s="326"/>
      <c r="BQ14" s="326"/>
      <c r="BR14" s="326"/>
      <c r="BS14" s="326"/>
      <c r="BT14" s="326"/>
      <c r="BU14" s="326"/>
    </row>
    <row r="15" spans="1:73">
      <c r="A15" s="326"/>
      <c r="B15" s="185" t="s">
        <v>147</v>
      </c>
      <c r="C15" s="239">
        <f>Cashflow!C154</f>
        <v>0</v>
      </c>
      <c r="D15" s="239">
        <f>Cashflow!D154</f>
        <v>0</v>
      </c>
      <c r="E15" s="239">
        <f>Cashflow!E154</f>
        <v>0</v>
      </c>
      <c r="F15" s="239">
        <f>Cashflow!F154</f>
        <v>0</v>
      </c>
      <c r="G15" s="239">
        <f>Cashflow!G154</f>
        <v>0</v>
      </c>
      <c r="H15" s="239">
        <f>Cashflow!H154</f>
        <v>0</v>
      </c>
      <c r="I15" s="239">
        <f>Cashflow!I154</f>
        <v>1</v>
      </c>
      <c r="J15" s="239">
        <f>Cashflow!J154</f>
        <v>3</v>
      </c>
      <c r="K15" s="239">
        <f>Cashflow!K154</f>
        <v>4</v>
      </c>
      <c r="L15" s="239">
        <f ca="1">Cashflow!L154</f>
        <v>6</v>
      </c>
      <c r="M15" s="239">
        <f ca="1">Cashflow!M154</f>
        <v>7</v>
      </c>
      <c r="N15" s="239">
        <f ca="1">Cashflow!N154</f>
        <v>9</v>
      </c>
      <c r="O15" s="239">
        <f ca="1">Cashflow!O154</f>
        <v>9</v>
      </c>
      <c r="P15" s="239">
        <f ca="1">Cashflow!P154</f>
        <v>9</v>
      </c>
      <c r="Q15" s="239">
        <f ca="1">Cashflow!Q154</f>
        <v>9</v>
      </c>
      <c r="R15" s="239">
        <f ca="1">Cashflow!R154</f>
        <v>9</v>
      </c>
      <c r="S15" s="239">
        <f ca="1">Cashflow!S154</f>
        <v>9</v>
      </c>
      <c r="T15" s="239">
        <f ca="1">Cashflow!T154</f>
        <v>9</v>
      </c>
      <c r="U15" s="239">
        <f ca="1">Cashflow!U154</f>
        <v>9</v>
      </c>
      <c r="V15" s="239">
        <f ca="1">Cashflow!V154</f>
        <v>9</v>
      </c>
      <c r="W15" s="239">
        <f ca="1">Cashflow!W154</f>
        <v>9</v>
      </c>
      <c r="X15" s="239">
        <f ca="1">Cashflow!X154</f>
        <v>9</v>
      </c>
      <c r="Y15" s="239">
        <f ca="1">Cashflow!Y154</f>
        <v>9</v>
      </c>
      <c r="Z15" s="239">
        <f ca="1">Cashflow!Z154</f>
        <v>9</v>
      </c>
      <c r="AA15" s="239">
        <f ca="1">Cashflow!AA154</f>
        <v>9</v>
      </c>
      <c r="AB15" s="239">
        <f ca="1">Cashflow!AB154</f>
        <v>9</v>
      </c>
      <c r="AC15" s="239">
        <f ca="1">Cashflow!AC154</f>
        <v>9</v>
      </c>
      <c r="AD15" s="239">
        <f ca="1">Cashflow!AD154</f>
        <v>9</v>
      </c>
      <c r="AE15" s="239">
        <f ca="1">Cashflow!AE154</f>
        <v>9</v>
      </c>
      <c r="AF15" s="239">
        <f ca="1">Cashflow!AF154</f>
        <v>9</v>
      </c>
      <c r="AG15" s="239">
        <f ca="1">Cashflow!AG154</f>
        <v>9</v>
      </c>
      <c r="AH15" s="326"/>
      <c r="AI15" s="326"/>
      <c r="AJ15" s="326"/>
      <c r="AK15" s="326"/>
      <c r="AL15" s="326"/>
      <c r="AM15" s="326"/>
      <c r="AN15" s="326"/>
      <c r="AO15" s="326"/>
      <c r="AP15" s="326" t="s">
        <v>965</v>
      </c>
      <c r="AQ15" s="326" t="s">
        <v>989</v>
      </c>
      <c r="AR15" s="326"/>
      <c r="AS15" s="326"/>
      <c r="AT15" s="326"/>
      <c r="AU15" s="326"/>
      <c r="AV15" s="326"/>
      <c r="AW15" s="326"/>
      <c r="AX15" s="326"/>
      <c r="AY15" s="326"/>
      <c r="AZ15" s="326"/>
      <c r="BA15" s="326"/>
      <c r="BB15" s="326"/>
      <c r="BC15" s="326"/>
      <c r="BD15" s="326"/>
      <c r="BE15" s="326"/>
      <c r="BF15" s="326"/>
      <c r="BG15" s="326"/>
      <c r="BH15" s="326"/>
      <c r="BI15" s="326"/>
      <c r="BJ15" s="326"/>
      <c r="BK15" s="326"/>
      <c r="BL15" s="326"/>
      <c r="BM15" s="326"/>
      <c r="BN15" s="326"/>
      <c r="BO15" s="326"/>
      <c r="BP15" s="326"/>
      <c r="BQ15" s="326"/>
      <c r="BR15" s="326"/>
      <c r="BS15" s="326"/>
      <c r="BT15" s="326"/>
      <c r="BU15" s="326"/>
    </row>
    <row r="16" spans="1:73">
      <c r="A16" s="19"/>
      <c r="B16" s="221" t="s">
        <v>857</v>
      </c>
      <c r="C16" s="562">
        <f>IF(C15=0,0,C14/C15)</f>
        <v>0</v>
      </c>
      <c r="D16" s="562">
        <f t="shared" ref="D16:AG16" si="0">IF(D15=0,0,D14/D15)</f>
        <v>0</v>
      </c>
      <c r="E16" s="562">
        <f t="shared" si="0"/>
        <v>0</v>
      </c>
      <c r="F16" s="562">
        <f t="shared" si="0"/>
        <v>0</v>
      </c>
      <c r="G16" s="562">
        <f t="shared" si="0"/>
        <v>0</v>
      </c>
      <c r="H16" s="562">
        <f t="shared" si="0"/>
        <v>0</v>
      </c>
      <c r="I16" s="562">
        <f t="shared" si="0"/>
        <v>0</v>
      </c>
      <c r="J16" s="562">
        <f t="shared" si="0"/>
        <v>0</v>
      </c>
      <c r="K16" s="562">
        <f t="shared" si="0"/>
        <v>41.220553923070938</v>
      </c>
      <c r="L16" s="562">
        <f t="shared" ca="1" si="0"/>
        <v>40.407634596551318</v>
      </c>
      <c r="M16" s="562">
        <f t="shared" ca="1" si="0"/>
        <v>36.585654548474011</v>
      </c>
      <c r="N16" s="562">
        <f t="shared" ca="1" si="0"/>
        <v>36.037790492349117</v>
      </c>
      <c r="O16" s="562">
        <f t="shared" ca="1" si="0"/>
        <v>34.051832973817241</v>
      </c>
      <c r="P16" s="562">
        <f t="shared" ca="1" si="0"/>
        <v>36.037790492349117</v>
      </c>
      <c r="Q16" s="562">
        <f t="shared" ca="1" si="0"/>
        <v>34.051832973817234</v>
      </c>
      <c r="R16" s="562">
        <f t="shared" ca="1" si="0"/>
        <v>36.037790492349117</v>
      </c>
      <c r="S16" s="562">
        <f t="shared" ca="1" si="0"/>
        <v>34.051832973817241</v>
      </c>
      <c r="T16" s="562">
        <f t="shared" ca="1" si="0"/>
        <v>36.375819022147596</v>
      </c>
      <c r="U16" s="562">
        <f t="shared" ca="1" si="0"/>
        <v>34.704607169110652</v>
      </c>
      <c r="V16" s="562">
        <f t="shared" ca="1" si="0"/>
        <v>37.066664055567202</v>
      </c>
      <c r="W16" s="562">
        <f t="shared" ca="1" si="0"/>
        <v>35.357381364404063</v>
      </c>
      <c r="X16" s="562">
        <f t="shared" ca="1" si="0"/>
        <v>37.745120597037548</v>
      </c>
      <c r="Y16" s="562">
        <f t="shared" ca="1" si="0"/>
        <v>35.969064251676009</v>
      </c>
      <c r="Z16" s="562">
        <f t="shared" ca="1" si="0"/>
        <v>38.375070475535679</v>
      </c>
      <c r="AA16" s="562">
        <f t="shared" ca="1" si="0"/>
        <v>36.564299080211036</v>
      </c>
      <c r="AB16" s="562">
        <f t="shared" ca="1" si="0"/>
        <v>39.005020354033803</v>
      </c>
      <c r="AC16" s="562">
        <f t="shared" ca="1" si="0"/>
        <v>37.13064182337795</v>
      </c>
      <c r="AD16" s="562">
        <f t="shared" ca="1" si="0"/>
        <v>39.569460074848308</v>
      </c>
      <c r="AE16" s="562">
        <f t="shared" ca="1" si="0"/>
        <v>37.658416704679013</v>
      </c>
      <c r="AF16" s="562">
        <f t="shared" ca="1" si="0"/>
        <v>40.128015633783313</v>
      </c>
      <c r="AG16" s="562">
        <f t="shared" ca="1" si="0"/>
        <v>38.178844173764951</v>
      </c>
      <c r="AH16" s="326"/>
      <c r="AI16" s="326"/>
      <c r="AJ16" s="326"/>
      <c r="AK16" s="326"/>
      <c r="AL16" s="326"/>
      <c r="AM16" s="326"/>
      <c r="AN16" s="326"/>
      <c r="AO16" s="326"/>
      <c r="AP16" s="326" t="s">
        <v>963</v>
      </c>
      <c r="AQ16" s="326" t="s">
        <v>557</v>
      </c>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c r="BP16" s="326"/>
      <c r="BQ16" s="326"/>
      <c r="BR16" s="326"/>
      <c r="BS16" s="326"/>
      <c r="BT16" s="326"/>
      <c r="BU16" s="326"/>
    </row>
    <row r="17" spans="1:73" s="26" customFormat="1" ht="13.2">
      <c r="A17" s="19"/>
      <c r="B17" s="221" t="s">
        <v>1101</v>
      </c>
      <c r="C17" s="562">
        <f>IF(C16=0,0,'Steam Tables'!C157)</f>
        <v>0</v>
      </c>
      <c r="D17" s="562">
        <f>IF(D16=0,0,'Steam Tables'!D157)</f>
        <v>0</v>
      </c>
      <c r="E17" s="562">
        <f>IF(E16=0,0,'Steam Tables'!E157)</f>
        <v>0</v>
      </c>
      <c r="F17" s="562">
        <f>IF(F16=0,0,'Steam Tables'!F157)</f>
        <v>0</v>
      </c>
      <c r="G17" s="562">
        <f>IF(G16=0,0,'Steam Tables'!G157)</f>
        <v>0</v>
      </c>
      <c r="H17" s="562">
        <f>IF(H16=0,0,'Steam Tables'!H157)</f>
        <v>0</v>
      </c>
      <c r="I17" s="562">
        <f>IF(I16=0,0,'Steam Tables'!I157)</f>
        <v>0</v>
      </c>
      <c r="J17" s="562">
        <f>IF(J16=0,0,'Steam Tables'!J157)</f>
        <v>0</v>
      </c>
      <c r="K17" s="562">
        <f ca="1">IF(K16=0,0,'Steam Tables'!K157)</f>
        <v>2918.92</v>
      </c>
      <c r="L17" s="562">
        <f ca="1">IF(L16=0,0,'Steam Tables'!L157)</f>
        <v>2918.92</v>
      </c>
      <c r="M17" s="562">
        <f ca="1">IF(M16=0,0,'Steam Tables'!M157)</f>
        <v>2918.92</v>
      </c>
      <c r="N17" s="562">
        <f ca="1">IF(N16=0,0,'Steam Tables'!N157)</f>
        <v>2918.92</v>
      </c>
      <c r="O17" s="562">
        <f ca="1">IF(O16=0,0,'Steam Tables'!O157)</f>
        <v>2918.92</v>
      </c>
      <c r="P17" s="562">
        <f ca="1">IF(P16=0,0,'Steam Tables'!P157)</f>
        <v>2918.92</v>
      </c>
      <c r="Q17" s="562">
        <f ca="1">IF(Q16=0,0,'Steam Tables'!Q157)</f>
        <v>2918.92</v>
      </c>
      <c r="R17" s="562">
        <f ca="1">IF(R16=0,0,'Steam Tables'!R157)</f>
        <v>2918.92</v>
      </c>
      <c r="S17" s="562">
        <f ca="1">IF(S16=0,0,'Steam Tables'!S157)</f>
        <v>2918.92</v>
      </c>
      <c r="T17" s="562">
        <f ca="1">IF(T16=0,0,'Steam Tables'!T157)</f>
        <v>2906.1880616740095</v>
      </c>
      <c r="U17" s="562">
        <f ca="1">IF(U16=0,0,'Steam Tables'!U157)</f>
        <v>2892.8991302125914</v>
      </c>
      <c r="V17" s="562">
        <f ca="1">IF(V16=0,0,'Steam Tables'!V157)</f>
        <v>2880.1671918866009</v>
      </c>
      <c r="W17" s="562">
        <f ca="1">IF(W16=0,0,'Steam Tables'!W157)</f>
        <v>2866.8782604251828</v>
      </c>
      <c r="X17" s="562">
        <f ca="1">IF(X16=0,0,'Steam Tables'!X157)</f>
        <v>2854.1463220991927</v>
      </c>
      <c r="Y17" s="562">
        <f ca="1">IF(Y16=0,0,'Steam Tables'!Y157)</f>
        <v>2840.8573906377742</v>
      </c>
      <c r="Z17" s="562">
        <f ca="1">IF(Z16=0,0,'Steam Tables'!Z157)</f>
        <v>2827.7786535466048</v>
      </c>
      <c r="AA17" s="562">
        <f ca="1">IF(AA16=0,0,'Steam Tables'!AA157)</f>
        <v>2811.5627957965394</v>
      </c>
      <c r="AB17" s="562">
        <f ca="1">IF(AB16=0,0,'Steam Tables'!AB157)</f>
        <v>2852.9148691639266</v>
      </c>
      <c r="AC17" s="562">
        <f ca="1">IF(AC16=0,0,'Steam Tables'!AC157)</f>
        <v>2839.4382661754807</v>
      </c>
      <c r="AD17" s="562">
        <f ca="1">IF(AD16=0,0,'Steam Tables'!AD157)</f>
        <v>2826.5265223990223</v>
      </c>
      <c r="AE17" s="562">
        <f ca="1">IF(AE16=0,0,'Steam Tables'!AE157)</f>
        <v>2813.0499194105769</v>
      </c>
      <c r="AF17" s="562">
        <f ca="1">IF(AF16=0,0,'Steam Tables'!AF157)</f>
        <v>2852.9097520266819</v>
      </c>
      <c r="AG17" s="562">
        <f ca="1">IF(AG16=0,0,'Steam Tables'!AG157)</f>
        <v>2840.6184261729622</v>
      </c>
      <c r="AH17" s="326"/>
      <c r="AI17" s="326"/>
      <c r="AJ17" s="326"/>
      <c r="AK17" s="326"/>
      <c r="AL17" s="326"/>
      <c r="AM17" s="326"/>
      <c r="AN17" s="19"/>
      <c r="AO17" s="326"/>
      <c r="AP17" s="326" t="s">
        <v>964</v>
      </c>
      <c r="AQ17" s="326" t="s">
        <v>982</v>
      </c>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6"/>
      <c r="BS17" s="326"/>
      <c r="BT17" s="326"/>
      <c r="BU17" s="326"/>
    </row>
    <row r="18" spans="1:73" s="26" customFormat="1" ht="13.2">
      <c r="A18" s="19"/>
      <c r="B18" s="221" t="s">
        <v>1100</v>
      </c>
      <c r="C18" s="833">
        <f>IF(C16=0,0,'Steam Tables'!C162)</f>
        <v>0</v>
      </c>
      <c r="D18" s="833">
        <f>IF(D16=0,0,'Steam Tables'!D162)</f>
        <v>0</v>
      </c>
      <c r="E18" s="833">
        <f>IF(E16=0,0,'Steam Tables'!E162)</f>
        <v>0</v>
      </c>
      <c r="F18" s="833">
        <f>IF(F16=0,0,'Steam Tables'!F162)</f>
        <v>0</v>
      </c>
      <c r="G18" s="833">
        <f>IF(G16=0,0,'Steam Tables'!G162)</f>
        <v>0</v>
      </c>
      <c r="H18" s="833">
        <f>IF(H16=0,0,'Steam Tables'!H162)</f>
        <v>0</v>
      </c>
      <c r="I18" s="833">
        <f>IF(I16=0,0,'Steam Tables'!I162)</f>
        <v>0</v>
      </c>
      <c r="J18" s="833">
        <f>IF(J16=0,0,'Steam Tables'!J162)</f>
        <v>0</v>
      </c>
      <c r="K18" s="833">
        <f ca="1">IF(K16=0,0,'Steam Tables'!K162)</f>
        <v>2542.7802177363569</v>
      </c>
      <c r="L18" s="833">
        <f ca="1">IF(L16=0,0,'Steam Tables'!L162)</f>
        <v>2542.7802177363569</v>
      </c>
      <c r="M18" s="833">
        <f ca="1">IF(M16=0,0,'Steam Tables'!M162)</f>
        <v>2542.7802177363569</v>
      </c>
      <c r="N18" s="833">
        <f ca="1">IF(N16=0,0,'Steam Tables'!N162)</f>
        <v>2542.7802177363569</v>
      </c>
      <c r="O18" s="833">
        <f ca="1">IF(O16=0,0,'Steam Tables'!O162)</f>
        <v>2542.7802177363569</v>
      </c>
      <c r="P18" s="833">
        <f ca="1">IF(P16=0,0,'Steam Tables'!P162)</f>
        <v>2542.7802177363569</v>
      </c>
      <c r="Q18" s="833">
        <f ca="1">IF(Q16=0,0,'Steam Tables'!Q162)</f>
        <v>2542.7802177363569</v>
      </c>
      <c r="R18" s="833">
        <f ca="1">IF(R16=0,0,'Steam Tables'!R162)</f>
        <v>2542.7802177363569</v>
      </c>
      <c r="S18" s="833">
        <f ca="1">IF(S16=0,0,'Steam Tables'!S162)</f>
        <v>2542.7802177363569</v>
      </c>
      <c r="T18" s="833">
        <f ca="1">IF(T16=0,0,'Steam Tables'!T162)</f>
        <v>2532.8877626531266</v>
      </c>
      <c r="U18" s="833">
        <f ca="1">IF(U16=0,0,'Steam Tables'!U162)</f>
        <v>2522.5625353216483</v>
      </c>
      <c r="V18" s="833">
        <f ca="1">IF(V16=0,0,'Steam Tables'!V162)</f>
        <v>2512.6700802384175</v>
      </c>
      <c r="W18" s="833">
        <f ca="1">IF(W16=0,0,'Steam Tables'!W162)</f>
        <v>2502.3448529069392</v>
      </c>
      <c r="X18" s="833">
        <f ca="1">IF(X16=0,0,'Steam Tables'!X162)</f>
        <v>2492.4523978237098</v>
      </c>
      <c r="Y18" s="833">
        <f ca="1">IF(Y16=0,0,'Steam Tables'!Y162)</f>
        <v>2482.1271704922315</v>
      </c>
      <c r="Z18" s="833">
        <f ca="1">IF(Z16=0,0,'Steam Tables'!Z162)</f>
        <v>2471.8863081210284</v>
      </c>
      <c r="AA18" s="833">
        <f ca="1">IF(AA16=0,0,'Steam Tables'!AA162)</f>
        <v>2458.6205788249727</v>
      </c>
      <c r="AB18" s="833">
        <f ca="1">IF(AB16=0,0,'Steam Tables'!AB162)</f>
        <v>2549.6798088259466</v>
      </c>
      <c r="AC18" s="833">
        <f ca="1">IF(AC16=0,0,'Steam Tables'!AC162)</f>
        <v>2538.4587161818845</v>
      </c>
      <c r="AD18" s="833">
        <f ca="1">IF(AD16=0,0,'Steam Tables'!AD162)</f>
        <v>2527.7079451429031</v>
      </c>
      <c r="AE18" s="833">
        <f ca="1">IF(AE16=0,0,'Steam Tables'!AE162)</f>
        <v>2516.4868524988415</v>
      </c>
      <c r="AF18" s="833">
        <f ca="1">IF(AF16=0,0,'Steam Tables'!AF162)</f>
        <v>2629.4503298385675</v>
      </c>
      <c r="AG18" s="833">
        <f ca="1">IF(AG16=0,0,'Steam Tables'!AG162)</f>
        <v>2618.7112169351467</v>
      </c>
      <c r="AH18" s="326"/>
      <c r="AI18" s="326"/>
      <c r="AJ18" s="326"/>
      <c r="AK18" s="326"/>
      <c r="AL18" s="326"/>
      <c r="AM18" s="326"/>
      <c r="AN18" s="19"/>
      <c r="AO18" s="326"/>
      <c r="AP18" s="326" t="s">
        <v>5</v>
      </c>
      <c r="AQ18" s="326" t="s">
        <v>986</v>
      </c>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c r="BP18" s="326"/>
      <c r="BQ18" s="326"/>
      <c r="BR18" s="326"/>
      <c r="BS18" s="326"/>
      <c r="BT18" s="326"/>
      <c r="BU18" s="326"/>
    </row>
    <row r="19" spans="1:73" s="26" customFormat="1" ht="13.2">
      <c r="A19" s="19"/>
      <c r="B19" s="221" t="s">
        <v>1515</v>
      </c>
      <c r="C19" s="833">
        <f t="shared" ref="C19:AG19" si="1">C17-($O$6*(C17-C18))</f>
        <v>0</v>
      </c>
      <c r="D19" s="833">
        <f t="shared" si="1"/>
        <v>0</v>
      </c>
      <c r="E19" s="833">
        <f t="shared" si="1"/>
        <v>0</v>
      </c>
      <c r="F19" s="833">
        <f t="shared" si="1"/>
        <v>0</v>
      </c>
      <c r="G19" s="833">
        <f t="shared" si="1"/>
        <v>0</v>
      </c>
      <c r="H19" s="833">
        <f t="shared" si="1"/>
        <v>0</v>
      </c>
      <c r="I19" s="833">
        <f t="shared" si="1"/>
        <v>0</v>
      </c>
      <c r="J19" s="833">
        <f t="shared" si="1"/>
        <v>0</v>
      </c>
      <c r="K19" s="833">
        <f t="shared" ca="1" si="1"/>
        <v>2595.4397872532668</v>
      </c>
      <c r="L19" s="833">
        <f t="shared" ca="1" si="1"/>
        <v>2595.4397872532668</v>
      </c>
      <c r="M19" s="833">
        <f t="shared" ca="1" si="1"/>
        <v>2595.4397872532668</v>
      </c>
      <c r="N19" s="833">
        <f t="shared" ca="1" si="1"/>
        <v>2595.4397872532668</v>
      </c>
      <c r="O19" s="833">
        <f t="shared" ca="1" si="1"/>
        <v>2595.4397872532668</v>
      </c>
      <c r="P19" s="833">
        <f t="shared" ca="1" si="1"/>
        <v>2595.4397872532668</v>
      </c>
      <c r="Q19" s="833">
        <f t="shared" ca="1" si="1"/>
        <v>2595.4397872532668</v>
      </c>
      <c r="R19" s="833">
        <f t="shared" ca="1" si="1"/>
        <v>2595.4397872532668</v>
      </c>
      <c r="S19" s="833">
        <f t="shared" ca="1" si="1"/>
        <v>2595.4397872532668</v>
      </c>
      <c r="T19" s="833">
        <f t="shared" ca="1" si="1"/>
        <v>2585.1498045160502</v>
      </c>
      <c r="U19" s="833">
        <f t="shared" ca="1" si="1"/>
        <v>2574.4096586063802</v>
      </c>
      <c r="V19" s="833">
        <f t="shared" ca="1" si="1"/>
        <v>2564.1196758691631</v>
      </c>
      <c r="W19" s="833">
        <f t="shared" ca="1" si="1"/>
        <v>2553.3795299594931</v>
      </c>
      <c r="X19" s="833">
        <f t="shared" ca="1" si="1"/>
        <v>2543.0895472222774</v>
      </c>
      <c r="Y19" s="833">
        <f t="shared" ca="1" si="1"/>
        <v>2532.3494013126074</v>
      </c>
      <c r="Z19" s="833">
        <f t="shared" ca="1" si="1"/>
        <v>2521.7112364806089</v>
      </c>
      <c r="AA19" s="833">
        <f t="shared" ca="1" si="1"/>
        <v>2508.0324892009921</v>
      </c>
      <c r="AB19" s="833">
        <f t="shared" ca="1" si="1"/>
        <v>2592.1327172732636</v>
      </c>
      <c r="AC19" s="833">
        <f t="shared" ca="1" si="1"/>
        <v>2580.5958531809879</v>
      </c>
      <c r="AD19" s="833">
        <f t="shared" ca="1" si="1"/>
        <v>2569.5425459587595</v>
      </c>
      <c r="AE19" s="833">
        <f t="shared" ca="1" si="1"/>
        <v>2558.0056818664843</v>
      </c>
      <c r="AF19" s="833">
        <f t="shared" ca="1" si="1"/>
        <v>2660.7346489449037</v>
      </c>
      <c r="AG19" s="833">
        <f t="shared" ca="1" si="1"/>
        <v>2649.7782262284409</v>
      </c>
      <c r="AH19" s="326"/>
      <c r="AI19" s="326"/>
      <c r="AJ19" s="326"/>
      <c r="AK19" s="326"/>
      <c r="AL19" s="326"/>
      <c r="AM19" s="326"/>
      <c r="AN19" s="19"/>
      <c r="AO19" s="326"/>
      <c r="AP19" s="326" t="s">
        <v>966</v>
      </c>
      <c r="AQ19" s="326" t="s">
        <v>988</v>
      </c>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6"/>
      <c r="BQ19" s="326"/>
      <c r="BR19" s="326"/>
      <c r="BS19" s="326"/>
      <c r="BT19" s="326"/>
      <c r="BU19" s="326"/>
    </row>
    <row r="20" spans="1:73" s="26" customFormat="1" ht="13.2">
      <c r="A20" s="19"/>
      <c r="B20" s="221" t="s">
        <v>1181</v>
      </c>
      <c r="C20" s="833">
        <f>(C17-C19)*C16/1000</f>
        <v>0</v>
      </c>
      <c r="D20" s="833">
        <f t="shared" ref="D20:AG20" si="2">(D17-D19)*D16/1000</f>
        <v>0</v>
      </c>
      <c r="E20" s="833">
        <f t="shared" si="2"/>
        <v>0</v>
      </c>
      <c r="F20" s="833">
        <f t="shared" si="2"/>
        <v>0</v>
      </c>
      <c r="G20" s="833">
        <f t="shared" si="2"/>
        <v>0</v>
      </c>
      <c r="H20" s="833">
        <f t="shared" si="2"/>
        <v>0</v>
      </c>
      <c r="I20" s="833">
        <f t="shared" si="2"/>
        <v>0</v>
      </c>
      <c r="J20" s="833">
        <f t="shared" si="2"/>
        <v>0</v>
      </c>
      <c r="K20" s="833">
        <f t="shared" ca="1" si="2"/>
        <v>13.334033552573178</v>
      </c>
      <c r="L20" s="833">
        <f t="shared" ca="1" si="2"/>
        <v>13.071070235884681</v>
      </c>
      <c r="M20" s="833">
        <f t="shared" ca="1" si="2"/>
        <v>11.834735316818863</v>
      </c>
      <c r="N20" s="833">
        <f t="shared" ca="1" si="2"/>
        <v>11.657512135387295</v>
      </c>
      <c r="O20" s="833">
        <f t="shared" ca="1" si="2"/>
        <v>11.015094174786629</v>
      </c>
      <c r="P20" s="833">
        <f t="shared" ca="1" si="2"/>
        <v>11.657512135387295</v>
      </c>
      <c r="Q20" s="833">
        <f t="shared" ca="1" si="2"/>
        <v>11.015094174786627</v>
      </c>
      <c r="R20" s="833">
        <f t="shared" ca="1" si="2"/>
        <v>11.657512135387295</v>
      </c>
      <c r="S20" s="833">
        <f t="shared" ca="1" si="2"/>
        <v>11.015094174786629</v>
      </c>
      <c r="T20" s="833">
        <f t="shared" ca="1" si="2"/>
        <v>11.67802954156361</v>
      </c>
      <c r="U20" s="833">
        <f t="shared" ca="1" si="2"/>
        <v>11.053051999591183</v>
      </c>
      <c r="V20" s="833">
        <f t="shared" ca="1" si="2"/>
        <v>11.714827101814862</v>
      </c>
      <c r="W20" s="833">
        <f t="shared" ca="1" si="2"/>
        <v>11.084494170331912</v>
      </c>
      <c r="X20" s="833">
        <f ca="1">(X17-X19)*X16/1000</f>
        <v>11.740875480254729</v>
      </c>
      <c r="Y20" s="833">
        <f t="shared" ca="1" si="2"/>
        <v>11.096743690192302</v>
      </c>
      <c r="Z20" s="833">
        <f t="shared" ca="1" si="2"/>
        <v>11.745358700172762</v>
      </c>
      <c r="AA20" s="833">
        <f t="shared" ca="1" si="2"/>
        <v>11.098372910267743</v>
      </c>
      <c r="AB20" s="833">
        <f t="shared" ca="1" si="2"/>
        <v>10.171813142464046</v>
      </c>
      <c r="AC20" s="833">
        <f t="shared" ca="1" si="2"/>
        <v>9.6109849255973838</v>
      </c>
      <c r="AD20" s="833">
        <f t="shared" ca="1" si="2"/>
        <v>10.168717195628735</v>
      </c>
      <c r="AE20" s="833">
        <f t="shared" ca="1" si="2"/>
        <v>9.6045621755625756</v>
      </c>
      <c r="AF20" s="833">
        <f t="shared" ca="1" si="2"/>
        <v>7.7116055408895132</v>
      </c>
      <c r="AG20" s="833">
        <f t="shared" ca="1" si="2"/>
        <v>7.2860582557720281</v>
      </c>
      <c r="AH20" s="326"/>
      <c r="AI20" s="326"/>
      <c r="AJ20" s="326"/>
      <c r="AK20" s="326"/>
      <c r="AL20" s="326"/>
      <c r="AM20" s="326"/>
      <c r="AN20" s="19"/>
      <c r="AO20" s="326"/>
      <c r="AP20" s="326" t="s">
        <v>975</v>
      </c>
      <c r="AQ20" s="326" t="s">
        <v>987</v>
      </c>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c r="BP20" s="326"/>
      <c r="BQ20" s="326"/>
      <c r="BR20" s="326"/>
      <c r="BS20" s="326"/>
      <c r="BT20" s="326"/>
      <c r="BU20" s="326"/>
    </row>
    <row r="21" spans="1:73" s="26" customFormat="1" ht="13.2">
      <c r="A21" s="19"/>
      <c r="B21" s="221" t="s">
        <v>1182</v>
      </c>
      <c r="C21" s="459">
        <f>C20*C15</f>
        <v>0</v>
      </c>
      <c r="D21" s="459">
        <f t="shared" ref="D21:AG21" si="3">D20*D15</f>
        <v>0</v>
      </c>
      <c r="E21" s="459">
        <f t="shared" si="3"/>
        <v>0</v>
      </c>
      <c r="F21" s="459">
        <f t="shared" si="3"/>
        <v>0</v>
      </c>
      <c r="G21" s="459">
        <f t="shared" si="3"/>
        <v>0</v>
      </c>
      <c r="H21" s="459">
        <f t="shared" si="3"/>
        <v>0</v>
      </c>
      <c r="I21" s="459">
        <f t="shared" si="3"/>
        <v>0</v>
      </c>
      <c r="J21" s="459">
        <f t="shared" si="3"/>
        <v>0</v>
      </c>
      <c r="K21" s="459">
        <f t="shared" ca="1" si="3"/>
        <v>53.336134210292713</v>
      </c>
      <c r="L21" s="459">
        <f t="shared" ca="1" si="3"/>
        <v>78.426421415308084</v>
      </c>
      <c r="M21" s="459">
        <f t="shared" ca="1" si="3"/>
        <v>82.843147217732039</v>
      </c>
      <c r="N21" s="459">
        <f t="shared" ca="1" si="3"/>
        <v>104.91760921848565</v>
      </c>
      <c r="O21" s="459">
        <f t="shared" ca="1" si="3"/>
        <v>99.135847573079658</v>
      </c>
      <c r="P21" s="459">
        <f t="shared" ca="1" si="3"/>
        <v>104.91760921848565</v>
      </c>
      <c r="Q21" s="459">
        <f t="shared" ca="1" si="3"/>
        <v>99.135847573079644</v>
      </c>
      <c r="R21" s="459">
        <f t="shared" ca="1" si="3"/>
        <v>104.91760921848565</v>
      </c>
      <c r="S21" s="459">
        <f t="shared" ca="1" si="3"/>
        <v>99.135847573079658</v>
      </c>
      <c r="T21" s="459">
        <f t="shared" ca="1" si="3"/>
        <v>105.10226587407249</v>
      </c>
      <c r="U21" s="459">
        <f t="shared" ca="1" si="3"/>
        <v>99.477467996320655</v>
      </c>
      <c r="V21" s="459">
        <f t="shared" ca="1" si="3"/>
        <v>105.43344391633376</v>
      </c>
      <c r="W21" s="459">
        <f t="shared" ca="1" si="3"/>
        <v>99.7604475329872</v>
      </c>
      <c r="X21" s="459">
        <f t="shared" ca="1" si="3"/>
        <v>105.66787932229256</v>
      </c>
      <c r="Y21" s="459">
        <f t="shared" ca="1" si="3"/>
        <v>99.87069321173071</v>
      </c>
      <c r="Z21" s="459">
        <f t="shared" ca="1" si="3"/>
        <v>105.70822830155485</v>
      </c>
      <c r="AA21" s="459">
        <f t="shared" ca="1" si="3"/>
        <v>99.885356192409688</v>
      </c>
      <c r="AB21" s="459">
        <f t="shared" ca="1" si="3"/>
        <v>91.546318282176415</v>
      </c>
      <c r="AC21" s="459">
        <f t="shared" ca="1" si="3"/>
        <v>86.498864330376449</v>
      </c>
      <c r="AD21" s="459">
        <f t="shared" ca="1" si="3"/>
        <v>91.518454760658614</v>
      </c>
      <c r="AE21" s="459">
        <f t="shared" ca="1" si="3"/>
        <v>86.441059580063182</v>
      </c>
      <c r="AF21" s="459">
        <f t="shared" ca="1" si="3"/>
        <v>69.404449868005614</v>
      </c>
      <c r="AG21" s="459">
        <f t="shared" ca="1" si="3"/>
        <v>65.574524301948259</v>
      </c>
      <c r="AH21" s="326"/>
      <c r="AI21" s="326"/>
      <c r="AJ21" s="326"/>
      <c r="AK21" s="326"/>
      <c r="AL21" s="326"/>
      <c r="AM21" s="326"/>
      <c r="AN21" s="19"/>
      <c r="AO21" s="326"/>
      <c r="AP21" s="705" t="s">
        <v>967</v>
      </c>
      <c r="AQ21" s="326" t="s">
        <v>985</v>
      </c>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c r="BP21" s="326"/>
      <c r="BQ21" s="326"/>
      <c r="BR21" s="326"/>
      <c r="BS21" s="326"/>
      <c r="BT21" s="326"/>
      <c r="BU21" s="326"/>
    </row>
    <row r="22" spans="1:73" s="26" customFormat="1" ht="13.2">
      <c r="A22" s="19"/>
      <c r="B22" s="326"/>
      <c r="C22" s="326"/>
      <c r="D22" s="326"/>
      <c r="E22" s="579"/>
      <c r="F22" s="328"/>
      <c r="G22" s="328"/>
      <c r="H22" s="328"/>
      <c r="I22" s="580"/>
      <c r="J22" s="326"/>
      <c r="K22" s="342"/>
      <c r="L22" s="326"/>
      <c r="M22" s="338"/>
      <c r="N22" s="338"/>
      <c r="O22" s="338"/>
      <c r="P22" s="338"/>
      <c r="Q22" s="338"/>
      <c r="R22" s="338"/>
      <c r="S22" s="326"/>
      <c r="T22" s="326"/>
      <c r="U22" s="326"/>
      <c r="V22" s="326"/>
      <c r="W22" s="326"/>
      <c r="X22" s="326"/>
      <c r="Y22" s="326"/>
      <c r="Z22" s="326"/>
      <c r="AA22" s="326"/>
      <c r="AB22" s="326"/>
      <c r="AC22" s="326"/>
      <c r="AD22" s="326"/>
      <c r="AE22" s="326"/>
      <c r="AF22" s="326"/>
      <c r="AG22" s="326"/>
      <c r="AH22" s="326"/>
      <c r="AI22" s="326"/>
      <c r="AJ22" s="326"/>
      <c r="AK22" s="326"/>
      <c r="AL22" s="326"/>
      <c r="AM22" s="326"/>
      <c r="AN22" s="652"/>
      <c r="AO22" s="326"/>
      <c r="AP22" s="326" t="s">
        <v>976</v>
      </c>
      <c r="AQ22" s="326" t="s">
        <v>1017</v>
      </c>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Q22" s="326"/>
      <c r="BR22" s="326"/>
      <c r="BS22" s="326"/>
      <c r="BT22" s="326"/>
      <c r="BU22" s="326"/>
    </row>
    <row r="23" spans="1:73" s="26" customFormat="1" ht="13.2">
      <c r="A23" s="19"/>
      <c r="B23" s="326"/>
      <c r="C23" s="326"/>
      <c r="D23" s="326"/>
      <c r="E23" s="579"/>
      <c r="F23" s="328"/>
      <c r="G23" s="328"/>
      <c r="H23" s="328"/>
      <c r="I23" s="580"/>
      <c r="J23" s="326"/>
      <c r="K23" s="342"/>
      <c r="L23" s="326"/>
      <c r="M23" s="338"/>
      <c r="N23" s="338"/>
      <c r="O23" s="338"/>
      <c r="P23" s="338"/>
      <c r="Q23" s="338"/>
      <c r="R23" s="338"/>
      <c r="S23" s="326"/>
      <c r="T23" s="326"/>
      <c r="U23" s="326"/>
      <c r="V23" s="326"/>
      <c r="W23" s="326"/>
      <c r="X23" s="326"/>
      <c r="Y23" s="326"/>
      <c r="Z23" s="326"/>
      <c r="AA23" s="326"/>
      <c r="AB23" s="326"/>
      <c r="AC23" s="326"/>
      <c r="AD23" s="326"/>
      <c r="AE23" s="326"/>
      <c r="AF23" s="326"/>
      <c r="AG23" s="326"/>
      <c r="AH23" s="326"/>
      <c r="AI23" s="326"/>
      <c r="AJ23" s="326"/>
      <c r="AK23" s="326"/>
      <c r="AL23" s="326"/>
      <c r="AM23" s="326"/>
      <c r="AN23" s="19"/>
      <c r="AO23" s="326"/>
      <c r="AP23" s="326" t="s">
        <v>968</v>
      </c>
      <c r="AQ23" s="326" t="s">
        <v>1019</v>
      </c>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Q23" s="326"/>
      <c r="BR23" s="326"/>
      <c r="BS23" s="326"/>
      <c r="BT23" s="326"/>
      <c r="BU23" s="326"/>
    </row>
    <row r="24" spans="1:73" s="26" customFormat="1" ht="13.2">
      <c r="A24" s="19"/>
      <c r="B24" s="326"/>
      <c r="C24" s="326"/>
      <c r="D24" s="326"/>
      <c r="E24" s="579"/>
      <c r="F24" s="328"/>
      <c r="G24" s="328"/>
      <c r="H24" s="328"/>
      <c r="I24" s="580"/>
      <c r="J24" s="326"/>
      <c r="K24" s="342"/>
      <c r="L24" s="326"/>
      <c r="M24" s="338"/>
      <c r="N24" s="338"/>
      <c r="O24" s="338"/>
      <c r="P24" s="338"/>
      <c r="Q24" s="338"/>
      <c r="R24" s="338"/>
      <c r="S24" s="326"/>
      <c r="T24" s="326"/>
      <c r="U24" s="326"/>
      <c r="V24" s="326"/>
      <c r="W24" s="326"/>
      <c r="X24" s="326"/>
      <c r="Y24" s="326"/>
      <c r="Z24" s="326"/>
      <c r="AA24" s="326"/>
      <c r="AB24" s="326"/>
      <c r="AC24" s="326"/>
      <c r="AD24" s="326"/>
      <c r="AE24" s="326"/>
      <c r="AF24" s="326"/>
      <c r="AG24" s="326"/>
      <c r="AH24" s="326"/>
      <c r="AI24" s="326"/>
      <c r="AJ24" s="326"/>
      <c r="AK24" s="326"/>
      <c r="AL24" s="326"/>
      <c r="AM24" s="326"/>
      <c r="AN24" s="19"/>
      <c r="AO24" s="326"/>
      <c r="AP24" s="326" t="s">
        <v>100</v>
      </c>
      <c r="AQ24" s="326" t="s">
        <v>1001</v>
      </c>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Q24" s="326"/>
      <c r="BR24" s="326"/>
      <c r="BS24" s="326"/>
      <c r="BT24" s="326"/>
      <c r="BU24" s="326"/>
    </row>
    <row r="25" spans="1:73" s="26" customFormat="1" ht="13.2">
      <c r="A25" s="19"/>
      <c r="B25" s="326"/>
      <c r="C25" s="326"/>
      <c r="D25" s="326"/>
      <c r="E25" s="579"/>
      <c r="F25" s="328"/>
      <c r="G25" s="328"/>
      <c r="H25" s="328"/>
      <c r="I25" s="580"/>
      <c r="J25" s="326"/>
      <c r="K25" s="714"/>
      <c r="L25" s="326"/>
      <c r="M25" s="338"/>
      <c r="N25" s="338"/>
      <c r="O25" s="338"/>
      <c r="P25" s="338"/>
      <c r="Q25" s="338"/>
      <c r="R25" s="338"/>
      <c r="S25" s="326"/>
      <c r="T25" s="326"/>
      <c r="U25" s="326"/>
      <c r="V25" s="326"/>
      <c r="W25" s="326"/>
      <c r="X25" s="326"/>
      <c r="Y25" s="326"/>
      <c r="Z25" s="326"/>
      <c r="AA25" s="326"/>
      <c r="AB25" s="326"/>
      <c r="AC25" s="326"/>
      <c r="AD25" s="326"/>
      <c r="AE25" s="326"/>
      <c r="AF25" s="326"/>
      <c r="AG25" s="326"/>
      <c r="AH25" s="326"/>
      <c r="AI25" s="326"/>
      <c r="AJ25" s="326"/>
      <c r="AK25" s="326"/>
      <c r="AL25" s="326"/>
      <c r="AM25" s="326"/>
      <c r="AN25" s="19"/>
      <c r="AO25" s="326"/>
      <c r="AP25" s="326" t="s">
        <v>969</v>
      </c>
      <c r="AQ25" s="326" t="s">
        <v>1020</v>
      </c>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Q25" s="326"/>
      <c r="BR25" s="326"/>
      <c r="BS25" s="326"/>
      <c r="BT25" s="326"/>
      <c r="BU25" s="326"/>
    </row>
    <row r="26" spans="1:73" s="26" customFormat="1" ht="13.2">
      <c r="A26" s="19"/>
      <c r="B26" s="326"/>
      <c r="C26" s="326"/>
      <c r="D26" s="326"/>
      <c r="E26" s="579"/>
      <c r="F26" s="328"/>
      <c r="G26" s="328"/>
      <c r="H26" s="328"/>
      <c r="I26" s="580"/>
      <c r="J26" s="326"/>
      <c r="K26" s="342"/>
      <c r="L26" s="326"/>
      <c r="M26" s="338"/>
      <c r="N26" s="338"/>
      <c r="O26" s="338"/>
      <c r="P26" s="338"/>
      <c r="Q26" s="338"/>
      <c r="R26" s="338"/>
      <c r="S26" s="326"/>
      <c r="T26" s="326"/>
      <c r="U26" s="326"/>
      <c r="V26" s="326"/>
      <c r="W26" s="326"/>
      <c r="X26" s="326"/>
      <c r="Y26" s="326"/>
      <c r="Z26" s="326"/>
      <c r="AA26" s="326"/>
      <c r="AB26" s="326"/>
      <c r="AC26" s="326"/>
      <c r="AD26" s="326"/>
      <c r="AE26" s="326"/>
      <c r="AF26" s="326"/>
      <c r="AG26" s="326"/>
      <c r="AH26" s="326"/>
      <c r="AI26" s="326"/>
      <c r="AJ26" s="326"/>
      <c r="AK26" s="326"/>
      <c r="AL26" s="326"/>
      <c r="AM26" s="326"/>
      <c r="AN26" s="19"/>
      <c r="AO26" s="326"/>
      <c r="AP26" s="326" t="s">
        <v>977</v>
      </c>
      <c r="AQ26" s="326" t="s">
        <v>1018</v>
      </c>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Q26" s="326"/>
      <c r="BR26" s="326"/>
      <c r="BS26" s="326"/>
      <c r="BT26" s="326"/>
      <c r="BU26" s="326"/>
    </row>
    <row r="27" spans="1:73" s="26" customFormat="1" ht="13.2">
      <c r="A27" s="19"/>
      <c r="B27" s="326"/>
      <c r="C27" s="326"/>
      <c r="D27" s="326"/>
      <c r="E27" s="579"/>
      <c r="F27" s="328"/>
      <c r="G27" s="328"/>
      <c r="H27" s="328"/>
      <c r="I27" s="580"/>
      <c r="J27" s="326"/>
      <c r="K27" s="342"/>
      <c r="L27" s="326"/>
      <c r="M27" s="338"/>
      <c r="N27" s="338"/>
      <c r="O27" s="338"/>
      <c r="P27" s="338"/>
      <c r="Q27" s="338"/>
      <c r="R27" s="338"/>
      <c r="S27" s="326"/>
      <c r="T27" s="326"/>
      <c r="U27" s="326"/>
      <c r="V27" s="326"/>
      <c r="W27" s="326"/>
      <c r="X27" s="326"/>
      <c r="Y27" s="326"/>
      <c r="Z27" s="326"/>
      <c r="AA27" s="326"/>
      <c r="AB27" s="326"/>
      <c r="AC27" s="326"/>
      <c r="AD27" s="326"/>
      <c r="AE27" s="326"/>
      <c r="AF27" s="326"/>
      <c r="AG27" s="326"/>
      <c r="AH27" s="326"/>
      <c r="AI27" s="326"/>
      <c r="AJ27" s="326"/>
      <c r="AK27" s="326"/>
      <c r="AL27" s="326"/>
      <c r="AM27" s="326"/>
      <c r="AN27" s="19"/>
      <c r="AO27" s="326"/>
      <c r="AP27" s="326" t="s">
        <v>970</v>
      </c>
      <c r="AQ27" s="326" t="s">
        <v>990</v>
      </c>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Q27" s="326"/>
      <c r="BR27" s="326"/>
      <c r="BS27" s="326"/>
      <c r="BT27" s="326"/>
      <c r="BU27" s="326"/>
    </row>
    <row r="28" spans="1:73" s="26" customFormat="1" ht="13.2">
      <c r="A28" s="19"/>
      <c r="B28" s="326"/>
      <c r="C28" s="326"/>
      <c r="D28" s="326"/>
      <c r="E28" s="579"/>
      <c r="F28" s="328"/>
      <c r="G28" s="328"/>
      <c r="H28" s="328"/>
      <c r="I28" s="580"/>
      <c r="J28" s="326"/>
      <c r="K28" s="342"/>
      <c r="L28" s="326"/>
      <c r="M28" s="338"/>
      <c r="N28" s="338"/>
      <c r="O28" s="338"/>
      <c r="P28" s="338"/>
      <c r="Q28" s="338"/>
      <c r="R28" s="338"/>
      <c r="S28" s="326"/>
      <c r="T28" s="326"/>
      <c r="U28" s="326"/>
      <c r="V28" s="326"/>
      <c r="W28" s="326"/>
      <c r="X28" s="326"/>
      <c r="Y28" s="326"/>
      <c r="Z28" s="326"/>
      <c r="AA28" s="326"/>
      <c r="AB28" s="326"/>
      <c r="AC28" s="326"/>
      <c r="AD28" s="326"/>
      <c r="AE28" s="326"/>
      <c r="AF28" s="326"/>
      <c r="AG28" s="326"/>
      <c r="AH28" s="326"/>
      <c r="AI28" s="326"/>
      <c r="AJ28" s="326"/>
      <c r="AK28" s="326"/>
      <c r="AL28" s="326"/>
      <c r="AM28" s="326"/>
      <c r="AN28" s="19"/>
      <c r="AO28" s="326"/>
      <c r="AP28" s="326" t="s">
        <v>993</v>
      </c>
      <c r="AQ28" s="326" t="s">
        <v>994</v>
      </c>
      <c r="AR28" s="326"/>
      <c r="AS28" s="326"/>
      <c r="AT28" s="326"/>
      <c r="AU28" s="326"/>
      <c r="AV28" s="326"/>
      <c r="AW28" s="326"/>
      <c r="AX28" s="326"/>
      <c r="AY28" s="326"/>
      <c r="AZ28" s="326"/>
      <c r="BA28" s="326"/>
      <c r="BB28" s="326"/>
      <c r="BC28" s="326"/>
      <c r="BD28" s="326"/>
      <c r="BE28" s="326"/>
      <c r="BF28" s="326"/>
      <c r="BG28" s="326"/>
      <c r="BH28" s="326"/>
      <c r="BI28" s="326"/>
      <c r="BJ28" s="326"/>
      <c r="BK28" s="326"/>
      <c r="BL28" s="326"/>
      <c r="BM28" s="326"/>
      <c r="BN28" s="326"/>
      <c r="BO28" s="326"/>
      <c r="BP28" s="326"/>
      <c r="BQ28" s="326"/>
      <c r="BR28" s="326"/>
      <c r="BS28" s="326"/>
      <c r="BT28" s="326"/>
      <c r="BU28" s="326"/>
    </row>
    <row r="29" spans="1:73" s="26" customFormat="1" ht="13.8" thickBot="1">
      <c r="A29" s="19"/>
      <c r="B29" s="326"/>
      <c r="C29" s="326"/>
      <c r="D29" s="326"/>
      <c r="E29" s="579"/>
      <c r="F29" s="328"/>
      <c r="G29" s="328"/>
      <c r="H29" s="328"/>
      <c r="I29" s="580"/>
      <c r="J29" s="326"/>
      <c r="K29" s="342"/>
      <c r="L29" s="326"/>
      <c r="M29" s="338"/>
      <c r="N29" s="338"/>
      <c r="O29" s="338"/>
      <c r="P29" s="338"/>
      <c r="Q29" s="338"/>
      <c r="R29" s="338"/>
      <c r="S29" s="326"/>
      <c r="T29" s="326"/>
      <c r="U29" s="326"/>
      <c r="V29" s="326"/>
      <c r="W29" s="326"/>
      <c r="X29" s="326"/>
      <c r="Y29" s="326"/>
      <c r="Z29" s="326"/>
      <c r="AA29" s="326"/>
      <c r="AB29" s="326"/>
      <c r="AC29" s="326"/>
      <c r="AD29" s="326"/>
      <c r="AE29" s="326"/>
      <c r="AF29" s="326"/>
      <c r="AG29" s="326"/>
      <c r="AH29" s="326"/>
      <c r="AI29" s="326"/>
      <c r="AJ29" s="326"/>
      <c r="AK29" s="326"/>
      <c r="AL29" s="326"/>
      <c r="AM29" s="326"/>
      <c r="AN29" s="19"/>
      <c r="AO29" s="326"/>
      <c r="AP29" s="326" t="s">
        <v>971</v>
      </c>
      <c r="AQ29" s="326" t="s">
        <v>1025</v>
      </c>
      <c r="AR29" s="326"/>
      <c r="AS29" s="326"/>
      <c r="AT29" s="326"/>
      <c r="AU29" s="326"/>
      <c r="AV29" s="326"/>
      <c r="AW29" s="326"/>
      <c r="AX29" s="326"/>
      <c r="AY29" s="326"/>
      <c r="AZ29" s="326"/>
      <c r="BA29" s="326"/>
      <c r="BB29" s="326"/>
      <c r="BC29" s="326"/>
      <c r="BD29" s="326"/>
      <c r="BE29" s="326"/>
      <c r="BF29" s="326"/>
      <c r="BG29" s="326"/>
      <c r="BH29" s="326"/>
      <c r="BI29" s="326"/>
      <c r="BJ29" s="326"/>
      <c r="BK29" s="326"/>
      <c r="BL29" s="326"/>
      <c r="BM29" s="326"/>
      <c r="BN29" s="326"/>
      <c r="BO29" s="326"/>
      <c r="BP29" s="326"/>
      <c r="BQ29" s="326"/>
      <c r="BR29" s="326"/>
      <c r="BS29" s="326"/>
      <c r="BT29" s="326"/>
      <c r="BU29" s="326"/>
    </row>
    <row r="30" spans="1:73" s="26" customFormat="1" ht="13.8" thickBot="1">
      <c r="A30" s="19"/>
      <c r="B30" s="509"/>
      <c r="C30" s="510"/>
      <c r="D30" s="510"/>
      <c r="E30" s="510"/>
      <c r="F30" s="510"/>
      <c r="G30" s="510"/>
      <c r="H30" s="510"/>
      <c r="I30" s="510"/>
      <c r="J30" s="510"/>
      <c r="K30" s="510"/>
      <c r="L30" s="510"/>
      <c r="M30" s="510"/>
      <c r="N30" s="510"/>
      <c r="O30" s="510"/>
      <c r="P30" s="510"/>
      <c r="Q30" s="510"/>
      <c r="R30" s="510"/>
      <c r="S30" s="510"/>
      <c r="T30" s="510"/>
      <c r="U30" s="510"/>
      <c r="V30" s="510"/>
      <c r="W30" s="510"/>
      <c r="X30" s="510"/>
      <c r="Y30" s="510"/>
      <c r="Z30" s="510"/>
      <c r="AA30" s="510"/>
      <c r="AB30" s="510"/>
      <c r="AC30" s="510"/>
      <c r="AD30" s="510"/>
      <c r="AE30" s="510"/>
      <c r="AF30" s="510"/>
      <c r="AG30" s="539"/>
      <c r="AH30" s="326"/>
      <c r="AI30" s="326"/>
      <c r="AJ30" s="326"/>
      <c r="AK30" s="326"/>
      <c r="AL30" s="326"/>
      <c r="AM30" s="326"/>
      <c r="AN30" s="561"/>
      <c r="AO30" s="326"/>
      <c r="AP30" s="705" t="s">
        <v>973</v>
      </c>
      <c r="AQ30" s="326" t="s">
        <v>1015</v>
      </c>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c r="BN30" s="326"/>
      <c r="BO30" s="326"/>
      <c r="BP30" s="326"/>
      <c r="BQ30" s="326"/>
      <c r="BR30" s="326"/>
      <c r="BS30" s="326"/>
      <c r="BT30" s="326"/>
      <c r="BU30" s="326"/>
    </row>
    <row r="31" spans="1:73" s="26" customFormat="1" ht="13.2">
      <c r="A31" s="19"/>
      <c r="B31" s="722" t="s">
        <v>1060</v>
      </c>
      <c r="C31" s="326"/>
      <c r="D31" s="326"/>
      <c r="E31" s="579"/>
      <c r="F31" s="328"/>
      <c r="G31" s="328"/>
      <c r="H31" s="328"/>
      <c r="I31" s="580"/>
      <c r="J31" s="326"/>
      <c r="K31" s="342"/>
      <c r="L31" s="326"/>
      <c r="M31" s="338"/>
      <c r="N31" s="338"/>
      <c r="O31" s="338"/>
      <c r="P31" s="338"/>
      <c r="Q31" s="338"/>
      <c r="R31" s="338"/>
      <c r="S31" s="326"/>
      <c r="T31" s="326"/>
      <c r="U31" s="326"/>
      <c r="V31" s="326"/>
      <c r="W31" s="326"/>
      <c r="X31" s="326"/>
      <c r="Y31" s="326"/>
      <c r="Z31" s="326"/>
      <c r="AA31" s="326"/>
      <c r="AB31" s="326"/>
      <c r="AC31" s="326"/>
      <c r="AD31" s="326"/>
      <c r="AE31" s="326"/>
      <c r="AF31" s="326"/>
      <c r="AG31" s="326"/>
      <c r="AH31" s="326"/>
      <c r="AI31" s="326"/>
      <c r="AJ31" s="326"/>
      <c r="AK31" s="326"/>
      <c r="AL31" s="326"/>
      <c r="AM31" s="326"/>
      <c r="AN31" s="19"/>
      <c r="AO31" s="326"/>
      <c r="AP31" s="326" t="s">
        <v>972</v>
      </c>
      <c r="AQ31" s="326" t="s">
        <v>1016</v>
      </c>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c r="BN31" s="326"/>
      <c r="BO31" s="326"/>
      <c r="BP31" s="326"/>
      <c r="BQ31" s="326"/>
      <c r="BR31" s="326"/>
      <c r="BS31" s="326"/>
      <c r="BT31" s="326"/>
      <c r="BU31" s="326"/>
    </row>
    <row r="32" spans="1:73" s="26" customFormat="1" ht="13.8" thickBot="1">
      <c r="A32" s="19"/>
      <c r="B32" s="52" t="s">
        <v>1180</v>
      </c>
      <c r="C32" s="32">
        <f>Cashflow!C$30</f>
        <v>2017</v>
      </c>
      <c r="D32" s="32">
        <f>Cashflow!D$30</f>
        <v>2018</v>
      </c>
      <c r="E32" s="32">
        <f>Cashflow!E$30</f>
        <v>2019</v>
      </c>
      <c r="F32" s="32">
        <f>Cashflow!F$30</f>
        <v>2020</v>
      </c>
      <c r="G32" s="32">
        <f>Cashflow!G$30</f>
        <v>2021</v>
      </c>
      <c r="H32" s="32">
        <f>Cashflow!H$30</f>
        <v>2022</v>
      </c>
      <c r="I32" s="32">
        <f>Cashflow!I$30</f>
        <v>2023</v>
      </c>
      <c r="J32" s="32">
        <f>Cashflow!J$30</f>
        <v>2024</v>
      </c>
      <c r="K32" s="32">
        <f>Cashflow!K$30</f>
        <v>2025</v>
      </c>
      <c r="L32" s="32">
        <f>Cashflow!L$30</f>
        <v>2026</v>
      </c>
      <c r="M32" s="32">
        <f>Cashflow!M$30</f>
        <v>2027</v>
      </c>
      <c r="N32" s="32">
        <f>Cashflow!N$30</f>
        <v>2028</v>
      </c>
      <c r="O32" s="32">
        <f>Cashflow!O$30</f>
        <v>2029</v>
      </c>
      <c r="P32" s="32">
        <f>Cashflow!P$30</f>
        <v>2030</v>
      </c>
      <c r="Q32" s="32">
        <f>Cashflow!Q$30</f>
        <v>2031</v>
      </c>
      <c r="R32" s="32">
        <f>Cashflow!R$30</f>
        <v>2032</v>
      </c>
      <c r="S32" s="32">
        <f>Cashflow!S$30</f>
        <v>2033</v>
      </c>
      <c r="T32" s="32">
        <f>Cashflow!T$30</f>
        <v>2034</v>
      </c>
      <c r="U32" s="32">
        <f>Cashflow!U$30</f>
        <v>2035</v>
      </c>
      <c r="V32" s="32">
        <f>Cashflow!V$30</f>
        <v>2036</v>
      </c>
      <c r="W32" s="32">
        <f>Cashflow!W$30</f>
        <v>2037</v>
      </c>
      <c r="X32" s="32">
        <f>Cashflow!X$30</f>
        <v>2038</v>
      </c>
      <c r="Y32" s="32">
        <f>Cashflow!Y$30</f>
        <v>2039</v>
      </c>
      <c r="Z32" s="32">
        <f>Cashflow!Z$30</f>
        <v>2040</v>
      </c>
      <c r="AA32" s="32">
        <f>Cashflow!AA$30</f>
        <v>2041</v>
      </c>
      <c r="AB32" s="32">
        <f>Cashflow!AB$30</f>
        <v>2042</v>
      </c>
      <c r="AC32" s="32">
        <f>Cashflow!AC$30</f>
        <v>2043</v>
      </c>
      <c r="AD32" s="32">
        <f>Cashflow!AD$30</f>
        <v>2044</v>
      </c>
      <c r="AE32" s="32">
        <f>Cashflow!AE$30</f>
        <v>2045</v>
      </c>
      <c r="AF32" s="32">
        <f>Cashflow!AF$30</f>
        <v>2046</v>
      </c>
      <c r="AG32" s="32">
        <f>Cashflow!AG$30</f>
        <v>2047</v>
      </c>
      <c r="AH32" s="326"/>
      <c r="AI32" s="25" t="s">
        <v>959</v>
      </c>
      <c r="AJ32" s="569"/>
      <c r="AK32" s="19"/>
      <c r="AL32" s="19"/>
      <c r="AM32" s="654"/>
      <c r="AN32" s="19"/>
      <c r="AO32" s="326"/>
      <c r="AP32" s="326" t="s">
        <v>974</v>
      </c>
      <c r="AQ32" s="326" t="s">
        <v>1021</v>
      </c>
      <c r="AR32" s="326"/>
      <c r="AS32" s="326"/>
      <c r="AT32" s="326"/>
      <c r="AU32" s="326"/>
      <c r="AV32" s="326"/>
      <c r="AW32" s="326"/>
      <c r="AX32" s="326"/>
      <c r="AY32" s="326"/>
      <c r="AZ32" s="326"/>
      <c r="BA32" s="326"/>
      <c r="BB32" s="326"/>
      <c r="BC32" s="326"/>
      <c r="BD32" s="326"/>
      <c r="BE32" s="326"/>
      <c r="BF32" s="326"/>
      <c r="BG32" s="326"/>
      <c r="BH32" s="326"/>
      <c r="BI32" s="326"/>
      <c r="BJ32" s="326"/>
      <c r="BK32" s="326"/>
      <c r="BL32" s="326"/>
      <c r="BM32" s="326"/>
      <c r="BN32" s="326"/>
      <c r="BO32" s="326"/>
      <c r="BP32" s="326"/>
      <c r="BQ32" s="326"/>
      <c r="BR32" s="326"/>
      <c r="BS32" s="326"/>
      <c r="BT32" s="326"/>
      <c r="BU32" s="326"/>
    </row>
    <row r="33" spans="1:73" s="26" customFormat="1" ht="13.8" thickTop="1">
      <c r="A33" s="19"/>
      <c r="B33" s="185" t="s">
        <v>1157</v>
      </c>
      <c r="C33" s="587">
        <f t="shared" ref="C33:AG33" si="4">IF(C13=0,0,100)</f>
        <v>0</v>
      </c>
      <c r="D33" s="587">
        <f t="shared" si="4"/>
        <v>0</v>
      </c>
      <c r="E33" s="587">
        <f t="shared" si="4"/>
        <v>0</v>
      </c>
      <c r="F33" s="587">
        <f t="shared" si="4"/>
        <v>0</v>
      </c>
      <c r="G33" s="587">
        <f t="shared" si="4"/>
        <v>0</v>
      </c>
      <c r="H33" s="587">
        <f t="shared" si="4"/>
        <v>0</v>
      </c>
      <c r="I33" s="587">
        <f t="shared" si="4"/>
        <v>0</v>
      </c>
      <c r="J33" s="587">
        <f t="shared" si="4"/>
        <v>0</v>
      </c>
      <c r="K33" s="587">
        <f t="shared" si="4"/>
        <v>100</v>
      </c>
      <c r="L33" s="587">
        <f t="shared" ca="1" si="4"/>
        <v>100</v>
      </c>
      <c r="M33" s="587">
        <f t="shared" ca="1" si="4"/>
        <v>100</v>
      </c>
      <c r="N33" s="587">
        <f t="shared" ca="1" si="4"/>
        <v>100</v>
      </c>
      <c r="O33" s="587">
        <f t="shared" ca="1" si="4"/>
        <v>100</v>
      </c>
      <c r="P33" s="587">
        <f t="shared" ca="1" si="4"/>
        <v>100</v>
      </c>
      <c r="Q33" s="587">
        <f t="shared" ca="1" si="4"/>
        <v>100</v>
      </c>
      <c r="R33" s="587">
        <f t="shared" ca="1" si="4"/>
        <v>100</v>
      </c>
      <c r="S33" s="587">
        <f t="shared" ca="1" si="4"/>
        <v>100</v>
      </c>
      <c r="T33" s="587">
        <f t="shared" ca="1" si="4"/>
        <v>100</v>
      </c>
      <c r="U33" s="587">
        <f t="shared" ca="1" si="4"/>
        <v>100</v>
      </c>
      <c r="V33" s="587">
        <f t="shared" ca="1" si="4"/>
        <v>100</v>
      </c>
      <c r="W33" s="587">
        <f t="shared" ca="1" si="4"/>
        <v>100</v>
      </c>
      <c r="X33" s="587">
        <f t="shared" ca="1" si="4"/>
        <v>100</v>
      </c>
      <c r="Y33" s="587">
        <f t="shared" ca="1" si="4"/>
        <v>100</v>
      </c>
      <c r="Z33" s="587">
        <f t="shared" ca="1" si="4"/>
        <v>100</v>
      </c>
      <c r="AA33" s="587">
        <f t="shared" ca="1" si="4"/>
        <v>100</v>
      </c>
      <c r="AB33" s="587">
        <f t="shared" ca="1" si="4"/>
        <v>100</v>
      </c>
      <c r="AC33" s="587">
        <f t="shared" ca="1" si="4"/>
        <v>100</v>
      </c>
      <c r="AD33" s="587">
        <f t="shared" ca="1" si="4"/>
        <v>100</v>
      </c>
      <c r="AE33" s="587">
        <f t="shared" ca="1" si="4"/>
        <v>100</v>
      </c>
      <c r="AF33" s="587">
        <f t="shared" ca="1" si="4"/>
        <v>100</v>
      </c>
      <c r="AG33" s="587">
        <f t="shared" ca="1" si="4"/>
        <v>100</v>
      </c>
      <c r="AH33" s="326"/>
      <c r="AI33" s="91" t="s">
        <v>873</v>
      </c>
      <c r="AJ33" s="596"/>
      <c r="AK33" s="597"/>
      <c r="AL33" s="337"/>
      <c r="AM33" s="650">
        <f>'Steam Tables'!$U$17</f>
        <v>1317.5</v>
      </c>
      <c r="AN33" s="19"/>
      <c r="AO33" s="326"/>
      <c r="AP33" s="326" t="s">
        <v>978</v>
      </c>
      <c r="AQ33" s="326" t="s">
        <v>1022</v>
      </c>
      <c r="AR33" s="326"/>
      <c r="AS33" s="326"/>
      <c r="AT33" s="326"/>
      <c r="AU33" s="326"/>
      <c r="AV33" s="326"/>
      <c r="AW33" s="326"/>
      <c r="AX33" s="326"/>
      <c r="AY33" s="326"/>
      <c r="AZ33" s="326"/>
      <c r="BA33" s="326"/>
      <c r="BB33" s="326"/>
      <c r="BC33" s="326"/>
      <c r="BD33" s="326"/>
      <c r="BE33" s="326"/>
      <c r="BF33" s="326"/>
      <c r="BG33" s="326"/>
      <c r="BH33" s="326"/>
      <c r="BI33" s="326"/>
      <c r="BJ33" s="326"/>
      <c r="BK33" s="326"/>
      <c r="BL33" s="326"/>
      <c r="BM33" s="326"/>
      <c r="BN33" s="326"/>
      <c r="BO33" s="326"/>
      <c r="BP33" s="326"/>
      <c r="BQ33" s="326"/>
      <c r="BR33" s="326"/>
      <c r="BS33" s="326"/>
      <c r="BT33" s="326"/>
      <c r="BU33" s="326"/>
    </row>
    <row r="34" spans="1:73" s="26" customFormat="1" ht="13.2">
      <c r="A34" s="19"/>
      <c r="B34" s="185" t="s">
        <v>30</v>
      </c>
      <c r="C34" s="587">
        <f>'Steam Tables'!C186</f>
        <v>0</v>
      </c>
      <c r="D34" s="587">
        <f>'Steam Tables'!D186</f>
        <v>0</v>
      </c>
      <c r="E34" s="587">
        <f>'Steam Tables'!E186</f>
        <v>0</v>
      </c>
      <c r="F34" s="587">
        <f>'Steam Tables'!F186</f>
        <v>0</v>
      </c>
      <c r="G34" s="587">
        <f>'Steam Tables'!G186</f>
        <v>0</v>
      </c>
      <c r="H34" s="587">
        <f>'Steam Tables'!H186</f>
        <v>0</v>
      </c>
      <c r="I34" s="587">
        <f>'Steam Tables'!I186</f>
        <v>0</v>
      </c>
      <c r="J34" s="587">
        <f>'Steam Tables'!J186</f>
        <v>0</v>
      </c>
      <c r="K34" s="587">
        <f>'Steam Tables'!K186</f>
        <v>-29.995127309599265</v>
      </c>
      <c r="L34" s="587">
        <f ca="1">'Steam Tables'!L186</f>
        <v>0.10699155594752743</v>
      </c>
      <c r="M34" s="587">
        <f ca="1">'Steam Tables'!M186</f>
        <v>0.10699155594752743</v>
      </c>
      <c r="N34" s="587">
        <f ca="1">'Steam Tables'!N186</f>
        <v>0.10699155594752743</v>
      </c>
      <c r="O34" s="587">
        <f ca="1">'Steam Tables'!O186</f>
        <v>0.10699155594752743</v>
      </c>
      <c r="P34" s="587">
        <f ca="1">'Steam Tables'!P186</f>
        <v>0.10699155594752743</v>
      </c>
      <c r="Q34" s="587">
        <f ca="1">'Steam Tables'!Q186</f>
        <v>0.10699155594752743</v>
      </c>
      <c r="R34" s="587">
        <f ca="1">'Steam Tables'!R186</f>
        <v>0.10699155594752743</v>
      </c>
      <c r="S34" s="587">
        <f ca="1">'Steam Tables'!S186</f>
        <v>0.10699155594752743</v>
      </c>
      <c r="T34" s="587">
        <f ca="1">'Steam Tables'!T186</f>
        <v>9.4391251448256108E-2</v>
      </c>
      <c r="U34" s="587">
        <f ca="1">'Steam Tables'!U186</f>
        <v>8.1239712491929086E-2</v>
      </c>
      <c r="V34" s="587">
        <f ca="1">'Steam Tables'!V186</f>
        <v>6.8864127249378418E-2</v>
      </c>
      <c r="W34" s="587">
        <f ca="1">'Steam Tables'!W186</f>
        <v>5.6043925514819445E-2</v>
      </c>
      <c r="X34" s="587">
        <f ca="1">'Steam Tables'!X186</f>
        <v>4.3872753531838435E-2</v>
      </c>
      <c r="Y34" s="587">
        <f ca="1">'Steam Tables'!Y186</f>
        <v>3.1332914061852152E-2</v>
      </c>
      <c r="Z34" s="587">
        <f ca="1">'Steam Tables'!Z186</f>
        <v>1.9348869241769519E-2</v>
      </c>
      <c r="AA34" s="587">
        <f ca="1">'Steam Tables'!AA186</f>
        <v>7.0639045577586476E-3</v>
      </c>
      <c r="AB34" s="587">
        <f ca="1">'Steam Tables'!AB186</f>
        <v>-4.7061473194675392E-3</v>
      </c>
      <c r="AC34" s="587">
        <f ca="1">'Steam Tables'!AC186</f>
        <v>-1.6822255183715006E-2</v>
      </c>
      <c r="AD34" s="587">
        <f ca="1">'Steam Tables'!AD186</f>
        <v>-2.8399395422289579E-2</v>
      </c>
      <c r="AE34" s="587">
        <f ca="1">'Steam Tables'!AE186</f>
        <v>-4.0369079562279926E-2</v>
      </c>
      <c r="AF34" s="587">
        <f ca="1">'Steam Tables'!AF186</f>
        <v>-5.1750866242726297E-2</v>
      </c>
      <c r="AG34" s="587">
        <f ca="1">'Steam Tables'!AG186</f>
        <v>-6.3583666657407362E-2</v>
      </c>
      <c r="AH34" s="326"/>
      <c r="AI34" s="89" t="s">
        <v>874</v>
      </c>
      <c r="AJ34" s="424"/>
      <c r="AK34" s="326"/>
      <c r="AL34" s="599"/>
      <c r="AM34" s="649">
        <f>'Steam Tables'!$U$24</f>
        <v>1049.3263944064834</v>
      </c>
      <c r="AN34" s="19"/>
      <c r="AO34" s="326"/>
      <c r="AP34" s="326" t="s">
        <v>97</v>
      </c>
      <c r="AQ34" s="326" t="s">
        <v>992</v>
      </c>
      <c r="AR34" s="326"/>
      <c r="AS34" s="326"/>
      <c r="AT34" s="326"/>
      <c r="AU34" s="326"/>
      <c r="AV34" s="326"/>
      <c r="AW34" s="326"/>
      <c r="AX34" s="326"/>
      <c r="AY34" s="326"/>
      <c r="AZ34" s="326"/>
      <c r="BA34" s="326"/>
      <c r="BB34" s="326"/>
      <c r="BC34" s="326"/>
      <c r="BD34" s="326"/>
      <c r="BE34" s="326"/>
      <c r="BF34" s="326"/>
      <c r="BG34" s="326"/>
      <c r="BH34" s="326"/>
      <c r="BI34" s="326"/>
      <c r="BJ34" s="326"/>
      <c r="BK34" s="326"/>
      <c r="BL34" s="326"/>
      <c r="BM34" s="326"/>
      <c r="BN34" s="326"/>
      <c r="BO34" s="326"/>
      <c r="BP34" s="326"/>
      <c r="BQ34" s="326"/>
      <c r="BR34" s="326"/>
      <c r="BS34" s="326"/>
      <c r="BT34" s="326"/>
      <c r="BU34" s="326"/>
    </row>
    <row r="35" spans="1:73" s="26" customFormat="1" ht="13.2">
      <c r="A35" s="19"/>
      <c r="B35" s="185" t="s">
        <v>1177</v>
      </c>
      <c r="C35" s="665">
        <f>'Steam Tables'!C189</f>
        <v>0</v>
      </c>
      <c r="D35" s="665">
        <f>'Steam Tables'!D189</f>
        <v>0</v>
      </c>
      <c r="E35" s="665">
        <f>'Steam Tables'!E189</f>
        <v>0</v>
      </c>
      <c r="F35" s="665">
        <f>'Steam Tables'!F189</f>
        <v>0</v>
      </c>
      <c r="G35" s="665">
        <f>'Steam Tables'!G189</f>
        <v>0</v>
      </c>
      <c r="H35" s="665">
        <f>'Steam Tables'!H189</f>
        <v>0</v>
      </c>
      <c r="I35" s="665">
        <f>'Steam Tables'!I189</f>
        <v>0</v>
      </c>
      <c r="J35" s="665">
        <f>'Steam Tables'!J189</f>
        <v>0</v>
      </c>
      <c r="K35" s="665">
        <f>'Steam Tables'!K189</f>
        <v>750.30012004801915</v>
      </c>
      <c r="L35" s="665">
        <f ca="1">'Steam Tables'!L189</f>
        <v>750.30012004801915</v>
      </c>
      <c r="M35" s="665">
        <f ca="1">'Steam Tables'!M189</f>
        <v>750.30012004801915</v>
      </c>
      <c r="N35" s="665">
        <f ca="1">'Steam Tables'!N189</f>
        <v>750.30012004801915</v>
      </c>
      <c r="O35" s="665">
        <f ca="1">'Steam Tables'!O189</f>
        <v>750.30012004801915</v>
      </c>
      <c r="P35" s="665">
        <f ca="1">'Steam Tables'!P189</f>
        <v>750.30012004801915</v>
      </c>
      <c r="Q35" s="665">
        <f ca="1">'Steam Tables'!Q189</f>
        <v>750.30012004801915</v>
      </c>
      <c r="R35" s="665">
        <f ca="1">'Steam Tables'!R189</f>
        <v>750.30012004801915</v>
      </c>
      <c r="S35" s="665">
        <f ca="1">'Steam Tables'!S189</f>
        <v>750.30012004801915</v>
      </c>
      <c r="T35" s="665">
        <f ca="1">'Steam Tables'!T189</f>
        <v>757.64628077953034</v>
      </c>
      <c r="U35" s="665">
        <f ca="1">'Steam Tables'!U189</f>
        <v>765.3138192144545</v>
      </c>
      <c r="V35" s="665">
        <f ca="1">'Steam Tables'!V189</f>
        <v>772.36248735468496</v>
      </c>
      <c r="W35" s="665">
        <f ca="1">'Steam Tables'!W189</f>
        <v>779.59138795264755</v>
      </c>
      <c r="X35" s="665">
        <f ca="1">'Steam Tables'!X189</f>
        <v>786.35672237420863</v>
      </c>
      <c r="Y35" s="665">
        <f ca="1">'Steam Tables'!Y189</f>
        <v>793.18252871969469</v>
      </c>
      <c r="Z35" s="665">
        <f ca="1">'Steam Tables'!Z189</f>
        <v>799.67720625150184</v>
      </c>
      <c r="AA35" s="665">
        <f ca="1">'Steam Tables'!AA189</f>
        <v>806.12295371648304</v>
      </c>
      <c r="AB35" s="665">
        <f ca="1">'Steam Tables'!AB189</f>
        <v>812.29853370403225</v>
      </c>
      <c r="AC35" s="665">
        <f ca="1">'Steam Tables'!AC189</f>
        <v>818.50663968491347</v>
      </c>
      <c r="AD35" s="665">
        <f ca="1">'Steam Tables'!AD189</f>
        <v>824.41072451950663</v>
      </c>
      <c r="AE35" s="665">
        <f ca="1">'Steam Tables'!AE189</f>
        <v>830.39182883890601</v>
      </c>
      <c r="AF35" s="665">
        <f ca="1">'Steam Tables'!AF189</f>
        <v>835.98509085749231</v>
      </c>
      <c r="AG35" s="665">
        <f ca="1">'Steam Tables'!AG189</f>
        <v>841.75737476335382</v>
      </c>
      <c r="AH35" s="326"/>
      <c r="AI35" s="89" t="s">
        <v>875</v>
      </c>
      <c r="AJ35" s="424"/>
      <c r="AK35" s="326"/>
      <c r="AL35" s="599"/>
      <c r="AM35" s="649">
        <f>'Steam Tables'!$U$31</f>
        <v>2802.4890989988876</v>
      </c>
      <c r="AN35" s="19"/>
      <c r="AO35" s="326"/>
      <c r="AP35" s="326" t="s">
        <v>979</v>
      </c>
      <c r="AQ35" s="326" t="s">
        <v>1026</v>
      </c>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6"/>
      <c r="BS35" s="326"/>
      <c r="BT35" s="326"/>
      <c r="BU35" s="326"/>
    </row>
    <row r="36" spans="1:73" s="26" customFormat="1" ht="13.2">
      <c r="A36" s="19"/>
      <c r="B36" s="185" t="s">
        <v>1178</v>
      </c>
      <c r="C36" s="640">
        <f>'Steam Tables'!C192</f>
        <v>0</v>
      </c>
      <c r="D36" s="640">
        <f>'Steam Tables'!D192</f>
        <v>0</v>
      </c>
      <c r="E36" s="640">
        <f>'Steam Tables'!E192</f>
        <v>0</v>
      </c>
      <c r="F36" s="640">
        <f>'Steam Tables'!F192</f>
        <v>0</v>
      </c>
      <c r="G36" s="640">
        <f>'Steam Tables'!G192</f>
        <v>0</v>
      </c>
      <c r="H36" s="640">
        <f>'Steam Tables'!H192</f>
        <v>0</v>
      </c>
      <c r="I36" s="640">
        <f>'Steam Tables'!I192</f>
        <v>0</v>
      </c>
      <c r="J36" s="640">
        <f>'Steam Tables'!J192</f>
        <v>0</v>
      </c>
      <c r="K36" s="640">
        <f>'Steam Tables'!K192</f>
        <v>314.45963271753345</v>
      </c>
      <c r="L36" s="640">
        <f ca="1">'Steam Tables'!L192</f>
        <v>17.531871795059068</v>
      </c>
      <c r="M36" s="640">
        <f ca="1">'Steam Tables'!M192</f>
        <v>17.531871795059068</v>
      </c>
      <c r="N36" s="640">
        <f ca="1">'Steam Tables'!N192</f>
        <v>17.531871795059068</v>
      </c>
      <c r="O36" s="640">
        <f ca="1">'Steam Tables'!O192</f>
        <v>17.531871795059068</v>
      </c>
      <c r="P36" s="640">
        <f ca="1">'Steam Tables'!P192</f>
        <v>17.531871795059068</v>
      </c>
      <c r="Q36" s="640">
        <f ca="1">'Steam Tables'!Q192</f>
        <v>17.531871795059068</v>
      </c>
      <c r="R36" s="640">
        <f ca="1">'Steam Tables'!R192</f>
        <v>17.531871795059068</v>
      </c>
      <c r="S36" s="640">
        <f ca="1">'Steam Tables'!S192</f>
        <v>17.531871795059068</v>
      </c>
      <c r="T36" s="640">
        <f ca="1">'Steam Tables'!T192</f>
        <v>17.531871795059068</v>
      </c>
      <c r="U36" s="640">
        <f ca="1">'Steam Tables'!U192</f>
        <v>17.531871795059068</v>
      </c>
      <c r="V36" s="640">
        <f ca="1">'Steam Tables'!V192</f>
        <v>17.531871795059068</v>
      </c>
      <c r="W36" s="640">
        <f ca="1">'Steam Tables'!W192</f>
        <v>17.531871795059068</v>
      </c>
      <c r="X36" s="640">
        <f ca="1">'Steam Tables'!X192</f>
        <v>17.531871795059068</v>
      </c>
      <c r="Y36" s="640">
        <f ca="1">'Steam Tables'!Y192</f>
        <v>17.531871795059068</v>
      </c>
      <c r="Z36" s="640">
        <f ca="1">'Steam Tables'!Z192</f>
        <v>17.531871795059068</v>
      </c>
      <c r="AA36" s="640">
        <f ca="1">'Steam Tables'!AA192</f>
        <v>17.531871795059068</v>
      </c>
      <c r="AB36" s="640">
        <f ca="1">'Steam Tables'!AB192</f>
        <v>17.531871795059068</v>
      </c>
      <c r="AC36" s="640">
        <f ca="1">'Steam Tables'!AC192</f>
        <v>17.531871795059068</v>
      </c>
      <c r="AD36" s="640">
        <f ca="1">'Steam Tables'!AD192</f>
        <v>17.531871795059068</v>
      </c>
      <c r="AE36" s="640">
        <f ca="1">'Steam Tables'!AE192</f>
        <v>17.531871795059068</v>
      </c>
      <c r="AF36" s="640">
        <f ca="1">'Steam Tables'!AF192</f>
        <v>17.531871795059068</v>
      </c>
      <c r="AG36" s="640">
        <f ca="1">'Steam Tables'!AG192</f>
        <v>17.531871795059068</v>
      </c>
      <c r="AH36" s="326"/>
      <c r="AI36" s="89" t="s">
        <v>871</v>
      </c>
      <c r="AJ36" s="424"/>
      <c r="AK36" s="326"/>
      <c r="AL36" s="599"/>
      <c r="AM36" s="649">
        <f>(AM33-AM34)/(AM35-AM34)</f>
        <v>0.15296561174330067</v>
      </c>
      <c r="AN36" s="19"/>
      <c r="AO36" s="326"/>
      <c r="AP36" s="326" t="s">
        <v>980</v>
      </c>
      <c r="AQ36" s="326" t="s">
        <v>1023</v>
      </c>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6"/>
      <c r="BT36" s="326"/>
      <c r="BU36" s="326"/>
    </row>
    <row r="37" spans="1:73" s="26" customFormat="1" ht="13.8">
      <c r="A37" s="19"/>
      <c r="B37" s="185" t="s">
        <v>1170</v>
      </c>
      <c r="C37" s="665">
        <f t="shared" ref="C37:AG37" si="5">IF(C34=0,0,(C34*C35+(1-C34)*C36*$AM$42)/(C35*C36*PI()*($I$9/2)^2))</f>
        <v>0</v>
      </c>
      <c r="D37" s="665">
        <f t="shared" si="5"/>
        <v>0</v>
      </c>
      <c r="E37" s="665">
        <f t="shared" si="5"/>
        <v>0</v>
      </c>
      <c r="F37" s="665">
        <f t="shared" si="5"/>
        <v>0</v>
      </c>
      <c r="G37" s="665">
        <f t="shared" si="5"/>
        <v>0</v>
      </c>
      <c r="H37" s="665">
        <f t="shared" si="5"/>
        <v>0</v>
      </c>
      <c r="I37" s="665">
        <f t="shared" si="5"/>
        <v>0</v>
      </c>
      <c r="J37" s="665">
        <f t="shared" si="5"/>
        <v>0</v>
      </c>
      <c r="K37" s="665">
        <f t="shared" si="5"/>
        <v>6.2906675408777701</v>
      </c>
      <c r="L37" s="665">
        <f t="shared" ca="1" si="5"/>
        <v>0.682099717682767</v>
      </c>
      <c r="M37" s="665">
        <f t="shared" ca="1" si="5"/>
        <v>0.682099717682767</v>
      </c>
      <c r="N37" s="665">
        <f t="shared" ca="1" si="5"/>
        <v>0.682099717682767</v>
      </c>
      <c r="O37" s="665">
        <f t="shared" ca="1" si="5"/>
        <v>0.682099717682767</v>
      </c>
      <c r="P37" s="665">
        <f t="shared" ca="1" si="5"/>
        <v>0.682099717682767</v>
      </c>
      <c r="Q37" s="665">
        <f t="shared" ca="1" si="5"/>
        <v>0.682099717682767</v>
      </c>
      <c r="R37" s="665">
        <f t="shared" ca="1" si="5"/>
        <v>0.682099717682767</v>
      </c>
      <c r="S37" s="665">
        <f t="shared" ca="1" si="5"/>
        <v>0.682099717682767</v>
      </c>
      <c r="T37" s="665">
        <f t="shared" ca="1" si="5"/>
        <v>0.64286949048794306</v>
      </c>
      <c r="U37" s="665">
        <f t="shared" ca="1" si="5"/>
        <v>0.60189353817641311</v>
      </c>
      <c r="V37" s="665">
        <f t="shared" ca="1" si="5"/>
        <v>0.56338199608098993</v>
      </c>
      <c r="W37" s="665">
        <f t="shared" ca="1" si="5"/>
        <v>0.52349159573923465</v>
      </c>
      <c r="X37" s="665">
        <f t="shared" ca="1" si="5"/>
        <v>0.48563801708365145</v>
      </c>
      <c r="Y37" s="665">
        <f t="shared" ca="1" si="5"/>
        <v>0.44667522011815797</v>
      </c>
      <c r="Z37" s="665">
        <f t="shared" ca="1" si="5"/>
        <v>0.40942762008989791</v>
      </c>
      <c r="AA37" s="665">
        <f t="shared" ca="1" si="5"/>
        <v>0.3713123910522052</v>
      </c>
      <c r="AB37" s="665">
        <f t="shared" ca="1" si="5"/>
        <v>0.33477183794249271</v>
      </c>
      <c r="AC37" s="665">
        <f t="shared" ca="1" si="5"/>
        <v>0.29719808150067772</v>
      </c>
      <c r="AD37" s="665">
        <f t="shared" ca="1" si="5"/>
        <v>0.26128608470149656</v>
      </c>
      <c r="AE37" s="665">
        <f t="shared" ca="1" si="5"/>
        <v>0.22418723185182571</v>
      </c>
      <c r="AF37" s="665">
        <f t="shared" ca="1" si="5"/>
        <v>0.18893017632095122</v>
      </c>
      <c r="AG37" s="665">
        <f t="shared" ca="1" si="5"/>
        <v>0.15227326803978994</v>
      </c>
      <c r="AH37" s="326"/>
      <c r="AI37" s="88" t="s">
        <v>1082</v>
      </c>
      <c r="AJ37" s="326"/>
      <c r="AK37" s="28"/>
      <c r="AL37" s="326"/>
      <c r="AM37" s="649">
        <f>'Steam Tables'!U73</f>
        <v>723.05</v>
      </c>
      <c r="AN37" s="19"/>
      <c r="AO37" s="326"/>
      <c r="AP37" s="326" t="s">
        <v>981</v>
      </c>
      <c r="AQ37" s="326" t="s">
        <v>1024</v>
      </c>
      <c r="AR37" s="326"/>
      <c r="AS37" s="326"/>
      <c r="AT37" s="326"/>
      <c r="AU37" s="326"/>
      <c r="AV37" s="326"/>
      <c r="AW37" s="326"/>
      <c r="AX37" s="326"/>
      <c r="AY37" s="326"/>
      <c r="AZ37" s="326"/>
      <c r="BA37" s="326"/>
      <c r="BB37" s="326"/>
      <c r="BC37" s="326"/>
      <c r="BD37" s="326"/>
      <c r="BE37" s="326"/>
      <c r="BF37" s="326"/>
      <c r="BG37" s="326"/>
      <c r="BH37" s="326"/>
      <c r="BI37" s="326"/>
      <c r="BJ37" s="326"/>
      <c r="BK37" s="326"/>
      <c r="BL37" s="326"/>
      <c r="BM37" s="326"/>
      <c r="BN37" s="326"/>
      <c r="BO37" s="326"/>
      <c r="BP37" s="326"/>
      <c r="BQ37" s="326"/>
      <c r="BR37" s="326"/>
      <c r="BS37" s="326"/>
      <c r="BT37" s="326"/>
      <c r="BU37" s="326"/>
    </row>
    <row r="38" spans="1:73" s="26" customFormat="1" ht="13.2">
      <c r="A38" s="19"/>
      <c r="B38" s="185" t="s">
        <v>1179</v>
      </c>
      <c r="C38" s="665">
        <f t="shared" ref="C38:AG38" si="6">$I$7-(C52*C33)-9.80665*(C45*C54+C47*C55)-2/$I$9*$AM$41*C47*(C56^2)*C55-32*C51*C54/((PI()^2)*$I$9^5*C45)*(C33^2)-C47/2*((C37^2)*(C34+(1-C37)/($AM$42^2))-16/((PI()^2)*$I$9^4*(C45^2)))*(C33^2)</f>
        <v>25000000</v>
      </c>
      <c r="D38" s="665">
        <f t="shared" si="6"/>
        <v>25000000</v>
      </c>
      <c r="E38" s="665">
        <f t="shared" si="6"/>
        <v>25000000</v>
      </c>
      <c r="F38" s="665">
        <f t="shared" si="6"/>
        <v>25000000</v>
      </c>
      <c r="G38" s="665">
        <f t="shared" si="6"/>
        <v>25000000</v>
      </c>
      <c r="H38" s="665">
        <f t="shared" si="6"/>
        <v>25000000</v>
      </c>
      <c r="I38" s="665">
        <f t="shared" si="6"/>
        <v>25000000</v>
      </c>
      <c r="J38" s="665">
        <f t="shared" si="6"/>
        <v>25000000</v>
      </c>
      <c r="K38" s="665">
        <f t="shared" si="6"/>
        <v>43526525984.554596</v>
      </c>
      <c r="L38" s="665">
        <f t="shared" ca="1" si="6"/>
        <v>-43257639.328202322</v>
      </c>
      <c r="M38" s="665">
        <f t="shared" ca="1" si="6"/>
        <v>-24745420.676514469</v>
      </c>
      <c r="N38" s="665">
        <f t="shared" ca="1" si="6"/>
        <v>-22053365.932261702</v>
      </c>
      <c r="O38" s="665">
        <f t="shared" ca="1" si="6"/>
        <v>-15572139.600149862</v>
      </c>
      <c r="P38" s="665">
        <f t="shared" ca="1" si="6"/>
        <v>-22053365.932261702</v>
      </c>
      <c r="Q38" s="665">
        <f t="shared" ca="1" si="6"/>
        <v>-15572139.600149861</v>
      </c>
      <c r="R38" s="665">
        <f t="shared" ca="1" si="6"/>
        <v>-22053365.932261702</v>
      </c>
      <c r="S38" s="665">
        <f t="shared" ca="1" si="6"/>
        <v>-15572139.600149862</v>
      </c>
      <c r="T38" s="665">
        <f t="shared" ca="1" si="6"/>
        <v>-19061516.282413345</v>
      </c>
      <c r="U38" s="665">
        <f t="shared" ca="1" si="6"/>
        <v>-10037361.213137181</v>
      </c>
      <c r="V38" s="665">
        <f t="shared" ca="1" si="6"/>
        <v>-13070214.776143532</v>
      </c>
      <c r="W38" s="665">
        <f t="shared" ca="1" si="6"/>
        <v>-4645181.8934273962</v>
      </c>
      <c r="X38" s="665">
        <f t="shared" ca="1" si="6"/>
        <v>-7747033.1434514467</v>
      </c>
      <c r="Y38" s="665">
        <f t="shared" ca="1" si="6"/>
        <v>-1004184.1281806623</v>
      </c>
      <c r="Z38" s="665">
        <f t="shared" ca="1" si="6"/>
        <v>-4549815.539663774</v>
      </c>
      <c r="AA38" s="665">
        <f t="shared" ca="1" si="6"/>
        <v>1907712.6171438687</v>
      </c>
      <c r="AB38" s="665">
        <f t="shared" ca="1" si="6"/>
        <v>-1429539.1712416136</v>
      </c>
      <c r="AC38" s="665">
        <f t="shared" ca="1" si="6"/>
        <v>3927469.5589070967</v>
      </c>
      <c r="AD38" s="665">
        <f t="shared" ca="1" si="6"/>
        <v>-336095.96661400795</v>
      </c>
      <c r="AE38" s="665">
        <f t="shared" ca="1" si="6"/>
        <v>4809249.7020907812</v>
      </c>
      <c r="AF38" s="665">
        <f t="shared" ca="1" si="6"/>
        <v>556819.09357944154</v>
      </c>
      <c r="AG38" s="665">
        <f t="shared" ca="1" si="6"/>
        <v>5462213.8486667974</v>
      </c>
      <c r="AH38" s="326"/>
      <c r="AI38" s="89" t="s">
        <v>1083</v>
      </c>
      <c r="AJ38" s="326"/>
      <c r="AK38" s="28"/>
      <c r="AL38" s="326"/>
      <c r="AM38" s="649">
        <f>'Steam Tables'!U80</f>
        <v>42.9</v>
      </c>
      <c r="AN38" s="19"/>
      <c r="AO38" s="326"/>
      <c r="AP38" s="326" t="s">
        <v>983</v>
      </c>
      <c r="AQ38" s="326" t="s">
        <v>984</v>
      </c>
      <c r="AR38" s="326"/>
      <c r="AS38" s="326"/>
      <c r="AT38" s="326"/>
      <c r="AU38" s="326"/>
      <c r="AV38" s="326"/>
      <c r="AW38" s="326"/>
      <c r="AX38" s="326"/>
      <c r="AY38" s="326"/>
      <c r="AZ38" s="326"/>
      <c r="BA38" s="326"/>
      <c r="BB38" s="326"/>
      <c r="BC38" s="326"/>
      <c r="BD38" s="326"/>
      <c r="BE38" s="326"/>
      <c r="BF38" s="326"/>
      <c r="BG38" s="326"/>
      <c r="BH38" s="326"/>
      <c r="BI38" s="326"/>
      <c r="BJ38" s="326"/>
      <c r="BK38" s="326"/>
      <c r="BL38" s="326"/>
      <c r="BM38" s="326"/>
      <c r="BN38" s="326"/>
      <c r="BO38" s="326"/>
      <c r="BP38" s="326"/>
      <c r="BQ38" s="326"/>
      <c r="BR38" s="326"/>
      <c r="BS38" s="326"/>
      <c r="BT38" s="326"/>
      <c r="BU38" s="326"/>
    </row>
    <row r="39" spans="1:73" s="26" customFormat="1" ht="13.2">
      <c r="A39" s="19"/>
      <c r="B39" s="326"/>
      <c r="C39" s="326"/>
      <c r="D39" s="326"/>
      <c r="E39" s="579"/>
      <c r="F39" s="328"/>
      <c r="G39" s="328"/>
      <c r="H39" s="328"/>
      <c r="I39" s="326"/>
      <c r="J39" s="326"/>
      <c r="K39" s="326"/>
      <c r="L39" s="579"/>
      <c r="M39" s="328"/>
      <c r="N39" s="328"/>
      <c r="O39" s="328"/>
      <c r="P39" s="326"/>
      <c r="Q39" s="326"/>
      <c r="R39" s="326"/>
      <c r="S39" s="579"/>
      <c r="T39" s="328"/>
      <c r="U39" s="328"/>
      <c r="V39" s="328"/>
      <c r="W39" s="326"/>
      <c r="X39" s="326"/>
      <c r="Y39" s="326"/>
      <c r="Z39" s="579"/>
      <c r="AA39" s="328"/>
      <c r="AB39" s="328"/>
      <c r="AC39" s="328"/>
      <c r="AD39" s="326"/>
      <c r="AE39" s="326"/>
      <c r="AF39" s="326"/>
      <c r="AG39" s="579"/>
      <c r="AH39" s="326"/>
      <c r="AI39" s="89" t="s">
        <v>1084</v>
      </c>
      <c r="AJ39" s="326"/>
      <c r="AK39" s="28"/>
      <c r="AL39" s="326"/>
      <c r="AM39" s="649">
        <f>0.5*($U$5+$AM$36*$AM$38+(1-$AM$36)*$AM$37)</f>
        <v>671.03021958639692</v>
      </c>
      <c r="AN39" s="19"/>
      <c r="AO39" s="326"/>
      <c r="AP39" s="326" t="s">
        <v>991</v>
      </c>
      <c r="AQ39" s="326" t="s">
        <v>1000</v>
      </c>
      <c r="AR39" s="326"/>
      <c r="AS39" s="326"/>
      <c r="AT39" s="326"/>
      <c r="AU39" s="326"/>
      <c r="AV39" s="326"/>
      <c r="AW39" s="326"/>
      <c r="AX39" s="326"/>
      <c r="AY39" s="326"/>
      <c r="AZ39" s="326"/>
      <c r="BA39" s="326"/>
      <c r="BB39" s="326"/>
      <c r="BC39" s="326"/>
      <c r="BD39" s="326"/>
      <c r="BE39" s="326"/>
      <c r="BF39" s="326"/>
      <c r="BG39" s="326"/>
      <c r="BH39" s="326"/>
      <c r="BI39" s="326"/>
      <c r="BJ39" s="326"/>
      <c r="BK39" s="326"/>
      <c r="BL39" s="326"/>
      <c r="BM39" s="326"/>
      <c r="BN39" s="326"/>
      <c r="BO39" s="326"/>
      <c r="BP39" s="326"/>
      <c r="BQ39" s="326"/>
      <c r="BR39" s="326"/>
      <c r="BS39" s="326"/>
      <c r="BT39" s="326"/>
      <c r="BU39" s="326"/>
    </row>
    <row r="40" spans="1:73" s="68" customFormat="1" ht="13.8" thickBot="1">
      <c r="A40" s="19"/>
      <c r="B40" s="52" t="s">
        <v>1077</v>
      </c>
      <c r="C40" s="32">
        <f>Cashflow!C$30</f>
        <v>2017</v>
      </c>
      <c r="D40" s="32">
        <f>Cashflow!D$30</f>
        <v>2018</v>
      </c>
      <c r="E40" s="32">
        <f>Cashflow!E$30</f>
        <v>2019</v>
      </c>
      <c r="F40" s="32">
        <f>Cashflow!F$30</f>
        <v>2020</v>
      </c>
      <c r="G40" s="32">
        <f>Cashflow!G$30</f>
        <v>2021</v>
      </c>
      <c r="H40" s="32">
        <f>Cashflow!H$30</f>
        <v>2022</v>
      </c>
      <c r="I40" s="32">
        <f>Cashflow!I$30</f>
        <v>2023</v>
      </c>
      <c r="J40" s="32">
        <f>Cashflow!J$30</f>
        <v>2024</v>
      </c>
      <c r="K40" s="32">
        <f>Cashflow!K$30</f>
        <v>2025</v>
      </c>
      <c r="L40" s="32">
        <f>Cashflow!L$30</f>
        <v>2026</v>
      </c>
      <c r="M40" s="32">
        <f>Cashflow!M$30</f>
        <v>2027</v>
      </c>
      <c r="N40" s="32">
        <f>Cashflow!N$30</f>
        <v>2028</v>
      </c>
      <c r="O40" s="32">
        <f>Cashflow!O$30</f>
        <v>2029</v>
      </c>
      <c r="P40" s="32">
        <f>Cashflow!P$30</f>
        <v>2030</v>
      </c>
      <c r="Q40" s="32">
        <f>Cashflow!Q$30</f>
        <v>2031</v>
      </c>
      <c r="R40" s="32">
        <f>Cashflow!R$30</f>
        <v>2032</v>
      </c>
      <c r="S40" s="32">
        <f>Cashflow!S$30</f>
        <v>2033</v>
      </c>
      <c r="T40" s="32">
        <f>Cashflow!T$30</f>
        <v>2034</v>
      </c>
      <c r="U40" s="32">
        <f>Cashflow!U$30</f>
        <v>2035</v>
      </c>
      <c r="V40" s="32">
        <f>Cashflow!V$30</f>
        <v>2036</v>
      </c>
      <c r="W40" s="32">
        <f>Cashflow!W$30</f>
        <v>2037</v>
      </c>
      <c r="X40" s="32">
        <f>Cashflow!X$30</f>
        <v>2038</v>
      </c>
      <c r="Y40" s="32">
        <f>Cashflow!Y$30</f>
        <v>2039</v>
      </c>
      <c r="Z40" s="32">
        <f>Cashflow!Z$30</f>
        <v>2040</v>
      </c>
      <c r="AA40" s="32">
        <f>Cashflow!AA$30</f>
        <v>2041</v>
      </c>
      <c r="AB40" s="32">
        <f>Cashflow!AB$30</f>
        <v>2042</v>
      </c>
      <c r="AC40" s="32">
        <f>Cashflow!AC$30</f>
        <v>2043</v>
      </c>
      <c r="AD40" s="32">
        <f>Cashflow!AD$30</f>
        <v>2044</v>
      </c>
      <c r="AE40" s="32">
        <f>Cashflow!AE$30</f>
        <v>2045</v>
      </c>
      <c r="AF40" s="32">
        <f>Cashflow!AF$30</f>
        <v>2046</v>
      </c>
      <c r="AG40" s="32">
        <f>Cashflow!AG$30</f>
        <v>2047</v>
      </c>
      <c r="AH40" s="326"/>
      <c r="AI40" s="89"/>
      <c r="AJ40" s="326"/>
      <c r="AK40" s="28"/>
      <c r="AL40" s="326"/>
      <c r="AM40" s="649"/>
      <c r="AN40" s="19"/>
      <c r="AO40" s="326"/>
      <c r="AS40" s="326"/>
      <c r="AT40" s="326"/>
      <c r="AU40" s="326"/>
      <c r="AV40" s="326"/>
      <c r="AW40" s="326"/>
      <c r="AX40" s="326"/>
      <c r="AY40" s="326"/>
      <c r="AZ40" s="326"/>
      <c r="BA40" s="326"/>
      <c r="BB40" s="326"/>
      <c r="BC40" s="326"/>
      <c r="BD40" s="326"/>
      <c r="BE40" s="326"/>
      <c r="BF40" s="326"/>
      <c r="BG40" s="326"/>
      <c r="BH40" s="326"/>
      <c r="BI40" s="326"/>
      <c r="BJ40" s="326"/>
      <c r="BK40" s="326"/>
      <c r="BL40" s="326"/>
      <c r="BM40" s="326"/>
      <c r="BN40" s="326"/>
      <c r="BO40" s="326"/>
      <c r="BP40" s="326"/>
      <c r="BQ40" s="326"/>
      <c r="BR40" s="326"/>
      <c r="BS40" s="326"/>
      <c r="BT40" s="326"/>
      <c r="BU40" s="326"/>
    </row>
    <row r="41" spans="1:73" s="68" customFormat="1" ht="13.8" thickTop="1">
      <c r="A41" s="19"/>
      <c r="B41" s="185" t="s">
        <v>709</v>
      </c>
      <c r="C41" s="587">
        <f>Cashflow!C55</f>
        <v>0</v>
      </c>
      <c r="D41" s="587">
        <f>Cashflow!D55</f>
        <v>0</v>
      </c>
      <c r="E41" s="587">
        <f>Cashflow!E55</f>
        <v>0</v>
      </c>
      <c r="F41" s="587">
        <f>Cashflow!F55</f>
        <v>0</v>
      </c>
      <c r="G41" s="587">
        <f>Cashflow!G55</f>
        <v>0</v>
      </c>
      <c r="H41" s="587">
        <f>Cashflow!H55</f>
        <v>0</v>
      </c>
      <c r="I41" s="587">
        <f>Cashflow!I55</f>
        <v>0</v>
      </c>
      <c r="J41" s="587">
        <f>Cashflow!J55</f>
        <v>0</v>
      </c>
      <c r="K41" s="587">
        <f>Cashflow!K55</f>
        <v>0</v>
      </c>
      <c r="L41" s="587">
        <f ca="1">Cashflow!L55</f>
        <v>0</v>
      </c>
      <c r="M41" s="587">
        <f ca="1">Cashflow!M55</f>
        <v>0</v>
      </c>
      <c r="N41" s="587">
        <f ca="1">Cashflow!N55</f>
        <v>0</v>
      </c>
      <c r="O41" s="587">
        <f ca="1">Cashflow!O55</f>
        <v>0</v>
      </c>
      <c r="P41" s="587">
        <f ca="1">Cashflow!P55</f>
        <v>0</v>
      </c>
      <c r="Q41" s="587">
        <f ca="1">Cashflow!Q55</f>
        <v>0</v>
      </c>
      <c r="R41" s="587">
        <f ca="1">Cashflow!R55</f>
        <v>0</v>
      </c>
      <c r="S41" s="587">
        <f ca="1">Cashflow!S55</f>
        <v>0</v>
      </c>
      <c r="T41" s="587">
        <f ca="1">Cashflow!T55</f>
        <v>1</v>
      </c>
      <c r="U41" s="587">
        <f ca="1">Cashflow!U55</f>
        <v>2</v>
      </c>
      <c r="V41" s="587">
        <f ca="1">Cashflow!V55</f>
        <v>3</v>
      </c>
      <c r="W41" s="587">
        <f ca="1">Cashflow!W55</f>
        <v>4</v>
      </c>
      <c r="X41" s="587">
        <f ca="1">Cashflow!X55</f>
        <v>5</v>
      </c>
      <c r="Y41" s="587">
        <f ca="1">Cashflow!Y55</f>
        <v>6</v>
      </c>
      <c r="Z41" s="587">
        <f ca="1">Cashflow!Z55</f>
        <v>7</v>
      </c>
      <c r="AA41" s="587">
        <f ca="1">Cashflow!AA55</f>
        <v>8</v>
      </c>
      <c r="AB41" s="587">
        <f ca="1">Cashflow!AB55</f>
        <v>9</v>
      </c>
      <c r="AC41" s="587">
        <f ca="1">Cashflow!AC55</f>
        <v>10</v>
      </c>
      <c r="AD41" s="587">
        <f ca="1">Cashflow!AD55</f>
        <v>11</v>
      </c>
      <c r="AE41" s="587">
        <f ca="1">Cashflow!AE55</f>
        <v>12</v>
      </c>
      <c r="AF41" s="587">
        <f ca="1">Cashflow!AF55</f>
        <v>13</v>
      </c>
      <c r="AG41" s="587">
        <f ca="1">Cashflow!AG55</f>
        <v>14</v>
      </c>
      <c r="AH41" s="326"/>
      <c r="AI41" s="89" t="s">
        <v>1086</v>
      </c>
      <c r="AJ41" s="326"/>
      <c r="AK41" s="28"/>
      <c r="AL41" s="326"/>
      <c r="AM41" s="649">
        <f>2</f>
        <v>2</v>
      </c>
      <c r="AN41" s="19"/>
      <c r="AO41" s="326"/>
      <c r="AS41" s="326"/>
      <c r="AT41" s="326"/>
      <c r="AU41" s="326"/>
      <c r="AV41" s="326"/>
      <c r="AW41" s="326"/>
      <c r="AX41" s="326"/>
      <c r="AY41" s="326"/>
      <c r="AZ41" s="326"/>
      <c r="BA41" s="326"/>
      <c r="BB41" s="326"/>
      <c r="BC41" s="326"/>
      <c r="BD41" s="326"/>
      <c r="BE41" s="326"/>
      <c r="BF41" s="326"/>
      <c r="BG41" s="326"/>
      <c r="BH41" s="326"/>
      <c r="BI41" s="326"/>
      <c r="BJ41" s="326"/>
      <c r="BK41" s="326"/>
      <c r="BL41" s="326"/>
      <c r="BM41" s="326"/>
      <c r="BN41" s="326"/>
      <c r="BO41" s="326"/>
      <c r="BP41" s="326"/>
      <c r="BQ41" s="326"/>
      <c r="BR41" s="326"/>
      <c r="BS41" s="326"/>
      <c r="BT41" s="326"/>
      <c r="BU41" s="326"/>
    </row>
    <row r="42" spans="1:73" s="78" customFormat="1" ht="13.2">
      <c r="A42" s="19"/>
      <c r="B42" s="185" t="s">
        <v>1528</v>
      </c>
      <c r="C42" s="587">
        <f>Cashflow!C57</f>
        <v>0</v>
      </c>
      <c r="D42" s="587">
        <f>Cashflow!D57</f>
        <v>0</v>
      </c>
      <c r="E42" s="587">
        <f>Cashflow!E57</f>
        <v>0</v>
      </c>
      <c r="F42" s="587">
        <f>Cashflow!F57</f>
        <v>0</v>
      </c>
      <c r="G42" s="587">
        <f>Cashflow!G57</f>
        <v>0</v>
      </c>
      <c r="H42" s="587">
        <f>Cashflow!H57</f>
        <v>0</v>
      </c>
      <c r="I42" s="587">
        <f>Cashflow!I57</f>
        <v>0</v>
      </c>
      <c r="J42" s="587">
        <f>Cashflow!J57</f>
        <v>0</v>
      </c>
      <c r="K42" s="587">
        <f>Cashflow!K57</f>
        <v>0</v>
      </c>
      <c r="L42" s="587">
        <f ca="1">Cashflow!L57</f>
        <v>0</v>
      </c>
      <c r="M42" s="587">
        <f ca="1">Cashflow!M57</f>
        <v>0</v>
      </c>
      <c r="N42" s="587">
        <f ca="1">Cashflow!N57</f>
        <v>0</v>
      </c>
      <c r="O42" s="587">
        <f ca="1">Cashflow!O57</f>
        <v>0</v>
      </c>
      <c r="P42" s="587">
        <f ca="1">Cashflow!P57</f>
        <v>0</v>
      </c>
      <c r="Q42" s="587">
        <f ca="1">Cashflow!Q57</f>
        <v>0</v>
      </c>
      <c r="R42" s="587">
        <f ca="1">Cashflow!R57</f>
        <v>0</v>
      </c>
      <c r="S42" s="587">
        <f ca="1">Cashflow!S57</f>
        <v>0</v>
      </c>
      <c r="T42" s="587">
        <f ca="1">Cashflow!T57</f>
        <v>4.2810821539980983</v>
      </c>
      <c r="U42" s="587">
        <f ca="1">Cashflow!U57</f>
        <v>8.7494518451272736</v>
      </c>
      <c r="V42" s="587">
        <f ca="1">Cashflow!V57</f>
        <v>13.030533999125371</v>
      </c>
      <c r="W42" s="587">
        <f ca="1">Cashflow!W57</f>
        <v>17.498903690254547</v>
      </c>
      <c r="X42" s="587">
        <f ca="1">Cashflow!X57</f>
        <v>21.779985844252646</v>
      </c>
      <c r="Y42" s="587">
        <f ca="1">Cashflow!Y57</f>
        <v>26.248355535381819</v>
      </c>
      <c r="Z42" s="587">
        <f ca="1">Cashflow!Z57</f>
        <v>30.529437689379918</v>
      </c>
      <c r="AA42" s="587">
        <f ca="1">Cashflow!AA57</f>
        <v>34.997807380509094</v>
      </c>
      <c r="AB42" s="587">
        <f ca="1">Cashflow!AB57</f>
        <v>39.278889534507194</v>
      </c>
      <c r="AC42" s="587">
        <f ca="1">Cashflow!AC57</f>
        <v>43.747259225636363</v>
      </c>
      <c r="AD42" s="587">
        <f ca="1">Cashflow!AD57</f>
        <v>48.028341379634469</v>
      </c>
      <c r="AE42" s="587">
        <f ca="1">Cashflow!AE57</f>
        <v>52.496711070763638</v>
      </c>
      <c r="AF42" s="587">
        <f ca="1">Cashflow!AF57</f>
        <v>56.777793224761737</v>
      </c>
      <c r="AG42" s="587">
        <f ca="1">Cashflow!AG57</f>
        <v>61.246162915890906</v>
      </c>
      <c r="AH42" s="326"/>
      <c r="AI42" s="89" t="s">
        <v>960</v>
      </c>
      <c r="AJ42" s="600"/>
      <c r="AK42" s="28"/>
      <c r="AL42" s="326"/>
      <c r="AM42" s="649">
        <f>5</f>
        <v>5</v>
      </c>
      <c r="AN42" s="19"/>
      <c r="AO42" s="326"/>
      <c r="AP42" s="68"/>
      <c r="AQ42" s="68"/>
      <c r="AR42" s="68"/>
      <c r="AS42" s="326"/>
      <c r="AT42" s="326"/>
      <c r="AU42" s="326"/>
      <c r="AV42" s="326"/>
      <c r="AW42" s="326"/>
      <c r="AX42" s="326"/>
      <c r="AY42" s="326"/>
      <c r="AZ42" s="326"/>
      <c r="BA42" s="326"/>
      <c r="BB42" s="326"/>
      <c r="BC42" s="326"/>
      <c r="BD42" s="326"/>
      <c r="BE42" s="326"/>
      <c r="BF42" s="326"/>
      <c r="BG42" s="326"/>
      <c r="BH42" s="326"/>
      <c r="BI42" s="326"/>
      <c r="BJ42" s="326"/>
      <c r="BK42" s="326"/>
      <c r="BL42" s="326"/>
      <c r="BM42" s="326"/>
      <c r="BN42" s="326"/>
      <c r="BO42" s="326"/>
      <c r="BP42" s="326"/>
      <c r="BQ42" s="326"/>
      <c r="BR42" s="326"/>
      <c r="BS42" s="326"/>
      <c r="BT42" s="326"/>
      <c r="BU42" s="326"/>
    </row>
    <row r="43" spans="1:73" ht="15" thickBot="1">
      <c r="A43" s="19"/>
      <c r="B43" s="185" t="s">
        <v>1104</v>
      </c>
      <c r="C43" s="640">
        <f>Cashflow!C58</f>
        <v>0</v>
      </c>
      <c r="D43" s="640">
        <f>Cashflow!D58</f>
        <v>0</v>
      </c>
      <c r="E43" s="640">
        <f>Cashflow!E58</f>
        <v>0</v>
      </c>
      <c r="F43" s="640">
        <f>Cashflow!F58</f>
        <v>0</v>
      </c>
      <c r="G43" s="640">
        <f>Cashflow!G58</f>
        <v>0</v>
      </c>
      <c r="H43" s="640">
        <f>Cashflow!H58</f>
        <v>0</v>
      </c>
      <c r="I43" s="640">
        <f>Cashflow!I58</f>
        <v>0</v>
      </c>
      <c r="J43" s="640">
        <f>Cashflow!J58</f>
        <v>0</v>
      </c>
      <c r="K43" s="640">
        <f>Cashflow!K58</f>
        <v>280</v>
      </c>
      <c r="L43" s="640">
        <f ca="1">Cashflow!L58</f>
        <v>280</v>
      </c>
      <c r="M43" s="640">
        <f ca="1">Cashflow!M58</f>
        <v>280</v>
      </c>
      <c r="N43" s="640">
        <f ca="1">Cashflow!N58</f>
        <v>280</v>
      </c>
      <c r="O43" s="640">
        <f ca="1">Cashflow!O58</f>
        <v>280</v>
      </c>
      <c r="P43" s="640">
        <f ca="1">Cashflow!P58</f>
        <v>280</v>
      </c>
      <c r="Q43" s="640">
        <f ca="1">Cashflow!Q58</f>
        <v>280</v>
      </c>
      <c r="R43" s="640">
        <f ca="1">Cashflow!R58</f>
        <v>280</v>
      </c>
      <c r="S43" s="640">
        <f ca="1">Cashflow!S58</f>
        <v>280</v>
      </c>
      <c r="T43" s="640">
        <f ca="1">Cashflow!T58</f>
        <v>275.71891784600189</v>
      </c>
      <c r="U43" s="640">
        <f ca="1">Cashflow!U58</f>
        <v>271.25054815487272</v>
      </c>
      <c r="V43" s="640">
        <f ca="1">Cashflow!V58</f>
        <v>266.9694660008746</v>
      </c>
      <c r="W43" s="640">
        <f ca="1">Cashflow!W58</f>
        <v>262.50109630974544</v>
      </c>
      <c r="X43" s="640">
        <f ca="1">Cashflow!X58</f>
        <v>258.22001415574738</v>
      </c>
      <c r="Y43" s="640">
        <f ca="1">Cashflow!Y58</f>
        <v>253.75164446461818</v>
      </c>
      <c r="Z43" s="640">
        <f ca="1">Cashflow!Z58</f>
        <v>249.4705623106201</v>
      </c>
      <c r="AA43" s="640">
        <f ca="1">Cashflow!AA58</f>
        <v>245.0021926194909</v>
      </c>
      <c r="AB43" s="640">
        <f ca="1">Cashflow!AB58</f>
        <v>240.72111046549281</v>
      </c>
      <c r="AC43" s="640">
        <f ca="1">Cashflow!AC58</f>
        <v>236.25274077436364</v>
      </c>
      <c r="AD43" s="640">
        <f ca="1">Cashflow!AD58</f>
        <v>231.97165862036553</v>
      </c>
      <c r="AE43" s="640">
        <f ca="1">Cashflow!AE58</f>
        <v>227.50328892923636</v>
      </c>
      <c r="AF43" s="640">
        <f ca="1">Cashflow!AF58</f>
        <v>223.22220677523825</v>
      </c>
      <c r="AG43" s="640">
        <f ca="1">Cashflow!AG58</f>
        <v>218.75383708410908</v>
      </c>
      <c r="AH43" s="326"/>
      <c r="AI43" s="90" t="s">
        <v>961</v>
      </c>
      <c r="AJ43" s="340"/>
      <c r="AK43" s="86"/>
      <c r="AL43" s="340"/>
      <c r="AM43" s="721">
        <f>($AM$36*$AM$37+(1-$AM$36)*$AM$38*$AM$42)/($AM$37*$AM$38*PI()*($I$9/2)^2)</f>
        <v>0.53323287716347301</v>
      </c>
      <c r="AN43" s="19"/>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6"/>
      <c r="BP43" s="326"/>
      <c r="BQ43" s="326"/>
      <c r="BR43" s="326"/>
      <c r="BS43" s="326"/>
      <c r="BT43" s="326"/>
      <c r="BU43" s="326"/>
    </row>
    <row r="44" spans="1:73" ht="15" thickBot="1">
      <c r="A44" s="19"/>
      <c r="B44" s="185" t="s">
        <v>1014</v>
      </c>
      <c r="C44" s="665">
        <f>IF('Steam Tables'!C125=0,$U$6,'Steam Tables'!C125)</f>
        <v>8.7999999999999998E-5</v>
      </c>
      <c r="D44" s="665">
        <f>IF('Steam Tables'!D125=0,$U$6,'Steam Tables'!D125)</f>
        <v>8.7999999999999998E-5</v>
      </c>
      <c r="E44" s="665">
        <f>IF('Steam Tables'!E125=0,$U$6,'Steam Tables'!E125)</f>
        <v>8.7999999999999998E-5</v>
      </c>
      <c r="F44" s="665">
        <f>IF('Steam Tables'!F125=0,$U$6,'Steam Tables'!F125)</f>
        <v>8.7999999999999998E-5</v>
      </c>
      <c r="G44" s="665">
        <f>IF('Steam Tables'!G125=0,$U$6,'Steam Tables'!G125)</f>
        <v>8.7999999999999998E-5</v>
      </c>
      <c r="H44" s="665">
        <f>IF('Steam Tables'!H125=0,$U$6,'Steam Tables'!H125)</f>
        <v>8.7999999999999998E-5</v>
      </c>
      <c r="I44" s="665">
        <f>IF('Steam Tables'!I125=0,$U$6,'Steam Tables'!I125)</f>
        <v>8.7999999999999998E-5</v>
      </c>
      <c r="J44" s="665">
        <f>IF('Steam Tables'!J125=0,$U$6,'Steam Tables'!J125)</f>
        <v>8.7999999999999998E-5</v>
      </c>
      <c r="K44" s="665">
        <f>IF('Steam Tables'!K125=0,$U$6,'Steam Tables'!K125)</f>
        <v>9.4000000000000008E-5</v>
      </c>
      <c r="L44" s="665">
        <f ca="1">IF('Steam Tables'!L125=0,$U$6,'Steam Tables'!L125)</f>
        <v>9.4000000000000008E-5</v>
      </c>
      <c r="M44" s="665">
        <f ca="1">IF('Steam Tables'!M125=0,$U$6,'Steam Tables'!M125)</f>
        <v>9.4000000000000008E-5</v>
      </c>
      <c r="N44" s="665">
        <f ca="1">IF('Steam Tables'!N125=0,$U$6,'Steam Tables'!N125)</f>
        <v>9.4000000000000008E-5</v>
      </c>
      <c r="O44" s="665">
        <f ca="1">IF('Steam Tables'!O125=0,$U$6,'Steam Tables'!O125)</f>
        <v>9.4000000000000008E-5</v>
      </c>
      <c r="P44" s="665">
        <f ca="1">IF('Steam Tables'!P125=0,$U$6,'Steam Tables'!P125)</f>
        <v>9.4000000000000008E-5</v>
      </c>
      <c r="Q44" s="665">
        <f ca="1">IF('Steam Tables'!Q125=0,$U$6,'Steam Tables'!Q125)</f>
        <v>9.4000000000000008E-5</v>
      </c>
      <c r="R44" s="665">
        <f ca="1">IF('Steam Tables'!R125=0,$U$6,'Steam Tables'!R125)</f>
        <v>9.4000000000000008E-5</v>
      </c>
      <c r="S44" s="665">
        <f ca="1">IF('Steam Tables'!S125=0,$U$6,'Steam Tables'!S125)</f>
        <v>9.4000000000000008E-5</v>
      </c>
      <c r="T44" s="665">
        <f ca="1">IF('Steam Tables'!T125=0,$U$6,'Steam Tables'!T125)</f>
        <v>9.5712432861599247E-5</v>
      </c>
      <c r="U44" s="665">
        <f ca="1">IF('Steam Tables'!U125=0,$U$6,'Steam Tables'!U125)</f>
        <v>9.749978073805092E-5</v>
      </c>
      <c r="V44" s="665">
        <f ca="1">IF('Steam Tables'!V125=0,$U$6,'Steam Tables'!V125)</f>
        <v>9.9212213599650159E-5</v>
      </c>
      <c r="W44" s="665">
        <f ca="1">IF('Steam Tables'!W125=0,$U$6,'Steam Tables'!W125)</f>
        <v>1.0099956147610183E-4</v>
      </c>
      <c r="X44" s="665">
        <f ca="1">IF('Steam Tables'!X125=0,$U$6,'Steam Tables'!X125)</f>
        <v>1.0280099362991368E-4</v>
      </c>
      <c r="Y44" s="665">
        <f ca="1">IF('Steam Tables'!Y125=0,$U$6,'Steam Tables'!Y125)</f>
        <v>1.0481175999092182E-4</v>
      </c>
      <c r="Z44" s="665">
        <f ca="1">IF('Steam Tables'!Z125=0,$U$6,'Steam Tables'!Z125)</f>
        <v>1.0673824696022096E-4</v>
      </c>
      <c r="AA44" s="665">
        <f ca="1">IF('Steam Tables'!AA125=0,$U$6,'Steam Tables'!AA125)</f>
        <v>1.087490133212291E-4</v>
      </c>
      <c r="AB44" s="665">
        <f ca="1">IF('Steam Tables'!AB125=0,$U$6,'Steam Tables'!AB125)</f>
        <v>1.1067550029052824E-4</v>
      </c>
      <c r="AC44" s="665">
        <f ca="1">IF('Steam Tables'!AC125=0,$U$6,'Steam Tables'!AC125)</f>
        <v>1.130609925741E-4</v>
      </c>
      <c r="AD44" s="665">
        <f ca="1">IF('Steam Tables'!AD125=0,$U$6,'Steam Tables'!AD125)</f>
        <v>1.1541558775879895E-4</v>
      </c>
      <c r="AE44" s="665">
        <f ca="1">IF('Steam Tables'!AE125=0,$U$6,'Steam Tables'!AE125)</f>
        <v>1.1787319108892E-4</v>
      </c>
      <c r="AF44" s="665">
        <f ca="1">IF('Steam Tables'!AF125=0,$U$6,'Steam Tables'!AF125)</f>
        <v>1.2022778627361897E-4</v>
      </c>
      <c r="AG44" s="665">
        <f ca="1">IF('Steam Tables'!AG125=0,$U$6,'Steam Tables'!AG125)</f>
        <v>1.2274769774953454E-4</v>
      </c>
      <c r="AH44" s="326"/>
      <c r="AI44" s="326"/>
      <c r="AJ44" s="326"/>
      <c r="AK44" s="326"/>
      <c r="AL44" s="326"/>
      <c r="AM44" s="326"/>
      <c r="AN44" s="19"/>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6"/>
      <c r="BP44" s="326"/>
      <c r="BQ44" s="326"/>
      <c r="BR44" s="326"/>
      <c r="BS44" s="326"/>
      <c r="BT44" s="326"/>
      <c r="BU44" s="326"/>
    </row>
    <row r="45" spans="1:73">
      <c r="A45" s="19"/>
      <c r="B45" s="185" t="s">
        <v>1087</v>
      </c>
      <c r="C45" s="640">
        <f>IF('Steam Tables'!C122=0,$U$5,'Steam Tables'!C122)</f>
        <v>723.05</v>
      </c>
      <c r="D45" s="640">
        <f>IF('Steam Tables'!D122=0,$U$5,'Steam Tables'!D122)</f>
        <v>723.05</v>
      </c>
      <c r="E45" s="640">
        <f>IF('Steam Tables'!E122=0,$U$5,'Steam Tables'!E122)</f>
        <v>723.05</v>
      </c>
      <c r="F45" s="640">
        <f>IF('Steam Tables'!F122=0,$U$5,'Steam Tables'!F122)</f>
        <v>723.05</v>
      </c>
      <c r="G45" s="640">
        <f>IF('Steam Tables'!G122=0,$U$5,'Steam Tables'!G122)</f>
        <v>723.05</v>
      </c>
      <c r="H45" s="640">
        <f>IF('Steam Tables'!H122=0,$U$5,'Steam Tables'!H122)</f>
        <v>723.05</v>
      </c>
      <c r="I45" s="640">
        <f>IF('Steam Tables'!I122=0,$U$5,'Steam Tables'!I122)</f>
        <v>723.05</v>
      </c>
      <c r="J45" s="640">
        <f>IF('Steam Tables'!J122=0,$U$5,'Steam Tables'!J122)</f>
        <v>723.05</v>
      </c>
      <c r="K45" s="640">
        <f>IF('Steam Tables'!K122=0,$U$5,'Steam Tables'!K122)</f>
        <v>750.8</v>
      </c>
      <c r="L45" s="640">
        <f ca="1">IF('Steam Tables'!L122=0,$U$5,'Steam Tables'!L122)</f>
        <v>750.8</v>
      </c>
      <c r="M45" s="640">
        <f ca="1">IF('Steam Tables'!M122=0,$U$5,'Steam Tables'!M122)</f>
        <v>750.8</v>
      </c>
      <c r="N45" s="640">
        <f ca="1">IF('Steam Tables'!N122=0,$U$5,'Steam Tables'!N122)</f>
        <v>750.8</v>
      </c>
      <c r="O45" s="640">
        <f ca="1">IF('Steam Tables'!O122=0,$U$5,'Steam Tables'!O122)</f>
        <v>750.8</v>
      </c>
      <c r="P45" s="640">
        <f ca="1">IF('Steam Tables'!P122=0,$U$5,'Steam Tables'!P122)</f>
        <v>750.8</v>
      </c>
      <c r="Q45" s="640">
        <f ca="1">IF('Steam Tables'!Q122=0,$U$5,'Steam Tables'!Q122)</f>
        <v>750.8</v>
      </c>
      <c r="R45" s="640">
        <f ca="1">IF('Steam Tables'!R122=0,$U$5,'Steam Tables'!R122)</f>
        <v>750.8</v>
      </c>
      <c r="S45" s="640">
        <f ca="1">IF('Steam Tables'!S122=0,$U$5,'Steam Tables'!S122)</f>
        <v>750.8</v>
      </c>
      <c r="T45" s="640">
        <f ca="1">IF('Steam Tables'!T122=0,$U$5,'Steam Tables'!T122)</f>
        <v>757.84238014332686</v>
      </c>
      <c r="U45" s="640">
        <f ca="1">IF('Steam Tables'!U122=0,$U$5,'Steam Tables'!U122)</f>
        <v>765.19284828523439</v>
      </c>
      <c r="V45" s="640">
        <f ca="1">IF('Steam Tables'!V122=0,$U$5,'Steam Tables'!V122)</f>
        <v>772.2352284285613</v>
      </c>
      <c r="W45" s="640">
        <f ca="1">IF('Steam Tables'!W122=0,$U$5,'Steam Tables'!W122)</f>
        <v>779.58569657046883</v>
      </c>
      <c r="X45" s="640">
        <f ca="1">IF('Steam Tables'!X122=0,$U$5,'Steam Tables'!X122)</f>
        <v>786.36997876637895</v>
      </c>
      <c r="Y45" s="640">
        <f ca="1">IF('Steam Tables'!Y122=0,$U$5,'Steam Tables'!Y122)</f>
        <v>793.07253330307276</v>
      </c>
      <c r="Z45" s="640">
        <f ca="1">IF('Steam Tables'!Z122=0,$U$5,'Steam Tables'!Z122)</f>
        <v>799.49415653406993</v>
      </c>
      <c r="AA45" s="640">
        <f ca="1">IF('Steam Tables'!AA122=0,$U$5,'Steam Tables'!AA122)</f>
        <v>806.19671107076374</v>
      </c>
      <c r="AB45" s="640">
        <f ca="1">IF('Steam Tables'!AB122=0,$U$5,'Steam Tables'!AB122)</f>
        <v>812.6183343017608</v>
      </c>
      <c r="AC45" s="640">
        <f ca="1">IF('Steam Tables'!AC122=0,$U$5,'Steam Tables'!AC122)</f>
        <v>818.68385477009633</v>
      </c>
      <c r="AD45" s="640">
        <f ca="1">IF('Steam Tables'!AD122=0,$U$5,'Steam Tables'!AD122)</f>
        <v>824.37769403491382</v>
      </c>
      <c r="AE45" s="640">
        <f ca="1">IF('Steam Tables'!AE122=0,$U$5,'Steam Tables'!AE122)</f>
        <v>830.32062572411564</v>
      </c>
      <c r="AF45" s="640">
        <f ca="1">IF('Steam Tables'!AF122=0,$U$5,'Steam Tables'!AF122)</f>
        <v>836.01446498893313</v>
      </c>
      <c r="AG45" s="640">
        <f ca="1">IF('Steam Tables'!AG122=0,$U$5,'Steam Tables'!AG122)</f>
        <v>841.79539549906906</v>
      </c>
      <c r="AH45" s="326"/>
      <c r="AI45" s="91" t="s">
        <v>1056</v>
      </c>
      <c r="AJ45" s="596"/>
      <c r="AK45" s="597"/>
      <c r="AL45" s="337"/>
      <c r="AM45" s="598">
        <f ca="1">'Steam Tables'!R214</f>
        <v>2963.53</v>
      </c>
      <c r="AN45" s="19"/>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row>
    <row r="46" spans="1:73">
      <c r="A46" s="19"/>
      <c r="B46" s="185" t="s">
        <v>1080</v>
      </c>
      <c r="C46" s="665">
        <f>IF('Steam Tables'!C128=0,$AA$6,'Steam Tables'!C128*1000)</f>
        <v>8038750</v>
      </c>
      <c r="D46" s="665">
        <f>IF('Steam Tables'!D128=0,$AA$6,'Steam Tables'!D128*1000)</f>
        <v>8038750</v>
      </c>
      <c r="E46" s="665">
        <f>IF('Steam Tables'!E128=0,$AA$6,'Steam Tables'!E128*1000)</f>
        <v>8038750</v>
      </c>
      <c r="F46" s="665">
        <f>IF('Steam Tables'!F128=0,$AA$6,'Steam Tables'!F128*1000)</f>
        <v>8038750</v>
      </c>
      <c r="G46" s="665">
        <f>IF('Steam Tables'!G128=0,$AA$6,'Steam Tables'!G128*1000)</f>
        <v>8038750</v>
      </c>
      <c r="H46" s="665">
        <f>IF('Steam Tables'!H128=0,$AA$6,'Steam Tables'!H128*1000)</f>
        <v>8038750</v>
      </c>
      <c r="I46" s="665">
        <f>IF('Steam Tables'!I128=0,$AA$6,'Steam Tables'!I128*1000)</f>
        <v>8038750</v>
      </c>
      <c r="J46" s="665">
        <f>IF('Steam Tables'!J128=0,$AA$6,'Steam Tables'!J128*1000)</f>
        <v>8038750</v>
      </c>
      <c r="K46" s="665">
        <f>IF('Steam Tables'!K128=0,$AA$6,'Steam Tables'!K128*1000)</f>
        <v>6412000</v>
      </c>
      <c r="L46" s="665">
        <f ca="1">IF('Steam Tables'!L128=0,$AA$6,'Steam Tables'!L128*1000)</f>
        <v>6412000</v>
      </c>
      <c r="M46" s="665">
        <f ca="1">IF('Steam Tables'!M128=0,$AA$6,'Steam Tables'!M128*1000)</f>
        <v>6412000</v>
      </c>
      <c r="N46" s="665">
        <f ca="1">IF('Steam Tables'!N128=0,$AA$6,'Steam Tables'!N128*1000)</f>
        <v>6412000</v>
      </c>
      <c r="O46" s="665">
        <f ca="1">IF('Steam Tables'!O128=0,$AA$6,'Steam Tables'!O128*1000)</f>
        <v>6412000</v>
      </c>
      <c r="P46" s="665">
        <f ca="1">IF('Steam Tables'!P128=0,$AA$6,'Steam Tables'!P128*1000)</f>
        <v>6412000</v>
      </c>
      <c r="Q46" s="665">
        <f ca="1">IF('Steam Tables'!Q128=0,$AA$6,'Steam Tables'!Q128*1000)</f>
        <v>6412000</v>
      </c>
      <c r="R46" s="665">
        <f ca="1">IF('Steam Tables'!R128=0,$AA$6,'Steam Tables'!R128*1000)</f>
        <v>6412000</v>
      </c>
      <c r="S46" s="665">
        <f ca="1">IF('Steam Tables'!S128=0,$AA$6,'Steam Tables'!S128*1000)</f>
        <v>6412000</v>
      </c>
      <c r="T46" s="665">
        <f ca="1">IF('Steam Tables'!T128=0,$AA$6,'Steam Tables'!T128*1000)</f>
        <v>6042970.7183253635</v>
      </c>
      <c r="U46" s="665">
        <f ca="1">IF('Steam Tables'!U128=0,$AA$6,'Steam Tables'!U128*1000)</f>
        <v>5657797.2509500291</v>
      </c>
      <c r="V46" s="665">
        <f ca="1">IF('Steam Tables'!V128=0,$AA$6,'Steam Tables'!V128*1000)</f>
        <v>5288767.9692753907</v>
      </c>
      <c r="W46" s="665">
        <f ca="1">IF('Steam Tables'!W128=0,$AA$6,'Steam Tables'!W128*1000)</f>
        <v>4903594.5019000564</v>
      </c>
      <c r="X46" s="665">
        <f ca="1">IF('Steam Tables'!X128=0,$AA$6,'Steam Tables'!X128*1000)</f>
        <v>4568384.9512662236</v>
      </c>
      <c r="Y46" s="665">
        <f ca="1">IF('Steam Tables'!Y128=0,$AA$6,'Steam Tables'!Y128*1000)</f>
        <v>4268110.5080223419</v>
      </c>
      <c r="Z46" s="665">
        <f ca="1">IF('Steam Tables'!Z128=0,$AA$6,'Steam Tables'!Z128*1000)</f>
        <v>3980421.7872736705</v>
      </c>
      <c r="AA46" s="665">
        <f ca="1">IF('Steam Tables'!AA128=0,$AA$6,'Steam Tables'!AA128*1000)</f>
        <v>3680147.3440297884</v>
      </c>
      <c r="AB46" s="665">
        <f ca="1">IF('Steam Tables'!AB128=0,$AA$6,'Steam Tables'!AB128*1000)</f>
        <v>3392458.6232811171</v>
      </c>
      <c r="AC46" s="665">
        <f ca="1">IF('Steam Tables'!AC128=0,$AA$6,'Steam Tables'!AC128*1000)</f>
        <v>3151765.6017248551</v>
      </c>
      <c r="AD46" s="665">
        <f ca="1">IF('Steam Tables'!AD128=0,$AA$6,'Steam Tables'!AD128*1000)</f>
        <v>2932146.0872247517</v>
      </c>
      <c r="AE46" s="665">
        <f ca="1">IF('Steam Tables'!AE128=0,$AA$6,'Steam Tables'!AE128*1000)</f>
        <v>2702918.7220698255</v>
      </c>
      <c r="AF46" s="665">
        <f ca="1">IF('Steam Tables'!AF128=0,$AA$6,'Steam Tables'!AF128*1000)</f>
        <v>2483299.2075697221</v>
      </c>
      <c r="AG46" s="665">
        <f ca="1">IF('Steam Tables'!AG128=0,$AA$6,'Steam Tables'!AG128*1000)</f>
        <v>2270384.1149838082</v>
      </c>
      <c r="AH46" s="326"/>
      <c r="AI46" s="89" t="s">
        <v>1058</v>
      </c>
      <c r="AJ46" s="424"/>
      <c r="AK46" s="326"/>
      <c r="AL46" s="599"/>
      <c r="AM46" s="565">
        <f>'Steam Tables'!U52</f>
        <v>2747.8297529386923</v>
      </c>
      <c r="AN46" s="19"/>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6"/>
      <c r="BP46" s="326"/>
      <c r="BQ46" s="326"/>
      <c r="BR46" s="326"/>
      <c r="BS46" s="326"/>
      <c r="BT46" s="326"/>
      <c r="BU46" s="326"/>
    </row>
    <row r="47" spans="1:73">
      <c r="A47" s="19"/>
      <c r="B47" s="185" t="s">
        <v>1085</v>
      </c>
      <c r="C47" s="640">
        <f t="shared" ref="C47:AG47" si="7">1/2*(C45+C34*C36+(1-C34)*C35)</f>
        <v>361.52499999999998</v>
      </c>
      <c r="D47" s="640">
        <f t="shared" si="7"/>
        <v>361.52499999999998</v>
      </c>
      <c r="E47" s="640">
        <f t="shared" si="7"/>
        <v>361.52499999999998</v>
      </c>
      <c r="F47" s="640">
        <f t="shared" si="7"/>
        <v>361.52499999999998</v>
      </c>
      <c r="G47" s="640">
        <f t="shared" si="7"/>
        <v>361.52499999999998</v>
      </c>
      <c r="H47" s="640">
        <f t="shared" si="7"/>
        <v>361.52499999999998</v>
      </c>
      <c r="I47" s="640">
        <f t="shared" si="7"/>
        <v>361.52499999999998</v>
      </c>
      <c r="J47" s="640">
        <f t="shared" si="7"/>
        <v>361.52499999999998</v>
      </c>
      <c r="K47" s="640">
        <f t="shared" si="7"/>
        <v>7287.0955121018605</v>
      </c>
      <c r="L47" s="640">
        <f t="shared" ca="1" si="7"/>
        <v>711.35005250924542</v>
      </c>
      <c r="M47" s="640">
        <f t="shared" ca="1" si="7"/>
        <v>711.35005250924542</v>
      </c>
      <c r="N47" s="640">
        <f t="shared" ca="1" si="7"/>
        <v>711.35005250924542</v>
      </c>
      <c r="O47" s="640">
        <f t="shared" ca="1" si="7"/>
        <v>711.35005250924542</v>
      </c>
      <c r="P47" s="640">
        <f t="shared" ca="1" si="7"/>
        <v>711.35005250924542</v>
      </c>
      <c r="Q47" s="640">
        <f t="shared" ca="1" si="7"/>
        <v>711.35005250924542</v>
      </c>
      <c r="R47" s="640">
        <f t="shared" ca="1" si="7"/>
        <v>711.35005250924542</v>
      </c>
      <c r="S47" s="640">
        <f t="shared" ca="1" si="7"/>
        <v>711.35005250924542</v>
      </c>
      <c r="T47" s="640">
        <f t="shared" ca="1" si="7"/>
        <v>722.81416782196334</v>
      </c>
      <c r="U47" s="640">
        <f t="shared" ca="1" si="7"/>
        <v>734.87853854234118</v>
      </c>
      <c r="V47" s="640">
        <f t="shared" ca="1" si="7"/>
        <v>746.30848211081081</v>
      </c>
      <c r="W47" s="640">
        <f t="shared" ca="1" si="7"/>
        <v>758.23413888086066</v>
      </c>
      <c r="X47" s="640">
        <f t="shared" ca="1" si="7"/>
        <v>769.49811898098801</v>
      </c>
      <c r="Y47" s="640">
        <f t="shared" ca="1" si="7"/>
        <v>780.97583332366435</v>
      </c>
      <c r="Z47" s="640">
        <f t="shared" ca="1" si="7"/>
        <v>792.018867490557</v>
      </c>
      <c r="AA47" s="640">
        <f t="shared" ca="1" si="7"/>
        <v>803.37456632472708</v>
      </c>
      <c r="AB47" s="640">
        <f t="shared" ca="1" si="7"/>
        <v>814.3285785006691</v>
      </c>
      <c r="AC47" s="640">
        <f t="shared" ca="1" si="7"/>
        <v>825.3323481980849</v>
      </c>
      <c r="AD47" s="640">
        <f t="shared" ca="1" si="7"/>
        <v>835.85164507541276</v>
      </c>
      <c r="AE47" s="640">
        <f t="shared" ca="1" si="7"/>
        <v>846.76343142095811</v>
      </c>
      <c r="AF47" s="640">
        <f t="shared" ca="1" si="7"/>
        <v>857.17760945602708</v>
      </c>
      <c r="AG47" s="640">
        <f t="shared" ca="1" si="7"/>
        <v>867.98002494684647</v>
      </c>
      <c r="AH47" s="326"/>
      <c r="AI47" s="89" t="s">
        <v>1059</v>
      </c>
      <c r="AJ47" s="326"/>
      <c r="AK47" s="21"/>
      <c r="AL47" s="599"/>
      <c r="AM47" s="565">
        <f>'Steam Tables'!U45</f>
        <v>2108.3854916590417</v>
      </c>
      <c r="AN47" s="19"/>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6"/>
      <c r="BP47" s="326"/>
      <c r="BQ47" s="326"/>
      <c r="BR47" s="326"/>
      <c r="BS47" s="326"/>
      <c r="BT47" s="326"/>
      <c r="BU47" s="326"/>
    </row>
    <row r="48" spans="1:73" ht="15" thickBot="1">
      <c r="A48" s="326"/>
      <c r="B48" s="326"/>
      <c r="C48" s="326"/>
      <c r="D48" s="326"/>
      <c r="E48" s="579"/>
      <c r="F48" s="328"/>
      <c r="G48" s="328"/>
      <c r="H48" s="328"/>
      <c r="I48" s="580"/>
      <c r="J48" s="326"/>
      <c r="K48" s="342"/>
      <c r="L48" s="326"/>
      <c r="M48" s="338"/>
      <c r="N48" s="338"/>
      <c r="O48" s="338"/>
      <c r="P48" s="338"/>
      <c r="Q48" s="338"/>
      <c r="R48" s="338"/>
      <c r="S48" s="326"/>
      <c r="T48" s="326"/>
      <c r="U48" s="326"/>
      <c r="V48" s="326"/>
      <c r="W48" s="326"/>
      <c r="X48" s="326"/>
      <c r="Y48" s="326"/>
      <c r="Z48" s="326"/>
      <c r="AA48" s="326"/>
      <c r="AB48" s="326"/>
      <c r="AC48" s="326"/>
      <c r="AD48" s="326"/>
      <c r="AE48" s="326"/>
      <c r="AF48" s="326"/>
      <c r="AG48" s="326"/>
      <c r="AH48" s="326"/>
      <c r="AI48" s="339" t="s">
        <v>1057</v>
      </c>
      <c r="AJ48" s="340"/>
      <c r="AK48" s="340"/>
      <c r="AL48" s="601"/>
      <c r="AM48" s="709">
        <f>AM46+AM36*AM47</f>
        <v>3070.3402294610173</v>
      </c>
      <c r="AN48" s="19"/>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6"/>
      <c r="BS48" s="326"/>
      <c r="BT48" s="326"/>
      <c r="BU48" s="326"/>
    </row>
    <row r="49" spans="1:73" ht="15" thickBot="1">
      <c r="A49" s="648"/>
      <c r="B49" s="52" t="s">
        <v>861</v>
      </c>
      <c r="C49" s="32">
        <f>Cashflow!C$30</f>
        <v>2017</v>
      </c>
      <c r="D49" s="32">
        <f>Cashflow!D$30</f>
        <v>2018</v>
      </c>
      <c r="E49" s="32">
        <f>Cashflow!E$30</f>
        <v>2019</v>
      </c>
      <c r="F49" s="32">
        <f>Cashflow!F$30</f>
        <v>2020</v>
      </c>
      <c r="G49" s="32">
        <f>Cashflow!G$30</f>
        <v>2021</v>
      </c>
      <c r="H49" s="32">
        <f>Cashflow!H$30</f>
        <v>2022</v>
      </c>
      <c r="I49" s="32">
        <f>Cashflow!I$30</f>
        <v>2023</v>
      </c>
      <c r="J49" s="32">
        <f>Cashflow!J$30</f>
        <v>2024</v>
      </c>
      <c r="K49" s="32">
        <f>Cashflow!K$30</f>
        <v>2025</v>
      </c>
      <c r="L49" s="32">
        <f>Cashflow!L$30</f>
        <v>2026</v>
      </c>
      <c r="M49" s="32">
        <f>Cashflow!M$30</f>
        <v>2027</v>
      </c>
      <c r="N49" s="32">
        <f>Cashflow!N$30</f>
        <v>2028</v>
      </c>
      <c r="O49" s="32">
        <f>Cashflow!O$30</f>
        <v>2029</v>
      </c>
      <c r="P49" s="32">
        <f>Cashflow!P$30</f>
        <v>2030</v>
      </c>
      <c r="Q49" s="32">
        <f>Cashflow!Q$30</f>
        <v>2031</v>
      </c>
      <c r="R49" s="32">
        <f>Cashflow!R$30</f>
        <v>2032</v>
      </c>
      <c r="S49" s="32">
        <f>Cashflow!S$30</f>
        <v>2033</v>
      </c>
      <c r="T49" s="32">
        <f>Cashflow!T$30</f>
        <v>2034</v>
      </c>
      <c r="U49" s="32">
        <f>Cashflow!U$30</f>
        <v>2035</v>
      </c>
      <c r="V49" s="32">
        <f>Cashflow!V$30</f>
        <v>2036</v>
      </c>
      <c r="W49" s="32">
        <f>Cashflow!W$30</f>
        <v>2037</v>
      </c>
      <c r="X49" s="32">
        <f>Cashflow!X$30</f>
        <v>2038</v>
      </c>
      <c r="Y49" s="32">
        <f>Cashflow!Y$30</f>
        <v>2039</v>
      </c>
      <c r="Z49" s="32">
        <f>Cashflow!Z$30</f>
        <v>2040</v>
      </c>
      <c r="AA49" s="32">
        <f>Cashflow!AA$30</f>
        <v>2041</v>
      </c>
      <c r="AB49" s="32">
        <f>Cashflow!AB$30</f>
        <v>2042</v>
      </c>
      <c r="AC49" s="32">
        <f>Cashflow!AC$30</f>
        <v>2043</v>
      </c>
      <c r="AD49" s="32">
        <f>Cashflow!AD$30</f>
        <v>2044</v>
      </c>
      <c r="AE49" s="32">
        <f>Cashflow!AE$30</f>
        <v>2045</v>
      </c>
      <c r="AF49" s="32">
        <f>Cashflow!AF$30</f>
        <v>2046</v>
      </c>
      <c r="AG49" s="32">
        <f>Cashflow!AG$30</f>
        <v>2047</v>
      </c>
      <c r="AH49" s="326"/>
      <c r="AI49" s="326"/>
      <c r="AJ49" s="326"/>
      <c r="AK49" s="326"/>
      <c r="AL49" s="326"/>
      <c r="AM49" s="326"/>
      <c r="AN49" s="19"/>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6"/>
      <c r="BR49" s="326"/>
      <c r="BS49" s="326"/>
      <c r="BT49" s="326"/>
      <c r="BU49" s="326"/>
    </row>
    <row r="50" spans="1:73" ht="15" thickTop="1">
      <c r="A50" s="19"/>
      <c r="B50" s="185" t="s">
        <v>955</v>
      </c>
      <c r="C50" s="639">
        <f t="shared" ref="C50:AG50" si="8">4*C33/(C44*PI()*$I$9)</f>
        <v>0</v>
      </c>
      <c r="D50" s="639">
        <f t="shared" si="8"/>
        <v>0</v>
      </c>
      <c r="E50" s="639">
        <f t="shared" si="8"/>
        <v>0</v>
      </c>
      <c r="F50" s="639">
        <f t="shared" si="8"/>
        <v>0</v>
      </c>
      <c r="G50" s="639">
        <f t="shared" si="8"/>
        <v>0</v>
      </c>
      <c r="H50" s="639">
        <f t="shared" si="8"/>
        <v>0</v>
      </c>
      <c r="I50" s="639">
        <f t="shared" si="8"/>
        <v>0</v>
      </c>
      <c r="J50" s="639">
        <f t="shared" si="8"/>
        <v>0</v>
      </c>
      <c r="K50" s="639">
        <f t="shared" si="8"/>
        <v>9030067.6931571811</v>
      </c>
      <c r="L50" s="639">
        <f t="shared" ca="1" si="8"/>
        <v>9030067.6931571811</v>
      </c>
      <c r="M50" s="639">
        <f t="shared" ca="1" si="8"/>
        <v>9030067.6931571811</v>
      </c>
      <c r="N50" s="639">
        <f t="shared" ca="1" si="8"/>
        <v>9030067.6931571811</v>
      </c>
      <c r="O50" s="639">
        <f t="shared" ca="1" si="8"/>
        <v>9030067.6931571811</v>
      </c>
      <c r="P50" s="639">
        <f t="shared" ca="1" si="8"/>
        <v>9030067.6931571811</v>
      </c>
      <c r="Q50" s="639">
        <f t="shared" ca="1" si="8"/>
        <v>9030067.6931571811</v>
      </c>
      <c r="R50" s="639">
        <f t="shared" ca="1" si="8"/>
        <v>9030067.6931571811</v>
      </c>
      <c r="S50" s="639">
        <f t="shared" ca="1" si="8"/>
        <v>9030067.6931571811</v>
      </c>
      <c r="T50" s="639">
        <f t="shared" ca="1" si="8"/>
        <v>8868506.8154539894</v>
      </c>
      <c r="U50" s="639">
        <f t="shared" ca="1" si="8"/>
        <v>8705930.995242808</v>
      </c>
      <c r="V50" s="639">
        <f t="shared" ca="1" si="8"/>
        <v>8555663.9889321886</v>
      </c>
      <c r="W50" s="639">
        <f t="shared" ca="1" si="8"/>
        <v>8404257.9071753845</v>
      </c>
      <c r="X50" s="639">
        <f t="shared" ca="1" si="8"/>
        <v>8256985.9802384088</v>
      </c>
      <c r="Y50" s="639">
        <f t="shared" ca="1" si="8"/>
        <v>8098579.4268724769</v>
      </c>
      <c r="Z50" s="639">
        <f t="shared" ca="1" si="8"/>
        <v>7952410.5681922473</v>
      </c>
      <c r="AA50" s="639">
        <f t="shared" ca="1" si="8"/>
        <v>7805370.7085089851</v>
      </c>
      <c r="AB50" s="639">
        <f t="shared" ca="1" si="8"/>
        <v>7669505.5448456723</v>
      </c>
      <c r="AC50" s="639">
        <f t="shared" ca="1" si="8"/>
        <v>7507685.3991039898</v>
      </c>
      <c r="AD50" s="639">
        <f t="shared" ca="1" si="8"/>
        <v>7354520.9935653862</v>
      </c>
      <c r="AE50" s="639">
        <f t="shared" ca="1" si="8"/>
        <v>7201182.519241767</v>
      </c>
      <c r="AF50" s="639">
        <f t="shared" ca="1" si="8"/>
        <v>7060151.3133160742</v>
      </c>
      <c r="AG50" s="639">
        <f t="shared" ca="1" si="8"/>
        <v>6915212.0872262465</v>
      </c>
      <c r="AH50" s="326"/>
      <c r="AI50" s="326"/>
      <c r="AJ50" s="326"/>
      <c r="AK50" s="326"/>
      <c r="AL50" s="326"/>
      <c r="AM50" s="326"/>
      <c r="AN50" s="19"/>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6"/>
      <c r="BS50" s="326"/>
      <c r="BT50" s="326"/>
      <c r="BU50" s="326"/>
    </row>
    <row r="51" spans="1:73">
      <c r="A51" s="648"/>
      <c r="B51" s="185" t="s">
        <v>954</v>
      </c>
      <c r="C51" s="641">
        <f t="shared" ref="C51:AG51" si="9">IF(C50=0,0,0.25/(LOG10(($I$10/($I$9*10^3)/3.7)+(5.74/(C50^0.9)))^2))</f>
        <v>0</v>
      </c>
      <c r="D51" s="641">
        <f t="shared" si="9"/>
        <v>0</v>
      </c>
      <c r="E51" s="641">
        <f t="shared" si="9"/>
        <v>0</v>
      </c>
      <c r="F51" s="641">
        <f t="shared" si="9"/>
        <v>0</v>
      </c>
      <c r="G51" s="641">
        <f t="shared" si="9"/>
        <v>0</v>
      </c>
      <c r="H51" s="641">
        <f t="shared" si="9"/>
        <v>0</v>
      </c>
      <c r="I51" s="641">
        <f t="shared" si="9"/>
        <v>0</v>
      </c>
      <c r="J51" s="641">
        <f t="shared" si="9"/>
        <v>0</v>
      </c>
      <c r="K51" s="641">
        <f t="shared" si="9"/>
        <v>1.5106586903923002E-2</v>
      </c>
      <c r="L51" s="641">
        <f t="shared" ca="1" si="9"/>
        <v>1.5106586903923002E-2</v>
      </c>
      <c r="M51" s="641">
        <f t="shared" ca="1" si="9"/>
        <v>1.5106586903923002E-2</v>
      </c>
      <c r="N51" s="641">
        <f t="shared" ca="1" si="9"/>
        <v>1.5106586903923002E-2</v>
      </c>
      <c r="O51" s="641">
        <f t="shared" ca="1" si="9"/>
        <v>1.5106586903923002E-2</v>
      </c>
      <c r="P51" s="641">
        <f t="shared" ca="1" si="9"/>
        <v>1.5106586903923002E-2</v>
      </c>
      <c r="Q51" s="641">
        <f t="shared" ca="1" si="9"/>
        <v>1.5106586903923002E-2</v>
      </c>
      <c r="R51" s="641">
        <f t="shared" ca="1" si="9"/>
        <v>1.5106586903923002E-2</v>
      </c>
      <c r="S51" s="641">
        <f t="shared" ca="1" si="9"/>
        <v>1.5106586903923002E-2</v>
      </c>
      <c r="T51" s="641">
        <f t="shared" ca="1" si="9"/>
        <v>1.5108535334041705E-2</v>
      </c>
      <c r="U51" s="641">
        <f t="shared" ca="1" si="9"/>
        <v>1.5110564439171744E-2</v>
      </c>
      <c r="V51" s="641">
        <f t="shared" ca="1" si="9"/>
        <v>1.511250419815754E-2</v>
      </c>
      <c r="W51" s="641">
        <f t="shared" ca="1" si="9"/>
        <v>1.5114524407488122E-2</v>
      </c>
      <c r="X51" s="641">
        <f t="shared" ca="1" si="9"/>
        <v>1.5116556054992066E-2</v>
      </c>
      <c r="Y51" s="641">
        <f t="shared" ca="1" si="9"/>
        <v>1.5118818567759663E-2</v>
      </c>
      <c r="Z51" s="641">
        <f t="shared" ca="1" si="9"/>
        <v>1.5120981173249504E-2</v>
      </c>
      <c r="AA51" s="641">
        <f t="shared" ca="1" si="9"/>
        <v>1.5123233183332018E-2</v>
      </c>
      <c r="AB51" s="641">
        <f t="shared" ca="1" si="9"/>
        <v>1.5125385901523758E-2</v>
      </c>
      <c r="AC51" s="641">
        <f t="shared" ca="1" si="9"/>
        <v>1.5128045000652769E-2</v>
      </c>
      <c r="AD51" s="641">
        <f t="shared" ca="1" si="9"/>
        <v>1.51306627094901E-2</v>
      </c>
      <c r="AE51" s="641">
        <f t="shared" ca="1" si="9"/>
        <v>1.5133387718130387E-2</v>
      </c>
      <c r="AF51" s="641">
        <f t="shared" ca="1" si="9"/>
        <v>1.5135991726631794E-2</v>
      </c>
      <c r="AG51" s="641">
        <f t="shared" ca="1" si="9"/>
        <v>1.5138771349340736E-2</v>
      </c>
      <c r="AH51" s="326"/>
      <c r="AI51" s="326"/>
      <c r="AJ51" s="326"/>
      <c r="AK51" s="326"/>
      <c r="AL51" s="326"/>
      <c r="AM51" s="326"/>
      <c r="AN51" s="19"/>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6"/>
      <c r="BS51" s="326"/>
      <c r="BT51" s="326"/>
      <c r="BU51" s="326"/>
    </row>
    <row r="52" spans="1:73">
      <c r="A52" s="19"/>
      <c r="B52" s="185" t="s">
        <v>1079</v>
      </c>
      <c r="C52" s="640">
        <f t="shared" ref="C52:AG52" si="10">IF(C14=0,0,C44*LN(SQRT($I$5/(C$15*PI()))/($I$8/2))/(2*PI()*$I$6*$O$5*C45))</f>
        <v>0</v>
      </c>
      <c r="D52" s="640">
        <f t="shared" si="10"/>
        <v>0</v>
      </c>
      <c r="E52" s="640">
        <f t="shared" si="10"/>
        <v>0</v>
      </c>
      <c r="F52" s="640">
        <f t="shared" si="10"/>
        <v>0</v>
      </c>
      <c r="G52" s="640">
        <f t="shared" si="10"/>
        <v>0</v>
      </c>
      <c r="H52" s="640">
        <f t="shared" si="10"/>
        <v>0</v>
      </c>
      <c r="I52" s="640">
        <f t="shared" si="10"/>
        <v>0</v>
      </c>
      <c r="J52" s="640">
        <f t="shared" si="10"/>
        <v>0</v>
      </c>
      <c r="K52" s="640">
        <f t="shared" si="10"/>
        <v>62397.708469724894</v>
      </c>
      <c r="L52" s="640">
        <f t="shared" ca="1" si="10"/>
        <v>61033.305814022184</v>
      </c>
      <c r="M52" s="640">
        <f t="shared" ca="1" si="10"/>
        <v>60514.583998682676</v>
      </c>
      <c r="N52" s="640">
        <f t="shared" ca="1" si="10"/>
        <v>59668.903158319466</v>
      </c>
      <c r="O52" s="640">
        <f t="shared" ca="1" si="10"/>
        <v>59668.903158319466</v>
      </c>
      <c r="P52" s="640">
        <f t="shared" ca="1" si="10"/>
        <v>59668.903158319466</v>
      </c>
      <c r="Q52" s="640">
        <f t="shared" ca="1" si="10"/>
        <v>59668.903158319466</v>
      </c>
      <c r="R52" s="640">
        <f t="shared" ca="1" si="10"/>
        <v>59668.903158319466</v>
      </c>
      <c r="S52" s="640">
        <f t="shared" ca="1" si="10"/>
        <v>59668.903158319466</v>
      </c>
      <c r="T52" s="640">
        <f t="shared" ca="1" si="10"/>
        <v>60191.328960336818</v>
      </c>
      <c r="U52" s="640">
        <f t="shared" ca="1" si="10"/>
        <v>60726.353269654835</v>
      </c>
      <c r="V52" s="640">
        <f t="shared" ca="1" si="10"/>
        <v>61229.398757974493</v>
      </c>
      <c r="W52" s="640">
        <f t="shared" ca="1" si="10"/>
        <v>61744.757720997703</v>
      </c>
      <c r="X52" s="640">
        <f t="shared" ca="1" si="10"/>
        <v>62303.845416476623</v>
      </c>
      <c r="Y52" s="640">
        <f t="shared" ca="1" si="10"/>
        <v>62985.64333441182</v>
      </c>
      <c r="Z52" s="640">
        <f t="shared" ca="1" si="10"/>
        <v>63628.141314384324</v>
      </c>
      <c r="AA52" s="640">
        <f t="shared" ca="1" si="10"/>
        <v>64287.830232976921</v>
      </c>
      <c r="AB52" s="640">
        <f t="shared" ca="1" si="10"/>
        <v>64909.661178211783</v>
      </c>
      <c r="AC52" s="640">
        <f t="shared" ca="1" si="10"/>
        <v>65817.447106774431</v>
      </c>
      <c r="AD52" s="640">
        <f t="shared" ca="1" si="10"/>
        <v>66724.096291725116</v>
      </c>
      <c r="AE52" s="640">
        <f t="shared" ca="1" si="10"/>
        <v>67657.146921460982</v>
      </c>
      <c r="AF52" s="640">
        <f t="shared" ca="1" si="10"/>
        <v>68538.646512927633</v>
      </c>
      <c r="AG52" s="640">
        <f t="shared" ca="1" si="10"/>
        <v>69494.63437917846</v>
      </c>
      <c r="AH52" s="326"/>
      <c r="AI52" s="326"/>
      <c r="AJ52" s="326"/>
      <c r="AK52" s="326"/>
      <c r="AL52" s="326"/>
      <c r="AM52" s="326"/>
      <c r="AN52" s="19"/>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row>
    <row r="53" spans="1:73">
      <c r="A53" s="19"/>
      <c r="B53" s="185" t="s">
        <v>870</v>
      </c>
      <c r="C53" s="713">
        <f t="shared" ref="C53:AG53" si="11">(1/C45)*(32/(PI()^2))*(C51/($I$9^5))</f>
        <v>0</v>
      </c>
      <c r="D53" s="713">
        <f t="shared" si="11"/>
        <v>0</v>
      </c>
      <c r="E53" s="713">
        <f t="shared" si="11"/>
        <v>0</v>
      </c>
      <c r="F53" s="713">
        <f t="shared" si="11"/>
        <v>0</v>
      </c>
      <c r="G53" s="713">
        <f t="shared" si="11"/>
        <v>0</v>
      </c>
      <c r="H53" s="713">
        <f t="shared" si="11"/>
        <v>0</v>
      </c>
      <c r="I53" s="713">
        <f t="shared" si="11"/>
        <v>0</v>
      </c>
      <c r="J53" s="713">
        <f t="shared" si="11"/>
        <v>0</v>
      </c>
      <c r="K53" s="713">
        <f t="shared" si="11"/>
        <v>0.85908478434139335</v>
      </c>
      <c r="L53" s="713">
        <f t="shared" ca="1" si="11"/>
        <v>0.85908478434139335</v>
      </c>
      <c r="M53" s="713">
        <f t="shared" ca="1" si="11"/>
        <v>0.85908478434139335</v>
      </c>
      <c r="N53" s="713">
        <f t="shared" ca="1" si="11"/>
        <v>0.85908478434139335</v>
      </c>
      <c r="O53" s="713">
        <f t="shared" ca="1" si="11"/>
        <v>0.85908478434139335</v>
      </c>
      <c r="P53" s="713">
        <f t="shared" ca="1" si="11"/>
        <v>0.85908478434139335</v>
      </c>
      <c r="Q53" s="713">
        <f t="shared" ca="1" si="11"/>
        <v>0.85908478434139335</v>
      </c>
      <c r="R53" s="713">
        <f t="shared" ca="1" si="11"/>
        <v>0.85908478434139335</v>
      </c>
      <c r="S53" s="713">
        <f t="shared" ca="1" si="11"/>
        <v>0.85908478434139335</v>
      </c>
      <c r="T53" s="713">
        <f t="shared" ca="1" si="11"/>
        <v>0.85121136591284785</v>
      </c>
      <c r="U53" s="713">
        <f t="shared" ca="1" si="11"/>
        <v>0.8431478221640154</v>
      </c>
      <c r="V53" s="713">
        <f t="shared" ca="1" si="11"/>
        <v>0.83556600508461643</v>
      </c>
      <c r="W53" s="713">
        <f t="shared" ca="1" si="11"/>
        <v>0.82779835987293582</v>
      </c>
      <c r="X53" s="713">
        <f t="shared" ca="1" si="11"/>
        <v>0.82076697101733576</v>
      </c>
      <c r="Y53" s="713">
        <f t="shared" ca="1" si="11"/>
        <v>0.81395216731131659</v>
      </c>
      <c r="Z53" s="713">
        <f t="shared" ca="1" si="11"/>
        <v>0.80752990885463172</v>
      </c>
      <c r="AA53" s="713">
        <f t="shared" ca="1" si="11"/>
        <v>0.80093553819465546</v>
      </c>
      <c r="AB53" s="713">
        <f t="shared" ca="1" si="11"/>
        <v>0.79471934522760257</v>
      </c>
      <c r="AC53" s="713">
        <f t="shared" ca="1" si="11"/>
        <v>0.78897005413411092</v>
      </c>
      <c r="AD53" s="713">
        <f t="shared" ca="1" si="11"/>
        <v>0.78365634747805135</v>
      </c>
      <c r="AE53" s="713">
        <f t="shared" ca="1" si="11"/>
        <v>0.77818753552333342</v>
      </c>
      <c r="AF53" s="713">
        <f t="shared" ca="1" si="11"/>
        <v>0.7730205289085027</v>
      </c>
      <c r="AG53" s="713">
        <f t="shared" ca="1" si="11"/>
        <v>0.76785288678475239</v>
      </c>
      <c r="AH53" s="326"/>
      <c r="AI53" s="326"/>
      <c r="AJ53" s="326"/>
      <c r="AK53" s="326"/>
      <c r="AL53" s="326"/>
      <c r="AM53" s="326"/>
      <c r="AN53" s="19"/>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row>
    <row r="54" spans="1:73">
      <c r="A54" s="19"/>
      <c r="B54" s="185" t="s">
        <v>995</v>
      </c>
      <c r="C54" s="640">
        <f t="shared" ref="C54:AG54" si="12">IF(C16=0,0,($I$7-C46-(C52*C16))/((C45*9.80665)+(C53*C16^2)))</f>
        <v>0</v>
      </c>
      <c r="D54" s="640">
        <f t="shared" si="12"/>
        <v>0</v>
      </c>
      <c r="E54" s="640">
        <f t="shared" si="12"/>
        <v>0</v>
      </c>
      <c r="F54" s="640">
        <f t="shared" si="12"/>
        <v>0</v>
      </c>
      <c r="G54" s="640">
        <f t="shared" si="12"/>
        <v>0</v>
      </c>
      <c r="H54" s="640">
        <f t="shared" si="12"/>
        <v>0</v>
      </c>
      <c r="I54" s="640">
        <f t="shared" si="12"/>
        <v>0</v>
      </c>
      <c r="J54" s="640">
        <f t="shared" si="12"/>
        <v>0</v>
      </c>
      <c r="K54" s="640">
        <f t="shared" si="12"/>
        <v>1815.3439399252127</v>
      </c>
      <c r="L54" s="640">
        <f t="shared" ca="1" si="12"/>
        <v>1839.2264541140698</v>
      </c>
      <c r="M54" s="640">
        <f t="shared" ca="1" si="12"/>
        <v>1923.4770835211589</v>
      </c>
      <c r="N54" s="640">
        <f t="shared" ca="1" si="12"/>
        <v>1938.7363924097999</v>
      </c>
      <c r="O54" s="640">
        <f t="shared" ca="1" si="12"/>
        <v>1980.6476360921615</v>
      </c>
      <c r="P54" s="640">
        <f t="shared" ca="1" si="12"/>
        <v>1938.7363924097999</v>
      </c>
      <c r="Q54" s="640">
        <f t="shared" ca="1" si="12"/>
        <v>1980.6476360921615</v>
      </c>
      <c r="R54" s="640">
        <f t="shared" ca="1" si="12"/>
        <v>1938.7363924097999</v>
      </c>
      <c r="S54" s="640">
        <f t="shared" ca="1" si="12"/>
        <v>1980.6476360921615</v>
      </c>
      <c r="T54" s="640">
        <f t="shared" ca="1" si="12"/>
        <v>1959.2303355917545</v>
      </c>
      <c r="U54" s="640">
        <f t="shared" ca="1" si="12"/>
        <v>2022.9791997258881</v>
      </c>
      <c r="V54" s="640">
        <f t="shared" ca="1" si="12"/>
        <v>1999.948422984872</v>
      </c>
      <c r="W54" s="640">
        <f t="shared" ca="1" si="12"/>
        <v>2063.7430819189208</v>
      </c>
      <c r="X54" s="640">
        <f t="shared" ca="1" si="12"/>
        <v>2035.8017027122228</v>
      </c>
      <c r="Y54" s="640">
        <f t="shared" ca="1" si="12"/>
        <v>2091.2122577664763</v>
      </c>
      <c r="Z54" s="640">
        <f t="shared" ca="1" si="12"/>
        <v>2057.4461366567125</v>
      </c>
      <c r="AA54" s="640">
        <f t="shared" ca="1" si="12"/>
        <v>2113.1144587336016</v>
      </c>
      <c r="AB54" s="640">
        <f t="shared" ca="1" si="12"/>
        <v>2078.3876278151938</v>
      </c>
      <c r="AC54" s="640">
        <f t="shared" ca="1" si="12"/>
        <v>2128.5409998758814</v>
      </c>
      <c r="AD54" s="640">
        <f t="shared" ca="1" si="12"/>
        <v>2086.4364046761966</v>
      </c>
      <c r="AE54" s="640">
        <f t="shared" ca="1" si="12"/>
        <v>2135.9155118411104</v>
      </c>
      <c r="AF54" s="640">
        <f t="shared" ca="1" si="12"/>
        <v>2093.1726608780095</v>
      </c>
      <c r="AG54" s="640">
        <f t="shared" ca="1" si="12"/>
        <v>2141.6110738927641</v>
      </c>
      <c r="AH54" s="326"/>
      <c r="AI54" s="328"/>
      <c r="AJ54" s="328"/>
      <c r="AK54" s="326" t="s">
        <v>1030</v>
      </c>
      <c r="AL54" s="326">
        <v>1317.5</v>
      </c>
      <c r="AM54" s="326"/>
      <c r="AN54" s="19"/>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6"/>
      <c r="BS54" s="326"/>
      <c r="BT54" s="326"/>
      <c r="BU54" s="326"/>
    </row>
    <row r="55" spans="1:73">
      <c r="A55" s="19"/>
      <c r="B55" s="185" t="s">
        <v>996</v>
      </c>
      <c r="C55" s="640">
        <f>IF(C54=0,0,$O$10-C54)</f>
        <v>0</v>
      </c>
      <c r="D55" s="640">
        <f t="shared" ref="D55:AG55" si="13">IF(D54=0,0,$O$10-D54)</f>
        <v>0</v>
      </c>
      <c r="E55" s="640">
        <f t="shared" si="13"/>
        <v>0</v>
      </c>
      <c r="F55" s="640">
        <f t="shared" si="13"/>
        <v>0</v>
      </c>
      <c r="G55" s="640">
        <f t="shared" si="13"/>
        <v>0</v>
      </c>
      <c r="H55" s="640">
        <f t="shared" si="13"/>
        <v>0</v>
      </c>
      <c r="I55" s="640">
        <f t="shared" si="13"/>
        <v>0</v>
      </c>
      <c r="J55" s="640">
        <f t="shared" si="13"/>
        <v>0</v>
      </c>
      <c r="K55" s="640">
        <f t="shared" si="13"/>
        <v>184.65606007478732</v>
      </c>
      <c r="L55" s="640">
        <f t="shared" ca="1" si="13"/>
        <v>160.77354588593016</v>
      </c>
      <c r="M55" s="640">
        <f t="shared" ca="1" si="13"/>
        <v>76.522916478841125</v>
      </c>
      <c r="N55" s="640">
        <f t="shared" ca="1" si="13"/>
        <v>61.263607590200081</v>
      </c>
      <c r="O55" s="640">
        <f t="shared" ca="1" si="13"/>
        <v>19.35236390783848</v>
      </c>
      <c r="P55" s="640">
        <f t="shared" ca="1" si="13"/>
        <v>61.263607590200081</v>
      </c>
      <c r="Q55" s="640">
        <f t="shared" ca="1" si="13"/>
        <v>19.35236390783848</v>
      </c>
      <c r="R55" s="640">
        <f t="shared" ca="1" si="13"/>
        <v>61.263607590200081</v>
      </c>
      <c r="S55" s="640">
        <f t="shared" ca="1" si="13"/>
        <v>19.35236390783848</v>
      </c>
      <c r="T55" s="640">
        <f t="shared" ca="1" si="13"/>
        <v>40.76966440824549</v>
      </c>
      <c r="U55" s="640">
        <f t="shared" ca="1" si="13"/>
        <v>-22.979199725888066</v>
      </c>
      <c r="V55" s="640">
        <f t="shared" ca="1" si="13"/>
        <v>5.1577015128032144E-2</v>
      </c>
      <c r="W55" s="640">
        <f t="shared" ca="1" si="13"/>
        <v>-63.74308191892078</v>
      </c>
      <c r="X55" s="640">
        <f t="shared" ca="1" si="13"/>
        <v>-35.801702712222777</v>
      </c>
      <c r="Y55" s="640">
        <f t="shared" ca="1" si="13"/>
        <v>-91.212257766476341</v>
      </c>
      <c r="Z55" s="640">
        <f t="shared" ca="1" si="13"/>
        <v>-57.446136656712497</v>
      </c>
      <c r="AA55" s="640">
        <f t="shared" ca="1" si="13"/>
        <v>-113.11445873360162</v>
      </c>
      <c r="AB55" s="640">
        <f t="shared" ca="1" si="13"/>
        <v>-78.38762781519381</v>
      </c>
      <c r="AC55" s="640">
        <f t="shared" ca="1" si="13"/>
        <v>-128.54099987588143</v>
      </c>
      <c r="AD55" s="640">
        <f t="shared" ca="1" si="13"/>
        <v>-86.436404676196616</v>
      </c>
      <c r="AE55" s="640">
        <f t="shared" ca="1" si="13"/>
        <v>-135.9155118411104</v>
      </c>
      <c r="AF55" s="640">
        <f t="shared" ca="1" si="13"/>
        <v>-93.172660878009538</v>
      </c>
      <c r="AG55" s="640">
        <f t="shared" ca="1" si="13"/>
        <v>-141.61107389276413</v>
      </c>
      <c r="AH55" s="326"/>
      <c r="AI55" s="328"/>
      <c r="AJ55" s="328"/>
      <c r="AK55" s="569" t="s">
        <v>1031</v>
      </c>
      <c r="AL55" s="21">
        <v>908.47</v>
      </c>
      <c r="AM55" s="326"/>
      <c r="AN55" s="19"/>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row>
    <row r="56" spans="1:73">
      <c r="A56" s="19"/>
      <c r="B56" s="185" t="s">
        <v>997</v>
      </c>
      <c r="C56" s="665">
        <f t="shared" ref="C56:AG56" si="14">C16/(C47*PI()*($I$9/2)^2)</f>
        <v>0</v>
      </c>
      <c r="D56" s="665">
        <f t="shared" si="14"/>
        <v>0</v>
      </c>
      <c r="E56" s="665">
        <f t="shared" si="14"/>
        <v>0</v>
      </c>
      <c r="F56" s="665">
        <f t="shared" si="14"/>
        <v>0</v>
      </c>
      <c r="G56" s="665">
        <f t="shared" si="14"/>
        <v>0</v>
      </c>
      <c r="H56" s="665">
        <f t="shared" si="14"/>
        <v>0</v>
      </c>
      <c r="I56" s="665">
        <f t="shared" si="14"/>
        <v>0</v>
      </c>
      <c r="J56" s="665">
        <f t="shared" si="14"/>
        <v>0</v>
      </c>
      <c r="K56" s="665">
        <f t="shared" si="14"/>
        <v>0.32010094937203981</v>
      </c>
      <c r="L56" s="665">
        <f t="shared" ca="1" si="14"/>
        <v>3.2144572982383388</v>
      </c>
      <c r="M56" s="665">
        <f t="shared" ca="1" si="14"/>
        <v>2.9104159510541123</v>
      </c>
      <c r="N56" s="665">
        <f t="shared" ca="1" si="14"/>
        <v>2.8668329590963642</v>
      </c>
      <c r="O56" s="665">
        <f t="shared" ca="1" si="14"/>
        <v>2.7088485657218278</v>
      </c>
      <c r="P56" s="665">
        <f t="shared" ca="1" si="14"/>
        <v>2.8668329590963642</v>
      </c>
      <c r="Q56" s="665">
        <f t="shared" ca="1" si="14"/>
        <v>2.7088485657218273</v>
      </c>
      <c r="R56" s="665">
        <f t="shared" ca="1" si="14"/>
        <v>2.8668329590963642</v>
      </c>
      <c r="S56" s="665">
        <f t="shared" ca="1" si="14"/>
        <v>2.7088485657218278</v>
      </c>
      <c r="T56" s="665">
        <f t="shared" ca="1" si="14"/>
        <v>2.847827795117214</v>
      </c>
      <c r="U56" s="665">
        <f t="shared" ca="1" si="14"/>
        <v>2.6723858835749144</v>
      </c>
      <c r="V56" s="665">
        <f t="shared" ca="1" si="14"/>
        <v>2.8105591185432854</v>
      </c>
      <c r="W56" s="665">
        <f t="shared" ca="1" si="14"/>
        <v>2.6387871410970578</v>
      </c>
      <c r="X56" s="665">
        <f t="shared" ca="1" si="14"/>
        <v>2.7757532390700885</v>
      </c>
      <c r="Y56" s="665">
        <f t="shared" ca="1" si="14"/>
        <v>2.6062684394016049</v>
      </c>
      <c r="Z56" s="665">
        <f t="shared" ca="1" si="14"/>
        <v>2.7418346409550449</v>
      </c>
      <c r="AA56" s="665">
        <f t="shared" ca="1" si="14"/>
        <v>2.575530959082498</v>
      </c>
      <c r="AB56" s="665">
        <f t="shared" ca="1" si="14"/>
        <v>2.7104938920297927</v>
      </c>
      <c r="AC56" s="665">
        <f t="shared" ca="1" si="14"/>
        <v>2.5458404911609716</v>
      </c>
      <c r="AD56" s="665">
        <f t="shared" ca="1" si="14"/>
        <v>2.6789124669270978</v>
      </c>
      <c r="AE56" s="665">
        <f t="shared" ca="1" si="14"/>
        <v>2.5166774809845562</v>
      </c>
      <c r="AF56" s="665">
        <f t="shared" ca="1" si="14"/>
        <v>2.6491372923859107</v>
      </c>
      <c r="AG56" s="665">
        <f t="shared" ca="1" si="14"/>
        <v>2.4890902646083894</v>
      </c>
      <c r="AH56" s="326"/>
      <c r="AI56" s="326"/>
      <c r="AJ56" s="326"/>
      <c r="AK56" s="569" t="s">
        <v>1032</v>
      </c>
      <c r="AL56" s="21">
        <v>2798.3</v>
      </c>
      <c r="AM56" s="326"/>
      <c r="AN56" s="19"/>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6"/>
      <c r="BS56" s="326"/>
      <c r="BT56" s="326"/>
      <c r="BU56" s="326"/>
    </row>
    <row r="57" spans="1:73">
      <c r="A57" s="19"/>
      <c r="B57" s="185" t="s">
        <v>962</v>
      </c>
      <c r="C57" s="665">
        <f t="shared" ref="C57:AG57" si="15">$I$7-(C52*C16)-9.80665*(C$45*C54+$AM$39*C55)-2/$I$9*$AM$41*$AM$39*(C56^2)*C55-32*C51*C54/((PI()^2)*$I$9^5*C$45)*(C16^2)-$AM$39/2*(($AM$43^2)*($AM$36+(1-$AM$36)/($AM$42^2))-16/((PI()^2)*$I$9^4*(C$45^2)))*(C16^2)</f>
        <v>25000000</v>
      </c>
      <c r="D57" s="665">
        <f t="shared" si="15"/>
        <v>25000000</v>
      </c>
      <c r="E57" s="665">
        <f t="shared" si="15"/>
        <v>25000000</v>
      </c>
      <c r="F57" s="665">
        <f t="shared" si="15"/>
        <v>25000000</v>
      </c>
      <c r="G57" s="665">
        <f t="shared" si="15"/>
        <v>25000000</v>
      </c>
      <c r="H57" s="665">
        <f t="shared" si="15"/>
        <v>25000000</v>
      </c>
      <c r="I57" s="665">
        <f t="shared" si="15"/>
        <v>25000000</v>
      </c>
      <c r="J57" s="665">
        <f t="shared" si="15"/>
        <v>25000000</v>
      </c>
      <c r="K57" s="665">
        <f t="shared" si="15"/>
        <v>4831241.4095020434</v>
      </c>
      <c r="L57" s="665">
        <f t="shared" ca="1" si="15"/>
        <v>-24398262.975602478</v>
      </c>
      <c r="M57" s="665">
        <f t="shared" ca="1" si="15"/>
        <v>-5711655.1111908192</v>
      </c>
      <c r="N57" s="665">
        <f t="shared" ca="1" si="15"/>
        <v>-3021685.6196794212</v>
      </c>
      <c r="O57" s="665">
        <f t="shared" ca="1" si="15"/>
        <v>3725135.6826211666</v>
      </c>
      <c r="P57" s="665">
        <f t="shared" ca="1" si="15"/>
        <v>-3021685.6196794212</v>
      </c>
      <c r="Q57" s="665">
        <f t="shared" ca="1" si="15"/>
        <v>3725135.6826211684</v>
      </c>
      <c r="R57" s="665">
        <f t="shared" ca="1" si="15"/>
        <v>-3021685.6196794212</v>
      </c>
      <c r="S57" s="665">
        <f t="shared" ca="1" si="15"/>
        <v>3725135.6826211666</v>
      </c>
      <c r="T57" s="665">
        <f t="shared" ca="1" si="15"/>
        <v>-163070.70617470224</v>
      </c>
      <c r="U57" s="665">
        <f t="shared" ca="1" si="15"/>
        <v>8726349.4901368953</v>
      </c>
      <c r="V57" s="665">
        <f t="shared" ca="1" si="15"/>
        <v>5259122.9089173451</v>
      </c>
      <c r="W57" s="665">
        <f t="shared" ca="1" si="15"/>
        <v>13245400.869613718</v>
      </c>
      <c r="X57" s="665">
        <f t="shared" ca="1" si="15"/>
        <v>9717072.1378164683</v>
      </c>
      <c r="Y57" s="665">
        <f t="shared" ca="1" si="15"/>
        <v>15934186.781688597</v>
      </c>
      <c r="Z57" s="665">
        <f t="shared" ca="1" si="15"/>
        <v>12062444.167279037</v>
      </c>
      <c r="AA57" s="665">
        <f t="shared" ca="1" si="15"/>
        <v>17829372.136347584</v>
      </c>
      <c r="AB57" s="665">
        <f t="shared" ca="1" si="15"/>
        <v>14188820.287259016</v>
      </c>
      <c r="AC57" s="665">
        <f t="shared" ca="1" si="15"/>
        <v>18883116.862095051</v>
      </c>
      <c r="AD57" s="665">
        <f t="shared" ca="1" si="15"/>
        <v>14575551.940034159</v>
      </c>
      <c r="AE57" s="665">
        <f t="shared" ca="1" si="15"/>
        <v>18978301.470638432</v>
      </c>
      <c r="AF57" s="665">
        <f t="shared" ca="1" si="15"/>
        <v>14770802.641888902</v>
      </c>
      <c r="AG57" s="665">
        <f t="shared" ca="1" si="15"/>
        <v>18878118.284170326</v>
      </c>
      <c r="AH57" s="326"/>
      <c r="AI57" s="326"/>
      <c r="AJ57" s="326"/>
      <c r="AK57" s="569" t="s">
        <v>30</v>
      </c>
      <c r="AL57" s="21">
        <f>(AL54-AL55)/(AL56-AL55)</f>
        <v>0.21643745733743244</v>
      </c>
      <c r="AM57" s="326"/>
      <c r="AN57" s="19"/>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6"/>
      <c r="BR57" s="326"/>
      <c r="BS57" s="326"/>
      <c r="BT57" s="326"/>
      <c r="BU57" s="326"/>
    </row>
    <row r="58" spans="1:73">
      <c r="A58" s="19"/>
      <c r="B58" s="326"/>
      <c r="C58" s="326"/>
      <c r="D58" s="326"/>
      <c r="E58" s="579"/>
      <c r="F58" s="328"/>
      <c r="G58" s="328"/>
      <c r="H58" s="328"/>
      <c r="I58" s="580"/>
      <c r="J58" s="326"/>
      <c r="K58" s="342"/>
      <c r="L58" s="326"/>
      <c r="M58" s="338"/>
      <c r="N58" s="338"/>
      <c r="O58" s="338"/>
      <c r="P58" s="338"/>
      <c r="Q58" s="338"/>
      <c r="R58" s="338"/>
      <c r="S58" s="326"/>
      <c r="T58" s="326"/>
      <c r="U58" s="326"/>
      <c r="V58" s="326"/>
      <c r="W58" s="326"/>
      <c r="X58" s="326"/>
      <c r="Y58" s="326"/>
      <c r="Z58" s="326"/>
      <c r="AA58" s="326"/>
      <c r="AB58" s="326"/>
      <c r="AC58" s="326"/>
      <c r="AD58" s="326"/>
      <c r="AE58" s="326"/>
      <c r="AF58" s="326"/>
      <c r="AG58" s="326"/>
      <c r="AH58" s="326"/>
      <c r="AI58" s="326"/>
      <c r="AJ58" s="326"/>
      <c r="AK58" s="326"/>
      <c r="AL58" s="326"/>
      <c r="AM58" s="326"/>
      <c r="AN58" s="19"/>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326"/>
      <c r="BR58" s="326"/>
      <c r="BS58" s="326"/>
      <c r="BT58" s="326"/>
      <c r="BU58" s="326"/>
    </row>
    <row r="59" spans="1:73">
      <c r="A59" s="326"/>
      <c r="B59" s="326"/>
      <c r="C59" s="326"/>
      <c r="D59" s="326"/>
      <c r="E59" s="579"/>
      <c r="F59" s="328"/>
      <c r="G59" s="328"/>
      <c r="H59" s="328"/>
      <c r="I59" s="580"/>
      <c r="J59" s="326"/>
      <c r="K59" s="326"/>
      <c r="L59" s="326"/>
      <c r="M59" s="338"/>
      <c r="N59" s="338"/>
      <c r="O59" s="338"/>
      <c r="P59" s="338"/>
      <c r="Q59" s="338"/>
      <c r="R59" s="338"/>
      <c r="S59" s="326"/>
      <c r="T59" s="326"/>
      <c r="U59" s="326"/>
      <c r="V59" s="326"/>
      <c r="W59" s="326"/>
      <c r="X59" s="326"/>
      <c r="Y59" s="326"/>
      <c r="Z59" s="326"/>
      <c r="AA59" s="326"/>
      <c r="AB59" s="326"/>
      <c r="AC59" s="326"/>
      <c r="AD59" s="326"/>
      <c r="AE59" s="326"/>
      <c r="AF59" s="326"/>
      <c r="AG59" s="326"/>
      <c r="AH59" s="326"/>
      <c r="AI59" s="326"/>
      <c r="AJ59" s="326"/>
      <c r="AK59" s="68"/>
      <c r="AL59" s="68"/>
      <c r="AM59" s="68"/>
      <c r="AN59" s="19"/>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6"/>
      <c r="BS59" s="326"/>
      <c r="BT59" s="326"/>
      <c r="BU59" s="326"/>
    </row>
    <row r="60" spans="1:73">
      <c r="A60" s="575"/>
      <c r="B60" s="326"/>
      <c r="C60" s="326"/>
      <c r="D60" s="326"/>
      <c r="E60" s="579"/>
      <c r="F60" s="328"/>
      <c r="G60" s="328"/>
      <c r="H60" s="328"/>
      <c r="I60" s="580"/>
      <c r="J60" s="666">
        <f>I7</f>
        <v>25000000</v>
      </c>
      <c r="K60" s="714">
        <f>AA5</f>
        <v>7000000</v>
      </c>
      <c r="L60" s="338"/>
      <c r="M60" s="338"/>
      <c r="N60" s="338"/>
      <c r="O60" s="338"/>
      <c r="P60" s="338"/>
      <c r="Q60" s="338"/>
      <c r="R60" s="338"/>
      <c r="S60" s="326"/>
      <c r="T60" s="326"/>
      <c r="U60" s="326"/>
      <c r="V60" s="326"/>
      <c r="W60" s="326"/>
      <c r="X60" s="326"/>
      <c r="Y60" s="326"/>
      <c r="Z60" s="326"/>
      <c r="AA60" s="326"/>
      <c r="AB60" s="326"/>
      <c r="AC60" s="326"/>
      <c r="AD60" s="326"/>
      <c r="AE60" s="326"/>
      <c r="AF60" s="326"/>
      <c r="AG60" s="326"/>
      <c r="AH60" s="326"/>
      <c r="AI60" s="326"/>
      <c r="AJ60" s="326"/>
      <c r="AK60" s="326"/>
      <c r="AL60" s="326"/>
      <c r="AM60" s="68"/>
      <c r="AN60" s="19"/>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row>
    <row r="61" spans="1:73">
      <c r="A61" s="19"/>
      <c r="B61" s="326"/>
      <c r="C61" s="326"/>
      <c r="D61" s="326"/>
      <c r="E61" s="579"/>
      <c r="F61" s="328"/>
      <c r="G61" s="328"/>
      <c r="H61" s="328"/>
      <c r="I61" s="580"/>
      <c r="J61" s="326"/>
      <c r="K61" s="714">
        <f>9.80665*($U$5*K54+$AM$39*K55)</f>
        <v>14087196.163212921</v>
      </c>
      <c r="L61" s="338"/>
      <c r="M61" s="338"/>
      <c r="N61" s="338"/>
      <c r="O61" s="338"/>
      <c r="P61" s="338"/>
      <c r="Q61" s="338"/>
      <c r="R61" s="338"/>
      <c r="S61" s="326"/>
      <c r="T61" s="326"/>
      <c r="U61" s="326"/>
      <c r="V61" s="326"/>
      <c r="W61" s="326"/>
      <c r="X61" s="326"/>
      <c r="Y61" s="326"/>
      <c r="Z61" s="326"/>
      <c r="AA61" s="326"/>
      <c r="AB61" s="326"/>
      <c r="AC61" s="326"/>
      <c r="AD61" s="326"/>
      <c r="AE61" s="326"/>
      <c r="AF61" s="326"/>
      <c r="AG61" s="326"/>
      <c r="AH61" s="328"/>
      <c r="AI61" s="326"/>
      <c r="AJ61" s="326"/>
      <c r="AK61" s="68"/>
      <c r="AL61" s="68"/>
      <c r="AM61" s="68"/>
      <c r="AN61" s="19"/>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6"/>
      <c r="BS61" s="326"/>
      <c r="BT61" s="326"/>
      <c r="BU61" s="326"/>
    </row>
    <row r="62" spans="1:73">
      <c r="A62" s="19"/>
      <c r="B62" s="326"/>
      <c r="C62" s="326"/>
      <c r="D62" s="326"/>
      <c r="E62" s="579"/>
      <c r="F62" s="328"/>
      <c r="G62" s="328"/>
      <c r="H62" s="328"/>
      <c r="I62" s="580"/>
      <c r="J62" s="326"/>
      <c r="K62" s="714">
        <f>2/(2*$I$9)*$AM$41*$AM$39*(K56^2)*K55</f>
        <v>169284.93257017783</v>
      </c>
      <c r="L62" s="338"/>
      <c r="M62" s="338"/>
      <c r="N62" s="338"/>
      <c r="O62" s="338"/>
      <c r="P62" s="338"/>
      <c r="Q62" s="338"/>
      <c r="R62" s="338"/>
      <c r="S62" s="326"/>
      <c r="T62" s="326"/>
      <c r="U62" s="326"/>
      <c r="V62" s="326"/>
      <c r="W62" s="326"/>
      <c r="X62" s="326"/>
      <c r="Y62" s="326"/>
      <c r="Z62" s="326"/>
      <c r="AA62" s="326"/>
      <c r="AB62" s="326"/>
      <c r="AC62" s="326"/>
      <c r="AD62" s="326"/>
      <c r="AE62" s="326"/>
      <c r="AF62" s="326"/>
      <c r="AG62" s="326"/>
      <c r="AH62" s="328"/>
      <c r="AI62" s="326"/>
      <c r="AJ62" s="326"/>
      <c r="AK62" s="326"/>
      <c r="AL62" s="326"/>
      <c r="AM62" s="68"/>
      <c r="AN62" s="19"/>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row>
    <row r="63" spans="1:73">
      <c r="A63" s="19"/>
      <c r="B63" s="326"/>
      <c r="C63" s="326"/>
      <c r="D63" s="326"/>
      <c r="E63" s="579"/>
      <c r="F63" s="328"/>
      <c r="G63" s="328"/>
      <c r="H63" s="328"/>
      <c r="I63" s="580"/>
      <c r="J63" s="326"/>
      <c r="K63" s="714">
        <f>32*K51*K54/((PI()^2)*($I$9*2)^5*$U$5)*(K16^2)</f>
        <v>85986.158937009037</v>
      </c>
      <c r="L63" s="338"/>
      <c r="M63" s="338"/>
      <c r="N63" s="338"/>
      <c r="O63" s="338"/>
      <c r="P63" s="338"/>
      <c r="Q63" s="338"/>
      <c r="R63" s="338"/>
      <c r="S63" s="326"/>
      <c r="T63" s="326"/>
      <c r="U63" s="326"/>
      <c r="V63" s="326"/>
      <c r="W63" s="326"/>
      <c r="X63" s="326"/>
      <c r="Y63" s="326"/>
      <c r="Z63" s="326"/>
      <c r="AA63" s="326"/>
      <c r="AB63" s="326"/>
      <c r="AC63" s="326"/>
      <c r="AD63" s="326"/>
      <c r="AE63" s="326"/>
      <c r="AF63" s="326"/>
      <c r="AG63" s="326"/>
      <c r="AH63" s="326"/>
      <c r="AI63" s="326"/>
      <c r="AJ63" s="326"/>
      <c r="AK63" s="68"/>
      <c r="AL63" s="68"/>
      <c r="AM63" s="68"/>
      <c r="AN63" s="19"/>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6"/>
      <c r="BS63" s="326"/>
      <c r="BT63" s="326"/>
      <c r="BU63" s="326"/>
    </row>
    <row r="64" spans="1:73">
      <c r="A64" s="19"/>
      <c r="B64" s="326"/>
      <c r="C64" s="326"/>
      <c r="D64" s="326"/>
      <c r="E64" s="579"/>
      <c r="F64" s="328"/>
      <c r="G64" s="328"/>
      <c r="H64" s="328"/>
      <c r="I64" s="580"/>
      <c r="J64" s="326"/>
      <c r="K64" s="714">
        <f>$AM$39/2*(($AM$43^2)*($AM$36+(1-$AM$36)/($AM$42^2))-16/((PI()^2)*($I$9*2)^4*($U$5^2)))*(K16^2)</f>
        <v>30068.995799676388</v>
      </c>
      <c r="L64" s="338"/>
      <c r="M64" s="338"/>
      <c r="N64" s="338"/>
      <c r="O64" s="338"/>
      <c r="P64" s="338"/>
      <c r="Q64" s="338"/>
      <c r="R64" s="338"/>
      <c r="S64" s="326"/>
      <c r="T64" s="326"/>
      <c r="U64" s="326"/>
      <c r="V64" s="326"/>
      <c r="W64" s="326"/>
      <c r="X64" s="326"/>
      <c r="Y64" s="326"/>
      <c r="Z64" s="326"/>
      <c r="AA64" s="326"/>
      <c r="AB64" s="326"/>
      <c r="AC64" s="326"/>
      <c r="AD64" s="326"/>
      <c r="AE64" s="326"/>
      <c r="AF64" s="326"/>
      <c r="AG64" s="326"/>
      <c r="AH64" s="326"/>
      <c r="AI64" s="326"/>
      <c r="AJ64" s="326"/>
      <c r="AK64" s="326"/>
      <c r="AL64" s="326"/>
      <c r="AM64" s="68"/>
      <c r="AN64" s="19"/>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row>
    <row r="65" spans="1:73">
      <c r="A65" s="19"/>
      <c r="B65" s="326"/>
      <c r="C65" s="326"/>
      <c r="D65" s="326"/>
      <c r="E65" s="579"/>
      <c r="F65" s="328"/>
      <c r="G65" s="328"/>
      <c r="H65" s="328"/>
      <c r="I65" s="580"/>
      <c r="J65" s="328"/>
      <c r="K65" s="580"/>
      <c r="L65" s="338"/>
      <c r="M65" s="338"/>
      <c r="N65" s="338"/>
      <c r="O65" s="338"/>
      <c r="P65" s="338">
        <v>67.5</v>
      </c>
      <c r="Q65" s="338"/>
      <c r="R65" s="338"/>
      <c r="S65" s="326"/>
      <c r="T65" s="326"/>
      <c r="U65" s="326"/>
      <c r="V65" s="326"/>
      <c r="W65" s="326"/>
      <c r="X65" s="326"/>
      <c r="Y65" s="326"/>
      <c r="Z65" s="326"/>
      <c r="AA65" s="326"/>
      <c r="AB65" s="326"/>
      <c r="AC65" s="326"/>
      <c r="AD65" s="326"/>
      <c r="AE65" s="326"/>
      <c r="AF65" s="326"/>
      <c r="AG65" s="326"/>
      <c r="AH65" s="326"/>
      <c r="AI65" s="326"/>
      <c r="AJ65" s="326"/>
      <c r="AK65" s="68"/>
      <c r="AL65" s="68"/>
      <c r="AM65" s="68"/>
      <c r="AN65" s="19"/>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6"/>
      <c r="BP65" s="326"/>
      <c r="BQ65" s="326"/>
      <c r="BR65" s="326"/>
      <c r="BS65" s="326"/>
      <c r="BT65" s="326"/>
      <c r="BU65" s="326"/>
    </row>
    <row r="66" spans="1:73">
      <c r="A66" s="19"/>
      <c r="B66" s="326"/>
      <c r="C66" s="326"/>
      <c r="D66" s="326"/>
      <c r="E66" s="579"/>
      <c r="F66" s="328"/>
      <c r="G66" s="328"/>
      <c r="H66" s="328"/>
      <c r="I66" s="580"/>
      <c r="J66" s="328"/>
      <c r="K66" s="580"/>
      <c r="L66" s="338"/>
      <c r="M66" s="338"/>
      <c r="N66" s="338"/>
      <c r="O66" s="338"/>
      <c r="P66" s="812">
        <f ca="1">P65/(L47*PI()*$I$9^2)</f>
        <v>1.3424187644084848</v>
      </c>
      <c r="Q66" s="338"/>
      <c r="R66" s="338"/>
      <c r="S66" s="326"/>
      <c r="T66" s="326"/>
      <c r="U66" s="326"/>
      <c r="V66" s="326"/>
      <c r="W66" s="326"/>
      <c r="X66" s="326"/>
      <c r="Y66" s="326"/>
      <c r="Z66" s="326"/>
      <c r="AA66" s="326"/>
      <c r="AB66" s="326"/>
      <c r="AC66" s="326"/>
      <c r="AD66" s="326"/>
      <c r="AE66" s="326"/>
      <c r="AF66" s="326"/>
      <c r="AG66" s="326"/>
      <c r="AH66" s="326"/>
      <c r="AI66" s="326"/>
      <c r="AJ66" s="326"/>
      <c r="AK66" s="326"/>
      <c r="AL66" s="326"/>
      <c r="AM66" s="68"/>
      <c r="AN66" s="19"/>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row>
    <row r="67" spans="1:73">
      <c r="A67" s="19"/>
      <c r="B67" s="326"/>
      <c r="C67" s="326"/>
      <c r="D67" s="326"/>
      <c r="E67" s="579"/>
      <c r="F67" s="328"/>
      <c r="G67" s="328"/>
      <c r="H67" s="328"/>
      <c r="I67" s="580"/>
      <c r="J67" s="326"/>
      <c r="K67" s="342"/>
      <c r="L67" s="326"/>
      <c r="M67" s="338"/>
      <c r="N67" s="338"/>
      <c r="O67" s="338"/>
      <c r="P67" s="338"/>
      <c r="Q67" s="338"/>
      <c r="R67" s="338"/>
      <c r="S67" s="326"/>
      <c r="T67" s="326"/>
      <c r="U67" s="326"/>
      <c r="V67" s="326"/>
      <c r="W67" s="326"/>
      <c r="X67" s="326"/>
      <c r="Y67" s="326"/>
      <c r="Z67" s="326"/>
      <c r="AA67" s="326"/>
      <c r="AB67" s="326"/>
      <c r="AC67" s="326"/>
      <c r="AD67" s="326"/>
      <c r="AE67" s="326"/>
      <c r="AF67" s="326"/>
      <c r="AG67" s="326"/>
      <c r="AH67" s="326"/>
      <c r="AI67" s="326"/>
      <c r="AJ67" s="326"/>
      <c r="AK67" s="68"/>
      <c r="AL67" s="68"/>
      <c r="AM67" s="68"/>
      <c r="AN67" s="19"/>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6"/>
      <c r="BQ67" s="326"/>
      <c r="BR67" s="326"/>
      <c r="BS67" s="326"/>
      <c r="BT67" s="326"/>
      <c r="BU67" s="326"/>
    </row>
    <row r="68" spans="1:73">
      <c r="A68" s="19"/>
      <c r="B68" s="326"/>
      <c r="C68" s="326"/>
      <c r="D68" s="326"/>
      <c r="E68" s="579"/>
      <c r="F68" s="328"/>
      <c r="G68" s="328"/>
      <c r="H68" s="328"/>
      <c r="I68" s="580"/>
      <c r="J68" s="326"/>
      <c r="K68" s="342"/>
      <c r="L68" s="326"/>
      <c r="M68" s="338"/>
      <c r="N68" s="338"/>
      <c r="O68" s="338"/>
      <c r="P68" s="666">
        <f>I7</f>
        <v>25000000</v>
      </c>
      <c r="Q68" s="338"/>
      <c r="R68" s="338"/>
      <c r="S68" s="326"/>
      <c r="T68" s="326"/>
      <c r="U68" s="326"/>
      <c r="V68" s="326"/>
      <c r="W68" s="326"/>
      <c r="X68" s="326"/>
      <c r="Y68" s="326"/>
      <c r="Z68" s="326"/>
      <c r="AA68" s="326"/>
      <c r="AB68" s="326"/>
      <c r="AC68" s="326"/>
      <c r="AD68" s="326"/>
      <c r="AE68" s="326"/>
      <c r="AF68" s="326"/>
      <c r="AG68" s="326"/>
      <c r="AH68" s="326"/>
      <c r="AI68" s="326"/>
      <c r="AJ68" s="326"/>
      <c r="AK68" s="326"/>
      <c r="AL68" s="326"/>
      <c r="AM68" s="68"/>
      <c r="AN68" s="19"/>
      <c r="AO68" s="326"/>
      <c r="AP68" s="326"/>
      <c r="AQ68" s="326"/>
      <c r="AR68" s="326"/>
      <c r="AS68" s="326"/>
      <c r="AT68" s="326"/>
      <c r="AU68" s="326"/>
      <c r="AV68" s="326"/>
      <c r="AW68" s="326"/>
      <c r="AX68" s="326"/>
      <c r="AY68" s="326"/>
      <c r="AZ68" s="326"/>
      <c r="BA68" s="326"/>
      <c r="BB68" s="326"/>
      <c r="BC68" s="326"/>
      <c r="BD68" s="326"/>
      <c r="BE68" s="326"/>
      <c r="BF68" s="326"/>
      <c r="BG68" s="326"/>
      <c r="BH68" s="326"/>
      <c r="BI68" s="326"/>
      <c r="BJ68" s="326"/>
      <c r="BK68" s="326"/>
      <c r="BL68" s="326"/>
      <c r="BM68" s="326"/>
      <c r="BN68" s="326"/>
      <c r="BO68" s="326"/>
      <c r="BP68" s="326"/>
      <c r="BQ68" s="326"/>
      <c r="BR68" s="326"/>
      <c r="BS68" s="326"/>
      <c r="BT68" s="326"/>
      <c r="BU68" s="326"/>
    </row>
    <row r="69" spans="1:73">
      <c r="A69" s="19"/>
      <c r="B69" s="326"/>
      <c r="C69" s="326"/>
      <c r="D69" s="326"/>
      <c r="E69" s="579"/>
      <c r="F69" s="328"/>
      <c r="G69" s="328"/>
      <c r="H69" s="328"/>
      <c r="I69" s="580"/>
      <c r="J69" s="326"/>
      <c r="K69" s="342"/>
      <c r="L69" s="326"/>
      <c r="M69" s="338"/>
      <c r="N69" s="338"/>
      <c r="O69" s="338"/>
      <c r="P69" s="666">
        <f ca="1">-L52*P65</f>
        <v>-4119748.1424464975</v>
      </c>
      <c r="Q69" s="338"/>
      <c r="R69" s="338"/>
      <c r="S69" s="326"/>
      <c r="T69" s="326"/>
      <c r="U69" s="326"/>
      <c r="V69" s="326"/>
      <c r="W69" s="326"/>
      <c r="X69" s="326"/>
      <c r="Y69" s="326"/>
      <c r="Z69" s="326"/>
      <c r="AA69" s="326"/>
      <c r="AB69" s="326"/>
      <c r="AC69" s="326"/>
      <c r="AD69" s="326"/>
      <c r="AE69" s="326"/>
      <c r="AF69" s="326"/>
      <c r="AG69" s="326"/>
      <c r="AH69" s="326"/>
      <c r="AI69" s="326"/>
      <c r="AJ69" s="326"/>
      <c r="AK69" s="68"/>
      <c r="AL69" s="68"/>
      <c r="AM69" s="68"/>
      <c r="AN69" s="19"/>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6"/>
      <c r="BP69" s="326"/>
      <c r="BQ69" s="326"/>
      <c r="BR69" s="326"/>
      <c r="BS69" s="326"/>
      <c r="BT69" s="326"/>
      <c r="BU69" s="326"/>
    </row>
    <row r="70" spans="1:73">
      <c r="A70" s="19"/>
      <c r="B70" s="326"/>
      <c r="C70" s="326"/>
      <c r="D70" s="326"/>
      <c r="E70" s="579"/>
      <c r="F70" s="328"/>
      <c r="G70" s="328"/>
      <c r="H70" s="328"/>
      <c r="I70" s="580"/>
      <c r="J70" s="326"/>
      <c r="K70" s="342"/>
      <c r="L70" s="326"/>
      <c r="M70" s="338"/>
      <c r="N70" s="338"/>
      <c r="O70" s="338"/>
      <c r="P70" s="666">
        <f ca="1">-9.80665*(L45*L54+L47*L55)</f>
        <v>-14663466.884479774</v>
      </c>
      <c r="Q70" s="338"/>
      <c r="R70" s="338"/>
      <c r="S70" s="326"/>
      <c r="T70" s="326"/>
      <c r="U70" s="326"/>
      <c r="V70" s="326"/>
      <c r="W70" s="326"/>
      <c r="X70" s="326"/>
      <c r="Y70" s="326"/>
      <c r="Z70" s="326"/>
      <c r="AA70" s="326"/>
      <c r="AB70" s="326"/>
      <c r="AC70" s="326"/>
      <c r="AD70" s="326"/>
      <c r="AE70" s="326"/>
      <c r="AF70" s="326"/>
      <c r="AG70" s="326"/>
      <c r="AH70" s="326"/>
      <c r="AI70" s="326"/>
      <c r="AJ70" s="326"/>
      <c r="AK70" s="326"/>
      <c r="AL70" s="326"/>
      <c r="AM70" s="68"/>
      <c r="AN70" s="19"/>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6"/>
      <c r="BP70" s="326"/>
      <c r="BQ70" s="326"/>
      <c r="BR70" s="326"/>
      <c r="BS70" s="326"/>
      <c r="BT70" s="326"/>
      <c r="BU70" s="326"/>
    </row>
    <row r="71" spans="1:73">
      <c r="A71" s="19"/>
      <c r="B71" s="326"/>
      <c r="C71" s="326"/>
      <c r="D71" s="326"/>
      <c r="E71" s="579"/>
      <c r="F71" s="328"/>
      <c r="G71" s="328"/>
      <c r="H71" s="328"/>
      <c r="I71" s="580"/>
      <c r="J71" s="326"/>
      <c r="K71" s="342"/>
      <c r="L71" s="326"/>
      <c r="M71" s="338"/>
      <c r="N71" s="338"/>
      <c r="O71" s="338"/>
      <c r="P71" s="666">
        <f ca="1">-2/($I$9*2)*$AM$41*L47*(P66^2)*L55</f>
        <v>-2747974.6563723939</v>
      </c>
      <c r="Q71" s="338"/>
      <c r="R71" s="338"/>
      <c r="S71" s="326"/>
      <c r="T71" s="326"/>
      <c r="U71" s="326"/>
      <c r="V71" s="326"/>
      <c r="W71" s="326"/>
      <c r="X71" s="326"/>
      <c r="Y71" s="326"/>
      <c r="Z71" s="326"/>
      <c r="AA71" s="326"/>
      <c r="AB71" s="326"/>
      <c r="AC71" s="326"/>
      <c r="AD71" s="326"/>
      <c r="AE71" s="326"/>
      <c r="AF71" s="326"/>
      <c r="AG71" s="326"/>
      <c r="AH71" s="326"/>
      <c r="AI71" s="326"/>
      <c r="AJ71" s="326"/>
      <c r="AK71" s="68"/>
      <c r="AL71" s="68"/>
      <c r="AM71" s="68"/>
      <c r="AN71" s="19"/>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6"/>
      <c r="BP71" s="326"/>
      <c r="BQ71" s="326"/>
      <c r="BR71" s="326"/>
      <c r="BS71" s="326"/>
      <c r="BT71" s="326"/>
      <c r="BU71" s="326"/>
    </row>
    <row r="72" spans="1:73">
      <c r="A72" s="19"/>
      <c r="B72" s="326"/>
      <c r="C72" s="326"/>
      <c r="D72" s="326"/>
      <c r="E72" s="579"/>
      <c r="F72" s="328"/>
      <c r="G72" s="328"/>
      <c r="H72" s="328"/>
      <c r="I72" s="580"/>
      <c r="J72" s="326"/>
      <c r="K72" s="342"/>
      <c r="L72" s="326"/>
      <c r="M72" s="338"/>
      <c r="N72" s="338"/>
      <c r="O72" s="338"/>
      <c r="P72" s="326">
        <f ca="1">-32*L51*L54/(PI()^2*($I$9*2)^5*L45)*P65^2</f>
        <v>-224972.17100981242</v>
      </c>
      <c r="Q72" s="338"/>
      <c r="R72" s="338"/>
      <c r="S72" s="326"/>
      <c r="T72" s="326"/>
      <c r="U72" s="326"/>
      <c r="V72" s="326"/>
      <c r="W72" s="326"/>
      <c r="X72" s="326"/>
      <c r="Y72" s="326"/>
      <c r="Z72" s="326"/>
      <c r="AA72" s="326"/>
      <c r="AB72" s="326"/>
      <c r="AC72" s="326"/>
      <c r="AD72" s="326"/>
      <c r="AE72" s="326"/>
      <c r="AF72" s="326"/>
      <c r="AG72" s="326"/>
      <c r="AH72" s="326"/>
      <c r="AI72" s="326"/>
      <c r="AJ72" s="326"/>
      <c r="AK72" s="326"/>
      <c r="AL72" s="326"/>
      <c r="AM72" s="68"/>
      <c r="AN72" s="19"/>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row>
    <row r="73" spans="1:73">
      <c r="A73" s="19"/>
      <c r="B73" s="326"/>
      <c r="C73" s="326"/>
      <c r="D73" s="326"/>
      <c r="E73" s="579"/>
      <c r="F73" s="328"/>
      <c r="G73" s="328"/>
      <c r="H73" s="328"/>
      <c r="I73" s="580"/>
      <c r="J73" s="326"/>
      <c r="K73" s="342"/>
      <c r="L73" s="326"/>
      <c r="M73" s="338"/>
      <c r="N73" s="338"/>
      <c r="O73" s="338"/>
      <c r="P73" s="326">
        <f ca="1">-L47/2*(($AM$43^2)*($AM$36+(1-$AM$36)/(AM42^2))-16/(PI()^2*($I$9*2)^4*L45^2))*P65^2</f>
        <v>-85520.209197863544</v>
      </c>
      <c r="Q73" s="338"/>
      <c r="R73" s="338"/>
      <c r="S73" s="326"/>
      <c r="T73" s="326"/>
      <c r="U73" s="326"/>
      <c r="V73" s="326"/>
      <c r="W73" s="326"/>
      <c r="X73" s="326"/>
      <c r="Y73" s="326"/>
      <c r="Z73" s="326"/>
      <c r="AA73" s="326"/>
      <c r="AB73" s="326"/>
      <c r="AC73" s="326"/>
      <c r="AD73" s="326"/>
      <c r="AE73" s="326"/>
      <c r="AF73" s="326"/>
      <c r="AG73" s="326"/>
      <c r="AH73" s="326"/>
      <c r="AI73" s="326"/>
      <c r="AJ73" s="326"/>
      <c r="AK73" s="68"/>
      <c r="AL73" s="68"/>
      <c r="AM73" s="68"/>
      <c r="AN73" s="19"/>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6"/>
      <c r="BS73" s="326"/>
      <c r="BT73" s="326"/>
      <c r="BU73" s="326"/>
    </row>
    <row r="74" spans="1:73">
      <c r="A74" s="19"/>
      <c r="B74" s="326"/>
      <c r="C74" s="326"/>
      <c r="D74" s="326"/>
      <c r="E74" s="579"/>
      <c r="F74" s="328"/>
      <c r="G74" s="328"/>
      <c r="H74" s="328"/>
      <c r="I74" s="580"/>
      <c r="J74" s="326"/>
      <c r="K74" s="342"/>
      <c r="L74" s="326"/>
      <c r="M74" s="338"/>
      <c r="N74" s="338"/>
      <c r="O74" s="338"/>
      <c r="P74" s="338"/>
      <c r="Q74" s="338"/>
      <c r="R74" s="338"/>
      <c r="S74" s="326"/>
      <c r="T74" s="326"/>
      <c r="U74" s="326"/>
      <c r="V74" s="326"/>
      <c r="W74" s="326"/>
      <c r="X74" s="326"/>
      <c r="Y74" s="326"/>
      <c r="Z74" s="326"/>
      <c r="AA74" s="326"/>
      <c r="AB74" s="326"/>
      <c r="AC74" s="326"/>
      <c r="AD74" s="326"/>
      <c r="AE74" s="326"/>
      <c r="AF74" s="326"/>
      <c r="AG74" s="326"/>
      <c r="AH74" s="326"/>
      <c r="AI74" s="326"/>
      <c r="AJ74" s="326"/>
      <c r="AK74" s="326"/>
      <c r="AL74" s="326"/>
      <c r="AM74" s="68"/>
      <c r="AN74" s="19"/>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row>
    <row r="75" spans="1:73">
      <c r="A75" s="19"/>
      <c r="B75" s="326"/>
      <c r="C75" s="326"/>
      <c r="D75" s="326"/>
      <c r="E75" s="579"/>
      <c r="F75" s="328"/>
      <c r="G75" s="328"/>
      <c r="H75" s="328"/>
      <c r="I75" s="580"/>
      <c r="J75" s="326"/>
      <c r="K75" s="342"/>
      <c r="L75" s="326"/>
      <c r="M75" s="338"/>
      <c r="N75" s="338"/>
      <c r="O75" s="338"/>
      <c r="P75" s="338"/>
      <c r="Q75" s="338"/>
      <c r="R75" s="338"/>
      <c r="S75" s="326"/>
      <c r="T75" s="326"/>
      <c r="U75" s="326"/>
      <c r="V75" s="326"/>
      <c r="W75" s="326"/>
      <c r="X75" s="326"/>
      <c r="Y75" s="326"/>
      <c r="Z75" s="326"/>
      <c r="AA75" s="326"/>
      <c r="AB75" s="326"/>
      <c r="AC75" s="326"/>
      <c r="AD75" s="326"/>
      <c r="AE75" s="326"/>
      <c r="AF75" s="326"/>
      <c r="AG75" s="326"/>
      <c r="AH75" s="326"/>
      <c r="AI75" s="326"/>
      <c r="AJ75" s="326"/>
      <c r="AK75" s="68"/>
      <c r="AL75" s="68"/>
      <c r="AM75" s="68"/>
      <c r="AN75" s="19"/>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6"/>
      <c r="BP75" s="326"/>
      <c r="BQ75" s="326"/>
      <c r="BR75" s="326"/>
      <c r="BS75" s="326"/>
      <c r="BT75" s="326"/>
      <c r="BU75" s="326"/>
    </row>
    <row r="76" spans="1:73">
      <c r="A76" s="19"/>
      <c r="B76" s="326"/>
      <c r="C76" s="326"/>
      <c r="D76" s="326"/>
      <c r="E76" s="579"/>
      <c r="F76" s="328"/>
      <c r="G76" s="328"/>
      <c r="H76" s="328"/>
      <c r="I76" s="580"/>
      <c r="J76" s="326"/>
      <c r="K76" s="342"/>
      <c r="L76" s="326"/>
      <c r="M76" s="338"/>
      <c r="N76" s="338"/>
      <c r="O76" s="338"/>
      <c r="P76" s="666">
        <f ca="1">SUM(P68:P73)</f>
        <v>3158317.9364936603</v>
      </c>
      <c r="Q76" s="338"/>
      <c r="R76" s="338"/>
      <c r="S76" s="326"/>
      <c r="T76" s="326"/>
      <c r="U76" s="326"/>
      <c r="V76" s="326"/>
      <c r="W76" s="326"/>
      <c r="X76" s="326"/>
      <c r="Y76" s="326"/>
      <c r="Z76" s="326"/>
      <c r="AA76" s="326"/>
      <c r="AB76" s="326"/>
      <c r="AC76" s="326"/>
      <c r="AD76" s="326"/>
      <c r="AE76" s="326"/>
      <c r="AF76" s="326"/>
      <c r="AG76" s="326"/>
      <c r="AH76" s="326"/>
      <c r="AI76" s="326"/>
      <c r="AJ76" s="326"/>
      <c r="AK76" s="326"/>
      <c r="AL76" s="326"/>
      <c r="AM76" s="68"/>
      <c r="AN76" s="19"/>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6"/>
      <c r="BP76" s="326"/>
      <c r="BQ76" s="326"/>
      <c r="BR76" s="326"/>
      <c r="BS76" s="326"/>
      <c r="BT76" s="326"/>
      <c r="BU76" s="326"/>
    </row>
    <row r="77" spans="1:73">
      <c r="A77" s="19"/>
      <c r="B77" s="326"/>
      <c r="C77" s="326"/>
      <c r="D77" s="326"/>
      <c r="E77" s="579"/>
      <c r="F77" s="328"/>
      <c r="G77" s="328"/>
      <c r="H77" s="328"/>
      <c r="I77" s="580"/>
      <c r="J77" s="326"/>
      <c r="K77" s="342"/>
      <c r="L77" s="326"/>
      <c r="M77" s="338"/>
      <c r="N77" s="338"/>
      <c r="O77" s="338"/>
      <c r="P77" s="338"/>
      <c r="Q77" s="338"/>
      <c r="R77" s="338"/>
      <c r="S77" s="326"/>
      <c r="T77" s="326"/>
      <c r="U77" s="326"/>
      <c r="V77" s="326"/>
      <c r="W77" s="326"/>
      <c r="X77" s="326"/>
      <c r="Y77" s="326"/>
      <c r="Z77" s="326"/>
      <c r="AA77" s="326"/>
      <c r="AB77" s="326"/>
      <c r="AC77" s="326"/>
      <c r="AD77" s="326"/>
      <c r="AE77" s="326"/>
      <c r="AF77" s="326"/>
      <c r="AG77" s="326"/>
      <c r="AH77" s="326"/>
      <c r="AI77" s="326"/>
      <c r="AJ77" s="326"/>
      <c r="AK77" s="68"/>
      <c r="AL77" s="68"/>
      <c r="AM77" s="68"/>
      <c r="AN77" s="19"/>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6"/>
      <c r="BP77" s="326"/>
      <c r="BQ77" s="326"/>
      <c r="BR77" s="326"/>
      <c r="BS77" s="326"/>
      <c r="BT77" s="326"/>
      <c r="BU77" s="326"/>
    </row>
    <row r="78" spans="1:73">
      <c r="A78" s="19"/>
      <c r="B78" s="326"/>
      <c r="C78" s="326"/>
      <c r="D78" s="326"/>
      <c r="E78" s="579"/>
      <c r="F78" s="328"/>
      <c r="G78" s="328"/>
      <c r="H78" s="328"/>
      <c r="I78" s="580"/>
      <c r="J78" s="326"/>
      <c r="K78" s="342"/>
      <c r="L78" s="326"/>
      <c r="M78" s="338"/>
      <c r="N78" s="338"/>
      <c r="O78" s="338"/>
      <c r="P78" s="338"/>
      <c r="Q78" s="338"/>
      <c r="R78" s="338"/>
      <c r="S78" s="326"/>
      <c r="T78" s="326"/>
      <c r="U78" s="326"/>
      <c r="V78" s="326"/>
      <c r="W78" s="326"/>
      <c r="X78" s="326"/>
      <c r="Y78" s="326"/>
      <c r="Z78" s="326"/>
      <c r="AA78" s="326"/>
      <c r="AB78" s="326"/>
      <c r="AC78" s="326"/>
      <c r="AD78" s="326"/>
      <c r="AE78" s="326"/>
      <c r="AF78" s="326"/>
      <c r="AG78" s="326"/>
      <c r="AH78" s="326"/>
      <c r="AI78" s="326"/>
      <c r="AJ78" s="326"/>
      <c r="AK78" s="326"/>
      <c r="AL78" s="326"/>
      <c r="AM78" s="68"/>
      <c r="AN78" s="19"/>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6"/>
      <c r="BP78" s="326"/>
      <c r="BQ78" s="326"/>
      <c r="BR78" s="326"/>
      <c r="BS78" s="326"/>
      <c r="BT78" s="326"/>
      <c r="BU78" s="326"/>
    </row>
    <row r="79" spans="1:73">
      <c r="A79" s="19"/>
      <c r="B79" s="326"/>
      <c r="C79" s="326"/>
      <c r="D79" s="326"/>
      <c r="E79" s="579"/>
      <c r="F79" s="328"/>
      <c r="G79" s="328"/>
      <c r="H79" s="328"/>
      <c r="I79" s="580"/>
      <c r="J79" s="326"/>
      <c r="K79" s="342"/>
      <c r="L79" s="326"/>
      <c r="M79" s="338"/>
      <c r="N79" s="338"/>
      <c r="O79" s="338"/>
      <c r="P79" s="338"/>
      <c r="Q79" s="338"/>
      <c r="R79" s="338"/>
      <c r="S79" s="326"/>
      <c r="T79" s="326"/>
      <c r="U79" s="326"/>
      <c r="V79" s="326"/>
      <c r="W79" s="326"/>
      <c r="X79" s="326"/>
      <c r="Y79" s="326"/>
      <c r="Z79" s="326"/>
      <c r="AA79" s="326"/>
      <c r="AB79" s="326"/>
      <c r="AC79" s="326"/>
      <c r="AD79" s="326"/>
      <c r="AE79" s="326"/>
      <c r="AF79" s="326"/>
      <c r="AG79" s="326"/>
      <c r="AH79" s="326"/>
      <c r="AI79" s="326"/>
      <c r="AJ79" s="326"/>
      <c r="AK79" s="68"/>
      <c r="AL79" s="68"/>
      <c r="AM79" s="68"/>
      <c r="AN79" s="19"/>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6"/>
      <c r="BP79" s="326"/>
      <c r="BQ79" s="326"/>
      <c r="BR79" s="326"/>
      <c r="BS79" s="326"/>
      <c r="BT79" s="326"/>
      <c r="BU79" s="326"/>
    </row>
    <row r="80" spans="1:73">
      <c r="A80" s="19"/>
      <c r="B80" s="326"/>
      <c r="C80" s="326"/>
      <c r="D80" s="326"/>
      <c r="E80" s="579"/>
      <c r="F80" s="328"/>
      <c r="G80" s="328"/>
      <c r="H80" s="328"/>
      <c r="I80" s="580"/>
      <c r="J80" s="326"/>
      <c r="K80" s="342"/>
      <c r="L80" s="326"/>
      <c r="M80" s="338"/>
      <c r="N80" s="338"/>
      <c r="O80" s="338"/>
      <c r="P80" s="338"/>
      <c r="Q80" s="338"/>
      <c r="R80" s="338"/>
      <c r="S80" s="326"/>
      <c r="T80" s="326"/>
      <c r="U80" s="326"/>
      <c r="V80" s="326"/>
      <c r="W80" s="326"/>
      <c r="X80" s="326"/>
      <c r="Y80" s="326"/>
      <c r="Z80" s="326"/>
      <c r="AA80" s="326"/>
      <c r="AB80" s="326"/>
      <c r="AC80" s="326"/>
      <c r="AD80" s="326"/>
      <c r="AE80" s="326"/>
      <c r="AF80" s="326"/>
      <c r="AG80" s="326"/>
      <c r="AH80" s="326"/>
      <c r="AI80" s="326"/>
      <c r="AJ80" s="326"/>
      <c r="AK80" s="326"/>
      <c r="AL80" s="326"/>
      <c r="AM80" s="68"/>
      <c r="AN80" s="19"/>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6"/>
      <c r="BP80" s="326"/>
      <c r="BQ80" s="326"/>
      <c r="BR80" s="326"/>
      <c r="BS80" s="326"/>
      <c r="BT80" s="326"/>
      <c r="BU80" s="326"/>
    </row>
    <row r="81" spans="1:73">
      <c r="A81" s="19"/>
      <c r="B81" s="326"/>
      <c r="C81" s="326"/>
      <c r="D81" s="326"/>
      <c r="E81" s="579"/>
      <c r="F81" s="328"/>
      <c r="G81" s="328"/>
      <c r="H81" s="328"/>
      <c r="I81" s="580"/>
      <c r="J81" s="326"/>
      <c r="K81" s="342"/>
      <c r="L81" s="326"/>
      <c r="M81" s="338"/>
      <c r="N81" s="338"/>
      <c r="O81" s="338"/>
      <c r="P81" s="338"/>
      <c r="Q81" s="338"/>
      <c r="R81" s="338"/>
      <c r="S81" s="326"/>
      <c r="T81" s="326"/>
      <c r="U81" s="326"/>
      <c r="V81" s="326"/>
      <c r="W81" s="326"/>
      <c r="X81" s="326"/>
      <c r="Y81" s="326"/>
      <c r="Z81" s="326"/>
      <c r="AA81" s="326"/>
      <c r="AB81" s="326"/>
      <c r="AC81" s="326"/>
      <c r="AD81" s="326"/>
      <c r="AE81" s="326"/>
      <c r="AF81" s="326"/>
      <c r="AG81" s="326"/>
      <c r="AH81" s="326"/>
      <c r="AI81" s="326"/>
      <c r="AJ81" s="326"/>
      <c r="AK81" s="68"/>
      <c r="AL81" s="68"/>
      <c r="AM81" s="68"/>
      <c r="AN81" s="19"/>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6"/>
      <c r="BP81" s="326"/>
      <c r="BQ81" s="326"/>
      <c r="BR81" s="326"/>
      <c r="BS81" s="326"/>
      <c r="BT81" s="326"/>
      <c r="BU81" s="326"/>
    </row>
    <row r="82" spans="1:73">
      <c r="A82" s="19"/>
      <c r="B82" s="326"/>
      <c r="C82" s="326"/>
      <c r="D82" s="326"/>
      <c r="E82" s="579"/>
      <c r="F82" s="328"/>
      <c r="G82" s="328"/>
      <c r="H82" s="328"/>
      <c r="I82" s="580"/>
      <c r="J82" s="326"/>
      <c r="K82" s="342"/>
      <c r="L82" s="326"/>
      <c r="M82" s="338"/>
      <c r="N82" s="338"/>
      <c r="O82" s="338"/>
      <c r="P82" s="338"/>
      <c r="Q82" s="338"/>
      <c r="R82" s="338"/>
      <c r="S82" s="326"/>
      <c r="T82" s="326"/>
      <c r="U82" s="326"/>
      <c r="V82" s="326"/>
      <c r="W82" s="326"/>
      <c r="X82" s="326"/>
      <c r="Y82" s="326"/>
      <c r="Z82" s="326"/>
      <c r="AA82" s="326"/>
      <c r="AB82" s="326"/>
      <c r="AC82" s="326"/>
      <c r="AD82" s="326"/>
      <c r="AE82" s="326"/>
      <c r="AF82" s="326"/>
      <c r="AG82" s="326"/>
      <c r="AH82" s="326"/>
      <c r="AI82" s="326"/>
      <c r="AJ82" s="326"/>
      <c r="AK82" s="326"/>
      <c r="AL82" s="326"/>
      <c r="AM82" s="68"/>
      <c r="AN82" s="19"/>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6"/>
      <c r="BP82" s="326"/>
      <c r="BQ82" s="326"/>
      <c r="BR82" s="326"/>
      <c r="BS82" s="326"/>
      <c r="BT82" s="326"/>
      <c r="BU82" s="326"/>
    </row>
    <row r="83" spans="1:73">
      <c r="A83" s="19"/>
      <c r="B83" s="326"/>
      <c r="C83" s="326"/>
      <c r="D83" s="326"/>
      <c r="E83" s="326"/>
      <c r="F83" s="326"/>
      <c r="G83" s="326"/>
      <c r="H83" s="326"/>
      <c r="I83" s="326"/>
      <c r="J83" s="326"/>
      <c r="K83" s="326"/>
      <c r="L83" s="326"/>
      <c r="M83" s="326"/>
      <c r="N83" s="326"/>
      <c r="O83" s="326"/>
      <c r="P83" s="326"/>
      <c r="Q83" s="326"/>
      <c r="R83" s="326"/>
      <c r="S83" s="326"/>
      <c r="T83" s="326"/>
      <c r="U83" s="326"/>
      <c r="V83" s="326"/>
      <c r="W83" s="326"/>
      <c r="X83" s="326"/>
      <c r="Y83" s="326"/>
      <c r="Z83" s="326"/>
      <c r="AA83" s="326"/>
      <c r="AB83" s="326"/>
      <c r="AC83" s="326"/>
      <c r="AD83" s="326"/>
      <c r="AE83" s="326"/>
      <c r="AF83" s="326"/>
      <c r="AG83" s="326"/>
      <c r="AH83" s="326"/>
      <c r="AI83" s="326"/>
      <c r="AJ83" s="326"/>
      <c r="AK83" s="68"/>
      <c r="AL83" s="68"/>
      <c r="AM83" s="19"/>
      <c r="AN83" s="19"/>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6"/>
      <c r="BS83" s="326"/>
      <c r="BT83" s="326"/>
      <c r="BU83" s="326"/>
    </row>
    <row r="84" spans="1:73">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c r="AE84" s="326"/>
      <c r="AF84" s="326"/>
      <c r="AG84" s="326"/>
      <c r="AH84" s="326"/>
      <c r="AI84" s="326"/>
      <c r="AJ84" s="326"/>
      <c r="AK84" s="21"/>
      <c r="AL84" s="21"/>
      <c r="AM84" s="19"/>
      <c r="AN84" s="19"/>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6"/>
      <c r="BS84" s="326"/>
      <c r="BT84" s="326"/>
      <c r="BU84" s="326"/>
    </row>
    <row r="85" spans="1:73">
      <c r="A85" s="19"/>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c r="AE85" s="326"/>
      <c r="AF85" s="326"/>
      <c r="AG85" s="326"/>
      <c r="AH85" s="326"/>
      <c r="AI85" s="326"/>
      <c r="AJ85" s="326"/>
      <c r="AK85" s="326"/>
      <c r="AL85" s="326"/>
      <c r="AM85" s="19"/>
      <c r="AN85" s="19"/>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c r="BP85" s="326"/>
      <c r="BQ85" s="326"/>
      <c r="BR85" s="326"/>
      <c r="BS85" s="326"/>
      <c r="BT85" s="326"/>
      <c r="BU85" s="326"/>
    </row>
    <row r="86" spans="1:73">
      <c r="A86" s="19"/>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c r="AE86" s="326"/>
      <c r="AF86" s="326"/>
      <c r="AG86" s="326"/>
      <c r="AH86" s="326"/>
      <c r="AI86" s="326"/>
      <c r="AJ86" s="326"/>
      <c r="AK86" s="21"/>
      <c r="AL86" s="21"/>
      <c r="AM86" s="19"/>
      <c r="AN86" s="19"/>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6"/>
      <c r="BP86" s="326"/>
      <c r="BQ86" s="326"/>
      <c r="BR86" s="326"/>
      <c r="BS86" s="326"/>
      <c r="BT86" s="326"/>
      <c r="BU86" s="326"/>
    </row>
    <row r="87" spans="1:73">
      <c r="A87" s="19"/>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c r="AE87" s="326"/>
      <c r="AF87" s="326"/>
      <c r="AG87" s="326"/>
      <c r="AH87" s="326"/>
      <c r="AI87" s="326"/>
      <c r="AJ87" s="326"/>
      <c r="AK87" s="21"/>
      <c r="AL87" s="21"/>
      <c r="AM87" s="19"/>
      <c r="AN87" s="19"/>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c r="BP87" s="326"/>
      <c r="BQ87" s="326"/>
      <c r="BR87" s="326"/>
      <c r="BS87" s="326"/>
      <c r="BT87" s="326"/>
      <c r="BU87" s="326"/>
    </row>
    <row r="88" spans="1:73">
      <c r="A88" s="19"/>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326"/>
      <c r="AF88" s="326"/>
      <c r="AG88" s="326"/>
      <c r="AH88" s="326"/>
      <c r="AI88" s="326"/>
      <c r="AJ88" s="326"/>
      <c r="AK88" s="19"/>
      <c r="AL88" s="19"/>
      <c r="AM88" s="21"/>
      <c r="AN88" s="19"/>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6"/>
      <c r="BP88" s="326"/>
      <c r="BQ88" s="326"/>
      <c r="BR88" s="326"/>
      <c r="BS88" s="326"/>
      <c r="BT88" s="326"/>
      <c r="BU88" s="326"/>
    </row>
    <row r="89" spans="1:73">
      <c r="A89" s="19"/>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326"/>
      <c r="AF89" s="326"/>
      <c r="AG89" s="326"/>
      <c r="AH89" s="326"/>
      <c r="AI89" s="326"/>
      <c r="AJ89" s="326"/>
      <c r="AK89" s="19"/>
      <c r="AL89" s="19"/>
      <c r="AM89" s="21"/>
      <c r="AN89" s="19"/>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6"/>
      <c r="BP89" s="326"/>
      <c r="BQ89" s="326"/>
      <c r="BR89" s="326"/>
      <c r="BS89" s="326"/>
      <c r="BT89" s="326"/>
      <c r="BU89" s="326"/>
    </row>
    <row r="90" spans="1:73">
      <c r="A90" s="19"/>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326"/>
      <c r="AF90" s="326"/>
      <c r="AG90" s="326"/>
      <c r="AH90" s="326"/>
      <c r="AI90" s="326"/>
      <c r="AJ90" s="326"/>
      <c r="AK90" s="19"/>
      <c r="AL90" s="19"/>
      <c r="AM90" s="21"/>
      <c r="AN90" s="19"/>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6"/>
      <c r="BS90" s="326"/>
      <c r="BT90" s="326"/>
      <c r="BU90" s="326"/>
    </row>
    <row r="91" spans="1:73">
      <c r="A91" s="19"/>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c r="AE91" s="326"/>
      <c r="AF91" s="326"/>
      <c r="AG91" s="326"/>
      <c r="AH91" s="326"/>
      <c r="AI91" s="326"/>
      <c r="AJ91" s="326"/>
      <c r="AK91" s="19"/>
      <c r="AL91" s="19"/>
      <c r="AM91" s="21"/>
      <c r="AN91" s="19"/>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6"/>
      <c r="BP91" s="326"/>
      <c r="BQ91" s="326"/>
      <c r="BR91" s="326"/>
      <c r="BS91" s="326"/>
      <c r="BT91" s="326"/>
      <c r="BU91" s="326"/>
    </row>
    <row r="92" spans="1:73">
      <c r="A92" s="19"/>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c r="AE92" s="326"/>
      <c r="AF92" s="326"/>
      <c r="AG92" s="326"/>
      <c r="AH92" s="326"/>
      <c r="AI92" s="326"/>
      <c r="AJ92" s="326"/>
      <c r="AK92" s="19"/>
      <c r="AL92" s="19"/>
      <c r="AM92" s="21"/>
      <c r="AN92" s="19"/>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6"/>
      <c r="BP92" s="326"/>
      <c r="BQ92" s="326"/>
      <c r="BR92" s="326"/>
      <c r="BS92" s="326"/>
      <c r="BT92" s="326"/>
      <c r="BU92" s="326"/>
    </row>
    <row r="93" spans="1:73">
      <c r="A93" s="19"/>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c r="AE93" s="326"/>
      <c r="AF93" s="326"/>
      <c r="AG93" s="326"/>
      <c r="AH93" s="326"/>
      <c r="AI93" s="326"/>
      <c r="AJ93" s="326"/>
      <c r="AK93" s="19"/>
      <c r="AL93" s="19"/>
      <c r="AM93" s="21"/>
      <c r="AN93" s="19"/>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6"/>
      <c r="BP93" s="326"/>
      <c r="BQ93" s="326"/>
      <c r="BR93" s="326"/>
      <c r="BS93" s="326"/>
      <c r="BT93" s="326"/>
      <c r="BU93" s="326"/>
    </row>
    <row r="94" spans="1:73">
      <c r="A94" s="19"/>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c r="AE94" s="326"/>
      <c r="AF94" s="326"/>
      <c r="AG94" s="326"/>
      <c r="AH94" s="326"/>
      <c r="AI94" s="326"/>
      <c r="AJ94" s="326"/>
      <c r="AK94" s="21"/>
      <c r="AL94" s="21"/>
      <c r="AM94" s="19"/>
      <c r="AN94" s="19"/>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6"/>
      <c r="BP94" s="326"/>
      <c r="BQ94" s="326"/>
      <c r="BR94" s="326"/>
      <c r="BS94" s="326"/>
      <c r="BT94" s="326"/>
      <c r="BU94" s="326"/>
    </row>
    <row r="95" spans="1:73">
      <c r="A95" s="19"/>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c r="AE95" s="326"/>
      <c r="AF95" s="326"/>
      <c r="AG95" s="326"/>
      <c r="AH95" s="326"/>
      <c r="AI95" s="326"/>
      <c r="AJ95" s="326"/>
      <c r="AK95" s="19"/>
      <c r="AL95" s="19"/>
      <c r="AM95" s="21"/>
      <c r="AN95" s="19"/>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c r="BP95" s="326"/>
      <c r="BQ95" s="326"/>
      <c r="BR95" s="326"/>
      <c r="BS95" s="326"/>
      <c r="BT95" s="326"/>
      <c r="BU95" s="326"/>
    </row>
    <row r="96" spans="1:73">
      <c r="A96" s="19"/>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c r="AE96" s="326"/>
      <c r="AF96" s="326"/>
      <c r="AG96" s="326"/>
      <c r="AH96" s="326"/>
      <c r="AI96" s="326"/>
      <c r="AJ96" s="326"/>
      <c r="AK96" s="19"/>
      <c r="AL96" s="19"/>
      <c r="AM96" s="21"/>
      <c r="AN96" s="19"/>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6"/>
      <c r="BP96" s="326"/>
      <c r="BQ96" s="326"/>
      <c r="BR96" s="326"/>
      <c r="BS96" s="326"/>
      <c r="BT96" s="326"/>
      <c r="BU96" s="326"/>
    </row>
    <row r="97" spans="1:73">
      <c r="A97" s="19"/>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326"/>
      <c r="AF97" s="326"/>
      <c r="AG97" s="326"/>
      <c r="AH97" s="326"/>
      <c r="AI97" s="326"/>
      <c r="AJ97" s="326"/>
      <c r="AK97" s="19"/>
      <c r="AL97" s="19"/>
      <c r="AM97" s="21"/>
      <c r="AN97" s="19"/>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6"/>
      <c r="BP97" s="326"/>
      <c r="BQ97" s="326"/>
      <c r="BR97" s="326"/>
      <c r="BS97" s="326"/>
      <c r="BT97" s="326"/>
      <c r="BU97" s="326"/>
    </row>
    <row r="98" spans="1:73">
      <c r="A98" s="19"/>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c r="AE98" s="326"/>
      <c r="AF98" s="326"/>
      <c r="AG98" s="326"/>
      <c r="AH98" s="326"/>
      <c r="AI98" s="326"/>
      <c r="AJ98" s="326"/>
      <c r="AK98" s="19"/>
      <c r="AL98" s="19"/>
      <c r="AM98" s="21"/>
      <c r="AN98" s="19"/>
    </row>
    <row r="99" spans="1:73">
      <c r="A99" s="19"/>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326"/>
      <c r="AF99" s="326"/>
      <c r="AG99" s="326"/>
      <c r="AH99" s="326"/>
      <c r="AI99" s="326"/>
      <c r="AJ99" s="326"/>
      <c r="AK99" s="19"/>
      <c r="AL99" s="19"/>
      <c r="AM99" s="21"/>
      <c r="AN99" s="19"/>
    </row>
    <row r="100" spans="1:73">
      <c r="A100" s="19"/>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c r="AE100" s="326"/>
      <c r="AF100" s="326"/>
      <c r="AG100" s="326"/>
      <c r="AH100" s="326"/>
      <c r="AI100" s="326"/>
      <c r="AJ100" s="326"/>
      <c r="AK100" s="21"/>
      <c r="AL100" s="21"/>
      <c r="AM100" s="19"/>
      <c r="AN100" s="19"/>
    </row>
    <row r="101" spans="1:73">
      <c r="A101" s="19"/>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c r="AE101" s="326"/>
      <c r="AF101" s="326"/>
      <c r="AG101" s="326"/>
      <c r="AH101" s="326"/>
      <c r="AI101" s="326"/>
      <c r="AJ101" s="326"/>
      <c r="AK101" s="21"/>
      <c r="AL101" s="21"/>
      <c r="AM101" s="19"/>
      <c r="AN101" s="19"/>
    </row>
    <row r="102" spans="1:73">
      <c r="A102" s="19"/>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c r="AE102" s="326"/>
      <c r="AF102" s="326"/>
      <c r="AG102" s="326"/>
      <c r="AH102" s="326"/>
      <c r="AI102" s="326"/>
      <c r="AJ102" s="326"/>
      <c r="AK102" s="21"/>
      <c r="AL102" s="21"/>
      <c r="AM102" s="19"/>
      <c r="AN102" s="19"/>
    </row>
    <row r="103" spans="1:73">
      <c r="A103" s="19"/>
      <c r="B103" s="326"/>
      <c r="C103" s="326"/>
      <c r="D103" s="326"/>
      <c r="E103" s="579"/>
      <c r="F103" s="328"/>
      <c r="G103" s="328"/>
      <c r="H103" s="328"/>
      <c r="I103" s="580"/>
      <c r="J103" s="326"/>
      <c r="K103" s="342"/>
      <c r="L103" s="326"/>
      <c r="M103" s="338"/>
      <c r="N103" s="338"/>
      <c r="O103" s="338"/>
      <c r="P103" s="338"/>
      <c r="Q103" s="338"/>
      <c r="R103" s="338"/>
      <c r="S103" s="326"/>
      <c r="T103" s="326"/>
      <c r="U103" s="326"/>
      <c r="V103" s="326"/>
      <c r="W103" s="326"/>
      <c r="X103" s="326"/>
      <c r="Y103" s="326"/>
      <c r="Z103" s="326"/>
      <c r="AA103" s="326"/>
      <c r="AB103" s="326"/>
      <c r="AC103" s="326"/>
      <c r="AD103" s="326"/>
      <c r="AE103" s="326"/>
      <c r="AF103" s="326"/>
      <c r="AG103" s="326"/>
      <c r="AH103" s="326"/>
      <c r="AI103" s="326"/>
      <c r="AJ103" s="326"/>
      <c r="AK103" s="21"/>
      <c r="AL103" s="21"/>
      <c r="AM103" s="19"/>
      <c r="AN103" s="19"/>
    </row>
    <row r="104" spans="1:73">
      <c r="A104" s="169"/>
      <c r="B104" s="326"/>
      <c r="C104" s="326"/>
      <c r="D104" s="326"/>
      <c r="E104" s="579"/>
      <c r="F104" s="328"/>
      <c r="G104" s="328"/>
      <c r="H104" s="328"/>
      <c r="I104" s="580"/>
      <c r="J104" s="326"/>
      <c r="K104" s="342"/>
      <c r="L104" s="326"/>
      <c r="M104" s="338"/>
      <c r="N104" s="338"/>
      <c r="O104" s="338"/>
      <c r="P104" s="338"/>
      <c r="Q104" s="338"/>
      <c r="R104" s="338"/>
      <c r="S104" s="326"/>
      <c r="T104" s="326"/>
      <c r="U104" s="326"/>
      <c r="V104" s="326"/>
      <c r="W104" s="326"/>
      <c r="X104" s="326"/>
      <c r="Y104" s="326"/>
      <c r="Z104" s="326"/>
      <c r="AA104" s="326"/>
      <c r="AB104" s="326"/>
      <c r="AC104" s="326"/>
      <c r="AD104" s="326"/>
      <c r="AE104" s="326"/>
      <c r="AF104" s="326"/>
      <c r="AG104" s="326"/>
      <c r="AH104" s="326"/>
      <c r="AI104" s="326"/>
      <c r="AJ104" s="326"/>
      <c r="AK104" s="21"/>
      <c r="AL104" s="21"/>
      <c r="AM104" s="19"/>
      <c r="AN104" s="19"/>
    </row>
    <row r="105" spans="1:73">
      <c r="A105" s="169"/>
      <c r="B105" s="326"/>
      <c r="C105" s="326"/>
      <c r="D105" s="326"/>
      <c r="E105" s="579"/>
      <c r="F105" s="328"/>
      <c r="G105" s="328"/>
      <c r="H105" s="328"/>
      <c r="I105" s="580"/>
      <c r="J105" s="326"/>
      <c r="K105" s="342"/>
      <c r="L105" s="326"/>
      <c r="M105" s="338"/>
      <c r="N105" s="338"/>
      <c r="O105" s="338"/>
      <c r="P105" s="338"/>
      <c r="Q105" s="338"/>
      <c r="R105" s="338"/>
      <c r="S105" s="326"/>
      <c r="T105" s="326"/>
      <c r="U105" s="326"/>
      <c r="V105" s="326"/>
      <c r="W105" s="326"/>
      <c r="X105" s="326"/>
      <c r="Y105" s="326"/>
      <c r="Z105" s="326"/>
      <c r="AA105" s="326"/>
      <c r="AB105" s="326"/>
      <c r="AC105" s="326"/>
      <c r="AD105" s="326"/>
      <c r="AE105" s="326"/>
      <c r="AF105" s="326"/>
      <c r="AG105" s="326"/>
      <c r="AH105" s="326"/>
      <c r="AI105" s="326"/>
      <c r="AJ105" s="326"/>
      <c r="AK105" s="21"/>
      <c r="AL105" s="21"/>
      <c r="AM105" s="19"/>
      <c r="AN105" s="19"/>
    </row>
    <row r="106" spans="1:73">
      <c r="A106" s="169"/>
      <c r="B106" s="326"/>
      <c r="C106" s="326"/>
      <c r="D106" s="326"/>
      <c r="E106" s="579"/>
      <c r="F106" s="328"/>
      <c r="G106" s="328"/>
      <c r="H106" s="328"/>
      <c r="I106" s="580"/>
      <c r="J106" s="326"/>
      <c r="K106" s="342"/>
      <c r="L106" s="326"/>
      <c r="M106" s="338"/>
      <c r="N106" s="338"/>
      <c r="O106" s="338"/>
      <c r="P106" s="338"/>
      <c r="Q106" s="338"/>
      <c r="R106" s="338"/>
      <c r="S106" s="326"/>
      <c r="T106" s="326"/>
      <c r="U106" s="326"/>
      <c r="V106" s="326"/>
      <c r="W106" s="326"/>
      <c r="X106" s="326"/>
      <c r="Y106" s="326"/>
      <c r="Z106" s="326"/>
      <c r="AA106" s="326"/>
      <c r="AB106" s="326"/>
      <c r="AC106" s="326"/>
      <c r="AD106" s="326"/>
      <c r="AE106" s="326"/>
      <c r="AF106" s="326"/>
      <c r="AG106" s="326"/>
      <c r="AH106" s="326"/>
      <c r="AI106" s="326"/>
      <c r="AJ106" s="326"/>
      <c r="AK106" s="21"/>
      <c r="AL106" s="21"/>
      <c r="AM106" s="19"/>
      <c r="AN106" s="19"/>
    </row>
    <row r="107" spans="1:73">
      <c r="A107" s="169"/>
      <c r="B107" s="326"/>
      <c r="C107" s="326"/>
      <c r="D107" s="326"/>
      <c r="E107" s="579"/>
      <c r="F107" s="328"/>
      <c r="G107" s="328"/>
      <c r="H107" s="328"/>
      <c r="I107" s="580"/>
      <c r="J107" s="326"/>
      <c r="K107" s="342"/>
      <c r="L107" s="326"/>
      <c r="M107" s="338"/>
      <c r="N107" s="338"/>
      <c r="O107" s="338"/>
      <c r="P107" s="338"/>
      <c r="Q107" s="338"/>
      <c r="R107" s="338"/>
      <c r="S107" s="326"/>
      <c r="T107" s="326"/>
      <c r="U107" s="326"/>
      <c r="V107" s="326"/>
      <c r="W107" s="326"/>
      <c r="X107" s="326"/>
      <c r="Y107" s="326"/>
      <c r="Z107" s="326"/>
      <c r="AA107" s="326"/>
      <c r="AB107" s="326"/>
      <c r="AC107" s="326"/>
      <c r="AD107" s="326"/>
      <c r="AE107" s="326"/>
      <c r="AF107" s="326"/>
      <c r="AG107" s="326"/>
      <c r="AH107" s="326"/>
      <c r="AI107" s="326"/>
      <c r="AJ107" s="326"/>
      <c r="AK107" s="21"/>
      <c r="AL107" s="21"/>
      <c r="AM107" s="19"/>
      <c r="AN107" s="19"/>
    </row>
    <row r="108" spans="1:73">
      <c r="A108" s="169"/>
      <c r="B108" s="326"/>
      <c r="C108" s="326"/>
      <c r="D108" s="326"/>
      <c r="E108" s="579"/>
      <c r="F108" s="328"/>
      <c r="G108" s="328"/>
      <c r="H108" s="328"/>
      <c r="I108" s="580"/>
      <c r="J108" s="326"/>
      <c r="K108" s="342"/>
      <c r="L108" s="326"/>
      <c r="M108" s="338"/>
      <c r="N108" s="338"/>
      <c r="O108" s="338"/>
      <c r="P108" s="338"/>
      <c r="Q108" s="338"/>
      <c r="R108" s="338"/>
      <c r="S108" s="326"/>
      <c r="T108" s="326"/>
      <c r="U108" s="326"/>
      <c r="V108" s="326"/>
      <c r="W108" s="326"/>
      <c r="X108" s="326"/>
      <c r="Y108" s="326"/>
      <c r="Z108" s="326"/>
      <c r="AA108" s="326"/>
      <c r="AB108" s="326"/>
      <c r="AC108" s="326"/>
      <c r="AD108" s="326"/>
      <c r="AE108" s="326"/>
      <c r="AF108" s="326"/>
      <c r="AG108" s="326"/>
      <c r="AH108" s="326"/>
      <c r="AI108" s="326"/>
      <c r="AJ108" s="326"/>
      <c r="AK108" s="21"/>
      <c r="AL108" s="21"/>
      <c r="AM108" s="19"/>
      <c r="AN108" s="19"/>
    </row>
    <row r="109" spans="1:73">
      <c r="A109" s="169"/>
      <c r="B109" s="326"/>
      <c r="C109" s="326"/>
      <c r="D109" s="326"/>
      <c r="E109" s="579"/>
      <c r="F109" s="328"/>
      <c r="G109" s="328"/>
      <c r="H109" s="328"/>
      <c r="I109" s="580"/>
      <c r="J109" s="326"/>
      <c r="K109" s="342"/>
      <c r="L109" s="326"/>
      <c r="M109" s="338"/>
      <c r="N109" s="338"/>
      <c r="O109" s="338"/>
      <c r="P109" s="338"/>
      <c r="Q109" s="338"/>
      <c r="R109" s="338"/>
      <c r="S109" s="326"/>
      <c r="T109" s="326"/>
      <c r="U109" s="326"/>
      <c r="V109" s="326"/>
      <c r="W109" s="326"/>
      <c r="X109" s="326"/>
      <c r="Y109" s="326"/>
      <c r="Z109" s="326"/>
      <c r="AA109" s="326"/>
      <c r="AB109" s="326"/>
      <c r="AC109" s="326"/>
      <c r="AD109" s="326"/>
      <c r="AE109" s="326"/>
      <c r="AF109" s="326"/>
      <c r="AG109" s="326"/>
      <c r="AH109" s="326"/>
      <c r="AI109" s="326"/>
      <c r="AJ109" s="326"/>
      <c r="AK109" s="21"/>
      <c r="AL109" s="21"/>
      <c r="AM109" s="19"/>
      <c r="AN109" s="19"/>
    </row>
    <row r="110" spans="1:73">
      <c r="A110" s="169"/>
      <c r="B110" s="326"/>
      <c r="C110" s="326"/>
      <c r="D110" s="326"/>
      <c r="E110" s="579"/>
      <c r="F110" s="328"/>
      <c r="G110" s="328"/>
      <c r="H110" s="328"/>
      <c r="I110" s="580"/>
      <c r="J110" s="326"/>
      <c r="K110" s="342"/>
      <c r="L110" s="326"/>
      <c r="M110" s="338"/>
      <c r="N110" s="338"/>
      <c r="O110" s="338"/>
      <c r="P110" s="338"/>
      <c r="Q110" s="338"/>
      <c r="R110" s="338"/>
      <c r="S110" s="326"/>
      <c r="T110" s="326"/>
      <c r="U110" s="326"/>
      <c r="V110" s="326"/>
      <c r="W110" s="326"/>
      <c r="X110" s="326"/>
      <c r="Y110" s="326"/>
      <c r="Z110" s="326"/>
      <c r="AA110" s="326"/>
      <c r="AB110" s="326"/>
      <c r="AC110" s="326"/>
      <c r="AD110" s="326"/>
      <c r="AE110" s="326"/>
      <c r="AF110" s="326"/>
      <c r="AG110" s="326"/>
      <c r="AH110" s="326"/>
      <c r="AI110" s="326"/>
      <c r="AJ110" s="326"/>
      <c r="AK110" s="21"/>
      <c r="AL110" s="21"/>
      <c r="AM110" s="19"/>
      <c r="AN110" s="19"/>
    </row>
    <row r="111" spans="1:73">
      <c r="A111" s="19"/>
      <c r="B111" s="326"/>
      <c r="C111" s="326"/>
      <c r="D111" s="326"/>
      <c r="E111" s="579"/>
      <c r="F111" s="328"/>
      <c r="G111" s="328"/>
      <c r="H111" s="328"/>
      <c r="I111" s="580"/>
      <c r="J111" s="326"/>
      <c r="K111" s="342"/>
      <c r="L111" s="326"/>
      <c r="M111" s="338"/>
      <c r="N111" s="338"/>
      <c r="O111" s="338"/>
      <c r="P111" s="338"/>
      <c r="Q111" s="338"/>
      <c r="R111" s="338"/>
      <c r="S111" s="326"/>
      <c r="T111" s="326"/>
      <c r="U111" s="326"/>
      <c r="V111" s="326"/>
      <c r="W111" s="326"/>
      <c r="X111" s="326"/>
      <c r="Y111" s="326"/>
      <c r="Z111" s="326"/>
      <c r="AA111" s="326"/>
      <c r="AB111" s="326"/>
      <c r="AC111" s="326"/>
      <c r="AD111" s="326"/>
      <c r="AE111" s="326"/>
      <c r="AF111" s="326"/>
      <c r="AG111" s="326"/>
      <c r="AH111" s="326"/>
      <c r="AI111" s="326"/>
      <c r="AJ111" s="326"/>
      <c r="AK111" s="21"/>
      <c r="AL111" s="21"/>
      <c r="AM111" s="19"/>
      <c r="AN111" s="19"/>
    </row>
    <row r="112" spans="1:73">
      <c r="A112" s="19"/>
      <c r="B112" s="326"/>
      <c r="C112" s="326"/>
      <c r="D112" s="326"/>
      <c r="E112" s="579"/>
      <c r="F112" s="328"/>
      <c r="G112" s="328"/>
      <c r="H112" s="328"/>
      <c r="I112" s="580"/>
      <c r="J112" s="326"/>
      <c r="K112" s="342"/>
      <c r="L112" s="326"/>
      <c r="M112" s="338"/>
      <c r="N112" s="338"/>
      <c r="O112" s="338"/>
      <c r="P112" s="338"/>
      <c r="Q112" s="338"/>
      <c r="R112" s="338"/>
      <c r="S112" s="326"/>
      <c r="T112" s="326"/>
      <c r="U112" s="326"/>
      <c r="V112" s="326"/>
      <c r="W112" s="326"/>
      <c r="X112" s="326"/>
      <c r="Y112" s="326"/>
      <c r="Z112" s="326"/>
      <c r="AA112" s="326"/>
      <c r="AB112" s="326"/>
      <c r="AC112" s="326"/>
      <c r="AD112" s="326"/>
      <c r="AE112" s="326"/>
      <c r="AF112" s="326"/>
      <c r="AG112" s="326"/>
      <c r="AH112" s="326"/>
      <c r="AI112" s="326"/>
      <c r="AJ112" s="326"/>
      <c r="AK112" s="21"/>
      <c r="AL112" s="21"/>
      <c r="AM112" s="19"/>
      <c r="AN112" s="19"/>
    </row>
    <row r="113" spans="1:40">
      <c r="A113" s="19"/>
      <c r="B113" s="326"/>
      <c r="C113" s="326"/>
      <c r="D113" s="326"/>
      <c r="E113" s="579"/>
      <c r="F113" s="328"/>
      <c r="G113" s="328"/>
      <c r="H113" s="328"/>
      <c r="I113" s="580"/>
      <c r="J113" s="326"/>
      <c r="K113" s="342"/>
      <c r="L113" s="326"/>
      <c r="M113" s="338"/>
      <c r="N113" s="338"/>
      <c r="O113" s="338"/>
      <c r="P113" s="338"/>
      <c r="Q113" s="338"/>
      <c r="R113" s="338"/>
      <c r="S113" s="326"/>
      <c r="T113" s="326"/>
      <c r="U113" s="326"/>
      <c r="V113" s="326"/>
      <c r="W113" s="326"/>
      <c r="X113" s="326"/>
      <c r="Y113" s="326"/>
      <c r="Z113" s="326"/>
      <c r="AA113" s="326"/>
      <c r="AB113" s="326"/>
      <c r="AC113" s="326"/>
      <c r="AD113" s="326"/>
      <c r="AE113" s="326"/>
      <c r="AF113" s="326"/>
      <c r="AG113" s="326"/>
      <c r="AH113" s="326"/>
      <c r="AI113" s="326"/>
      <c r="AJ113" s="326"/>
      <c r="AK113" s="21"/>
      <c r="AL113" s="21"/>
      <c r="AM113" s="19"/>
      <c r="AN113" s="19"/>
    </row>
    <row r="114" spans="1:40">
      <c r="A114" s="19"/>
      <c r="B114" s="326"/>
      <c r="C114" s="326"/>
      <c r="D114" s="326"/>
      <c r="E114" s="579"/>
      <c r="F114" s="328"/>
      <c r="G114" s="328"/>
      <c r="H114" s="328"/>
      <c r="I114" s="580"/>
      <c r="J114" s="326"/>
      <c r="K114" s="342"/>
      <c r="L114" s="326"/>
      <c r="M114" s="338"/>
      <c r="N114" s="338"/>
      <c r="O114" s="338"/>
      <c r="P114" s="338"/>
      <c r="Q114" s="338"/>
      <c r="R114" s="338"/>
      <c r="S114" s="326"/>
      <c r="T114" s="326"/>
      <c r="U114" s="326"/>
      <c r="V114" s="326"/>
      <c r="W114" s="326"/>
      <c r="X114" s="326"/>
      <c r="Y114" s="326"/>
      <c r="Z114" s="326"/>
      <c r="AA114" s="326"/>
      <c r="AB114" s="326"/>
      <c r="AC114" s="326"/>
      <c r="AD114" s="326"/>
      <c r="AE114" s="326"/>
      <c r="AF114" s="326"/>
      <c r="AG114" s="326"/>
      <c r="AH114" s="326"/>
      <c r="AI114" s="326"/>
      <c r="AJ114" s="326"/>
      <c r="AK114" s="21"/>
      <c r="AL114" s="21"/>
      <c r="AM114" s="19"/>
      <c r="AN114" s="19"/>
    </row>
    <row r="115" spans="1:40">
      <c r="A115" s="19"/>
      <c r="B115" s="326"/>
      <c r="C115" s="326"/>
      <c r="D115" s="326"/>
      <c r="E115" s="579"/>
      <c r="F115" s="328"/>
      <c r="G115" s="328"/>
      <c r="H115" s="328"/>
      <c r="I115" s="580"/>
      <c r="J115" s="326"/>
      <c r="K115" s="342"/>
      <c r="L115" s="326"/>
      <c r="M115" s="338"/>
      <c r="N115" s="338"/>
      <c r="O115" s="338"/>
      <c r="P115" s="338"/>
      <c r="Q115" s="338"/>
      <c r="R115" s="338"/>
      <c r="S115" s="326"/>
      <c r="T115" s="326"/>
      <c r="U115" s="326"/>
      <c r="V115" s="326"/>
      <c r="W115" s="326"/>
      <c r="X115" s="326"/>
      <c r="Y115" s="326"/>
      <c r="Z115" s="326"/>
      <c r="AA115" s="326"/>
      <c r="AB115" s="326"/>
      <c r="AC115" s="326"/>
      <c r="AD115" s="326"/>
      <c r="AE115" s="326"/>
      <c r="AF115" s="326"/>
      <c r="AG115" s="326"/>
      <c r="AH115" s="326"/>
      <c r="AI115" s="326"/>
      <c r="AJ115" s="326"/>
      <c r="AK115" s="21"/>
      <c r="AL115" s="21"/>
      <c r="AM115" s="19"/>
      <c r="AN115" s="19"/>
    </row>
    <row r="116" spans="1:40">
      <c r="A116" s="19"/>
      <c r="B116" s="326"/>
      <c r="C116" s="326"/>
      <c r="D116" s="326"/>
      <c r="E116" s="579"/>
      <c r="F116" s="328"/>
      <c r="G116" s="328"/>
      <c r="H116" s="328"/>
      <c r="I116" s="580"/>
      <c r="J116" s="326"/>
      <c r="K116" s="342"/>
      <c r="L116" s="326"/>
      <c r="M116" s="338"/>
      <c r="N116" s="338"/>
      <c r="O116" s="338"/>
      <c r="P116" s="338"/>
      <c r="Q116" s="338"/>
      <c r="R116" s="338"/>
      <c r="S116" s="326"/>
      <c r="T116" s="326"/>
      <c r="U116" s="326"/>
      <c r="V116" s="326"/>
      <c r="W116" s="326"/>
      <c r="X116" s="326"/>
      <c r="Y116" s="326"/>
      <c r="Z116" s="326"/>
      <c r="AA116" s="326"/>
      <c r="AB116" s="326"/>
      <c r="AC116" s="326"/>
      <c r="AD116" s="326"/>
      <c r="AE116" s="326"/>
      <c r="AF116" s="326"/>
      <c r="AG116" s="326"/>
      <c r="AH116" s="326"/>
      <c r="AI116" s="326"/>
      <c r="AJ116" s="326"/>
      <c r="AK116" s="21"/>
      <c r="AL116" s="21"/>
      <c r="AM116" s="19"/>
      <c r="AN116" s="19"/>
    </row>
    <row r="117" spans="1:40">
      <c r="A117" s="19"/>
      <c r="B117" s="326"/>
      <c r="C117" s="326"/>
      <c r="D117" s="326"/>
      <c r="E117" s="579"/>
      <c r="F117" s="328"/>
      <c r="G117" s="328"/>
      <c r="H117" s="328"/>
      <c r="I117" s="580"/>
      <c r="J117" s="326"/>
      <c r="K117" s="342"/>
      <c r="L117" s="326"/>
      <c r="M117" s="338"/>
      <c r="N117" s="338"/>
      <c r="O117" s="338"/>
      <c r="P117" s="338"/>
      <c r="Q117" s="338"/>
      <c r="R117" s="338"/>
      <c r="S117" s="326"/>
      <c r="T117" s="326"/>
      <c r="U117" s="326"/>
      <c r="V117" s="326"/>
      <c r="W117" s="326"/>
      <c r="X117" s="326"/>
      <c r="Y117" s="326"/>
      <c r="Z117" s="326"/>
      <c r="AA117" s="326"/>
      <c r="AB117" s="326"/>
      <c r="AC117" s="326"/>
      <c r="AD117" s="326"/>
      <c r="AE117" s="326"/>
      <c r="AF117" s="326"/>
      <c r="AG117" s="326"/>
      <c r="AH117" s="326"/>
      <c r="AI117" s="326"/>
      <c r="AJ117" s="326"/>
      <c r="AK117" s="21"/>
      <c r="AL117" s="21"/>
      <c r="AM117" s="19"/>
      <c r="AN117" s="19"/>
    </row>
    <row r="118" spans="1:40">
      <c r="A118" s="19"/>
      <c r="B118" s="326"/>
      <c r="C118" s="326"/>
      <c r="D118" s="326"/>
      <c r="E118" s="579"/>
      <c r="F118" s="328"/>
      <c r="G118" s="328"/>
      <c r="H118" s="328"/>
      <c r="I118" s="580"/>
      <c r="J118" s="326"/>
      <c r="K118" s="342"/>
      <c r="L118" s="326"/>
      <c r="M118" s="338"/>
      <c r="N118" s="338"/>
      <c r="O118" s="338"/>
      <c r="P118" s="338"/>
      <c r="Q118" s="338"/>
      <c r="R118" s="338"/>
      <c r="S118" s="326"/>
      <c r="T118" s="326"/>
      <c r="U118" s="326"/>
      <c r="V118" s="326"/>
      <c r="W118" s="326"/>
      <c r="X118" s="326"/>
      <c r="Y118" s="326"/>
      <c r="Z118" s="326"/>
      <c r="AA118" s="326"/>
      <c r="AB118" s="326"/>
      <c r="AC118" s="326"/>
      <c r="AD118" s="326"/>
      <c r="AE118" s="326"/>
      <c r="AF118" s="326"/>
      <c r="AG118" s="326"/>
      <c r="AH118" s="326"/>
      <c r="AI118" s="326"/>
      <c r="AJ118" s="326"/>
      <c r="AK118" s="21"/>
      <c r="AL118" s="21"/>
      <c r="AM118" s="19"/>
      <c r="AN118" s="19"/>
    </row>
    <row r="119" spans="1:40">
      <c r="A119" s="169"/>
      <c r="B119" s="326"/>
      <c r="C119" s="326"/>
      <c r="D119" s="326"/>
      <c r="E119" s="579"/>
      <c r="F119" s="328"/>
      <c r="G119" s="328"/>
      <c r="H119" s="328"/>
      <c r="I119" s="580"/>
      <c r="J119" s="326"/>
      <c r="K119" s="342"/>
      <c r="L119" s="326"/>
      <c r="M119" s="338"/>
      <c r="N119" s="338"/>
      <c r="O119" s="338"/>
      <c r="P119" s="338"/>
      <c r="Q119" s="338"/>
      <c r="R119" s="338"/>
      <c r="S119" s="326"/>
      <c r="T119" s="326"/>
      <c r="U119" s="326"/>
      <c r="V119" s="326"/>
      <c r="W119" s="326"/>
      <c r="X119" s="326"/>
      <c r="Y119" s="326"/>
      <c r="Z119" s="326"/>
      <c r="AA119" s="326"/>
      <c r="AB119" s="326"/>
      <c r="AC119" s="326"/>
      <c r="AD119" s="326"/>
      <c r="AE119" s="326"/>
      <c r="AF119" s="326"/>
      <c r="AG119" s="326"/>
      <c r="AH119" s="326"/>
      <c r="AI119" s="326"/>
      <c r="AJ119" s="326"/>
      <c r="AK119" s="21"/>
      <c r="AL119" s="21"/>
      <c r="AM119" s="19"/>
      <c r="AN119" s="19"/>
    </row>
    <row r="120" spans="1:40">
      <c r="A120" s="169"/>
      <c r="B120" s="326"/>
      <c r="C120" s="326"/>
      <c r="D120" s="326"/>
      <c r="E120" s="579"/>
      <c r="F120" s="328"/>
      <c r="G120" s="328"/>
      <c r="H120" s="328"/>
      <c r="I120" s="580"/>
      <c r="J120" s="326"/>
      <c r="K120" s="342"/>
      <c r="L120" s="326"/>
      <c r="M120" s="338"/>
      <c r="N120" s="338"/>
      <c r="O120" s="338"/>
      <c r="P120" s="338"/>
      <c r="Q120" s="338"/>
      <c r="R120" s="338"/>
      <c r="S120" s="326"/>
      <c r="T120" s="326"/>
      <c r="U120" s="326"/>
      <c r="V120" s="326"/>
      <c r="W120" s="326"/>
      <c r="X120" s="326"/>
      <c r="Y120" s="326"/>
      <c r="Z120" s="326"/>
      <c r="AA120" s="326"/>
      <c r="AB120" s="326"/>
      <c r="AC120" s="326"/>
      <c r="AD120" s="326"/>
      <c r="AE120" s="326"/>
      <c r="AF120" s="326"/>
      <c r="AG120" s="326"/>
      <c r="AH120" s="326"/>
      <c r="AI120" s="326"/>
      <c r="AJ120" s="326"/>
      <c r="AK120" s="21"/>
      <c r="AL120" s="21"/>
      <c r="AM120" s="19"/>
      <c r="AN120" s="19"/>
    </row>
    <row r="121" spans="1:40">
      <c r="A121" s="169"/>
      <c r="B121" s="326"/>
      <c r="C121" s="326"/>
      <c r="D121" s="326"/>
      <c r="E121" s="579"/>
      <c r="F121" s="328"/>
      <c r="G121" s="328"/>
      <c r="H121" s="328"/>
      <c r="I121" s="580"/>
      <c r="J121" s="326"/>
      <c r="K121" s="342"/>
      <c r="L121" s="326"/>
      <c r="M121" s="338"/>
      <c r="N121" s="338"/>
      <c r="O121" s="338"/>
      <c r="P121" s="338"/>
      <c r="Q121" s="338"/>
      <c r="R121" s="338"/>
      <c r="S121" s="326"/>
      <c r="T121" s="326"/>
      <c r="U121" s="326"/>
      <c r="V121" s="326"/>
      <c r="W121" s="326"/>
      <c r="X121" s="326"/>
      <c r="Y121" s="326"/>
      <c r="Z121" s="326"/>
      <c r="AA121" s="326"/>
      <c r="AB121" s="326"/>
      <c r="AC121" s="326"/>
      <c r="AD121" s="326"/>
      <c r="AE121" s="326"/>
      <c r="AF121" s="326"/>
      <c r="AG121" s="326"/>
      <c r="AH121" s="326"/>
      <c r="AI121" s="326"/>
      <c r="AJ121" s="326"/>
      <c r="AK121" s="21"/>
      <c r="AL121" s="21"/>
      <c r="AM121" s="19"/>
      <c r="AN121" s="19"/>
    </row>
    <row r="122" spans="1:40">
      <c r="A122" s="169"/>
      <c r="B122" s="326"/>
      <c r="C122" s="326"/>
      <c r="D122" s="326"/>
      <c r="E122" s="579"/>
      <c r="F122" s="328"/>
      <c r="G122" s="328"/>
      <c r="H122" s="328"/>
      <c r="I122" s="580"/>
      <c r="J122" s="326"/>
      <c r="K122" s="342"/>
      <c r="L122" s="326"/>
      <c r="M122" s="338"/>
      <c r="N122" s="338"/>
      <c r="O122" s="338"/>
      <c r="P122" s="338"/>
      <c r="Q122" s="338"/>
      <c r="R122" s="338"/>
      <c r="S122" s="326"/>
      <c r="T122" s="326"/>
      <c r="U122" s="326"/>
      <c r="V122" s="326"/>
      <c r="W122" s="326"/>
      <c r="X122" s="326"/>
      <c r="Y122" s="326"/>
      <c r="Z122" s="326"/>
      <c r="AA122" s="326"/>
      <c r="AB122" s="326"/>
      <c r="AC122" s="326"/>
      <c r="AD122" s="326"/>
      <c r="AE122" s="326"/>
      <c r="AF122" s="326"/>
      <c r="AG122" s="326"/>
      <c r="AH122" s="326"/>
      <c r="AI122" s="326"/>
      <c r="AJ122" s="326"/>
      <c r="AK122" s="21"/>
      <c r="AL122" s="21"/>
      <c r="AM122" s="19"/>
      <c r="AN122" s="19"/>
    </row>
    <row r="123" spans="1:40">
      <c r="A123" s="169"/>
      <c r="B123" s="326"/>
      <c r="C123" s="326"/>
      <c r="D123" s="326"/>
      <c r="E123" s="579"/>
      <c r="F123" s="328"/>
      <c r="G123" s="328"/>
      <c r="H123" s="328"/>
      <c r="I123" s="580"/>
      <c r="J123" s="326"/>
      <c r="K123" s="342"/>
      <c r="L123" s="326"/>
      <c r="M123" s="338"/>
      <c r="N123" s="338"/>
      <c r="O123" s="338"/>
      <c r="P123" s="338"/>
      <c r="Q123" s="338"/>
      <c r="R123" s="338"/>
      <c r="S123" s="326"/>
      <c r="T123" s="326"/>
      <c r="U123" s="326"/>
      <c r="V123" s="326"/>
      <c r="W123" s="326"/>
      <c r="X123" s="326"/>
      <c r="Y123" s="326"/>
      <c r="Z123" s="326"/>
      <c r="AA123" s="326"/>
      <c r="AB123" s="326"/>
      <c r="AC123" s="326"/>
      <c r="AD123" s="326"/>
      <c r="AE123" s="326"/>
      <c r="AF123" s="326"/>
      <c r="AG123" s="326"/>
      <c r="AH123" s="326"/>
      <c r="AI123" s="326"/>
      <c r="AJ123" s="326"/>
      <c r="AK123" s="21"/>
      <c r="AL123" s="21"/>
      <c r="AM123" s="19"/>
      <c r="AN123" s="19"/>
    </row>
    <row r="124" spans="1:40">
      <c r="A124" s="169"/>
      <c r="B124" s="326"/>
      <c r="C124" s="326"/>
      <c r="D124" s="326"/>
      <c r="E124" s="579"/>
      <c r="F124" s="328"/>
      <c r="G124" s="328"/>
      <c r="H124" s="328"/>
      <c r="I124" s="580"/>
      <c r="J124" s="326"/>
      <c r="K124" s="342"/>
      <c r="L124" s="326"/>
      <c r="M124" s="338"/>
      <c r="N124" s="338"/>
      <c r="O124" s="338"/>
      <c r="P124" s="338"/>
      <c r="Q124" s="338"/>
      <c r="R124" s="338"/>
      <c r="S124" s="326"/>
      <c r="T124" s="326"/>
      <c r="U124" s="326"/>
      <c r="V124" s="326"/>
      <c r="W124" s="326"/>
      <c r="X124" s="326"/>
      <c r="Y124" s="326"/>
      <c r="Z124" s="326"/>
      <c r="AA124" s="326"/>
      <c r="AB124" s="326"/>
      <c r="AC124" s="326"/>
      <c r="AD124" s="326"/>
      <c r="AE124" s="326"/>
      <c r="AF124" s="326"/>
      <c r="AG124" s="326"/>
      <c r="AH124" s="326"/>
      <c r="AI124" s="326"/>
      <c r="AJ124" s="326"/>
      <c r="AK124" s="21"/>
      <c r="AL124" s="21"/>
      <c r="AM124" s="19"/>
      <c r="AN124" s="19"/>
    </row>
    <row r="125" spans="1:40">
      <c r="A125" s="169"/>
      <c r="B125" s="326"/>
      <c r="C125" s="326"/>
      <c r="D125" s="326"/>
      <c r="E125" s="579"/>
      <c r="F125" s="328"/>
      <c r="G125" s="328"/>
      <c r="H125" s="328"/>
      <c r="I125" s="580"/>
      <c r="J125" s="326"/>
      <c r="K125" s="342"/>
      <c r="L125" s="326"/>
      <c r="M125" s="338"/>
      <c r="N125" s="338"/>
      <c r="O125" s="338"/>
      <c r="P125" s="338"/>
      <c r="Q125" s="338"/>
      <c r="R125" s="338"/>
      <c r="S125" s="326"/>
      <c r="T125" s="326"/>
      <c r="U125" s="326"/>
      <c r="V125" s="326"/>
      <c r="W125" s="326"/>
      <c r="X125" s="326"/>
      <c r="Y125" s="326"/>
      <c r="Z125" s="326"/>
      <c r="AA125" s="326"/>
      <c r="AB125" s="326"/>
      <c r="AC125" s="326"/>
      <c r="AD125" s="326"/>
      <c r="AE125" s="326"/>
      <c r="AF125" s="326"/>
      <c r="AG125" s="326"/>
      <c r="AH125" s="326"/>
      <c r="AI125" s="326"/>
      <c r="AJ125" s="326"/>
      <c r="AK125" s="21"/>
      <c r="AL125" s="21"/>
      <c r="AM125" s="19"/>
      <c r="AN125" s="19"/>
    </row>
    <row r="126" spans="1:40">
      <c r="A126" s="19"/>
      <c r="B126" s="326"/>
      <c r="C126" s="326"/>
      <c r="D126" s="326"/>
      <c r="E126" s="579"/>
      <c r="F126" s="328"/>
      <c r="G126" s="328"/>
      <c r="H126" s="328"/>
      <c r="I126" s="580"/>
      <c r="J126" s="326"/>
      <c r="K126" s="342"/>
      <c r="L126" s="326"/>
      <c r="M126" s="338"/>
      <c r="N126" s="338"/>
      <c r="O126" s="338"/>
      <c r="P126" s="338"/>
      <c r="Q126" s="338"/>
      <c r="R126" s="338"/>
      <c r="S126" s="326"/>
      <c r="T126" s="326"/>
      <c r="U126" s="326"/>
      <c r="V126" s="326"/>
      <c r="W126" s="326"/>
      <c r="X126" s="326"/>
      <c r="Y126" s="326"/>
      <c r="Z126" s="326"/>
      <c r="AA126" s="326"/>
      <c r="AB126" s="326"/>
      <c r="AC126" s="326"/>
      <c r="AD126" s="326"/>
      <c r="AE126" s="326"/>
      <c r="AF126" s="326"/>
      <c r="AG126" s="326"/>
      <c r="AH126" s="326"/>
      <c r="AI126" s="326"/>
      <c r="AJ126" s="326"/>
      <c r="AK126" s="21"/>
      <c r="AL126" s="21"/>
      <c r="AM126" s="19"/>
      <c r="AN126" s="19"/>
    </row>
    <row r="127" spans="1:40">
      <c r="A127" s="19"/>
      <c r="B127" s="326"/>
      <c r="C127" s="326"/>
      <c r="D127" s="326"/>
      <c r="E127" s="579"/>
      <c r="F127" s="328"/>
      <c r="G127" s="328"/>
      <c r="H127" s="328"/>
      <c r="I127" s="580"/>
      <c r="J127" s="326"/>
      <c r="K127" s="342"/>
      <c r="L127" s="326"/>
      <c r="M127" s="338"/>
      <c r="N127" s="338"/>
      <c r="O127" s="338"/>
      <c r="P127" s="338"/>
      <c r="Q127" s="338"/>
      <c r="R127" s="338"/>
      <c r="S127" s="326"/>
      <c r="T127" s="326"/>
      <c r="U127" s="326"/>
      <c r="V127" s="326"/>
      <c r="W127" s="326"/>
      <c r="X127" s="326"/>
      <c r="Y127" s="326"/>
      <c r="Z127" s="326"/>
      <c r="AA127" s="326"/>
      <c r="AB127" s="326"/>
      <c r="AC127" s="326"/>
      <c r="AD127" s="326"/>
      <c r="AE127" s="326"/>
      <c r="AF127" s="326"/>
      <c r="AG127" s="326"/>
      <c r="AH127" s="326"/>
      <c r="AI127" s="326"/>
      <c r="AJ127" s="326"/>
      <c r="AK127" s="21"/>
      <c r="AL127" s="21"/>
      <c r="AM127" s="19"/>
      <c r="AN127" s="19"/>
    </row>
    <row r="128" spans="1:40">
      <c r="A128" s="19"/>
      <c r="B128" s="326"/>
      <c r="C128" s="326"/>
      <c r="D128" s="326"/>
      <c r="E128" s="579"/>
      <c r="F128" s="328"/>
      <c r="G128" s="328"/>
      <c r="H128" s="328"/>
      <c r="I128" s="580"/>
      <c r="J128" s="326"/>
      <c r="K128" s="342"/>
      <c r="L128" s="326"/>
      <c r="M128" s="338"/>
      <c r="N128" s="338"/>
      <c r="O128" s="338"/>
      <c r="P128" s="338"/>
      <c r="Q128" s="338"/>
      <c r="R128" s="338"/>
      <c r="S128" s="326"/>
      <c r="T128" s="326"/>
      <c r="U128" s="326"/>
      <c r="V128" s="326"/>
      <c r="W128" s="326"/>
      <c r="X128" s="326"/>
      <c r="Y128" s="326"/>
      <c r="Z128" s="326"/>
      <c r="AA128" s="326"/>
      <c r="AB128" s="326"/>
      <c r="AC128" s="326"/>
      <c r="AD128" s="326"/>
      <c r="AE128" s="326"/>
      <c r="AF128" s="326"/>
      <c r="AG128" s="326"/>
      <c r="AH128" s="326"/>
      <c r="AI128" s="326"/>
      <c r="AJ128" s="326"/>
      <c r="AK128" s="21"/>
      <c r="AL128" s="21"/>
      <c r="AM128" s="19"/>
      <c r="AN128" s="19"/>
    </row>
    <row r="129" spans="1:40">
      <c r="A129" s="19"/>
      <c r="B129" s="326"/>
      <c r="C129" s="326"/>
      <c r="D129" s="326"/>
      <c r="E129" s="579"/>
      <c r="F129" s="328"/>
      <c r="G129" s="328"/>
      <c r="H129" s="328"/>
      <c r="I129" s="580"/>
      <c r="J129" s="326"/>
      <c r="K129" s="342"/>
      <c r="L129" s="326"/>
      <c r="M129" s="338"/>
      <c r="N129" s="338"/>
      <c r="O129" s="338"/>
      <c r="P129" s="338"/>
      <c r="Q129" s="338"/>
      <c r="R129" s="338"/>
      <c r="S129" s="326"/>
      <c r="T129" s="326"/>
      <c r="U129" s="326"/>
      <c r="V129" s="326"/>
      <c r="W129" s="326"/>
      <c r="X129" s="326"/>
      <c r="Y129" s="326"/>
      <c r="Z129" s="326"/>
      <c r="AA129" s="326"/>
      <c r="AB129" s="326"/>
      <c r="AC129" s="326"/>
      <c r="AD129" s="326"/>
      <c r="AE129" s="326"/>
      <c r="AF129" s="326"/>
      <c r="AG129" s="326"/>
      <c r="AH129" s="326"/>
      <c r="AI129" s="326"/>
      <c r="AJ129" s="326"/>
      <c r="AK129" s="21"/>
      <c r="AL129" s="21"/>
      <c r="AM129" s="19"/>
      <c r="AN129" s="19"/>
    </row>
    <row r="130" spans="1:40">
      <c r="A130" s="19"/>
      <c r="B130" s="326"/>
      <c r="C130" s="326"/>
      <c r="D130" s="326"/>
      <c r="E130" s="579"/>
      <c r="F130" s="328"/>
      <c r="G130" s="328"/>
      <c r="H130" s="328"/>
      <c r="I130" s="580"/>
      <c r="J130" s="326"/>
      <c r="K130" s="342"/>
      <c r="L130" s="326"/>
      <c r="M130" s="338"/>
      <c r="N130" s="338"/>
      <c r="O130" s="338"/>
      <c r="P130" s="338"/>
      <c r="Q130" s="338"/>
      <c r="R130" s="338"/>
      <c r="S130" s="326"/>
      <c r="T130" s="326"/>
      <c r="U130" s="326"/>
      <c r="V130" s="326"/>
      <c r="W130" s="326"/>
      <c r="X130" s="326"/>
      <c r="Y130" s="326"/>
      <c r="Z130" s="326"/>
      <c r="AA130" s="326"/>
      <c r="AB130" s="326"/>
      <c r="AC130" s="326"/>
      <c r="AD130" s="326"/>
      <c r="AE130" s="326"/>
      <c r="AF130" s="326"/>
      <c r="AG130" s="326"/>
      <c r="AH130" s="326"/>
      <c r="AI130" s="326"/>
      <c r="AJ130" s="326"/>
      <c r="AK130" s="21"/>
      <c r="AL130" s="21"/>
      <c r="AM130" s="19"/>
      <c r="AN130" s="19"/>
    </row>
    <row r="131" spans="1:40">
      <c r="A131" s="19"/>
      <c r="B131" s="326"/>
      <c r="C131" s="326"/>
      <c r="D131" s="326"/>
      <c r="E131" s="579"/>
      <c r="F131" s="328"/>
      <c r="G131" s="328"/>
      <c r="H131" s="328"/>
      <c r="I131" s="580"/>
      <c r="J131" s="326"/>
      <c r="K131" s="342"/>
      <c r="L131" s="326"/>
      <c r="M131" s="338"/>
      <c r="N131" s="338"/>
      <c r="O131" s="338"/>
      <c r="P131" s="338"/>
      <c r="Q131" s="338"/>
      <c r="R131" s="338"/>
      <c r="S131" s="326"/>
      <c r="T131" s="326"/>
      <c r="U131" s="326"/>
      <c r="V131" s="326"/>
      <c r="W131" s="326"/>
      <c r="X131" s="326"/>
      <c r="Y131" s="326"/>
      <c r="Z131" s="326"/>
      <c r="AA131" s="326"/>
      <c r="AB131" s="326"/>
      <c r="AC131" s="326"/>
      <c r="AD131" s="326"/>
      <c r="AE131" s="326"/>
      <c r="AF131" s="326"/>
      <c r="AG131" s="326"/>
      <c r="AH131" s="326"/>
      <c r="AI131" s="326"/>
      <c r="AJ131" s="326"/>
      <c r="AK131" s="21"/>
      <c r="AL131" s="21"/>
      <c r="AM131" s="19"/>
      <c r="AN131" s="19"/>
    </row>
    <row r="132" spans="1:40">
      <c r="A132" s="19"/>
      <c r="B132" s="326"/>
      <c r="C132" s="326"/>
      <c r="D132" s="326"/>
      <c r="E132" s="579"/>
      <c r="F132" s="328"/>
      <c r="G132" s="328"/>
      <c r="H132" s="328"/>
      <c r="I132" s="580"/>
      <c r="J132" s="326"/>
      <c r="K132" s="342"/>
      <c r="L132" s="326"/>
      <c r="M132" s="338"/>
      <c r="N132" s="338"/>
      <c r="O132" s="338"/>
      <c r="P132" s="338"/>
      <c r="Q132" s="338"/>
      <c r="R132" s="338"/>
      <c r="S132" s="326"/>
      <c r="T132" s="326"/>
      <c r="U132" s="326"/>
      <c r="V132" s="326"/>
      <c r="W132" s="326"/>
      <c r="X132" s="326"/>
      <c r="Y132" s="326"/>
      <c r="Z132" s="326"/>
      <c r="AA132" s="326"/>
      <c r="AB132" s="326"/>
      <c r="AC132" s="326"/>
      <c r="AD132" s="326"/>
      <c r="AE132" s="326"/>
      <c r="AF132" s="326"/>
      <c r="AG132" s="326"/>
      <c r="AH132" s="326"/>
      <c r="AI132" s="326"/>
      <c r="AJ132" s="326"/>
      <c r="AK132" s="21"/>
      <c r="AL132" s="21"/>
      <c r="AM132" s="19"/>
      <c r="AN132" s="19"/>
    </row>
    <row r="133" spans="1:40">
      <c r="A133" s="19"/>
      <c r="B133" s="326"/>
      <c r="C133" s="326"/>
      <c r="D133" s="326"/>
      <c r="E133" s="579"/>
      <c r="F133" s="328"/>
      <c r="G133" s="328"/>
      <c r="H133" s="328"/>
      <c r="I133" s="580"/>
      <c r="J133" s="326"/>
      <c r="K133" s="342"/>
      <c r="L133" s="326"/>
      <c r="M133" s="338"/>
      <c r="N133" s="338"/>
      <c r="O133" s="338"/>
      <c r="P133" s="338"/>
      <c r="Q133" s="338"/>
      <c r="R133" s="338"/>
      <c r="S133" s="326"/>
      <c r="T133" s="326"/>
      <c r="U133" s="326"/>
      <c r="V133" s="326"/>
      <c r="W133" s="326"/>
      <c r="X133" s="326"/>
      <c r="Y133" s="326"/>
      <c r="Z133" s="326"/>
      <c r="AA133" s="326"/>
      <c r="AB133" s="326"/>
      <c r="AC133" s="326"/>
      <c r="AD133" s="326"/>
      <c r="AE133" s="326"/>
      <c r="AF133" s="326"/>
      <c r="AG133" s="326"/>
      <c r="AH133" s="326"/>
      <c r="AI133" s="326"/>
      <c r="AJ133" s="326"/>
      <c r="AK133" s="21"/>
      <c r="AL133" s="21"/>
      <c r="AM133" s="19"/>
      <c r="AN133" s="19"/>
    </row>
    <row r="134" spans="1:40">
      <c r="A134" s="19"/>
      <c r="B134" s="326"/>
      <c r="C134" s="326"/>
      <c r="D134" s="326"/>
      <c r="E134" s="579"/>
      <c r="F134" s="328"/>
      <c r="G134" s="328"/>
      <c r="H134" s="328"/>
      <c r="I134" s="580"/>
      <c r="J134" s="326"/>
      <c r="K134" s="342"/>
      <c r="L134" s="326"/>
      <c r="M134" s="338"/>
      <c r="N134" s="338"/>
      <c r="O134" s="338"/>
      <c r="P134" s="338"/>
      <c r="Q134" s="338"/>
      <c r="R134" s="338"/>
      <c r="S134" s="326"/>
      <c r="T134" s="326"/>
      <c r="U134" s="326"/>
      <c r="V134" s="326"/>
      <c r="W134" s="326"/>
      <c r="X134" s="326"/>
      <c r="Y134" s="326"/>
      <c r="Z134" s="326"/>
      <c r="AA134" s="326"/>
      <c r="AB134" s="326"/>
      <c r="AC134" s="326"/>
      <c r="AD134" s="326"/>
      <c r="AE134" s="326"/>
      <c r="AF134" s="326"/>
      <c r="AG134" s="326"/>
      <c r="AH134" s="326"/>
      <c r="AI134" s="326"/>
      <c r="AJ134" s="326"/>
      <c r="AK134" s="21"/>
      <c r="AL134" s="21"/>
      <c r="AM134" s="19"/>
      <c r="AN134" s="19"/>
    </row>
    <row r="135" spans="1:40">
      <c r="A135" s="19"/>
      <c r="B135" s="326"/>
      <c r="C135" s="326"/>
      <c r="D135" s="326"/>
      <c r="E135" s="579"/>
      <c r="F135" s="328"/>
      <c r="G135" s="328"/>
      <c r="H135" s="328"/>
      <c r="I135" s="580"/>
      <c r="J135" s="326"/>
      <c r="K135" s="342"/>
      <c r="L135" s="326"/>
      <c r="M135" s="338"/>
      <c r="N135" s="338"/>
      <c r="O135" s="338"/>
      <c r="P135" s="338"/>
      <c r="Q135" s="338"/>
      <c r="R135" s="338"/>
      <c r="S135" s="326"/>
      <c r="T135" s="326"/>
      <c r="U135" s="326"/>
      <c r="V135" s="326"/>
      <c r="W135" s="326"/>
      <c r="X135" s="326"/>
      <c r="Y135" s="326"/>
      <c r="Z135" s="326"/>
      <c r="AA135" s="326"/>
      <c r="AB135" s="326"/>
      <c r="AC135" s="326"/>
      <c r="AD135" s="326"/>
      <c r="AE135" s="326"/>
      <c r="AF135" s="326"/>
      <c r="AG135" s="326"/>
      <c r="AH135" s="326"/>
      <c r="AI135" s="326"/>
      <c r="AJ135" s="326"/>
      <c r="AK135" s="21"/>
      <c r="AL135" s="21"/>
      <c r="AM135" s="19"/>
      <c r="AN135" s="19"/>
    </row>
    <row r="136" spans="1:40">
      <c r="A136" s="19"/>
      <c r="B136" s="326"/>
      <c r="C136" s="326"/>
      <c r="D136" s="326"/>
      <c r="E136" s="579"/>
      <c r="F136" s="328"/>
      <c r="G136" s="328"/>
      <c r="H136" s="328"/>
      <c r="I136" s="580"/>
      <c r="J136" s="326"/>
      <c r="K136" s="342"/>
      <c r="L136" s="326"/>
      <c r="M136" s="338"/>
      <c r="N136" s="338"/>
      <c r="O136" s="338"/>
      <c r="P136" s="338"/>
      <c r="Q136" s="338"/>
      <c r="R136" s="338"/>
      <c r="S136" s="326"/>
      <c r="T136" s="326"/>
      <c r="U136" s="326"/>
      <c r="V136" s="326"/>
      <c r="W136" s="326"/>
      <c r="X136" s="326"/>
      <c r="Y136" s="326"/>
      <c r="Z136" s="326"/>
      <c r="AA136" s="326"/>
      <c r="AB136" s="326"/>
      <c r="AC136" s="326"/>
      <c r="AD136" s="326"/>
      <c r="AE136" s="326"/>
      <c r="AF136" s="326"/>
      <c r="AG136" s="326"/>
      <c r="AH136" s="326"/>
      <c r="AI136" s="326"/>
      <c r="AJ136" s="326"/>
      <c r="AK136" s="21"/>
      <c r="AL136" s="21"/>
      <c r="AM136" s="19"/>
      <c r="AN136" s="19"/>
    </row>
    <row r="137" spans="1:40">
      <c r="A137" s="19"/>
      <c r="B137" s="326"/>
      <c r="C137" s="326"/>
      <c r="D137" s="326"/>
      <c r="E137" s="579"/>
      <c r="F137" s="328"/>
      <c r="G137" s="328"/>
      <c r="H137" s="328"/>
      <c r="I137" s="580"/>
      <c r="J137" s="326"/>
      <c r="K137" s="342"/>
      <c r="L137" s="326"/>
      <c r="M137" s="338"/>
      <c r="N137" s="338"/>
      <c r="O137" s="338"/>
      <c r="P137" s="338"/>
      <c r="Q137" s="338"/>
      <c r="R137" s="338"/>
      <c r="S137" s="326"/>
      <c r="T137" s="326"/>
      <c r="U137" s="326"/>
      <c r="V137" s="326"/>
      <c r="W137" s="326"/>
      <c r="X137" s="326"/>
      <c r="Y137" s="326"/>
      <c r="Z137" s="326"/>
      <c r="AA137" s="326"/>
      <c r="AB137" s="326"/>
      <c r="AC137" s="326"/>
      <c r="AD137" s="326"/>
      <c r="AE137" s="326"/>
      <c r="AF137" s="326"/>
      <c r="AG137" s="326"/>
      <c r="AH137" s="326"/>
      <c r="AI137" s="326"/>
      <c r="AJ137" s="326"/>
      <c r="AK137" s="21"/>
      <c r="AL137" s="21"/>
      <c r="AM137" s="19"/>
      <c r="AN137" s="19"/>
    </row>
    <row r="138" spans="1:40">
      <c r="A138" s="169"/>
      <c r="B138" s="326"/>
      <c r="C138" s="326"/>
      <c r="D138" s="326"/>
      <c r="E138" s="579"/>
      <c r="F138" s="328"/>
      <c r="G138" s="328"/>
      <c r="H138" s="328"/>
      <c r="I138" s="580"/>
      <c r="J138" s="326"/>
      <c r="K138" s="342"/>
      <c r="L138" s="326"/>
      <c r="M138" s="338"/>
      <c r="N138" s="338"/>
      <c r="O138" s="338"/>
      <c r="P138" s="338"/>
      <c r="Q138" s="338"/>
      <c r="R138" s="338"/>
      <c r="S138" s="326"/>
      <c r="T138" s="326"/>
      <c r="U138" s="326"/>
      <c r="V138" s="326"/>
      <c r="W138" s="326"/>
      <c r="X138" s="326"/>
      <c r="Y138" s="326"/>
      <c r="Z138" s="326"/>
      <c r="AA138" s="326"/>
      <c r="AB138" s="326"/>
      <c r="AC138" s="326"/>
      <c r="AD138" s="326"/>
      <c r="AE138" s="326"/>
      <c r="AF138" s="326"/>
      <c r="AG138" s="326"/>
      <c r="AH138" s="326"/>
      <c r="AI138" s="326"/>
      <c r="AJ138" s="326"/>
      <c r="AK138" s="21"/>
      <c r="AL138" s="21"/>
      <c r="AM138" s="19"/>
      <c r="AN138" s="19"/>
    </row>
    <row r="139" spans="1:40">
      <c r="A139" s="169"/>
      <c r="B139" s="326"/>
      <c r="C139" s="326"/>
      <c r="D139" s="326"/>
      <c r="E139" s="579"/>
      <c r="F139" s="328"/>
      <c r="G139" s="328"/>
      <c r="H139" s="328"/>
      <c r="I139" s="580"/>
      <c r="J139" s="326"/>
      <c r="K139" s="342"/>
      <c r="L139" s="326"/>
      <c r="M139" s="338"/>
      <c r="N139" s="338"/>
      <c r="O139" s="338"/>
      <c r="P139" s="338"/>
      <c r="Q139" s="338"/>
      <c r="R139" s="338"/>
      <c r="S139" s="326"/>
      <c r="T139" s="326"/>
      <c r="U139" s="326"/>
      <c r="V139" s="326"/>
      <c r="W139" s="326"/>
      <c r="X139" s="326"/>
      <c r="Y139" s="326"/>
      <c r="Z139" s="326"/>
      <c r="AA139" s="326"/>
      <c r="AB139" s="326"/>
      <c r="AC139" s="326"/>
      <c r="AD139" s="326"/>
      <c r="AE139" s="326"/>
      <c r="AF139" s="326"/>
      <c r="AG139" s="326"/>
      <c r="AH139" s="326"/>
      <c r="AI139" s="326"/>
      <c r="AJ139" s="326"/>
      <c r="AK139" s="21"/>
      <c r="AL139" s="21"/>
      <c r="AM139" s="19"/>
      <c r="AN139" s="19"/>
    </row>
    <row r="140" spans="1:40">
      <c r="A140" s="169"/>
      <c r="B140" s="326"/>
      <c r="C140" s="326"/>
      <c r="D140" s="326"/>
      <c r="E140" s="579"/>
      <c r="F140" s="328"/>
      <c r="G140" s="328"/>
      <c r="H140" s="328"/>
      <c r="I140" s="580"/>
      <c r="J140" s="326"/>
      <c r="K140" s="342"/>
      <c r="L140" s="326"/>
      <c r="M140" s="338"/>
      <c r="N140" s="338"/>
      <c r="O140" s="338"/>
      <c r="P140" s="338"/>
      <c r="Q140" s="338"/>
      <c r="R140" s="338"/>
      <c r="S140" s="326"/>
      <c r="T140" s="326"/>
      <c r="U140" s="326"/>
      <c r="V140" s="326"/>
      <c r="W140" s="326"/>
      <c r="X140" s="326"/>
      <c r="Y140" s="326"/>
      <c r="Z140" s="326"/>
      <c r="AA140" s="326"/>
      <c r="AB140" s="326"/>
      <c r="AC140" s="326"/>
      <c r="AD140" s="326"/>
      <c r="AE140" s="326"/>
      <c r="AF140" s="326"/>
      <c r="AG140" s="326"/>
      <c r="AH140" s="326"/>
      <c r="AI140" s="326"/>
      <c r="AJ140" s="326"/>
      <c r="AK140" s="21"/>
      <c r="AL140" s="21"/>
      <c r="AM140" s="19"/>
      <c r="AN140" s="19"/>
    </row>
    <row r="141" spans="1:40">
      <c r="A141" s="169"/>
      <c r="B141" s="326"/>
      <c r="C141" s="326"/>
      <c r="D141" s="326"/>
      <c r="E141" s="579"/>
      <c r="F141" s="328"/>
      <c r="G141" s="328"/>
      <c r="H141" s="328"/>
      <c r="I141" s="580"/>
      <c r="J141" s="326"/>
      <c r="K141" s="342"/>
      <c r="L141" s="326"/>
      <c r="M141" s="338"/>
      <c r="N141" s="338"/>
      <c r="O141" s="338"/>
      <c r="P141" s="338"/>
      <c r="Q141" s="338"/>
      <c r="R141" s="338"/>
      <c r="S141" s="326"/>
      <c r="T141" s="326"/>
      <c r="U141" s="326"/>
      <c r="V141" s="326"/>
      <c r="W141" s="326"/>
      <c r="X141" s="326"/>
      <c r="Y141" s="326"/>
      <c r="Z141" s="326"/>
      <c r="AA141" s="326"/>
      <c r="AB141" s="326"/>
      <c r="AC141" s="326"/>
      <c r="AD141" s="326"/>
      <c r="AE141" s="326"/>
      <c r="AF141" s="326"/>
      <c r="AG141" s="326"/>
      <c r="AH141" s="326"/>
      <c r="AI141" s="326"/>
      <c r="AJ141" s="326"/>
      <c r="AK141" s="21"/>
      <c r="AL141" s="21"/>
      <c r="AM141" s="19"/>
      <c r="AN141" s="19"/>
    </row>
    <row r="142" spans="1:40">
      <c r="A142" s="169"/>
      <c r="B142" s="326"/>
      <c r="C142" s="326"/>
      <c r="D142" s="326"/>
      <c r="E142" s="579"/>
      <c r="F142" s="328"/>
      <c r="G142" s="328"/>
      <c r="H142" s="328"/>
      <c r="I142" s="580"/>
      <c r="J142" s="326"/>
      <c r="K142" s="342"/>
      <c r="L142" s="326"/>
      <c r="M142" s="338"/>
      <c r="N142" s="338"/>
      <c r="O142" s="338"/>
      <c r="P142" s="338"/>
      <c r="Q142" s="338"/>
      <c r="R142" s="338"/>
      <c r="S142" s="326"/>
      <c r="T142" s="326"/>
      <c r="U142" s="326"/>
      <c r="V142" s="326"/>
      <c r="W142" s="326"/>
      <c r="X142" s="326"/>
      <c r="Y142" s="326"/>
      <c r="Z142" s="326"/>
      <c r="AA142" s="326"/>
      <c r="AB142" s="326"/>
      <c r="AC142" s="326"/>
      <c r="AD142" s="326"/>
      <c r="AE142" s="326"/>
      <c r="AF142" s="326"/>
      <c r="AG142" s="326"/>
      <c r="AH142" s="326"/>
      <c r="AI142" s="326"/>
      <c r="AJ142" s="326"/>
      <c r="AK142" s="21"/>
      <c r="AL142" s="21"/>
      <c r="AM142" s="19"/>
      <c r="AN142" s="19"/>
    </row>
    <row r="143" spans="1:40">
      <c r="A143" s="169"/>
      <c r="B143" s="326"/>
      <c r="C143" s="326"/>
      <c r="D143" s="326"/>
      <c r="E143" s="579"/>
      <c r="F143" s="328"/>
      <c r="G143" s="328"/>
      <c r="H143" s="328"/>
      <c r="I143" s="580"/>
      <c r="J143" s="326"/>
      <c r="K143" s="342"/>
      <c r="L143" s="326"/>
      <c r="M143" s="338"/>
      <c r="N143" s="338"/>
      <c r="O143" s="338"/>
      <c r="P143" s="338"/>
      <c r="Q143" s="338"/>
      <c r="R143" s="338"/>
      <c r="S143" s="326"/>
      <c r="T143" s="326"/>
      <c r="U143" s="326"/>
      <c r="V143" s="326"/>
      <c r="W143" s="326"/>
      <c r="X143" s="326"/>
      <c r="Y143" s="326"/>
      <c r="Z143" s="326"/>
      <c r="AA143" s="326"/>
      <c r="AB143" s="326"/>
      <c r="AC143" s="326"/>
      <c r="AD143" s="326"/>
      <c r="AE143" s="326"/>
      <c r="AF143" s="326"/>
      <c r="AG143" s="326"/>
      <c r="AH143" s="326"/>
      <c r="AI143" s="326"/>
      <c r="AJ143" s="326"/>
      <c r="AK143" s="21"/>
      <c r="AL143" s="21"/>
      <c r="AM143" s="19"/>
      <c r="AN143" s="19"/>
    </row>
    <row r="144" spans="1:40">
      <c r="A144" s="169"/>
      <c r="B144" s="326"/>
      <c r="C144" s="326"/>
      <c r="D144" s="326"/>
      <c r="E144" s="579"/>
      <c r="F144" s="328"/>
      <c r="G144" s="328"/>
      <c r="H144" s="328"/>
      <c r="I144" s="580"/>
      <c r="J144" s="326"/>
      <c r="K144" s="342"/>
      <c r="L144" s="326"/>
      <c r="M144" s="338"/>
      <c r="N144" s="338"/>
      <c r="O144" s="338"/>
      <c r="P144" s="338"/>
      <c r="Q144" s="338"/>
      <c r="R144" s="338"/>
      <c r="S144" s="326"/>
      <c r="T144" s="326"/>
      <c r="U144" s="326"/>
      <c r="V144" s="326"/>
      <c r="W144" s="326"/>
      <c r="X144" s="326"/>
      <c r="Y144" s="326"/>
      <c r="Z144" s="326"/>
      <c r="AA144" s="326"/>
      <c r="AB144" s="326"/>
      <c r="AC144" s="326"/>
      <c r="AD144" s="326"/>
      <c r="AE144" s="326"/>
      <c r="AF144" s="326"/>
      <c r="AG144" s="326"/>
      <c r="AH144" s="326"/>
      <c r="AI144" s="326"/>
      <c r="AJ144" s="326"/>
      <c r="AK144" s="21"/>
      <c r="AL144" s="21"/>
      <c r="AM144" s="19"/>
      <c r="AN144" s="19"/>
    </row>
    <row r="145" spans="1:40">
      <c r="A145" s="19"/>
      <c r="B145" s="326"/>
      <c r="C145" s="326"/>
      <c r="D145" s="326"/>
      <c r="E145" s="579"/>
      <c r="F145" s="328"/>
      <c r="G145" s="328"/>
      <c r="H145" s="328"/>
      <c r="I145" s="580"/>
      <c r="J145" s="326"/>
      <c r="K145" s="342"/>
      <c r="L145" s="326"/>
      <c r="M145" s="338"/>
      <c r="N145" s="338"/>
      <c r="O145" s="338"/>
      <c r="P145" s="338"/>
      <c r="Q145" s="338"/>
      <c r="R145" s="338"/>
      <c r="S145" s="326"/>
      <c r="T145" s="326"/>
      <c r="U145" s="326"/>
      <c r="V145" s="326"/>
      <c r="W145" s="326"/>
      <c r="X145" s="326"/>
      <c r="Y145" s="326"/>
      <c r="Z145" s="326"/>
      <c r="AA145" s="326"/>
      <c r="AB145" s="326"/>
      <c r="AC145" s="326"/>
      <c r="AD145" s="326"/>
      <c r="AE145" s="326"/>
      <c r="AF145" s="326"/>
      <c r="AG145" s="326"/>
      <c r="AH145" s="326"/>
      <c r="AI145" s="326"/>
      <c r="AJ145" s="326"/>
      <c r="AK145" s="21"/>
      <c r="AL145" s="21"/>
      <c r="AM145" s="19"/>
      <c r="AN145" s="19"/>
    </row>
    <row r="146" spans="1:40">
      <c r="A146" s="19"/>
      <c r="B146" s="326"/>
      <c r="C146" s="326"/>
      <c r="D146" s="326"/>
      <c r="E146" s="579"/>
      <c r="F146" s="328"/>
      <c r="G146" s="328"/>
      <c r="H146" s="328"/>
      <c r="I146" s="580"/>
      <c r="J146" s="326"/>
      <c r="K146" s="342"/>
      <c r="L146" s="326"/>
      <c r="M146" s="338"/>
      <c r="N146" s="338"/>
      <c r="O146" s="338"/>
      <c r="P146" s="338"/>
      <c r="Q146" s="338"/>
      <c r="R146" s="338"/>
      <c r="S146" s="326"/>
      <c r="T146" s="326"/>
      <c r="U146" s="326"/>
      <c r="V146" s="326"/>
      <c r="W146" s="326"/>
      <c r="X146" s="326"/>
      <c r="Y146" s="326"/>
      <c r="Z146" s="326"/>
      <c r="AA146" s="326"/>
      <c r="AB146" s="326"/>
      <c r="AC146" s="326"/>
      <c r="AD146" s="326"/>
      <c r="AE146" s="326"/>
      <c r="AF146" s="326"/>
      <c r="AG146" s="326"/>
      <c r="AH146" s="326"/>
      <c r="AI146" s="326"/>
      <c r="AJ146" s="326"/>
      <c r="AK146" s="21"/>
      <c r="AL146" s="21"/>
      <c r="AM146" s="19"/>
      <c r="AN146" s="19"/>
    </row>
    <row r="147" spans="1:40">
      <c r="A147" s="19"/>
      <c r="B147" s="326"/>
      <c r="C147" s="326"/>
      <c r="D147" s="326"/>
      <c r="E147" s="579"/>
      <c r="F147" s="328"/>
      <c r="G147" s="328"/>
      <c r="H147" s="328"/>
      <c r="I147" s="580"/>
      <c r="J147" s="326"/>
      <c r="K147" s="342"/>
      <c r="L147" s="326"/>
      <c r="M147" s="338"/>
      <c r="N147" s="338"/>
      <c r="O147" s="338"/>
      <c r="P147" s="338"/>
      <c r="Q147" s="338"/>
      <c r="R147" s="338"/>
      <c r="S147" s="326"/>
      <c r="T147" s="326"/>
      <c r="U147" s="326"/>
      <c r="V147" s="326"/>
      <c r="W147" s="326"/>
      <c r="X147" s="326"/>
      <c r="Y147" s="326"/>
      <c r="Z147" s="326"/>
      <c r="AA147" s="326"/>
      <c r="AB147" s="326"/>
      <c r="AC147" s="326"/>
      <c r="AD147" s="326"/>
      <c r="AE147" s="326"/>
      <c r="AF147" s="326"/>
      <c r="AG147" s="326"/>
      <c r="AH147" s="326"/>
      <c r="AI147" s="326"/>
      <c r="AJ147" s="326"/>
      <c r="AK147" s="21"/>
      <c r="AL147" s="21"/>
      <c r="AM147" s="19"/>
      <c r="AN147" s="19"/>
    </row>
    <row r="148" spans="1:40">
      <c r="A148" s="19"/>
      <c r="B148" s="326"/>
      <c r="C148" s="326"/>
      <c r="D148" s="326"/>
      <c r="E148" s="579"/>
      <c r="F148" s="328"/>
      <c r="G148" s="328"/>
      <c r="H148" s="328"/>
      <c r="I148" s="580"/>
      <c r="J148" s="326"/>
      <c r="K148" s="342"/>
      <c r="L148" s="326"/>
      <c r="M148" s="338"/>
      <c r="N148" s="338"/>
      <c r="O148" s="338"/>
      <c r="P148" s="338"/>
      <c r="Q148" s="338"/>
      <c r="R148" s="338"/>
      <c r="S148" s="326"/>
      <c r="T148" s="326"/>
      <c r="U148" s="326"/>
      <c r="V148" s="326"/>
      <c r="W148" s="326"/>
      <c r="X148" s="326"/>
      <c r="Y148" s="326"/>
      <c r="Z148" s="326"/>
      <c r="AA148" s="326"/>
      <c r="AB148" s="326"/>
      <c r="AC148" s="326"/>
      <c r="AD148" s="326"/>
      <c r="AE148" s="326"/>
      <c r="AF148" s="326"/>
      <c r="AG148" s="326"/>
      <c r="AH148" s="326"/>
      <c r="AI148" s="326"/>
      <c r="AJ148" s="326"/>
      <c r="AK148" s="21"/>
      <c r="AL148" s="21"/>
      <c r="AM148" s="19"/>
      <c r="AN148" s="19"/>
    </row>
    <row r="149" spans="1:40">
      <c r="A149" s="19"/>
      <c r="B149" s="326"/>
      <c r="C149" s="326"/>
      <c r="D149" s="326"/>
      <c r="E149" s="579"/>
      <c r="F149" s="328"/>
      <c r="G149" s="328"/>
      <c r="H149" s="328"/>
      <c r="I149" s="580"/>
      <c r="J149" s="326"/>
      <c r="K149" s="342"/>
      <c r="L149" s="326"/>
      <c r="M149" s="338"/>
      <c r="N149" s="338"/>
      <c r="O149" s="338"/>
      <c r="P149" s="338"/>
      <c r="Q149" s="338"/>
      <c r="R149" s="338"/>
      <c r="S149" s="326"/>
      <c r="T149" s="326"/>
      <c r="U149" s="326"/>
      <c r="V149" s="326"/>
      <c r="W149" s="326"/>
      <c r="X149" s="326"/>
      <c r="Y149" s="326"/>
      <c r="Z149" s="326"/>
      <c r="AA149" s="326"/>
      <c r="AB149" s="326"/>
      <c r="AC149" s="326"/>
      <c r="AD149" s="326"/>
      <c r="AE149" s="326"/>
      <c r="AF149" s="326"/>
      <c r="AG149" s="326"/>
      <c r="AH149" s="326"/>
      <c r="AI149" s="326"/>
      <c r="AJ149" s="326"/>
      <c r="AK149" s="21"/>
      <c r="AL149" s="21"/>
      <c r="AM149" s="19"/>
      <c r="AN149" s="19"/>
    </row>
    <row r="150" spans="1:40">
      <c r="A150" s="19"/>
      <c r="B150" s="326"/>
      <c r="C150" s="326"/>
      <c r="D150" s="326"/>
      <c r="E150" s="579"/>
      <c r="F150" s="328"/>
      <c r="G150" s="328"/>
      <c r="H150" s="328"/>
      <c r="I150" s="580"/>
      <c r="J150" s="326"/>
      <c r="K150" s="342"/>
      <c r="L150" s="326"/>
      <c r="M150" s="338"/>
      <c r="N150" s="338"/>
      <c r="O150" s="338"/>
      <c r="P150" s="338"/>
      <c r="Q150" s="338"/>
      <c r="R150" s="338"/>
      <c r="S150" s="326"/>
      <c r="T150" s="326"/>
      <c r="U150" s="326"/>
      <c r="V150" s="326"/>
      <c r="W150" s="326"/>
      <c r="X150" s="326"/>
      <c r="Y150" s="326"/>
      <c r="Z150" s="326"/>
      <c r="AA150" s="326"/>
      <c r="AB150" s="326"/>
      <c r="AC150" s="326"/>
      <c r="AD150" s="326"/>
      <c r="AE150" s="326"/>
      <c r="AF150" s="326"/>
      <c r="AG150" s="326"/>
      <c r="AH150" s="326"/>
      <c r="AI150" s="326"/>
      <c r="AJ150" s="326"/>
      <c r="AK150" s="21"/>
      <c r="AL150" s="21"/>
      <c r="AM150" s="19"/>
      <c r="AN150" s="19"/>
    </row>
    <row r="151" spans="1:40">
      <c r="A151" s="19"/>
      <c r="B151" s="326"/>
      <c r="C151" s="326"/>
      <c r="D151" s="326"/>
      <c r="E151" s="579"/>
      <c r="F151" s="328"/>
      <c r="G151" s="328"/>
      <c r="H151" s="328"/>
      <c r="I151" s="580"/>
      <c r="J151" s="326"/>
      <c r="K151" s="342"/>
      <c r="L151" s="326"/>
      <c r="M151" s="338"/>
      <c r="N151" s="338"/>
      <c r="O151" s="338"/>
      <c r="P151" s="338"/>
      <c r="Q151" s="338"/>
      <c r="R151" s="338"/>
      <c r="S151" s="326"/>
      <c r="T151" s="326"/>
      <c r="U151" s="326"/>
      <c r="V151" s="326"/>
      <c r="W151" s="326"/>
      <c r="X151" s="326"/>
      <c r="Y151" s="326"/>
      <c r="Z151" s="326"/>
      <c r="AA151" s="326"/>
      <c r="AB151" s="326"/>
      <c r="AC151" s="326"/>
      <c r="AD151" s="326"/>
      <c r="AE151" s="326"/>
      <c r="AF151" s="326"/>
      <c r="AG151" s="326"/>
      <c r="AH151" s="326"/>
      <c r="AI151" s="326"/>
      <c r="AJ151" s="326"/>
      <c r="AK151" s="21"/>
      <c r="AL151" s="21"/>
      <c r="AM151" s="19"/>
      <c r="AN151" s="19"/>
    </row>
    <row r="152" spans="1:40">
      <c r="A152" s="19"/>
      <c r="B152" s="326"/>
      <c r="C152" s="326"/>
      <c r="D152" s="326"/>
      <c r="E152" s="579"/>
      <c r="F152" s="328"/>
      <c r="G152" s="328"/>
      <c r="H152" s="328"/>
      <c r="I152" s="580"/>
      <c r="J152" s="326"/>
      <c r="K152" s="342"/>
      <c r="L152" s="326"/>
      <c r="M152" s="338"/>
      <c r="N152" s="338"/>
      <c r="O152" s="338"/>
      <c r="P152" s="338"/>
      <c r="Q152" s="338"/>
      <c r="R152" s="338"/>
      <c r="S152" s="326"/>
      <c r="T152" s="326"/>
      <c r="U152" s="326"/>
      <c r="V152" s="326"/>
      <c r="W152" s="326"/>
      <c r="X152" s="326"/>
      <c r="Y152" s="326"/>
      <c r="Z152" s="326"/>
      <c r="AA152" s="326"/>
      <c r="AB152" s="326"/>
      <c r="AC152" s="326"/>
      <c r="AD152" s="326"/>
      <c r="AE152" s="326"/>
      <c r="AF152" s="326"/>
      <c r="AG152" s="326"/>
      <c r="AH152" s="326"/>
      <c r="AI152" s="326"/>
      <c r="AJ152" s="326"/>
      <c r="AK152" s="21"/>
      <c r="AL152" s="21"/>
      <c r="AM152" s="19"/>
      <c r="AN152" s="19"/>
    </row>
    <row r="153" spans="1:40">
      <c r="A153" s="169"/>
      <c r="B153" s="326"/>
      <c r="C153" s="326"/>
      <c r="D153" s="326"/>
      <c r="E153" s="579"/>
      <c r="F153" s="328"/>
      <c r="G153" s="328"/>
      <c r="H153" s="328"/>
      <c r="I153" s="580"/>
      <c r="J153" s="326"/>
      <c r="K153" s="342"/>
      <c r="L153" s="326"/>
      <c r="M153" s="338"/>
      <c r="N153" s="338"/>
      <c r="O153" s="338"/>
      <c r="P153" s="338"/>
      <c r="Q153" s="338"/>
      <c r="R153" s="338"/>
      <c r="S153" s="326"/>
      <c r="T153" s="326"/>
      <c r="U153" s="326"/>
      <c r="V153" s="326"/>
      <c r="W153" s="326"/>
      <c r="X153" s="326"/>
      <c r="Y153" s="326"/>
      <c r="Z153" s="326"/>
      <c r="AA153" s="326"/>
      <c r="AB153" s="326"/>
      <c r="AC153" s="326"/>
      <c r="AD153" s="326"/>
      <c r="AE153" s="326"/>
      <c r="AF153" s="326"/>
      <c r="AG153" s="326"/>
      <c r="AH153" s="326"/>
      <c r="AI153" s="326"/>
      <c r="AJ153" s="326"/>
      <c r="AK153" s="21"/>
      <c r="AL153" s="21"/>
      <c r="AM153" s="19"/>
      <c r="AN153" s="19"/>
    </row>
    <row r="154" spans="1:40">
      <c r="A154" s="169"/>
      <c r="B154" s="326"/>
      <c r="C154" s="326"/>
      <c r="D154" s="326"/>
      <c r="E154" s="579"/>
      <c r="F154" s="328"/>
      <c r="G154" s="328"/>
      <c r="H154" s="328"/>
      <c r="I154" s="580"/>
      <c r="J154" s="326"/>
      <c r="K154" s="342"/>
      <c r="L154" s="326"/>
      <c r="M154" s="338"/>
      <c r="N154" s="338"/>
      <c r="O154" s="338"/>
      <c r="P154" s="338"/>
      <c r="Q154" s="338"/>
      <c r="R154" s="338"/>
      <c r="S154" s="326"/>
      <c r="T154" s="326"/>
      <c r="U154" s="326"/>
      <c r="V154" s="326"/>
      <c r="W154" s="326"/>
      <c r="X154" s="326"/>
      <c r="Y154" s="326"/>
      <c r="Z154" s="326"/>
      <c r="AA154" s="326"/>
      <c r="AB154" s="326"/>
      <c r="AC154" s="326"/>
      <c r="AD154" s="326"/>
      <c r="AE154" s="326"/>
      <c r="AF154" s="326"/>
      <c r="AG154" s="326"/>
      <c r="AH154" s="326"/>
      <c r="AI154" s="326"/>
      <c r="AJ154" s="326"/>
      <c r="AK154" s="21"/>
      <c r="AL154" s="21"/>
      <c r="AM154" s="19"/>
      <c r="AN154" s="19"/>
    </row>
    <row r="155" spans="1:40">
      <c r="A155" s="169"/>
      <c r="B155" s="326"/>
      <c r="C155" s="326"/>
      <c r="D155" s="326"/>
      <c r="E155" s="579"/>
      <c r="F155" s="328"/>
      <c r="G155" s="328"/>
      <c r="H155" s="328"/>
      <c r="I155" s="580"/>
      <c r="J155" s="326"/>
      <c r="K155" s="342"/>
      <c r="L155" s="326"/>
      <c r="M155" s="338"/>
      <c r="N155" s="338"/>
      <c r="O155" s="338"/>
      <c r="P155" s="338"/>
      <c r="Q155" s="338"/>
      <c r="R155" s="338"/>
      <c r="S155" s="326"/>
      <c r="T155" s="326"/>
      <c r="U155" s="326"/>
      <c r="V155" s="326"/>
      <c r="W155" s="326"/>
      <c r="X155" s="326"/>
      <c r="Y155" s="326"/>
      <c r="Z155" s="326"/>
      <c r="AA155" s="326"/>
      <c r="AB155" s="326"/>
      <c r="AC155" s="326"/>
      <c r="AD155" s="326"/>
      <c r="AE155" s="326"/>
      <c r="AF155" s="326"/>
      <c r="AG155" s="326"/>
      <c r="AH155" s="326"/>
      <c r="AI155" s="326"/>
      <c r="AJ155" s="326"/>
      <c r="AK155" s="21"/>
      <c r="AL155" s="21"/>
      <c r="AM155" s="19"/>
      <c r="AN155" s="19"/>
    </row>
    <row r="156" spans="1:40">
      <c r="A156" s="169"/>
      <c r="B156" s="326"/>
      <c r="C156" s="326"/>
      <c r="D156" s="326"/>
      <c r="E156" s="579"/>
      <c r="F156" s="328"/>
      <c r="G156" s="328"/>
      <c r="H156" s="328"/>
      <c r="I156" s="580"/>
      <c r="J156" s="326"/>
      <c r="K156" s="342"/>
      <c r="L156" s="326"/>
      <c r="M156" s="338"/>
      <c r="N156" s="338"/>
      <c r="O156" s="338"/>
      <c r="P156" s="338"/>
      <c r="Q156" s="338"/>
      <c r="R156" s="338"/>
      <c r="S156" s="326"/>
      <c r="T156" s="326"/>
      <c r="U156" s="326"/>
      <c r="V156" s="326"/>
      <c r="W156" s="326"/>
      <c r="X156" s="326"/>
      <c r="Y156" s="326"/>
      <c r="Z156" s="326"/>
      <c r="AA156" s="326"/>
      <c r="AB156" s="326"/>
      <c r="AC156" s="326"/>
      <c r="AD156" s="326"/>
      <c r="AE156" s="326"/>
      <c r="AF156" s="326"/>
      <c r="AG156" s="326"/>
      <c r="AH156" s="326"/>
      <c r="AI156" s="326"/>
      <c r="AJ156" s="326"/>
      <c r="AK156" s="21"/>
      <c r="AL156" s="21"/>
      <c r="AM156" s="19"/>
      <c r="AN156" s="19"/>
    </row>
    <row r="157" spans="1:40">
      <c r="A157" s="169"/>
      <c r="B157" s="326"/>
      <c r="C157" s="326"/>
      <c r="D157" s="326"/>
      <c r="E157" s="579"/>
      <c r="F157" s="328"/>
      <c r="G157" s="328"/>
      <c r="H157" s="328"/>
      <c r="I157" s="580"/>
      <c r="J157" s="326"/>
      <c r="K157" s="342"/>
      <c r="L157" s="326"/>
      <c r="M157" s="338"/>
      <c r="N157" s="338"/>
      <c r="O157" s="338"/>
      <c r="P157" s="338"/>
      <c r="Q157" s="338"/>
      <c r="R157" s="338"/>
      <c r="S157" s="326"/>
      <c r="T157" s="326"/>
      <c r="U157" s="326"/>
      <c r="V157" s="326"/>
      <c r="W157" s="326"/>
      <c r="X157" s="326"/>
      <c r="Y157" s="326"/>
      <c r="Z157" s="326"/>
      <c r="AA157" s="326"/>
      <c r="AB157" s="326"/>
      <c r="AC157" s="326"/>
      <c r="AD157" s="326"/>
      <c r="AE157" s="326"/>
      <c r="AF157" s="326"/>
      <c r="AG157" s="326"/>
      <c r="AH157" s="326"/>
      <c r="AI157" s="326"/>
      <c r="AJ157" s="326"/>
      <c r="AK157" s="21"/>
      <c r="AL157" s="21"/>
      <c r="AM157" s="19"/>
      <c r="AN157" s="19"/>
    </row>
    <row r="158" spans="1:40">
      <c r="A158" s="169"/>
      <c r="B158" s="326"/>
      <c r="C158" s="326"/>
      <c r="D158" s="326"/>
      <c r="E158" s="579"/>
      <c r="F158" s="328"/>
      <c r="G158" s="328"/>
      <c r="H158" s="328"/>
      <c r="I158" s="580"/>
      <c r="J158" s="326"/>
      <c r="K158" s="342"/>
      <c r="L158" s="326"/>
      <c r="M158" s="338"/>
      <c r="N158" s="338"/>
      <c r="O158" s="338"/>
      <c r="P158" s="338"/>
      <c r="Q158" s="338"/>
      <c r="R158" s="338"/>
      <c r="S158" s="326"/>
      <c r="T158" s="326"/>
      <c r="U158" s="326"/>
      <c r="V158" s="326"/>
      <c r="W158" s="326"/>
      <c r="X158" s="326"/>
      <c r="Y158" s="326"/>
      <c r="Z158" s="326"/>
      <c r="AA158" s="326"/>
      <c r="AB158" s="326"/>
      <c r="AC158" s="326"/>
      <c r="AD158" s="326"/>
      <c r="AE158" s="326"/>
      <c r="AF158" s="326"/>
      <c r="AG158" s="326"/>
      <c r="AH158" s="326"/>
      <c r="AI158" s="326"/>
      <c r="AJ158" s="326"/>
      <c r="AK158" s="21"/>
      <c r="AL158" s="21"/>
      <c r="AM158" s="19"/>
      <c r="AN158" s="19"/>
    </row>
    <row r="159" spans="1:40">
      <c r="A159" s="169"/>
      <c r="B159" s="326"/>
      <c r="C159" s="326"/>
      <c r="D159" s="326"/>
      <c r="E159" s="579"/>
      <c r="F159" s="328"/>
      <c r="G159" s="328"/>
      <c r="H159" s="328"/>
      <c r="I159" s="580"/>
      <c r="J159" s="326"/>
      <c r="K159" s="342"/>
      <c r="L159" s="326"/>
      <c r="M159" s="338"/>
      <c r="N159" s="338"/>
      <c r="O159" s="338"/>
      <c r="P159" s="338"/>
      <c r="Q159" s="338"/>
      <c r="R159" s="338"/>
      <c r="S159" s="326"/>
      <c r="T159" s="326"/>
      <c r="U159" s="326"/>
      <c r="V159" s="326"/>
      <c r="W159" s="326"/>
      <c r="X159" s="326"/>
      <c r="Y159" s="326"/>
      <c r="Z159" s="326"/>
      <c r="AA159" s="326"/>
      <c r="AB159" s="326"/>
      <c r="AC159" s="326"/>
      <c r="AD159" s="326"/>
      <c r="AE159" s="326"/>
      <c r="AF159" s="326"/>
      <c r="AG159" s="326"/>
      <c r="AH159" s="326"/>
      <c r="AI159" s="326"/>
      <c r="AJ159" s="326"/>
      <c r="AK159" s="21"/>
      <c r="AL159" s="21"/>
      <c r="AM159" s="19"/>
      <c r="AN159" s="19"/>
    </row>
    <row r="160" spans="1:40">
      <c r="A160" s="19"/>
      <c r="B160" s="326"/>
      <c r="C160" s="326"/>
      <c r="D160" s="326"/>
      <c r="E160" s="579"/>
      <c r="F160" s="328"/>
      <c r="G160" s="328"/>
      <c r="H160" s="328"/>
      <c r="I160" s="580"/>
      <c r="J160" s="326"/>
      <c r="K160" s="342"/>
      <c r="L160" s="326"/>
      <c r="M160" s="338"/>
      <c r="N160" s="338"/>
      <c r="O160" s="338"/>
      <c r="P160" s="338"/>
      <c r="Q160" s="338"/>
      <c r="R160" s="338"/>
      <c r="S160" s="326"/>
      <c r="T160" s="326"/>
      <c r="U160" s="326"/>
      <c r="V160" s="326"/>
      <c r="W160" s="326"/>
      <c r="X160" s="326"/>
      <c r="Y160" s="326"/>
      <c r="Z160" s="326"/>
      <c r="AA160" s="326"/>
      <c r="AB160" s="326"/>
      <c r="AC160" s="326"/>
      <c r="AD160" s="326"/>
      <c r="AE160" s="326"/>
      <c r="AF160" s="326"/>
      <c r="AG160" s="326"/>
      <c r="AH160" s="326"/>
      <c r="AI160" s="326"/>
      <c r="AJ160" s="326"/>
      <c r="AK160" s="21"/>
      <c r="AL160" s="21"/>
      <c r="AM160" s="19"/>
      <c r="AN160" s="19"/>
    </row>
    <row r="161" spans="1:40">
      <c r="A161" s="19"/>
      <c r="B161" s="326"/>
      <c r="C161" s="326"/>
      <c r="D161" s="326"/>
      <c r="E161" s="579"/>
      <c r="F161" s="328"/>
      <c r="G161" s="328"/>
      <c r="H161" s="328"/>
      <c r="I161" s="580"/>
      <c r="J161" s="326"/>
      <c r="K161" s="342"/>
      <c r="L161" s="326"/>
      <c r="M161" s="338"/>
      <c r="N161" s="338"/>
      <c r="O161" s="338"/>
      <c r="P161" s="338"/>
      <c r="Q161" s="338"/>
      <c r="R161" s="338"/>
      <c r="S161" s="326"/>
      <c r="T161" s="326"/>
      <c r="U161" s="326"/>
      <c r="V161" s="326"/>
      <c r="W161" s="326"/>
      <c r="X161" s="326"/>
      <c r="Y161" s="326"/>
      <c r="Z161" s="326"/>
      <c r="AA161" s="326"/>
      <c r="AB161" s="326"/>
      <c r="AC161" s="326"/>
      <c r="AD161" s="326"/>
      <c r="AE161" s="326"/>
      <c r="AF161" s="326"/>
      <c r="AG161" s="326"/>
      <c r="AH161" s="326"/>
      <c r="AI161" s="326"/>
      <c r="AJ161" s="326"/>
      <c r="AK161" s="21"/>
      <c r="AL161" s="21"/>
      <c r="AM161" s="19"/>
      <c r="AN161" s="19"/>
    </row>
    <row r="162" spans="1:40">
      <c r="A162" s="19"/>
      <c r="B162" s="326"/>
      <c r="C162" s="326"/>
      <c r="D162" s="326"/>
      <c r="E162" s="579"/>
      <c r="F162" s="328"/>
      <c r="G162" s="328"/>
      <c r="H162" s="328"/>
      <c r="I162" s="580"/>
      <c r="J162" s="326"/>
      <c r="K162" s="342"/>
      <c r="L162" s="326"/>
      <c r="M162" s="338"/>
      <c r="N162" s="338"/>
      <c r="O162" s="338"/>
      <c r="P162" s="338"/>
      <c r="Q162" s="338"/>
      <c r="R162" s="338"/>
      <c r="S162" s="326"/>
      <c r="T162" s="326"/>
      <c r="U162" s="326"/>
      <c r="V162" s="326"/>
      <c r="W162" s="326"/>
      <c r="X162" s="326"/>
      <c r="Y162" s="326"/>
      <c r="Z162" s="326"/>
      <c r="AA162" s="326"/>
      <c r="AB162" s="326"/>
      <c r="AC162" s="326"/>
      <c r="AD162" s="326"/>
      <c r="AE162" s="326"/>
      <c r="AF162" s="326"/>
      <c r="AG162" s="326"/>
      <c r="AH162" s="326"/>
      <c r="AI162" s="326"/>
      <c r="AJ162" s="326"/>
      <c r="AK162" s="21"/>
      <c r="AL162" s="21"/>
      <c r="AM162" s="19"/>
      <c r="AN162" s="19"/>
    </row>
    <row r="163" spans="1:40">
      <c r="A163" s="19"/>
      <c r="B163" s="326"/>
      <c r="C163" s="326"/>
      <c r="D163" s="326"/>
      <c r="E163" s="579"/>
      <c r="F163" s="328"/>
      <c r="G163" s="328"/>
      <c r="H163" s="328"/>
      <c r="I163" s="580"/>
      <c r="J163" s="326"/>
      <c r="K163" s="342"/>
      <c r="L163" s="326"/>
      <c r="M163" s="338"/>
      <c r="N163" s="338"/>
      <c r="O163" s="338"/>
      <c r="P163" s="338"/>
      <c r="Q163" s="338"/>
      <c r="R163" s="338"/>
      <c r="S163" s="326"/>
      <c r="T163" s="326"/>
      <c r="U163" s="326"/>
      <c r="V163" s="326"/>
      <c r="W163" s="326"/>
      <c r="X163" s="326"/>
      <c r="Y163" s="326"/>
      <c r="Z163" s="326"/>
      <c r="AA163" s="326"/>
      <c r="AB163" s="326"/>
      <c r="AC163" s="326"/>
      <c r="AD163" s="326"/>
      <c r="AE163" s="326"/>
      <c r="AF163" s="326"/>
      <c r="AG163" s="326"/>
      <c r="AH163" s="326"/>
      <c r="AI163" s="326"/>
      <c r="AJ163" s="326"/>
      <c r="AK163" s="21"/>
      <c r="AL163" s="21"/>
      <c r="AM163" s="19"/>
      <c r="AN163" s="19"/>
    </row>
    <row r="164" spans="1:40">
      <c r="A164" s="19"/>
      <c r="B164" s="326"/>
      <c r="C164" s="326"/>
      <c r="D164" s="326"/>
      <c r="E164" s="579"/>
      <c r="F164" s="328"/>
      <c r="G164" s="328"/>
      <c r="H164" s="328"/>
      <c r="I164" s="580"/>
      <c r="J164" s="326"/>
      <c r="K164" s="342"/>
      <c r="L164" s="326"/>
      <c r="M164" s="338"/>
      <c r="N164" s="338"/>
      <c r="O164" s="338"/>
      <c r="P164" s="338"/>
      <c r="Q164" s="338"/>
      <c r="R164" s="338"/>
      <c r="S164" s="326"/>
      <c r="T164" s="326"/>
      <c r="U164" s="326"/>
      <c r="V164" s="326"/>
      <c r="W164" s="326"/>
      <c r="X164" s="326"/>
      <c r="Y164" s="326"/>
      <c r="Z164" s="326"/>
      <c r="AA164" s="326"/>
      <c r="AB164" s="326"/>
      <c r="AC164" s="326"/>
      <c r="AD164" s="326"/>
      <c r="AE164" s="326"/>
      <c r="AF164" s="326"/>
      <c r="AG164" s="326"/>
      <c r="AH164" s="326"/>
      <c r="AI164" s="326"/>
      <c r="AJ164" s="326"/>
      <c r="AK164" s="21"/>
      <c r="AL164" s="21"/>
      <c r="AM164" s="19"/>
      <c r="AN164" s="19"/>
    </row>
    <row r="165" spans="1:40">
      <c r="A165" s="19"/>
      <c r="B165" s="326"/>
      <c r="C165" s="326"/>
      <c r="D165" s="326"/>
      <c r="E165" s="579"/>
      <c r="F165" s="328"/>
      <c r="G165" s="328"/>
      <c r="H165" s="328"/>
      <c r="I165" s="580"/>
      <c r="J165" s="326"/>
      <c r="K165" s="342"/>
      <c r="L165" s="326"/>
      <c r="M165" s="338"/>
      <c r="N165" s="338"/>
      <c r="O165" s="338"/>
      <c r="P165" s="338"/>
      <c r="Q165" s="338"/>
      <c r="R165" s="338"/>
      <c r="S165" s="326"/>
      <c r="T165" s="326"/>
      <c r="U165" s="326"/>
      <c r="V165" s="326"/>
      <c r="W165" s="326"/>
      <c r="X165" s="326"/>
      <c r="Y165" s="326"/>
      <c r="Z165" s="326"/>
      <c r="AA165" s="326"/>
      <c r="AB165" s="326"/>
      <c r="AC165" s="326"/>
      <c r="AD165" s="326"/>
      <c r="AE165" s="326"/>
      <c r="AF165" s="326"/>
      <c r="AG165" s="326"/>
      <c r="AH165" s="326"/>
      <c r="AI165" s="326"/>
      <c r="AJ165" s="326"/>
      <c r="AK165" s="21"/>
      <c r="AL165" s="21"/>
      <c r="AM165" s="19"/>
      <c r="AN165" s="19"/>
    </row>
    <row r="166" spans="1:40">
      <c r="A166" s="19"/>
      <c r="B166" s="326"/>
      <c r="C166" s="326"/>
      <c r="D166" s="326"/>
      <c r="E166" s="579"/>
      <c r="F166" s="328"/>
      <c r="G166" s="328"/>
      <c r="H166" s="328"/>
      <c r="I166" s="580"/>
      <c r="J166" s="326"/>
      <c r="K166" s="342"/>
      <c r="L166" s="326"/>
      <c r="M166" s="338"/>
      <c r="N166" s="338"/>
      <c r="O166" s="338"/>
      <c r="P166" s="338"/>
      <c r="Q166" s="338"/>
      <c r="R166" s="338"/>
      <c r="S166" s="326"/>
      <c r="T166" s="326"/>
      <c r="U166" s="326"/>
      <c r="V166" s="326"/>
      <c r="W166" s="326"/>
      <c r="X166" s="326"/>
      <c r="Y166" s="326"/>
      <c r="Z166" s="326"/>
      <c r="AA166" s="326"/>
      <c r="AB166" s="326"/>
      <c r="AC166" s="326"/>
      <c r="AD166" s="326"/>
      <c r="AE166" s="326"/>
      <c r="AF166" s="326"/>
      <c r="AG166" s="326"/>
      <c r="AH166" s="326"/>
      <c r="AI166" s="326"/>
      <c r="AJ166" s="326"/>
      <c r="AK166" s="21"/>
      <c r="AL166" s="21"/>
      <c r="AM166" s="19"/>
      <c r="AN166" s="19"/>
    </row>
    <row r="167" spans="1:40">
      <c r="A167" s="19"/>
      <c r="B167" s="326"/>
      <c r="C167" s="326"/>
      <c r="D167" s="326"/>
      <c r="E167" s="579"/>
      <c r="F167" s="328"/>
      <c r="G167" s="328"/>
      <c r="H167" s="328"/>
      <c r="I167" s="580"/>
      <c r="J167" s="326"/>
      <c r="K167" s="342"/>
      <c r="L167" s="326"/>
      <c r="M167" s="338"/>
      <c r="N167" s="338"/>
      <c r="O167" s="338"/>
      <c r="P167" s="338"/>
      <c r="Q167" s="338"/>
      <c r="R167" s="338"/>
      <c r="S167" s="326"/>
      <c r="T167" s="326"/>
      <c r="U167" s="326"/>
      <c r="V167" s="326"/>
      <c r="W167" s="326"/>
      <c r="X167" s="326"/>
      <c r="Y167" s="326"/>
      <c r="Z167" s="326"/>
      <c r="AA167" s="326"/>
      <c r="AB167" s="326"/>
      <c r="AC167" s="326"/>
      <c r="AD167" s="326"/>
      <c r="AE167" s="326"/>
      <c r="AF167" s="326"/>
      <c r="AG167" s="326"/>
      <c r="AH167" s="326"/>
      <c r="AI167" s="326"/>
      <c r="AJ167" s="326"/>
      <c r="AK167" s="21"/>
      <c r="AL167" s="21"/>
      <c r="AM167" s="19"/>
      <c r="AN167" s="19"/>
    </row>
    <row r="168" spans="1:40">
      <c r="A168" s="19"/>
      <c r="B168" s="326"/>
      <c r="C168" s="326"/>
      <c r="D168" s="326"/>
      <c r="E168" s="579"/>
      <c r="F168" s="328"/>
      <c r="G168" s="328"/>
      <c r="H168" s="328"/>
      <c r="I168" s="580"/>
      <c r="J168" s="326"/>
      <c r="K168" s="342"/>
      <c r="L168" s="326"/>
      <c r="M168" s="338"/>
      <c r="N168" s="338"/>
      <c r="O168" s="338"/>
      <c r="P168" s="338"/>
      <c r="Q168" s="338"/>
      <c r="R168" s="338"/>
      <c r="S168" s="326"/>
      <c r="T168" s="326"/>
      <c r="U168" s="326"/>
      <c r="V168" s="326"/>
      <c r="W168" s="326"/>
      <c r="X168" s="326"/>
      <c r="Y168" s="326"/>
      <c r="Z168" s="326"/>
      <c r="AA168" s="326"/>
      <c r="AB168" s="326"/>
      <c r="AC168" s="326"/>
      <c r="AD168" s="326"/>
      <c r="AE168" s="326"/>
      <c r="AF168" s="326"/>
      <c r="AG168" s="326"/>
      <c r="AH168" s="326"/>
      <c r="AI168" s="326"/>
      <c r="AJ168" s="326"/>
      <c r="AK168" s="21"/>
      <c r="AL168" s="21"/>
      <c r="AM168" s="19"/>
      <c r="AN168" s="19"/>
    </row>
    <row r="169" spans="1:40">
      <c r="A169" s="19"/>
      <c r="B169" s="326"/>
      <c r="C169" s="326"/>
      <c r="D169" s="326"/>
      <c r="E169" s="579"/>
      <c r="F169" s="328"/>
      <c r="G169" s="328"/>
      <c r="H169" s="328"/>
      <c r="I169" s="580"/>
      <c r="J169" s="326"/>
      <c r="K169" s="342"/>
      <c r="L169" s="326"/>
      <c r="M169" s="338"/>
      <c r="N169" s="338"/>
      <c r="O169" s="338"/>
      <c r="P169" s="338"/>
      <c r="Q169" s="338"/>
      <c r="R169" s="338"/>
      <c r="S169" s="326"/>
      <c r="T169" s="326"/>
      <c r="U169" s="326"/>
      <c r="V169" s="326"/>
      <c r="W169" s="326"/>
      <c r="X169" s="326"/>
      <c r="Y169" s="326"/>
      <c r="Z169" s="326"/>
      <c r="AA169" s="326"/>
      <c r="AB169" s="326"/>
      <c r="AC169" s="326"/>
      <c r="AD169" s="326"/>
      <c r="AE169" s="326"/>
      <c r="AF169" s="326"/>
      <c r="AG169" s="326"/>
      <c r="AH169" s="326"/>
      <c r="AI169" s="326"/>
      <c r="AJ169" s="326"/>
      <c r="AK169" s="21"/>
      <c r="AL169" s="21"/>
      <c r="AM169" s="19"/>
      <c r="AN169" s="19"/>
    </row>
    <row r="170" spans="1:40">
      <c r="A170" s="19"/>
      <c r="B170" s="326"/>
      <c r="C170" s="326"/>
      <c r="D170" s="326"/>
      <c r="E170" s="579"/>
      <c r="F170" s="328"/>
      <c r="G170" s="328"/>
      <c r="H170" s="328"/>
      <c r="I170" s="580"/>
      <c r="J170" s="326"/>
      <c r="K170" s="342"/>
      <c r="L170" s="326"/>
      <c r="M170" s="338"/>
      <c r="N170" s="338"/>
      <c r="O170" s="338"/>
      <c r="P170" s="338"/>
      <c r="Q170" s="338"/>
      <c r="R170" s="338"/>
      <c r="S170" s="326"/>
      <c r="T170" s="326"/>
      <c r="U170" s="326"/>
      <c r="V170" s="326"/>
      <c r="W170" s="326"/>
      <c r="X170" s="326"/>
      <c r="Y170" s="326"/>
      <c r="Z170" s="326"/>
      <c r="AA170" s="326"/>
      <c r="AB170" s="326"/>
      <c r="AC170" s="326"/>
      <c r="AD170" s="326"/>
      <c r="AE170" s="326"/>
      <c r="AF170" s="326"/>
      <c r="AG170" s="326"/>
      <c r="AH170" s="326"/>
      <c r="AI170" s="326"/>
      <c r="AJ170" s="326"/>
      <c r="AK170" s="21"/>
      <c r="AL170" s="21"/>
      <c r="AM170" s="19"/>
      <c r="AN170" s="19"/>
    </row>
    <row r="171" spans="1:40">
      <c r="A171" s="19"/>
      <c r="B171" s="326"/>
      <c r="C171" s="326"/>
      <c r="D171" s="326"/>
      <c r="E171" s="579"/>
      <c r="F171" s="328"/>
      <c r="G171" s="328"/>
      <c r="H171" s="328"/>
      <c r="I171" s="580"/>
      <c r="J171" s="326"/>
      <c r="K171" s="342"/>
      <c r="L171" s="326"/>
      <c r="M171" s="338"/>
      <c r="N171" s="338"/>
      <c r="O171" s="338"/>
      <c r="P171" s="338"/>
      <c r="Q171" s="338"/>
      <c r="R171" s="338"/>
      <c r="S171" s="326"/>
      <c r="T171" s="326"/>
      <c r="U171" s="326"/>
      <c r="V171" s="326"/>
      <c r="W171" s="326"/>
      <c r="X171" s="326"/>
      <c r="Y171" s="326"/>
      <c r="Z171" s="326"/>
      <c r="AA171" s="326"/>
      <c r="AB171" s="326"/>
      <c r="AC171" s="326"/>
      <c r="AD171" s="326"/>
      <c r="AE171" s="326"/>
      <c r="AF171" s="326"/>
      <c r="AG171" s="326"/>
      <c r="AH171" s="326"/>
      <c r="AI171" s="326"/>
      <c r="AJ171" s="326"/>
      <c r="AK171" s="21"/>
      <c r="AL171" s="21"/>
      <c r="AM171" s="19"/>
      <c r="AN171" s="19"/>
    </row>
    <row r="172" spans="1:40">
      <c r="A172" s="19"/>
      <c r="B172" s="326"/>
      <c r="C172" s="326"/>
      <c r="D172" s="326"/>
      <c r="E172" s="579"/>
      <c r="F172" s="328"/>
      <c r="G172" s="328"/>
      <c r="H172" s="328"/>
      <c r="I172" s="580"/>
      <c r="J172" s="326"/>
      <c r="K172" s="342"/>
      <c r="L172" s="326"/>
      <c r="M172" s="338"/>
      <c r="N172" s="338"/>
      <c r="O172" s="338"/>
      <c r="P172" s="338"/>
      <c r="Q172" s="338"/>
      <c r="R172" s="338"/>
      <c r="S172" s="326"/>
      <c r="T172" s="326"/>
      <c r="U172" s="326"/>
      <c r="V172" s="326"/>
      <c r="W172" s="326"/>
      <c r="X172" s="326"/>
      <c r="Y172" s="326"/>
      <c r="Z172" s="326"/>
      <c r="AA172" s="326"/>
      <c r="AB172" s="326"/>
      <c r="AC172" s="326"/>
      <c r="AD172" s="326"/>
      <c r="AE172" s="326"/>
      <c r="AF172" s="326"/>
      <c r="AG172" s="326"/>
      <c r="AH172" s="326"/>
      <c r="AI172" s="326"/>
      <c r="AJ172" s="326"/>
      <c r="AK172" s="21"/>
      <c r="AL172" s="21"/>
      <c r="AM172" s="19"/>
      <c r="AN172" s="19"/>
    </row>
    <row r="173" spans="1:40">
      <c r="A173" s="19"/>
      <c r="B173" s="326"/>
      <c r="C173" s="326"/>
      <c r="D173" s="326"/>
      <c r="E173" s="579"/>
      <c r="F173" s="328"/>
      <c r="G173" s="328"/>
      <c r="H173" s="328"/>
      <c r="I173" s="580"/>
      <c r="J173" s="326"/>
      <c r="K173" s="342"/>
      <c r="L173" s="326"/>
      <c r="M173" s="338"/>
      <c r="N173" s="338"/>
      <c r="O173" s="338"/>
      <c r="P173" s="338"/>
      <c r="Q173" s="338"/>
      <c r="R173" s="338"/>
      <c r="S173" s="326"/>
      <c r="T173" s="326"/>
      <c r="U173" s="326"/>
      <c r="V173" s="326"/>
      <c r="W173" s="326"/>
      <c r="X173" s="326"/>
      <c r="Y173" s="326"/>
      <c r="Z173" s="326"/>
      <c r="AA173" s="326"/>
      <c r="AB173" s="326"/>
      <c r="AC173" s="326"/>
      <c r="AD173" s="326"/>
      <c r="AE173" s="326"/>
      <c r="AF173" s="326"/>
      <c r="AG173" s="326"/>
      <c r="AH173" s="326"/>
      <c r="AI173" s="326"/>
      <c r="AJ173" s="326"/>
      <c r="AK173" s="21"/>
      <c r="AL173" s="21"/>
      <c r="AM173" s="19"/>
      <c r="AN173" s="19"/>
    </row>
    <row r="174" spans="1:40">
      <c r="A174" s="19"/>
      <c r="B174" s="326"/>
      <c r="C174" s="326"/>
      <c r="D174" s="326"/>
      <c r="E174" s="579"/>
      <c r="F174" s="328"/>
      <c r="G174" s="328"/>
      <c r="H174" s="328"/>
      <c r="I174" s="580"/>
      <c r="J174" s="326"/>
      <c r="K174" s="342"/>
      <c r="L174" s="326"/>
      <c r="M174" s="338"/>
      <c r="N174" s="338"/>
      <c r="O174" s="338"/>
      <c r="P174" s="338"/>
      <c r="Q174" s="338"/>
      <c r="R174" s="338"/>
      <c r="S174" s="326"/>
      <c r="T174" s="326"/>
      <c r="U174" s="326"/>
      <c r="V174" s="326"/>
      <c r="W174" s="326"/>
      <c r="X174" s="326"/>
      <c r="Y174" s="326"/>
      <c r="Z174" s="326"/>
      <c r="AA174" s="326"/>
      <c r="AB174" s="326"/>
      <c r="AC174" s="326"/>
      <c r="AD174" s="326"/>
      <c r="AE174" s="326"/>
      <c r="AF174" s="326"/>
      <c r="AG174" s="326"/>
      <c r="AH174" s="326"/>
      <c r="AI174" s="326"/>
      <c r="AJ174" s="326"/>
      <c r="AK174" s="21"/>
      <c r="AL174" s="21"/>
      <c r="AM174" s="19"/>
      <c r="AN174" s="19"/>
    </row>
    <row r="175" spans="1:40">
      <c r="A175" s="19"/>
      <c r="B175" s="326"/>
      <c r="C175" s="326"/>
      <c r="D175" s="326"/>
      <c r="E175" s="579"/>
      <c r="F175" s="328"/>
      <c r="G175" s="328"/>
      <c r="H175" s="328"/>
      <c r="I175" s="580"/>
      <c r="J175" s="326"/>
      <c r="K175" s="342"/>
      <c r="L175" s="326"/>
      <c r="M175" s="338"/>
      <c r="N175" s="338"/>
      <c r="O175" s="338"/>
      <c r="P175" s="338"/>
      <c r="Q175" s="338"/>
      <c r="R175" s="338"/>
      <c r="S175" s="326"/>
      <c r="T175" s="326"/>
      <c r="U175" s="326"/>
      <c r="V175" s="326"/>
      <c r="W175" s="326"/>
      <c r="X175" s="326"/>
      <c r="Y175" s="326"/>
      <c r="Z175" s="326"/>
      <c r="AA175" s="326"/>
      <c r="AB175" s="326"/>
      <c r="AC175" s="326"/>
      <c r="AD175" s="326"/>
      <c r="AE175" s="326"/>
      <c r="AF175" s="326"/>
      <c r="AG175" s="326"/>
      <c r="AH175" s="326"/>
      <c r="AI175" s="326"/>
      <c r="AJ175" s="326"/>
      <c r="AK175" s="21"/>
      <c r="AL175" s="21"/>
      <c r="AM175" s="19"/>
      <c r="AN175" s="19"/>
    </row>
    <row r="176" spans="1:40">
      <c r="A176" s="19"/>
      <c r="B176" s="326"/>
      <c r="C176" s="326"/>
      <c r="D176" s="326"/>
      <c r="E176" s="579"/>
      <c r="F176" s="328"/>
      <c r="G176" s="328"/>
      <c r="H176" s="328"/>
      <c r="I176" s="580"/>
      <c r="J176" s="326"/>
      <c r="K176" s="342"/>
      <c r="L176" s="326"/>
      <c r="M176" s="338"/>
      <c r="N176" s="338"/>
      <c r="O176" s="338"/>
      <c r="P176" s="338"/>
      <c r="Q176" s="338"/>
      <c r="R176" s="338"/>
      <c r="S176" s="326"/>
      <c r="T176" s="326"/>
      <c r="U176" s="326"/>
      <c r="V176" s="326"/>
      <c r="W176" s="326"/>
      <c r="X176" s="326"/>
      <c r="Y176" s="326"/>
      <c r="Z176" s="326"/>
      <c r="AA176" s="326"/>
      <c r="AB176" s="326"/>
      <c r="AC176" s="326"/>
      <c r="AD176" s="326"/>
      <c r="AE176" s="326"/>
      <c r="AF176" s="326"/>
      <c r="AG176" s="326"/>
      <c r="AH176" s="326"/>
      <c r="AI176" s="326"/>
      <c r="AJ176" s="326"/>
      <c r="AK176" s="21"/>
      <c r="AL176" s="21"/>
      <c r="AM176" s="19"/>
      <c r="AN176" s="19"/>
    </row>
    <row r="177" spans="1:40">
      <c r="A177" s="19"/>
      <c r="B177" s="326"/>
      <c r="C177" s="326"/>
      <c r="D177" s="326"/>
      <c r="E177" s="579"/>
      <c r="F177" s="328"/>
      <c r="G177" s="328"/>
      <c r="H177" s="328"/>
      <c r="I177" s="580"/>
      <c r="J177" s="326"/>
      <c r="K177" s="342"/>
      <c r="L177" s="326"/>
      <c r="M177" s="338"/>
      <c r="N177" s="338"/>
      <c r="O177" s="338"/>
      <c r="P177" s="338"/>
      <c r="Q177" s="338"/>
      <c r="R177" s="338"/>
      <c r="S177" s="326"/>
      <c r="T177" s="326"/>
      <c r="U177" s="326"/>
      <c r="V177" s="326"/>
      <c r="W177" s="326"/>
      <c r="X177" s="326"/>
      <c r="Y177" s="326"/>
      <c r="Z177" s="326"/>
      <c r="AA177" s="326"/>
      <c r="AB177" s="326"/>
      <c r="AC177" s="326"/>
      <c r="AD177" s="326"/>
      <c r="AE177" s="326"/>
      <c r="AF177" s="326"/>
      <c r="AG177" s="326"/>
      <c r="AH177" s="326"/>
      <c r="AI177" s="326"/>
      <c r="AJ177" s="326"/>
      <c r="AK177" s="21"/>
      <c r="AL177" s="21"/>
      <c r="AM177" s="19"/>
      <c r="AN177" s="19"/>
    </row>
    <row r="178" spans="1:40">
      <c r="A178" s="19"/>
      <c r="B178" s="326"/>
      <c r="C178" s="326"/>
      <c r="D178" s="326"/>
      <c r="E178" s="579"/>
      <c r="F178" s="328"/>
      <c r="G178" s="328"/>
      <c r="H178" s="328"/>
      <c r="I178" s="580"/>
      <c r="J178" s="326"/>
      <c r="K178" s="342"/>
      <c r="L178" s="326"/>
      <c r="M178" s="338"/>
      <c r="N178" s="338"/>
      <c r="O178" s="338"/>
      <c r="P178" s="338"/>
      <c r="Q178" s="338"/>
      <c r="R178" s="338"/>
      <c r="S178" s="326"/>
      <c r="T178" s="326"/>
      <c r="U178" s="326"/>
      <c r="V178" s="326"/>
      <c r="W178" s="326"/>
      <c r="X178" s="326"/>
      <c r="Y178" s="326"/>
      <c r="Z178" s="326"/>
      <c r="AA178" s="326"/>
      <c r="AB178" s="326"/>
      <c r="AC178" s="326"/>
      <c r="AD178" s="326"/>
      <c r="AE178" s="326"/>
      <c r="AF178" s="326"/>
      <c r="AG178" s="326"/>
      <c r="AH178" s="326"/>
      <c r="AI178" s="326"/>
      <c r="AJ178" s="326"/>
      <c r="AK178" s="21"/>
      <c r="AL178" s="21"/>
      <c r="AM178" s="19"/>
      <c r="AN178" s="19"/>
    </row>
    <row r="179" spans="1:40">
      <c r="A179" s="19"/>
      <c r="B179" s="326"/>
      <c r="C179" s="326"/>
      <c r="D179" s="326"/>
      <c r="E179" s="579"/>
      <c r="F179" s="328"/>
      <c r="G179" s="328"/>
      <c r="H179" s="328"/>
      <c r="I179" s="580"/>
      <c r="J179" s="326"/>
      <c r="K179" s="342"/>
      <c r="L179" s="326"/>
      <c r="M179" s="338"/>
      <c r="N179" s="338"/>
      <c r="O179" s="338"/>
      <c r="P179" s="338"/>
      <c r="Q179" s="338"/>
      <c r="R179" s="338"/>
      <c r="S179" s="326"/>
      <c r="T179" s="326"/>
      <c r="U179" s="326"/>
      <c r="V179" s="326"/>
      <c r="W179" s="326"/>
      <c r="X179" s="326"/>
      <c r="Y179" s="326"/>
      <c r="Z179" s="326"/>
      <c r="AA179" s="326"/>
      <c r="AB179" s="326"/>
      <c r="AC179" s="326"/>
      <c r="AD179" s="326"/>
      <c r="AE179" s="326"/>
      <c r="AF179" s="326"/>
      <c r="AG179" s="326"/>
      <c r="AH179" s="326"/>
      <c r="AI179" s="326"/>
      <c r="AJ179" s="326"/>
      <c r="AK179" s="21"/>
      <c r="AL179" s="21"/>
      <c r="AM179" s="19"/>
      <c r="AN179" s="19"/>
    </row>
    <row r="180" spans="1:40">
      <c r="A180" s="19"/>
      <c r="B180" s="326"/>
      <c r="C180" s="326"/>
      <c r="D180" s="326"/>
      <c r="E180" s="579"/>
      <c r="F180" s="328"/>
      <c r="G180" s="328"/>
      <c r="H180" s="328"/>
      <c r="I180" s="580"/>
      <c r="J180" s="326"/>
      <c r="K180" s="342"/>
      <c r="L180" s="326"/>
      <c r="M180" s="338"/>
      <c r="N180" s="338"/>
      <c r="O180" s="338"/>
      <c r="P180" s="338"/>
      <c r="Q180" s="338"/>
      <c r="R180" s="338"/>
      <c r="S180" s="326"/>
      <c r="T180" s="326"/>
      <c r="U180" s="326"/>
      <c r="V180" s="326"/>
      <c r="W180" s="326"/>
      <c r="X180" s="326"/>
      <c r="Y180" s="326"/>
      <c r="Z180" s="326"/>
      <c r="AA180" s="326"/>
      <c r="AB180" s="326"/>
      <c r="AC180" s="326"/>
      <c r="AD180" s="326"/>
      <c r="AE180" s="326"/>
      <c r="AF180" s="326"/>
      <c r="AG180" s="326"/>
      <c r="AH180" s="326"/>
      <c r="AI180" s="326"/>
      <c r="AJ180" s="326"/>
      <c r="AK180" s="21"/>
      <c r="AL180" s="21"/>
      <c r="AM180" s="19"/>
      <c r="AN180" s="19"/>
    </row>
    <row r="181" spans="1:40">
      <c r="A181" s="19"/>
      <c r="B181" s="326"/>
      <c r="C181" s="326"/>
      <c r="D181" s="326"/>
      <c r="E181" s="579"/>
      <c r="F181" s="328"/>
      <c r="G181" s="328"/>
      <c r="H181" s="328"/>
      <c r="I181" s="580"/>
      <c r="J181" s="326"/>
      <c r="K181" s="342"/>
      <c r="L181" s="326"/>
      <c r="M181" s="338"/>
      <c r="N181" s="338"/>
      <c r="O181" s="338"/>
      <c r="P181" s="338"/>
      <c r="Q181" s="338"/>
      <c r="R181" s="338"/>
      <c r="S181" s="326"/>
      <c r="T181" s="326"/>
      <c r="U181" s="326"/>
      <c r="V181" s="326"/>
      <c r="W181" s="326"/>
      <c r="X181" s="326"/>
      <c r="Y181" s="326"/>
      <c r="Z181" s="326"/>
      <c r="AA181" s="326"/>
      <c r="AB181" s="326"/>
      <c r="AC181" s="326"/>
      <c r="AD181" s="326"/>
      <c r="AE181" s="326"/>
      <c r="AF181" s="326"/>
      <c r="AG181" s="326"/>
      <c r="AH181" s="326"/>
      <c r="AI181" s="326"/>
      <c r="AJ181" s="326"/>
      <c r="AK181" s="21"/>
      <c r="AL181" s="21"/>
      <c r="AM181" s="19"/>
      <c r="AN181" s="19"/>
    </row>
    <row r="182" spans="1:40">
      <c r="A182" s="19"/>
      <c r="B182" s="326"/>
      <c r="C182" s="326"/>
      <c r="D182" s="326"/>
      <c r="E182" s="579"/>
      <c r="F182" s="328"/>
      <c r="G182" s="328"/>
      <c r="H182" s="328"/>
      <c r="I182" s="580"/>
      <c r="J182" s="326"/>
      <c r="K182" s="342"/>
      <c r="L182" s="326"/>
      <c r="M182" s="338"/>
      <c r="N182" s="338"/>
      <c r="O182" s="338"/>
      <c r="P182" s="338"/>
      <c r="Q182" s="338"/>
      <c r="R182" s="338"/>
      <c r="S182" s="326"/>
      <c r="T182" s="326"/>
      <c r="U182" s="326"/>
      <c r="V182" s="326"/>
      <c r="W182" s="326"/>
      <c r="X182" s="326"/>
      <c r="Y182" s="326"/>
      <c r="Z182" s="326"/>
      <c r="AA182" s="326"/>
      <c r="AB182" s="326"/>
      <c r="AC182" s="326"/>
      <c r="AD182" s="326"/>
      <c r="AE182" s="326"/>
      <c r="AF182" s="326"/>
      <c r="AG182" s="326"/>
      <c r="AH182" s="326"/>
      <c r="AI182" s="326"/>
      <c r="AJ182" s="326"/>
      <c r="AK182" s="21"/>
      <c r="AL182" s="21"/>
      <c r="AM182" s="19"/>
      <c r="AN182" s="19"/>
    </row>
    <row r="183" spans="1:40">
      <c r="A183" s="19"/>
      <c r="B183" s="326"/>
      <c r="C183" s="326"/>
      <c r="D183" s="326"/>
      <c r="E183" s="579"/>
      <c r="F183" s="328"/>
      <c r="G183" s="328"/>
      <c r="H183" s="328"/>
      <c r="I183" s="580"/>
      <c r="J183" s="326"/>
      <c r="K183" s="342"/>
      <c r="L183" s="326"/>
      <c r="M183" s="338"/>
      <c r="N183" s="338"/>
      <c r="O183" s="338"/>
      <c r="P183" s="338"/>
      <c r="Q183" s="338"/>
      <c r="R183" s="338"/>
      <c r="S183" s="326"/>
      <c r="T183" s="326"/>
      <c r="U183" s="326"/>
      <c r="V183" s="326"/>
      <c r="W183" s="326"/>
      <c r="X183" s="326"/>
      <c r="Y183" s="326"/>
      <c r="Z183" s="326"/>
      <c r="AA183" s="326"/>
      <c r="AB183" s="326"/>
      <c r="AC183" s="326"/>
      <c r="AD183" s="326"/>
      <c r="AE183" s="326"/>
      <c r="AF183" s="326"/>
      <c r="AG183" s="326"/>
      <c r="AH183" s="326"/>
      <c r="AI183" s="326"/>
      <c r="AJ183" s="326"/>
      <c r="AK183" s="21"/>
      <c r="AL183" s="21"/>
      <c r="AM183" s="19"/>
      <c r="AN183" s="19"/>
    </row>
    <row r="184" spans="1:40">
      <c r="A184" s="19"/>
      <c r="B184" s="326"/>
      <c r="C184" s="326"/>
      <c r="D184" s="326"/>
      <c r="E184" s="579"/>
      <c r="F184" s="328"/>
      <c r="G184" s="328"/>
      <c r="H184" s="328"/>
      <c r="I184" s="580"/>
      <c r="J184" s="326"/>
      <c r="K184" s="342"/>
      <c r="L184" s="326"/>
      <c r="M184" s="338"/>
      <c r="N184" s="338"/>
      <c r="O184" s="338"/>
      <c r="P184" s="338"/>
      <c r="Q184" s="338"/>
      <c r="R184" s="338"/>
      <c r="S184" s="326"/>
      <c r="T184" s="326"/>
      <c r="U184" s="326"/>
      <c r="V184" s="326"/>
      <c r="W184" s="326"/>
      <c r="X184" s="326"/>
      <c r="Y184" s="326"/>
      <c r="Z184" s="326"/>
      <c r="AA184" s="326"/>
      <c r="AB184" s="326"/>
      <c r="AC184" s="326"/>
      <c r="AD184" s="326"/>
      <c r="AE184" s="326"/>
      <c r="AF184" s="326"/>
      <c r="AG184" s="326"/>
      <c r="AH184" s="326"/>
      <c r="AI184" s="326"/>
      <c r="AJ184" s="326"/>
      <c r="AK184" s="21"/>
      <c r="AL184" s="21"/>
      <c r="AM184" s="19"/>
      <c r="AN184" s="19"/>
    </row>
    <row r="185" spans="1:40">
      <c r="A185" s="19"/>
      <c r="B185" s="326"/>
      <c r="C185" s="326"/>
      <c r="D185" s="326"/>
      <c r="E185" s="579"/>
      <c r="F185" s="328"/>
      <c r="G185" s="328"/>
      <c r="H185" s="328"/>
      <c r="I185" s="580"/>
      <c r="J185" s="326"/>
      <c r="K185" s="342"/>
      <c r="L185" s="326"/>
      <c r="M185" s="338"/>
      <c r="N185" s="338"/>
      <c r="O185" s="338"/>
      <c r="P185" s="338"/>
      <c r="Q185" s="338"/>
      <c r="R185" s="338"/>
      <c r="S185" s="326"/>
      <c r="T185" s="326"/>
      <c r="U185" s="326"/>
      <c r="V185" s="326"/>
      <c r="W185" s="326"/>
      <c r="X185" s="326"/>
      <c r="Y185" s="326"/>
      <c r="Z185" s="326"/>
      <c r="AA185" s="326"/>
      <c r="AB185" s="326"/>
      <c r="AC185" s="326"/>
      <c r="AD185" s="326"/>
      <c r="AE185" s="326"/>
      <c r="AF185" s="326"/>
      <c r="AG185" s="326"/>
      <c r="AH185" s="326"/>
      <c r="AI185" s="326"/>
      <c r="AJ185" s="326"/>
      <c r="AK185" s="21"/>
      <c r="AL185" s="21"/>
      <c r="AM185" s="19"/>
      <c r="AN185" s="19"/>
    </row>
    <row r="186" spans="1:40">
      <c r="A186" s="19"/>
      <c r="B186" s="326"/>
      <c r="C186" s="326"/>
      <c r="D186" s="326"/>
      <c r="E186" s="579"/>
      <c r="F186" s="328"/>
      <c r="G186" s="328"/>
      <c r="H186" s="328"/>
      <c r="I186" s="580"/>
      <c r="J186" s="326"/>
      <c r="K186" s="342"/>
      <c r="L186" s="326"/>
      <c r="M186" s="338"/>
      <c r="N186" s="338"/>
      <c r="O186" s="338"/>
      <c r="P186" s="338"/>
      <c r="Q186" s="338"/>
      <c r="R186" s="338"/>
      <c r="S186" s="326"/>
      <c r="T186" s="326"/>
      <c r="U186" s="326"/>
      <c r="V186" s="326"/>
      <c r="W186" s="326"/>
      <c r="X186" s="326"/>
      <c r="Y186" s="326"/>
      <c r="Z186" s="326"/>
      <c r="AA186" s="326"/>
      <c r="AB186" s="326"/>
      <c r="AC186" s="326"/>
      <c r="AD186" s="326"/>
      <c r="AE186" s="326"/>
      <c r="AF186" s="326"/>
      <c r="AG186" s="326"/>
      <c r="AH186" s="326"/>
      <c r="AI186" s="326"/>
      <c r="AJ186" s="326"/>
      <c r="AK186" s="21"/>
      <c r="AL186" s="21"/>
      <c r="AM186" s="19"/>
      <c r="AN186" s="19"/>
    </row>
    <row r="187" spans="1:40">
      <c r="A187" s="19"/>
      <c r="B187" s="326"/>
      <c r="C187" s="326"/>
      <c r="D187" s="326"/>
      <c r="E187" s="579"/>
      <c r="F187" s="328"/>
      <c r="G187" s="328"/>
      <c r="H187" s="328"/>
      <c r="I187" s="580"/>
      <c r="J187" s="326"/>
      <c r="K187" s="342"/>
      <c r="L187" s="326"/>
      <c r="M187" s="338"/>
      <c r="N187" s="338"/>
      <c r="O187" s="338"/>
      <c r="P187" s="338"/>
      <c r="Q187" s="338"/>
      <c r="R187" s="338"/>
      <c r="S187" s="326"/>
      <c r="T187" s="326"/>
      <c r="U187" s="326"/>
      <c r="V187" s="326"/>
      <c r="W187" s="326"/>
      <c r="X187" s="326"/>
      <c r="Y187" s="326"/>
      <c r="Z187" s="326"/>
      <c r="AA187" s="326"/>
      <c r="AB187" s="326"/>
      <c r="AC187" s="326"/>
      <c r="AD187" s="326"/>
      <c r="AE187" s="326"/>
      <c r="AF187" s="326"/>
      <c r="AG187" s="326"/>
      <c r="AH187" s="326"/>
      <c r="AI187" s="326"/>
      <c r="AJ187" s="326"/>
      <c r="AK187" s="21"/>
      <c r="AL187" s="21"/>
      <c r="AM187" s="19"/>
      <c r="AN187" s="19"/>
    </row>
    <row r="188" spans="1:40">
      <c r="A188" s="19"/>
      <c r="B188" s="326"/>
      <c r="C188" s="326"/>
      <c r="D188" s="326"/>
      <c r="E188" s="579"/>
      <c r="F188" s="328"/>
      <c r="G188" s="328"/>
      <c r="H188" s="328"/>
      <c r="I188" s="580"/>
      <c r="J188" s="326"/>
      <c r="K188" s="342"/>
      <c r="L188" s="326"/>
      <c r="M188" s="338"/>
      <c r="N188" s="338"/>
      <c r="O188" s="338"/>
      <c r="P188" s="338"/>
      <c r="Q188" s="338"/>
      <c r="R188" s="338"/>
      <c r="S188" s="326"/>
      <c r="T188" s="326"/>
      <c r="U188" s="326"/>
      <c r="V188" s="326"/>
      <c r="W188" s="326"/>
      <c r="X188" s="326"/>
      <c r="Y188" s="326"/>
      <c r="Z188" s="326"/>
      <c r="AA188" s="326"/>
      <c r="AB188" s="326"/>
      <c r="AC188" s="326"/>
      <c r="AD188" s="326"/>
      <c r="AE188" s="326"/>
      <c r="AF188" s="326"/>
      <c r="AG188" s="326"/>
      <c r="AH188" s="326"/>
      <c r="AI188" s="326"/>
      <c r="AJ188" s="326"/>
      <c r="AK188" s="21"/>
      <c r="AL188" s="21"/>
      <c r="AM188" s="19"/>
      <c r="AN188" s="19"/>
    </row>
    <row r="189" spans="1:40">
      <c r="A189" s="19"/>
      <c r="B189" s="326"/>
      <c r="C189" s="326"/>
      <c r="D189" s="326"/>
      <c r="E189" s="579"/>
      <c r="F189" s="328"/>
      <c r="G189" s="328"/>
      <c r="H189" s="328"/>
      <c r="I189" s="580"/>
      <c r="J189" s="326"/>
      <c r="K189" s="342"/>
      <c r="L189" s="326"/>
      <c r="M189" s="338"/>
      <c r="N189" s="338"/>
      <c r="O189" s="338"/>
      <c r="P189" s="338"/>
      <c r="Q189" s="338"/>
      <c r="R189" s="338"/>
      <c r="S189" s="326"/>
      <c r="T189" s="326"/>
      <c r="U189" s="326"/>
      <c r="V189" s="326"/>
      <c r="W189" s="326"/>
      <c r="X189" s="326"/>
      <c r="Y189" s="326"/>
      <c r="Z189" s="326"/>
      <c r="AA189" s="326"/>
      <c r="AB189" s="326"/>
      <c r="AC189" s="326"/>
      <c r="AD189" s="326"/>
      <c r="AE189" s="326"/>
      <c r="AF189" s="326"/>
      <c r="AG189" s="326"/>
      <c r="AH189" s="326"/>
      <c r="AI189" s="326"/>
      <c r="AJ189" s="326"/>
      <c r="AK189" s="21"/>
      <c r="AL189" s="21"/>
      <c r="AM189" s="19"/>
      <c r="AN189" s="19"/>
    </row>
    <row r="190" spans="1:40">
      <c r="A190" s="19"/>
      <c r="B190" s="326"/>
      <c r="C190" s="326"/>
      <c r="D190" s="326"/>
      <c r="E190" s="579"/>
      <c r="F190" s="328"/>
      <c r="G190" s="328"/>
      <c r="H190" s="328"/>
      <c r="I190" s="580"/>
      <c r="J190" s="326"/>
      <c r="K190" s="342"/>
      <c r="L190" s="326"/>
      <c r="M190" s="338"/>
      <c r="N190" s="338"/>
      <c r="O190" s="338"/>
      <c r="P190" s="338"/>
      <c r="Q190" s="338"/>
      <c r="R190" s="338"/>
      <c r="S190" s="326"/>
      <c r="T190" s="326"/>
      <c r="U190" s="326"/>
      <c r="V190" s="326"/>
      <c r="W190" s="326"/>
      <c r="X190" s="326"/>
      <c r="Y190" s="326"/>
      <c r="Z190" s="326"/>
      <c r="AA190" s="326"/>
      <c r="AB190" s="326"/>
      <c r="AC190" s="326"/>
      <c r="AD190" s="326"/>
      <c r="AE190" s="326"/>
      <c r="AF190" s="326"/>
      <c r="AG190" s="326"/>
      <c r="AH190" s="326"/>
      <c r="AI190" s="326"/>
      <c r="AJ190" s="326"/>
      <c r="AK190" s="21"/>
      <c r="AL190" s="21"/>
      <c r="AM190" s="19"/>
      <c r="AN190" s="19"/>
    </row>
    <row r="191" spans="1:40">
      <c r="A191" s="19"/>
      <c r="B191" s="326"/>
      <c r="C191" s="326"/>
      <c r="D191" s="326"/>
      <c r="E191" s="579"/>
      <c r="F191" s="328"/>
      <c r="G191" s="328"/>
      <c r="H191" s="328"/>
      <c r="I191" s="580"/>
      <c r="J191" s="326"/>
      <c r="K191" s="342"/>
      <c r="L191" s="326"/>
      <c r="M191" s="338"/>
      <c r="N191" s="338"/>
      <c r="O191" s="338"/>
      <c r="P191" s="338"/>
      <c r="Q191" s="338"/>
      <c r="R191" s="338"/>
      <c r="S191" s="326"/>
      <c r="T191" s="326"/>
      <c r="U191" s="326"/>
      <c r="V191" s="326"/>
      <c r="W191" s="326"/>
      <c r="X191" s="326"/>
      <c r="Y191" s="326"/>
      <c r="Z191" s="326"/>
      <c r="AA191" s="326"/>
      <c r="AB191" s="326"/>
      <c r="AC191" s="326"/>
      <c r="AD191" s="326"/>
      <c r="AE191" s="326"/>
      <c r="AF191" s="326"/>
      <c r="AG191" s="326"/>
      <c r="AH191" s="326"/>
      <c r="AI191" s="326"/>
      <c r="AJ191" s="326"/>
      <c r="AK191" s="21"/>
      <c r="AL191" s="21"/>
      <c r="AM191" s="19"/>
      <c r="AN191" s="19"/>
    </row>
    <row r="192" spans="1:40">
      <c r="A192" s="19"/>
      <c r="B192" s="326"/>
      <c r="C192" s="326"/>
      <c r="D192" s="326"/>
      <c r="E192" s="579"/>
      <c r="F192" s="328"/>
      <c r="G192" s="328"/>
      <c r="H192" s="328"/>
      <c r="I192" s="580"/>
      <c r="J192" s="326"/>
      <c r="K192" s="342"/>
      <c r="L192" s="326"/>
      <c r="M192" s="338"/>
      <c r="N192" s="338"/>
      <c r="O192" s="338"/>
      <c r="P192" s="338"/>
      <c r="Q192" s="338"/>
      <c r="R192" s="338"/>
      <c r="S192" s="326"/>
      <c r="T192" s="326"/>
      <c r="U192" s="326"/>
      <c r="V192" s="326"/>
      <c r="W192" s="326"/>
      <c r="X192" s="326"/>
      <c r="Y192" s="326"/>
      <c r="Z192" s="326"/>
      <c r="AA192" s="326"/>
      <c r="AB192" s="326"/>
      <c r="AC192" s="326"/>
      <c r="AD192" s="326"/>
      <c r="AE192" s="326"/>
      <c r="AF192" s="326"/>
      <c r="AG192" s="326"/>
      <c r="AH192" s="326"/>
      <c r="AI192" s="326"/>
      <c r="AJ192" s="326"/>
      <c r="AK192" s="21"/>
      <c r="AL192" s="21"/>
      <c r="AM192" s="19"/>
      <c r="AN192" s="19"/>
    </row>
    <row r="193" spans="1:40">
      <c r="A193" s="19"/>
      <c r="B193" s="326"/>
      <c r="C193" s="326"/>
      <c r="D193" s="326"/>
      <c r="E193" s="579"/>
      <c r="F193" s="328"/>
      <c r="G193" s="328"/>
      <c r="H193" s="328"/>
      <c r="I193" s="580"/>
      <c r="J193" s="326"/>
      <c r="K193" s="342"/>
      <c r="L193" s="326"/>
      <c r="M193" s="338"/>
      <c r="N193" s="338"/>
      <c r="O193" s="338"/>
      <c r="P193" s="338"/>
      <c r="Q193" s="338"/>
      <c r="R193" s="338"/>
      <c r="S193" s="326"/>
      <c r="T193" s="326"/>
      <c r="U193" s="326"/>
      <c r="V193" s="326"/>
      <c r="W193" s="326"/>
      <c r="X193" s="326"/>
      <c r="Y193" s="326"/>
      <c r="Z193" s="326"/>
      <c r="AA193" s="326"/>
      <c r="AB193" s="326"/>
      <c r="AC193" s="326"/>
      <c r="AD193" s="326"/>
      <c r="AE193" s="326"/>
      <c r="AF193" s="326"/>
      <c r="AG193" s="326"/>
      <c r="AH193" s="326"/>
      <c r="AI193" s="326"/>
      <c r="AJ193" s="326"/>
      <c r="AK193" s="21"/>
      <c r="AL193" s="21"/>
      <c r="AM193" s="19"/>
      <c r="AN193" s="19"/>
    </row>
    <row r="194" spans="1:40">
      <c r="A194" s="19"/>
      <c r="B194" s="326"/>
      <c r="C194" s="326"/>
      <c r="D194" s="326"/>
      <c r="E194" s="579"/>
      <c r="F194" s="328"/>
      <c r="G194" s="328"/>
      <c r="H194" s="328"/>
      <c r="I194" s="580"/>
      <c r="J194" s="326"/>
      <c r="K194" s="342"/>
      <c r="L194" s="326"/>
      <c r="M194" s="338"/>
      <c r="N194" s="338"/>
      <c r="O194" s="338"/>
      <c r="P194" s="338"/>
      <c r="Q194" s="338"/>
      <c r="R194" s="338"/>
      <c r="S194" s="326"/>
      <c r="T194" s="326"/>
      <c r="U194" s="326"/>
      <c r="V194" s="326"/>
      <c r="W194" s="326"/>
      <c r="X194" s="326"/>
      <c r="Y194" s="326"/>
      <c r="Z194" s="326"/>
      <c r="AA194" s="326"/>
      <c r="AB194" s="326"/>
      <c r="AC194" s="326"/>
      <c r="AD194" s="326"/>
      <c r="AE194" s="326"/>
      <c r="AF194" s="326"/>
      <c r="AG194" s="326"/>
      <c r="AH194" s="326"/>
      <c r="AI194" s="326"/>
      <c r="AJ194" s="326"/>
      <c r="AK194" s="21"/>
      <c r="AL194" s="21"/>
      <c r="AM194" s="19"/>
      <c r="AN194" s="19"/>
    </row>
    <row r="195" spans="1:40">
      <c r="A195" s="19"/>
      <c r="B195" s="326"/>
      <c r="C195" s="326"/>
      <c r="D195" s="326"/>
      <c r="E195" s="579"/>
      <c r="F195" s="328"/>
      <c r="G195" s="328"/>
      <c r="H195" s="328"/>
      <c r="I195" s="580"/>
      <c r="J195" s="326"/>
      <c r="K195" s="342"/>
      <c r="L195" s="326"/>
      <c r="M195" s="338"/>
      <c r="N195" s="338"/>
      <c r="O195" s="338"/>
      <c r="P195" s="338"/>
      <c r="Q195" s="338"/>
      <c r="R195" s="338"/>
      <c r="S195" s="326"/>
      <c r="T195" s="326"/>
      <c r="U195" s="326"/>
      <c r="V195" s="326"/>
      <c r="W195" s="326"/>
      <c r="X195" s="326"/>
      <c r="Y195" s="326"/>
      <c r="Z195" s="326"/>
      <c r="AA195" s="326"/>
      <c r="AB195" s="326"/>
      <c r="AC195" s="326"/>
      <c r="AD195" s="326"/>
      <c r="AE195" s="326"/>
      <c r="AF195" s="326"/>
      <c r="AG195" s="326"/>
      <c r="AH195" s="326"/>
      <c r="AI195" s="326"/>
      <c r="AJ195" s="326"/>
      <c r="AK195" s="21"/>
      <c r="AL195" s="21"/>
      <c r="AM195" s="19"/>
      <c r="AN195" s="19"/>
    </row>
    <row r="196" spans="1:40">
      <c r="A196" s="19"/>
      <c r="B196" s="326"/>
      <c r="C196" s="326"/>
      <c r="D196" s="326"/>
      <c r="E196" s="579"/>
      <c r="F196" s="328"/>
      <c r="G196" s="328"/>
      <c r="H196" s="328"/>
      <c r="I196" s="580"/>
      <c r="J196" s="326"/>
      <c r="K196" s="342"/>
      <c r="L196" s="326"/>
      <c r="M196" s="338"/>
      <c r="N196" s="338"/>
      <c r="O196" s="338"/>
      <c r="P196" s="338"/>
      <c r="Q196" s="338"/>
      <c r="R196" s="338"/>
      <c r="S196" s="326"/>
      <c r="T196" s="326"/>
      <c r="U196" s="326"/>
      <c r="V196" s="326"/>
      <c r="W196" s="326"/>
      <c r="X196" s="326"/>
      <c r="Y196" s="326"/>
      <c r="Z196" s="326"/>
      <c r="AA196" s="326"/>
      <c r="AB196" s="326"/>
      <c r="AC196" s="326"/>
      <c r="AD196" s="326"/>
      <c r="AE196" s="326"/>
      <c r="AF196" s="326"/>
      <c r="AG196" s="326"/>
      <c r="AH196" s="326"/>
      <c r="AI196" s="326"/>
      <c r="AJ196" s="326"/>
      <c r="AK196" s="21"/>
      <c r="AL196" s="21"/>
      <c r="AM196" s="19"/>
      <c r="AN196" s="19"/>
    </row>
    <row r="197" spans="1:40">
      <c r="A197" s="19"/>
      <c r="B197" s="326"/>
      <c r="C197" s="326"/>
      <c r="D197" s="326"/>
      <c r="E197" s="579"/>
      <c r="F197" s="328"/>
      <c r="G197" s="328"/>
      <c r="H197" s="328"/>
      <c r="I197" s="580"/>
      <c r="J197" s="326"/>
      <c r="K197" s="342"/>
      <c r="L197" s="326"/>
      <c r="M197" s="338"/>
      <c r="N197" s="338"/>
      <c r="O197" s="338"/>
      <c r="P197" s="338"/>
      <c r="Q197" s="338"/>
      <c r="R197" s="338"/>
      <c r="S197" s="326"/>
      <c r="T197" s="326"/>
      <c r="U197" s="326"/>
      <c r="V197" s="326"/>
      <c r="W197" s="326"/>
      <c r="X197" s="326"/>
      <c r="Y197" s="326"/>
      <c r="Z197" s="326"/>
      <c r="AA197" s="326"/>
      <c r="AB197" s="326"/>
      <c r="AC197" s="326"/>
      <c r="AD197" s="326"/>
      <c r="AE197" s="326"/>
      <c r="AF197" s="326"/>
      <c r="AG197" s="326"/>
      <c r="AH197" s="326"/>
      <c r="AI197" s="326"/>
      <c r="AJ197" s="326"/>
      <c r="AK197" s="21"/>
      <c r="AL197" s="21"/>
      <c r="AM197" s="19"/>
      <c r="AN197" s="19"/>
    </row>
    <row r="198" spans="1:40">
      <c r="A198" s="19"/>
      <c r="B198" s="326"/>
      <c r="C198" s="326"/>
      <c r="D198" s="326"/>
      <c r="E198" s="579"/>
      <c r="F198" s="328"/>
      <c r="G198" s="328"/>
      <c r="H198" s="328"/>
      <c r="I198" s="580"/>
      <c r="J198" s="326"/>
      <c r="K198" s="342"/>
      <c r="L198" s="326"/>
      <c r="M198" s="338"/>
      <c r="N198" s="338"/>
      <c r="O198" s="338"/>
      <c r="P198" s="338"/>
      <c r="Q198" s="338"/>
      <c r="R198" s="338"/>
      <c r="S198" s="326"/>
      <c r="T198" s="326"/>
      <c r="U198" s="326"/>
      <c r="V198" s="326"/>
      <c r="W198" s="326"/>
      <c r="X198" s="326"/>
      <c r="Y198" s="326"/>
      <c r="Z198" s="326"/>
      <c r="AA198" s="326"/>
      <c r="AB198" s="326"/>
      <c r="AC198" s="326"/>
      <c r="AD198" s="326"/>
      <c r="AE198" s="326"/>
      <c r="AF198" s="326"/>
      <c r="AG198" s="326"/>
      <c r="AH198" s="326"/>
      <c r="AI198" s="326"/>
      <c r="AJ198" s="326"/>
      <c r="AK198" s="21"/>
      <c r="AL198" s="21"/>
      <c r="AM198" s="19"/>
      <c r="AN198" s="19"/>
    </row>
    <row r="199" spans="1:40">
      <c r="A199" s="19"/>
      <c r="B199" s="326"/>
      <c r="C199" s="326"/>
      <c r="D199" s="326"/>
      <c r="E199" s="579"/>
      <c r="F199" s="328"/>
      <c r="G199" s="328"/>
      <c r="H199" s="328"/>
      <c r="I199" s="580"/>
      <c r="J199" s="326"/>
      <c r="K199" s="342"/>
      <c r="L199" s="326"/>
      <c r="M199" s="338"/>
      <c r="N199" s="338"/>
      <c r="O199" s="338"/>
      <c r="P199" s="338"/>
      <c r="Q199" s="338"/>
      <c r="R199" s="338"/>
      <c r="S199" s="326"/>
      <c r="T199" s="326"/>
      <c r="U199" s="326"/>
      <c r="V199" s="326"/>
      <c r="W199" s="326"/>
      <c r="X199" s="326"/>
      <c r="Y199" s="326"/>
      <c r="Z199" s="326"/>
      <c r="AA199" s="326"/>
      <c r="AB199" s="326"/>
      <c r="AC199" s="326"/>
      <c r="AD199" s="326"/>
      <c r="AE199" s="326"/>
      <c r="AF199" s="326"/>
      <c r="AG199" s="326"/>
      <c r="AH199" s="326"/>
      <c r="AI199" s="326"/>
      <c r="AJ199" s="326"/>
      <c r="AK199" s="21"/>
      <c r="AL199" s="21"/>
      <c r="AM199" s="19"/>
      <c r="AN199" s="19"/>
    </row>
    <row r="200" spans="1:40">
      <c r="A200" s="19"/>
      <c r="B200" s="326"/>
      <c r="C200" s="326"/>
      <c r="D200" s="326"/>
      <c r="E200" s="579"/>
      <c r="F200" s="328"/>
      <c r="G200" s="328"/>
      <c r="H200" s="328"/>
      <c r="I200" s="580"/>
      <c r="J200" s="326"/>
      <c r="K200" s="342"/>
      <c r="L200" s="326"/>
      <c r="M200" s="338"/>
      <c r="N200" s="338"/>
      <c r="O200" s="338"/>
      <c r="P200" s="338"/>
      <c r="Q200" s="338"/>
      <c r="R200" s="338"/>
      <c r="S200" s="326"/>
      <c r="T200" s="326"/>
      <c r="U200" s="326"/>
      <c r="V200" s="326"/>
      <c r="W200" s="326"/>
      <c r="X200" s="326"/>
      <c r="Y200" s="326"/>
      <c r="Z200" s="326"/>
      <c r="AA200" s="326"/>
      <c r="AB200" s="326"/>
      <c r="AC200" s="326"/>
      <c r="AD200" s="326"/>
      <c r="AE200" s="326"/>
      <c r="AF200" s="326"/>
      <c r="AG200" s="326"/>
      <c r="AH200" s="326"/>
      <c r="AI200" s="326"/>
      <c r="AJ200" s="326"/>
      <c r="AK200" s="21"/>
      <c r="AL200" s="21"/>
      <c r="AM200" s="19"/>
      <c r="AN200" s="19"/>
    </row>
    <row r="201" spans="1:40">
      <c r="A201" s="19"/>
      <c r="B201" s="326"/>
      <c r="C201" s="326"/>
      <c r="D201" s="326"/>
      <c r="E201" s="579"/>
      <c r="F201" s="328"/>
      <c r="G201" s="328"/>
      <c r="H201" s="328"/>
      <c r="I201" s="580"/>
      <c r="J201" s="326"/>
      <c r="K201" s="342"/>
      <c r="L201" s="326"/>
      <c r="M201" s="338"/>
      <c r="N201" s="338"/>
      <c r="O201" s="338"/>
      <c r="P201" s="338"/>
      <c r="Q201" s="338"/>
      <c r="R201" s="338"/>
      <c r="S201" s="326"/>
      <c r="T201" s="326"/>
      <c r="U201" s="326"/>
      <c r="V201" s="326"/>
      <c r="W201" s="326"/>
      <c r="X201" s="326"/>
      <c r="Y201" s="326"/>
      <c r="Z201" s="326"/>
      <c r="AA201" s="326"/>
      <c r="AB201" s="326"/>
      <c r="AC201" s="326"/>
      <c r="AD201" s="326"/>
      <c r="AE201" s="326"/>
      <c r="AF201" s="326"/>
      <c r="AG201" s="326"/>
      <c r="AH201" s="326"/>
      <c r="AI201" s="326"/>
      <c r="AJ201" s="326"/>
      <c r="AK201" s="21"/>
      <c r="AL201" s="21"/>
      <c r="AM201" s="19"/>
      <c r="AN201" s="19"/>
    </row>
    <row r="202" spans="1:40">
      <c r="A202" s="19"/>
      <c r="B202" s="326"/>
      <c r="C202" s="326"/>
      <c r="D202" s="326"/>
      <c r="E202" s="579"/>
      <c r="F202" s="328"/>
      <c r="G202" s="328"/>
      <c r="H202" s="328"/>
      <c r="I202" s="580"/>
      <c r="J202" s="326"/>
      <c r="K202" s="342"/>
      <c r="L202" s="326"/>
      <c r="M202" s="338"/>
      <c r="N202" s="338"/>
      <c r="O202" s="338"/>
      <c r="P202" s="338"/>
      <c r="Q202" s="338"/>
      <c r="R202" s="338"/>
      <c r="S202" s="326"/>
      <c r="T202" s="326"/>
      <c r="U202" s="326"/>
      <c r="V202" s="326"/>
      <c r="W202" s="326"/>
      <c r="X202" s="326"/>
      <c r="Y202" s="326"/>
      <c r="Z202" s="326"/>
      <c r="AA202" s="326"/>
      <c r="AB202" s="326"/>
      <c r="AC202" s="326"/>
      <c r="AD202" s="326"/>
      <c r="AE202" s="326"/>
      <c r="AF202" s="326"/>
      <c r="AG202" s="326"/>
      <c r="AH202" s="326"/>
      <c r="AI202" s="326"/>
      <c r="AJ202" s="326"/>
      <c r="AK202" s="21"/>
      <c r="AL202" s="21"/>
      <c r="AM202" s="19"/>
      <c r="AN202" s="19"/>
    </row>
    <row r="203" spans="1:40">
      <c r="A203" s="19"/>
      <c r="B203" s="326"/>
      <c r="C203" s="326"/>
      <c r="D203" s="326"/>
      <c r="E203" s="579"/>
      <c r="F203" s="328"/>
      <c r="G203" s="328"/>
      <c r="H203" s="328"/>
      <c r="I203" s="580"/>
      <c r="J203" s="326"/>
      <c r="K203" s="342"/>
      <c r="L203" s="326"/>
      <c r="M203" s="338"/>
      <c r="N203" s="338"/>
      <c r="O203" s="338"/>
      <c r="P203" s="338"/>
      <c r="Q203" s="338"/>
      <c r="R203" s="338"/>
      <c r="S203" s="326"/>
      <c r="T203" s="326"/>
      <c r="U203" s="326"/>
      <c r="V203" s="326"/>
      <c r="W203" s="326"/>
      <c r="X203" s="326"/>
      <c r="Y203" s="326"/>
      <c r="Z203" s="326"/>
      <c r="AA203" s="326"/>
      <c r="AB203" s="326"/>
      <c r="AC203" s="326"/>
      <c r="AD203" s="326"/>
      <c r="AE203" s="326"/>
      <c r="AF203" s="326"/>
      <c r="AG203" s="326"/>
      <c r="AH203" s="326"/>
      <c r="AI203" s="326"/>
      <c r="AJ203" s="326"/>
      <c r="AK203" s="21"/>
      <c r="AL203" s="21"/>
      <c r="AM203" s="19"/>
      <c r="AN203" s="19"/>
    </row>
    <row r="204" spans="1:40">
      <c r="A204" s="19"/>
      <c r="B204" s="326"/>
      <c r="C204" s="326"/>
      <c r="D204" s="326"/>
      <c r="E204" s="579"/>
      <c r="F204" s="328"/>
      <c r="G204" s="328"/>
      <c r="H204" s="328"/>
      <c r="I204" s="580"/>
      <c r="J204" s="326"/>
      <c r="K204" s="342"/>
      <c r="L204" s="326"/>
      <c r="M204" s="338"/>
      <c r="N204" s="338"/>
      <c r="O204" s="338"/>
      <c r="P204" s="338"/>
      <c r="Q204" s="338"/>
      <c r="R204" s="338"/>
      <c r="S204" s="326"/>
      <c r="T204" s="326"/>
      <c r="U204" s="326"/>
      <c r="V204" s="326"/>
      <c r="W204" s="326"/>
      <c r="X204" s="326"/>
      <c r="Y204" s="326"/>
      <c r="Z204" s="326"/>
      <c r="AA204" s="326"/>
      <c r="AB204" s="326"/>
      <c r="AC204" s="326"/>
      <c r="AD204" s="326"/>
      <c r="AE204" s="326"/>
      <c r="AF204" s="326"/>
      <c r="AG204" s="326"/>
      <c r="AH204" s="326"/>
      <c r="AI204" s="326"/>
      <c r="AJ204" s="326"/>
      <c r="AK204" s="21"/>
      <c r="AL204" s="21"/>
      <c r="AM204" s="19"/>
      <c r="AN204" s="19"/>
    </row>
    <row r="205" spans="1:40">
      <c r="A205" s="19"/>
      <c r="B205" s="326"/>
      <c r="C205" s="326"/>
      <c r="D205" s="326"/>
      <c r="E205" s="579"/>
      <c r="F205" s="328"/>
      <c r="G205" s="328"/>
      <c r="H205" s="328"/>
      <c r="I205" s="580"/>
      <c r="J205" s="326"/>
      <c r="K205" s="342"/>
      <c r="L205" s="326"/>
      <c r="M205" s="338"/>
      <c r="N205" s="338"/>
      <c r="O205" s="338"/>
      <c r="P205" s="338"/>
      <c r="Q205" s="338"/>
      <c r="R205" s="338"/>
      <c r="S205" s="326"/>
      <c r="T205" s="326"/>
      <c r="U205" s="326"/>
      <c r="V205" s="326"/>
      <c r="W205" s="326"/>
      <c r="X205" s="326"/>
      <c r="Y205" s="326"/>
      <c r="Z205" s="326"/>
      <c r="AA205" s="326"/>
      <c r="AB205" s="326"/>
      <c r="AC205" s="326"/>
      <c r="AD205" s="326"/>
      <c r="AE205" s="326"/>
      <c r="AF205" s="326"/>
      <c r="AG205" s="326"/>
      <c r="AH205" s="326"/>
      <c r="AI205" s="326"/>
      <c r="AJ205" s="326"/>
      <c r="AK205" s="21"/>
      <c r="AL205" s="21"/>
      <c r="AM205" s="19"/>
      <c r="AN205" s="19"/>
    </row>
    <row r="206" spans="1:40">
      <c r="A206" s="19"/>
      <c r="B206" s="326"/>
      <c r="C206" s="326"/>
      <c r="D206" s="326"/>
      <c r="E206" s="579"/>
      <c r="F206" s="328"/>
      <c r="G206" s="328"/>
      <c r="H206" s="328"/>
      <c r="I206" s="580"/>
      <c r="J206" s="326"/>
      <c r="K206" s="342"/>
      <c r="L206" s="326"/>
      <c r="M206" s="338"/>
      <c r="N206" s="338"/>
      <c r="O206" s="338"/>
      <c r="P206" s="338"/>
      <c r="Q206" s="338"/>
      <c r="R206" s="338"/>
      <c r="S206" s="326"/>
      <c r="T206" s="326"/>
      <c r="U206" s="326"/>
      <c r="V206" s="326"/>
      <c r="W206" s="326"/>
      <c r="X206" s="326"/>
      <c r="Y206" s="326"/>
      <c r="Z206" s="326"/>
      <c r="AA206" s="326"/>
      <c r="AB206" s="326"/>
      <c r="AC206" s="326"/>
      <c r="AD206" s="326"/>
      <c r="AE206" s="326"/>
      <c r="AF206" s="326"/>
      <c r="AG206" s="326"/>
      <c r="AH206" s="326"/>
      <c r="AI206" s="326"/>
      <c r="AJ206" s="326"/>
      <c r="AK206" s="21"/>
      <c r="AL206" s="21"/>
      <c r="AM206" s="19"/>
      <c r="AN206" s="19"/>
    </row>
    <row r="207" spans="1:40">
      <c r="A207" s="19"/>
      <c r="B207" s="326"/>
      <c r="C207" s="326"/>
      <c r="D207" s="326"/>
      <c r="E207" s="579"/>
      <c r="F207" s="328"/>
      <c r="G207" s="328"/>
      <c r="H207" s="328"/>
      <c r="I207" s="580"/>
      <c r="J207" s="326"/>
      <c r="K207" s="342"/>
      <c r="L207" s="326"/>
      <c r="M207" s="338"/>
      <c r="N207" s="338"/>
      <c r="O207" s="338"/>
      <c r="P207" s="338"/>
      <c r="Q207" s="338"/>
      <c r="R207" s="338"/>
      <c r="S207" s="326"/>
      <c r="T207" s="326"/>
      <c r="U207" s="326"/>
      <c r="V207" s="326"/>
      <c r="W207" s="326"/>
      <c r="X207" s="326"/>
      <c r="Y207" s="326"/>
      <c r="Z207" s="326"/>
      <c r="AA207" s="326"/>
      <c r="AB207" s="326"/>
      <c r="AC207" s="326"/>
      <c r="AD207" s="326"/>
      <c r="AE207" s="326"/>
      <c r="AF207" s="326"/>
      <c r="AG207" s="326"/>
      <c r="AH207" s="326"/>
      <c r="AI207" s="326"/>
      <c r="AJ207" s="326"/>
      <c r="AK207" s="21"/>
      <c r="AL207" s="21"/>
      <c r="AM207" s="19"/>
      <c r="AN207" s="19"/>
    </row>
    <row r="208" spans="1:40">
      <c r="A208" s="19"/>
      <c r="B208" s="326"/>
      <c r="C208" s="326"/>
      <c r="D208" s="326"/>
      <c r="E208" s="579"/>
      <c r="F208" s="328"/>
      <c r="G208" s="328"/>
      <c r="H208" s="328"/>
      <c r="I208" s="580"/>
      <c r="J208" s="326"/>
      <c r="K208" s="342"/>
      <c r="L208" s="326"/>
      <c r="M208" s="338"/>
      <c r="N208" s="338"/>
      <c r="O208" s="338"/>
      <c r="P208" s="338"/>
      <c r="Q208" s="338"/>
      <c r="R208" s="338"/>
      <c r="S208" s="326"/>
      <c r="T208" s="326"/>
      <c r="U208" s="326"/>
      <c r="V208" s="326"/>
      <c r="W208" s="326"/>
      <c r="X208" s="326"/>
      <c r="Y208" s="326"/>
      <c r="Z208" s="326"/>
      <c r="AA208" s="326"/>
      <c r="AB208" s="326"/>
      <c r="AC208" s="326"/>
      <c r="AD208" s="326"/>
      <c r="AE208" s="326"/>
      <c r="AF208" s="326"/>
      <c r="AG208" s="326"/>
      <c r="AH208" s="326"/>
      <c r="AI208" s="326"/>
      <c r="AJ208" s="326"/>
      <c r="AK208" s="21"/>
      <c r="AL208" s="21"/>
      <c r="AM208" s="19"/>
      <c r="AN208" s="19"/>
    </row>
    <row r="209" spans="1:40">
      <c r="A209" s="19"/>
      <c r="B209" s="326"/>
      <c r="C209" s="326"/>
      <c r="D209" s="326"/>
      <c r="E209" s="579"/>
      <c r="F209" s="328"/>
      <c r="G209" s="328"/>
      <c r="H209" s="328"/>
      <c r="I209" s="580"/>
      <c r="J209" s="326"/>
      <c r="K209" s="342"/>
      <c r="L209" s="326"/>
      <c r="M209" s="338"/>
      <c r="N209" s="338"/>
      <c r="O209" s="338"/>
      <c r="P209" s="338"/>
      <c r="Q209" s="338"/>
      <c r="R209" s="338"/>
      <c r="S209" s="326"/>
      <c r="T209" s="326"/>
      <c r="U209" s="326"/>
      <c r="V209" s="326"/>
      <c r="W209" s="326"/>
      <c r="X209" s="326"/>
      <c r="Y209" s="326"/>
      <c r="Z209" s="326"/>
      <c r="AA209" s="326"/>
      <c r="AB209" s="326"/>
      <c r="AC209" s="326"/>
      <c r="AD209" s="326"/>
      <c r="AE209" s="326"/>
      <c r="AF209" s="326"/>
      <c r="AG209" s="326"/>
      <c r="AH209" s="326"/>
      <c r="AI209" s="326"/>
      <c r="AJ209" s="326"/>
      <c r="AK209" s="21"/>
      <c r="AL209" s="21"/>
      <c r="AM209" s="19"/>
      <c r="AN209" s="19"/>
    </row>
    <row r="210" spans="1:40">
      <c r="A210" s="19"/>
      <c r="B210" s="326"/>
      <c r="C210" s="326"/>
      <c r="D210" s="326"/>
      <c r="E210" s="579"/>
      <c r="F210" s="328"/>
      <c r="G210" s="328"/>
      <c r="H210" s="328"/>
      <c r="I210" s="580"/>
      <c r="J210" s="326"/>
      <c r="K210" s="342"/>
      <c r="L210" s="326"/>
      <c r="M210" s="338"/>
      <c r="N210" s="338"/>
      <c r="O210" s="338"/>
      <c r="P210" s="338"/>
      <c r="Q210" s="338"/>
      <c r="R210" s="338"/>
      <c r="S210" s="326"/>
      <c r="T210" s="326"/>
      <c r="U210" s="326"/>
      <c r="V210" s="326"/>
      <c r="W210" s="326"/>
      <c r="X210" s="326"/>
      <c r="Y210" s="326"/>
      <c r="Z210" s="326"/>
      <c r="AA210" s="326"/>
      <c r="AB210" s="326"/>
      <c r="AC210" s="326"/>
      <c r="AD210" s="326"/>
      <c r="AE210" s="326"/>
      <c r="AF210" s="326"/>
      <c r="AG210" s="326"/>
      <c r="AH210" s="326"/>
      <c r="AI210" s="326"/>
      <c r="AJ210" s="326"/>
      <c r="AK210" s="21"/>
      <c r="AL210" s="21"/>
      <c r="AM210" s="19"/>
      <c r="AN210" s="19"/>
    </row>
    <row r="211" spans="1:40">
      <c r="A211" s="19"/>
      <c r="B211" s="326"/>
      <c r="C211" s="326"/>
      <c r="D211" s="326"/>
      <c r="E211" s="579"/>
      <c r="F211" s="328"/>
      <c r="G211" s="328"/>
      <c r="H211" s="328"/>
      <c r="I211" s="580"/>
      <c r="J211" s="326"/>
      <c r="K211" s="342"/>
      <c r="L211" s="326"/>
      <c r="M211" s="338"/>
      <c r="N211" s="338"/>
      <c r="O211" s="338"/>
      <c r="P211" s="338"/>
      <c r="Q211" s="338"/>
      <c r="R211" s="338"/>
      <c r="S211" s="326"/>
      <c r="T211" s="326"/>
      <c r="U211" s="326"/>
      <c r="V211" s="326"/>
      <c r="W211" s="326"/>
      <c r="X211" s="326"/>
      <c r="Y211" s="326"/>
      <c r="Z211" s="326"/>
      <c r="AA211" s="326"/>
      <c r="AB211" s="326"/>
      <c r="AC211" s="326"/>
      <c r="AD211" s="326"/>
      <c r="AE211" s="326"/>
      <c r="AF211" s="326"/>
      <c r="AG211" s="326"/>
      <c r="AH211" s="326"/>
      <c r="AI211" s="326"/>
      <c r="AJ211" s="326"/>
      <c r="AK211" s="21"/>
      <c r="AL211" s="21"/>
      <c r="AM211" s="19"/>
      <c r="AN211" s="19"/>
    </row>
    <row r="212" spans="1:40">
      <c r="A212" s="19"/>
      <c r="B212" s="326"/>
      <c r="C212" s="326"/>
      <c r="D212" s="326"/>
      <c r="E212" s="579"/>
      <c r="F212" s="328"/>
      <c r="G212" s="328"/>
      <c r="H212" s="328"/>
      <c r="I212" s="580"/>
      <c r="J212" s="326"/>
      <c r="K212" s="342"/>
      <c r="L212" s="326"/>
      <c r="M212" s="338"/>
      <c r="N212" s="338"/>
      <c r="O212" s="338"/>
      <c r="P212" s="338"/>
      <c r="Q212" s="338"/>
      <c r="R212" s="338"/>
      <c r="S212" s="326"/>
      <c r="T212" s="326"/>
      <c r="U212" s="326"/>
      <c r="V212" s="326"/>
      <c r="W212" s="326"/>
      <c r="X212" s="326"/>
      <c r="Y212" s="326"/>
      <c r="Z212" s="326"/>
      <c r="AA212" s="326"/>
      <c r="AB212" s="326"/>
      <c r="AC212" s="326"/>
      <c r="AD212" s="326"/>
      <c r="AE212" s="326"/>
      <c r="AF212" s="326"/>
      <c r="AG212" s="326"/>
      <c r="AH212" s="326"/>
      <c r="AI212" s="326"/>
      <c r="AJ212" s="326"/>
      <c r="AK212" s="21"/>
      <c r="AL212" s="21"/>
      <c r="AM212" s="19"/>
      <c r="AN212" s="19"/>
    </row>
    <row r="213" spans="1:40">
      <c r="A213" s="19"/>
      <c r="B213" s="326"/>
      <c r="C213" s="326"/>
      <c r="D213" s="326"/>
      <c r="E213" s="579"/>
      <c r="F213" s="328"/>
      <c r="G213" s="328"/>
      <c r="H213" s="328"/>
      <c r="I213" s="580"/>
      <c r="J213" s="326"/>
      <c r="K213" s="342"/>
      <c r="L213" s="326"/>
      <c r="M213" s="338"/>
      <c r="N213" s="338"/>
      <c r="O213" s="338"/>
      <c r="P213" s="338"/>
      <c r="Q213" s="338"/>
      <c r="R213" s="338"/>
      <c r="S213" s="326"/>
      <c r="T213" s="326"/>
      <c r="U213" s="326"/>
      <c r="V213" s="326"/>
      <c r="W213" s="326"/>
      <c r="X213" s="326"/>
      <c r="Y213" s="326"/>
      <c r="Z213" s="326"/>
      <c r="AA213" s="326"/>
      <c r="AB213" s="326"/>
      <c r="AC213" s="326"/>
      <c r="AD213" s="326"/>
      <c r="AE213" s="326"/>
      <c r="AF213" s="326"/>
      <c r="AG213" s="326"/>
      <c r="AH213" s="326"/>
      <c r="AI213" s="326"/>
      <c r="AJ213" s="326"/>
      <c r="AK213" s="21"/>
      <c r="AL213" s="21"/>
      <c r="AM213" s="19"/>
      <c r="AN213" s="19"/>
    </row>
    <row r="214" spans="1:40">
      <c r="A214" s="19"/>
      <c r="B214" s="326"/>
      <c r="C214" s="326"/>
      <c r="D214" s="326"/>
      <c r="E214" s="579"/>
      <c r="F214" s="328"/>
      <c r="G214" s="328"/>
      <c r="H214" s="328"/>
      <c r="I214" s="580"/>
      <c r="J214" s="326"/>
      <c r="K214" s="342"/>
      <c r="L214" s="326"/>
      <c r="M214" s="338"/>
      <c r="N214" s="338"/>
      <c r="O214" s="338"/>
      <c r="P214" s="338"/>
      <c r="Q214" s="338"/>
      <c r="R214" s="338"/>
      <c r="S214" s="326"/>
      <c r="T214" s="326"/>
      <c r="U214" s="326"/>
      <c r="V214" s="326"/>
      <c r="W214" s="326"/>
      <c r="X214" s="326"/>
      <c r="Y214" s="326"/>
      <c r="Z214" s="326"/>
      <c r="AA214" s="326"/>
      <c r="AB214" s="326"/>
      <c r="AC214" s="326"/>
      <c r="AD214" s="326"/>
      <c r="AE214" s="326"/>
      <c r="AF214" s="326"/>
      <c r="AG214" s="326"/>
      <c r="AH214" s="326"/>
      <c r="AI214" s="326"/>
      <c r="AJ214" s="326"/>
      <c r="AK214" s="21"/>
      <c r="AL214" s="21"/>
      <c r="AM214" s="19"/>
      <c r="AN214" s="19"/>
    </row>
    <row r="215" spans="1:40">
      <c r="A215" s="19"/>
      <c r="B215" s="326"/>
      <c r="C215" s="326"/>
      <c r="D215" s="326"/>
      <c r="E215" s="579"/>
      <c r="F215" s="328"/>
      <c r="G215" s="328"/>
      <c r="H215" s="328"/>
      <c r="I215" s="580"/>
      <c r="J215" s="326"/>
      <c r="K215" s="342"/>
      <c r="L215" s="326"/>
      <c r="M215" s="338"/>
      <c r="N215" s="338"/>
      <c r="O215" s="338"/>
      <c r="P215" s="338"/>
      <c r="Q215" s="338"/>
      <c r="R215" s="338"/>
      <c r="S215" s="326"/>
      <c r="T215" s="326"/>
      <c r="U215" s="326"/>
      <c r="V215" s="326"/>
      <c r="W215" s="326"/>
      <c r="X215" s="326"/>
      <c r="Y215" s="326"/>
      <c r="Z215" s="326"/>
      <c r="AA215" s="326"/>
      <c r="AB215" s="326"/>
      <c r="AC215" s="326"/>
      <c r="AD215" s="326"/>
      <c r="AE215" s="326"/>
      <c r="AF215" s="326"/>
      <c r="AG215" s="326"/>
      <c r="AH215" s="326"/>
      <c r="AI215" s="326"/>
      <c r="AJ215" s="326"/>
      <c r="AK215" s="21"/>
      <c r="AL215" s="21"/>
      <c r="AM215" s="19"/>
      <c r="AN215" s="19"/>
    </row>
    <row r="216" spans="1:40">
      <c r="A216" s="19"/>
      <c r="B216" s="326"/>
      <c r="C216" s="326"/>
      <c r="D216" s="326"/>
      <c r="E216" s="579"/>
      <c r="F216" s="328"/>
      <c r="G216" s="328"/>
      <c r="H216" s="328"/>
      <c r="I216" s="580"/>
      <c r="J216" s="326"/>
      <c r="K216" s="342"/>
      <c r="L216" s="326"/>
      <c r="M216" s="338"/>
      <c r="N216" s="338"/>
      <c r="O216" s="338"/>
      <c r="P216" s="338"/>
      <c r="Q216" s="338"/>
      <c r="R216" s="338"/>
      <c r="S216" s="326"/>
      <c r="T216" s="326"/>
      <c r="U216" s="326"/>
      <c r="V216" s="326"/>
      <c r="W216" s="326"/>
      <c r="X216" s="326"/>
      <c r="Y216" s="326"/>
      <c r="Z216" s="326"/>
      <c r="AA216" s="326"/>
      <c r="AB216" s="326"/>
      <c r="AC216" s="326"/>
      <c r="AD216" s="326"/>
      <c r="AE216" s="326"/>
      <c r="AF216" s="326"/>
      <c r="AG216" s="326"/>
      <c r="AH216" s="326"/>
      <c r="AI216" s="326"/>
      <c r="AJ216" s="326"/>
      <c r="AK216" s="21"/>
      <c r="AL216" s="21"/>
      <c r="AM216" s="19"/>
      <c r="AN216" s="19"/>
    </row>
    <row r="217" spans="1:40">
      <c r="A217" s="19"/>
      <c r="B217" s="326"/>
      <c r="C217" s="326"/>
      <c r="D217" s="326"/>
      <c r="E217" s="579"/>
      <c r="F217" s="328"/>
      <c r="G217" s="328"/>
      <c r="H217" s="328"/>
      <c r="I217" s="580"/>
      <c r="J217" s="326"/>
      <c r="K217" s="342"/>
      <c r="L217" s="326"/>
      <c r="M217" s="338"/>
      <c r="N217" s="338"/>
      <c r="O217" s="338"/>
      <c r="P217" s="338"/>
      <c r="Q217" s="338"/>
      <c r="R217" s="338"/>
      <c r="S217" s="326"/>
      <c r="T217" s="326"/>
      <c r="U217" s="326"/>
      <c r="V217" s="326"/>
      <c r="W217" s="326"/>
      <c r="X217" s="326"/>
      <c r="Y217" s="326"/>
      <c r="Z217" s="326"/>
      <c r="AA217" s="326"/>
      <c r="AB217" s="326"/>
      <c r="AC217" s="326"/>
      <c r="AD217" s="326"/>
      <c r="AE217" s="326"/>
      <c r="AF217" s="326"/>
      <c r="AG217" s="326"/>
      <c r="AH217" s="326"/>
      <c r="AI217" s="326"/>
      <c r="AJ217" s="326"/>
      <c r="AK217" s="21"/>
      <c r="AL217" s="21"/>
      <c r="AM217" s="19"/>
      <c r="AN217" s="19"/>
    </row>
    <row r="218" spans="1:40">
      <c r="A218" s="19"/>
      <c r="B218" s="326"/>
      <c r="C218" s="326"/>
      <c r="D218" s="326"/>
      <c r="E218" s="579"/>
      <c r="F218" s="328"/>
      <c r="G218" s="328"/>
      <c r="H218" s="328"/>
      <c r="I218" s="580"/>
      <c r="J218" s="326"/>
      <c r="K218" s="342"/>
      <c r="L218" s="326"/>
      <c r="M218" s="338"/>
      <c r="N218" s="338"/>
      <c r="O218" s="338"/>
      <c r="P218" s="338"/>
      <c r="Q218" s="338"/>
      <c r="R218" s="338"/>
      <c r="S218" s="326"/>
      <c r="T218" s="326"/>
      <c r="U218" s="326"/>
      <c r="V218" s="326"/>
      <c r="W218" s="326"/>
      <c r="X218" s="326"/>
      <c r="Y218" s="326"/>
      <c r="Z218" s="326"/>
      <c r="AA218" s="326"/>
      <c r="AB218" s="326"/>
      <c r="AC218" s="326"/>
      <c r="AD218" s="326"/>
      <c r="AE218" s="326"/>
      <c r="AF218" s="326"/>
      <c r="AG218" s="326"/>
      <c r="AH218" s="326"/>
      <c r="AI218" s="326"/>
      <c r="AJ218" s="326"/>
      <c r="AK218" s="21"/>
      <c r="AL218" s="21"/>
      <c r="AM218" s="19"/>
      <c r="AN218" s="19"/>
    </row>
    <row r="219" spans="1:40">
      <c r="A219" s="19"/>
      <c r="B219" s="326"/>
      <c r="C219" s="326"/>
      <c r="D219" s="326"/>
      <c r="E219" s="579"/>
      <c r="F219" s="328"/>
      <c r="G219" s="328"/>
      <c r="H219" s="328"/>
      <c r="I219" s="580"/>
      <c r="J219" s="326"/>
      <c r="K219" s="342"/>
      <c r="L219" s="326"/>
      <c r="M219" s="338"/>
      <c r="N219" s="338"/>
      <c r="O219" s="338"/>
      <c r="P219" s="338"/>
      <c r="Q219" s="338"/>
      <c r="R219" s="338"/>
      <c r="S219" s="326"/>
      <c r="T219" s="326"/>
      <c r="U219" s="326"/>
      <c r="V219" s="326"/>
      <c r="W219" s="326"/>
      <c r="X219" s="326"/>
      <c r="Y219" s="326"/>
      <c r="Z219" s="326"/>
      <c r="AA219" s="326"/>
      <c r="AB219" s="326"/>
      <c r="AC219" s="326"/>
      <c r="AD219" s="326"/>
      <c r="AE219" s="326"/>
      <c r="AF219" s="326"/>
      <c r="AG219" s="326"/>
      <c r="AH219" s="326"/>
      <c r="AI219" s="326"/>
      <c r="AJ219" s="326"/>
      <c r="AK219" s="21"/>
      <c r="AL219" s="21"/>
      <c r="AM219" s="19"/>
      <c r="AN219" s="19"/>
    </row>
    <row r="220" spans="1:40">
      <c r="A220" s="19"/>
      <c r="B220" s="326"/>
      <c r="C220" s="326"/>
      <c r="D220" s="326"/>
      <c r="E220" s="579"/>
      <c r="F220" s="328"/>
      <c r="G220" s="328"/>
      <c r="H220" s="328"/>
      <c r="I220" s="580"/>
      <c r="J220" s="326"/>
      <c r="K220" s="342"/>
      <c r="L220" s="326"/>
      <c r="M220" s="338"/>
      <c r="N220" s="338"/>
      <c r="O220" s="338"/>
      <c r="P220" s="338"/>
      <c r="Q220" s="338"/>
      <c r="R220" s="338"/>
      <c r="S220" s="326"/>
      <c r="T220" s="326"/>
      <c r="U220" s="326"/>
      <c r="V220" s="326"/>
      <c r="W220" s="326"/>
      <c r="X220" s="326"/>
      <c r="Y220" s="326"/>
      <c r="Z220" s="326"/>
      <c r="AA220" s="326"/>
      <c r="AB220" s="326"/>
      <c r="AC220" s="326"/>
      <c r="AD220" s="326"/>
      <c r="AE220" s="326"/>
      <c r="AF220" s="326"/>
      <c r="AG220" s="326"/>
      <c r="AH220" s="326"/>
      <c r="AI220" s="326"/>
      <c r="AJ220" s="326"/>
      <c r="AK220" s="21"/>
      <c r="AL220" s="21"/>
      <c r="AM220" s="19"/>
      <c r="AN220" s="19"/>
    </row>
    <row r="221" spans="1:40">
      <c r="A221" s="19"/>
      <c r="B221" s="326"/>
      <c r="C221" s="326"/>
      <c r="D221" s="326"/>
      <c r="E221" s="579"/>
      <c r="F221" s="328"/>
      <c r="G221" s="328"/>
      <c r="H221" s="328"/>
      <c r="I221" s="580"/>
      <c r="J221" s="326"/>
      <c r="K221" s="342"/>
      <c r="L221" s="326"/>
      <c r="M221" s="338"/>
      <c r="N221" s="338"/>
      <c r="O221" s="338"/>
      <c r="P221" s="338"/>
      <c r="Q221" s="338"/>
      <c r="R221" s="338"/>
      <c r="S221" s="326"/>
      <c r="T221" s="326"/>
      <c r="U221" s="326"/>
      <c r="V221" s="326"/>
      <c r="W221" s="326"/>
      <c r="X221" s="326"/>
      <c r="Y221" s="326"/>
      <c r="Z221" s="326"/>
      <c r="AA221" s="326"/>
      <c r="AB221" s="326"/>
      <c r="AC221" s="326"/>
      <c r="AD221" s="326"/>
      <c r="AE221" s="326"/>
      <c r="AF221" s="326"/>
      <c r="AG221" s="326"/>
      <c r="AH221" s="326"/>
      <c r="AI221" s="326"/>
      <c r="AJ221" s="326"/>
      <c r="AK221" s="21"/>
      <c r="AL221" s="21"/>
      <c r="AM221" s="19"/>
      <c r="AN221" s="19"/>
    </row>
    <row r="222" spans="1:40">
      <c r="A222" s="19"/>
      <c r="B222" s="326"/>
      <c r="C222" s="326"/>
      <c r="D222" s="326"/>
      <c r="E222" s="579"/>
      <c r="F222" s="328"/>
      <c r="G222" s="328"/>
      <c r="H222" s="328"/>
      <c r="I222" s="580"/>
      <c r="J222" s="326"/>
      <c r="K222" s="342"/>
      <c r="L222" s="326"/>
      <c r="M222" s="338"/>
      <c r="N222" s="338"/>
      <c r="O222" s="338"/>
      <c r="P222" s="338"/>
      <c r="Q222" s="338"/>
      <c r="R222" s="338"/>
      <c r="S222" s="326"/>
      <c r="T222" s="326"/>
      <c r="U222" s="326"/>
      <c r="V222" s="326"/>
      <c r="W222" s="326"/>
      <c r="X222" s="326"/>
      <c r="Y222" s="326"/>
      <c r="Z222" s="326"/>
      <c r="AA222" s="326"/>
      <c r="AB222" s="326"/>
      <c r="AC222" s="326"/>
      <c r="AD222" s="326"/>
      <c r="AE222" s="326"/>
      <c r="AF222" s="326"/>
      <c r="AG222" s="326"/>
      <c r="AH222" s="326"/>
      <c r="AI222" s="326"/>
      <c r="AJ222" s="326"/>
      <c r="AK222" s="21"/>
      <c r="AL222" s="21"/>
      <c r="AM222" s="19"/>
      <c r="AN222" s="19"/>
    </row>
    <row r="223" spans="1:40">
      <c r="A223" s="19"/>
      <c r="B223" s="326"/>
      <c r="C223" s="326"/>
      <c r="D223" s="326"/>
      <c r="E223" s="579"/>
      <c r="F223" s="328"/>
      <c r="G223" s="328"/>
      <c r="H223" s="328"/>
      <c r="I223" s="580"/>
      <c r="J223" s="326"/>
      <c r="K223" s="342"/>
      <c r="L223" s="326"/>
      <c r="M223" s="338"/>
      <c r="N223" s="338"/>
      <c r="O223" s="338"/>
      <c r="P223" s="338"/>
      <c r="Q223" s="338"/>
      <c r="R223" s="338"/>
      <c r="S223" s="326"/>
      <c r="T223" s="326"/>
      <c r="U223" s="326"/>
      <c r="V223" s="326"/>
      <c r="W223" s="326"/>
      <c r="X223" s="326"/>
      <c r="Y223" s="326"/>
      <c r="Z223" s="326"/>
      <c r="AA223" s="326"/>
      <c r="AB223" s="326"/>
      <c r="AC223" s="326"/>
      <c r="AD223" s="326"/>
      <c r="AE223" s="326"/>
      <c r="AF223" s="326"/>
      <c r="AG223" s="326"/>
      <c r="AH223" s="326"/>
      <c r="AI223" s="326"/>
      <c r="AJ223" s="326"/>
      <c r="AK223" s="21"/>
      <c r="AL223" s="21"/>
      <c r="AM223" s="19"/>
      <c r="AN223" s="19"/>
    </row>
    <row r="224" spans="1:40">
      <c r="A224" s="19"/>
      <c r="B224" s="326"/>
      <c r="C224" s="326"/>
      <c r="D224" s="326"/>
      <c r="E224" s="579"/>
      <c r="F224" s="328"/>
      <c r="G224" s="328"/>
      <c r="H224" s="328"/>
      <c r="I224" s="580"/>
      <c r="J224" s="326"/>
      <c r="K224" s="342"/>
      <c r="L224" s="326"/>
      <c r="M224" s="338"/>
      <c r="N224" s="338"/>
      <c r="O224" s="338"/>
      <c r="P224" s="338"/>
      <c r="Q224" s="338"/>
      <c r="R224" s="338"/>
      <c r="S224" s="326"/>
      <c r="T224" s="326"/>
      <c r="U224" s="326"/>
      <c r="V224" s="326"/>
      <c r="W224" s="326"/>
      <c r="X224" s="326"/>
      <c r="Y224" s="326"/>
      <c r="Z224" s="326"/>
      <c r="AA224" s="326"/>
      <c r="AB224" s="326"/>
      <c r="AC224" s="326"/>
      <c r="AD224" s="326"/>
      <c r="AE224" s="326"/>
      <c r="AF224" s="326"/>
      <c r="AG224" s="326"/>
      <c r="AH224" s="326"/>
      <c r="AI224" s="326"/>
      <c r="AJ224" s="326"/>
      <c r="AK224" s="21"/>
      <c r="AL224" s="21"/>
      <c r="AM224" s="19"/>
      <c r="AN224" s="19"/>
    </row>
    <row r="225" spans="1:40">
      <c r="A225" s="19"/>
      <c r="B225" s="326"/>
      <c r="C225" s="326"/>
      <c r="D225" s="326"/>
      <c r="E225" s="579"/>
      <c r="F225" s="328"/>
      <c r="G225" s="328"/>
      <c r="H225" s="328"/>
      <c r="I225" s="580"/>
      <c r="J225" s="326"/>
      <c r="K225" s="342"/>
      <c r="L225" s="326"/>
      <c r="M225" s="338"/>
      <c r="N225" s="338"/>
      <c r="O225" s="338"/>
      <c r="P225" s="338"/>
      <c r="Q225" s="338"/>
      <c r="R225" s="338"/>
      <c r="S225" s="326"/>
      <c r="T225" s="326"/>
      <c r="U225" s="326"/>
      <c r="V225" s="326"/>
      <c r="W225" s="326"/>
      <c r="X225" s="326"/>
      <c r="Y225" s="326"/>
      <c r="Z225" s="326"/>
      <c r="AA225" s="326"/>
      <c r="AB225" s="326"/>
      <c r="AC225" s="326"/>
      <c r="AD225" s="326"/>
      <c r="AE225" s="326"/>
      <c r="AF225" s="326"/>
      <c r="AG225" s="326"/>
      <c r="AH225" s="326"/>
      <c r="AI225" s="326"/>
      <c r="AJ225" s="326"/>
      <c r="AK225" s="21"/>
      <c r="AL225" s="21"/>
      <c r="AM225" s="19"/>
      <c r="AN225" s="19"/>
    </row>
    <row r="226" spans="1:40">
      <c r="A226" s="19"/>
      <c r="B226" s="326"/>
      <c r="C226" s="326"/>
      <c r="D226" s="326"/>
      <c r="E226" s="579"/>
      <c r="F226" s="328"/>
      <c r="G226" s="328"/>
      <c r="H226" s="328"/>
      <c r="I226" s="580"/>
      <c r="J226" s="326"/>
      <c r="K226" s="342"/>
      <c r="L226" s="326"/>
      <c r="M226" s="338"/>
      <c r="N226" s="338"/>
      <c r="O226" s="338"/>
      <c r="P226" s="338"/>
      <c r="Q226" s="338"/>
      <c r="R226" s="338"/>
      <c r="S226" s="326"/>
      <c r="T226" s="326"/>
      <c r="U226" s="326"/>
      <c r="V226" s="326"/>
      <c r="W226" s="326"/>
      <c r="X226" s="326"/>
      <c r="Y226" s="326"/>
      <c r="Z226" s="326"/>
      <c r="AA226" s="326"/>
      <c r="AB226" s="326"/>
      <c r="AC226" s="326"/>
      <c r="AD226" s="326"/>
      <c r="AE226" s="326"/>
      <c r="AF226" s="326"/>
      <c r="AG226" s="326"/>
      <c r="AH226" s="326"/>
      <c r="AI226" s="326"/>
      <c r="AJ226" s="326"/>
      <c r="AK226" s="21"/>
      <c r="AL226" s="21"/>
      <c r="AM226" s="19"/>
      <c r="AN226" s="19"/>
    </row>
    <row r="227" spans="1:40">
      <c r="A227" s="19"/>
      <c r="B227" s="326"/>
      <c r="C227" s="326"/>
      <c r="D227" s="326"/>
      <c r="E227" s="579"/>
      <c r="F227" s="328"/>
      <c r="G227" s="328"/>
      <c r="H227" s="328"/>
      <c r="I227" s="580"/>
      <c r="J227" s="326"/>
      <c r="K227" s="342"/>
      <c r="L227" s="326"/>
      <c r="M227" s="338"/>
      <c r="N227" s="338"/>
      <c r="O227" s="338"/>
      <c r="P227" s="338"/>
      <c r="Q227" s="338"/>
      <c r="R227" s="338"/>
      <c r="S227" s="326"/>
      <c r="T227" s="326"/>
      <c r="U227" s="326"/>
      <c r="V227" s="326"/>
      <c r="W227" s="326"/>
      <c r="X227" s="326"/>
      <c r="Y227" s="326"/>
      <c r="Z227" s="326"/>
      <c r="AA227" s="326"/>
      <c r="AB227" s="326"/>
      <c r="AC227" s="326"/>
      <c r="AD227" s="326"/>
      <c r="AE227" s="326"/>
      <c r="AF227" s="326"/>
      <c r="AG227" s="326"/>
      <c r="AH227" s="326"/>
      <c r="AI227" s="326"/>
      <c r="AJ227" s="326"/>
      <c r="AK227" s="21"/>
      <c r="AL227" s="21"/>
      <c r="AM227" s="19"/>
      <c r="AN227" s="19"/>
    </row>
    <row r="228" spans="1:40">
      <c r="A228" s="19"/>
      <c r="B228" s="326"/>
      <c r="C228" s="326"/>
      <c r="D228" s="326"/>
      <c r="E228" s="579"/>
      <c r="F228" s="328"/>
      <c r="G228" s="328"/>
      <c r="H228" s="328"/>
      <c r="I228" s="580"/>
      <c r="J228" s="326"/>
      <c r="K228" s="342"/>
      <c r="L228" s="326"/>
      <c r="M228" s="338"/>
      <c r="N228" s="338"/>
      <c r="O228" s="338"/>
      <c r="P228" s="338"/>
      <c r="Q228" s="338"/>
      <c r="R228" s="338"/>
      <c r="S228" s="326"/>
      <c r="T228" s="326"/>
      <c r="U228" s="326"/>
      <c r="V228" s="326"/>
      <c r="W228" s="326"/>
      <c r="X228" s="326"/>
      <c r="Y228" s="326"/>
      <c r="Z228" s="326"/>
      <c r="AA228" s="326"/>
      <c r="AB228" s="326"/>
      <c r="AC228" s="326"/>
      <c r="AD228" s="326"/>
      <c r="AE228" s="326"/>
      <c r="AF228" s="326"/>
      <c r="AG228" s="326"/>
      <c r="AH228" s="326"/>
      <c r="AI228" s="326"/>
      <c r="AJ228" s="326"/>
      <c r="AK228" s="21"/>
      <c r="AL228" s="21"/>
      <c r="AM228" s="19"/>
      <c r="AN228" s="19"/>
    </row>
    <row r="229" spans="1:40">
      <c r="A229" s="19"/>
      <c r="B229" s="326"/>
      <c r="C229" s="326"/>
      <c r="D229" s="326"/>
      <c r="E229" s="579"/>
      <c r="F229" s="328"/>
      <c r="G229" s="328"/>
      <c r="H229" s="328"/>
      <c r="I229" s="580"/>
      <c r="J229" s="326"/>
      <c r="K229" s="342"/>
      <c r="L229" s="326"/>
      <c r="M229" s="338"/>
      <c r="N229" s="338"/>
      <c r="O229" s="338"/>
      <c r="P229" s="338"/>
      <c r="Q229" s="338"/>
      <c r="R229" s="338"/>
      <c r="S229" s="326"/>
      <c r="T229" s="326"/>
      <c r="U229" s="326"/>
      <c r="V229" s="326"/>
      <c r="W229" s="326"/>
      <c r="X229" s="326"/>
      <c r="Y229" s="326"/>
      <c r="Z229" s="326"/>
      <c r="AA229" s="326"/>
      <c r="AB229" s="326"/>
      <c r="AC229" s="326"/>
      <c r="AD229" s="326"/>
      <c r="AE229" s="326"/>
      <c r="AF229" s="326"/>
      <c r="AG229" s="326"/>
      <c r="AH229" s="326"/>
      <c r="AI229" s="326"/>
      <c r="AJ229" s="326"/>
      <c r="AK229" s="21"/>
      <c r="AL229" s="21"/>
      <c r="AM229" s="19"/>
      <c r="AN229" s="19"/>
    </row>
    <row r="230" spans="1:40">
      <c r="A230" s="19"/>
      <c r="B230" s="326"/>
      <c r="C230" s="326"/>
      <c r="D230" s="326"/>
      <c r="E230" s="579"/>
      <c r="F230" s="328"/>
      <c r="G230" s="328"/>
      <c r="H230" s="328"/>
      <c r="I230" s="580"/>
      <c r="J230" s="326"/>
      <c r="K230" s="342"/>
      <c r="L230" s="326"/>
      <c r="M230" s="338"/>
      <c r="N230" s="338"/>
      <c r="O230" s="338"/>
      <c r="P230" s="338"/>
      <c r="Q230" s="338"/>
      <c r="R230" s="338"/>
      <c r="S230" s="326"/>
      <c r="T230" s="326"/>
      <c r="U230" s="326"/>
      <c r="V230" s="326"/>
      <c r="W230" s="326"/>
      <c r="X230" s="326"/>
      <c r="Y230" s="326"/>
      <c r="Z230" s="326"/>
      <c r="AA230" s="326"/>
      <c r="AB230" s="326"/>
      <c r="AC230" s="326"/>
      <c r="AD230" s="326"/>
      <c r="AE230" s="326"/>
      <c r="AF230" s="326"/>
      <c r="AG230" s="326"/>
      <c r="AH230" s="326"/>
      <c r="AI230" s="326"/>
      <c r="AJ230" s="326"/>
      <c r="AK230" s="21"/>
      <c r="AL230" s="21"/>
      <c r="AM230" s="19"/>
      <c r="AN230" s="19"/>
    </row>
    <row r="231" spans="1:40">
      <c r="A231" s="19"/>
      <c r="B231" s="326"/>
      <c r="C231" s="326"/>
      <c r="D231" s="326"/>
      <c r="E231" s="579"/>
      <c r="F231" s="328"/>
      <c r="G231" s="328"/>
      <c r="H231" s="328"/>
      <c r="I231" s="580"/>
      <c r="J231" s="326"/>
      <c r="K231" s="342"/>
      <c r="L231" s="326"/>
      <c r="M231" s="338"/>
      <c r="N231" s="338"/>
      <c r="O231" s="338"/>
      <c r="P231" s="338"/>
      <c r="Q231" s="338"/>
      <c r="R231" s="338"/>
      <c r="S231" s="326"/>
      <c r="T231" s="326"/>
      <c r="U231" s="326"/>
      <c r="V231" s="326"/>
      <c r="W231" s="326"/>
      <c r="X231" s="326"/>
      <c r="Y231" s="326"/>
      <c r="Z231" s="326"/>
      <c r="AA231" s="326"/>
      <c r="AB231" s="326"/>
      <c r="AC231" s="326"/>
      <c r="AD231" s="326"/>
      <c r="AE231" s="326"/>
      <c r="AF231" s="326"/>
      <c r="AG231" s="326"/>
      <c r="AH231" s="326"/>
      <c r="AI231" s="326"/>
      <c r="AJ231" s="326"/>
      <c r="AK231" s="21"/>
      <c r="AL231" s="21"/>
      <c r="AM231" s="19"/>
      <c r="AN231" s="19"/>
    </row>
    <row r="232" spans="1:40">
      <c r="A232" s="19"/>
      <c r="B232" s="326"/>
      <c r="C232" s="326"/>
      <c r="D232" s="326"/>
      <c r="E232" s="579"/>
      <c r="F232" s="328"/>
      <c r="G232" s="328"/>
      <c r="H232" s="328"/>
      <c r="I232" s="580"/>
      <c r="J232" s="326"/>
      <c r="K232" s="342"/>
      <c r="L232" s="326"/>
      <c r="M232" s="338"/>
      <c r="N232" s="338"/>
      <c r="O232" s="338"/>
      <c r="P232" s="338"/>
      <c r="Q232" s="338"/>
      <c r="R232" s="338"/>
      <c r="S232" s="326"/>
      <c r="T232" s="326"/>
      <c r="U232" s="326"/>
      <c r="V232" s="326"/>
      <c r="W232" s="326"/>
      <c r="X232" s="326"/>
      <c r="Y232" s="326"/>
      <c r="Z232" s="326"/>
      <c r="AA232" s="326"/>
      <c r="AB232" s="326"/>
      <c r="AC232" s="326"/>
      <c r="AD232" s="326"/>
      <c r="AE232" s="326"/>
      <c r="AF232" s="326"/>
      <c r="AG232" s="326"/>
      <c r="AH232" s="326"/>
      <c r="AI232" s="326"/>
      <c r="AJ232" s="326"/>
      <c r="AK232" s="21"/>
      <c r="AL232" s="21"/>
      <c r="AM232" s="19"/>
      <c r="AN232" s="19"/>
    </row>
    <row r="233" spans="1:40">
      <c r="A233" s="19"/>
      <c r="B233" s="326"/>
      <c r="C233" s="326"/>
      <c r="D233" s="326"/>
      <c r="E233" s="579"/>
      <c r="F233" s="328"/>
      <c r="G233" s="328"/>
      <c r="H233" s="328"/>
      <c r="I233" s="580"/>
      <c r="J233" s="326"/>
      <c r="K233" s="342"/>
      <c r="L233" s="326"/>
      <c r="M233" s="338"/>
      <c r="N233" s="338"/>
      <c r="O233" s="338"/>
      <c r="P233" s="338"/>
      <c r="Q233" s="338"/>
      <c r="R233" s="338"/>
      <c r="S233" s="326"/>
      <c r="T233" s="326"/>
      <c r="U233" s="326"/>
      <c r="V233" s="326"/>
      <c r="W233" s="326"/>
      <c r="X233" s="326"/>
      <c r="Y233" s="326"/>
      <c r="Z233" s="326"/>
      <c r="AA233" s="326"/>
      <c r="AB233" s="326"/>
      <c r="AC233" s="326"/>
      <c r="AD233" s="326"/>
      <c r="AE233" s="326"/>
      <c r="AF233" s="326"/>
      <c r="AG233" s="326"/>
      <c r="AH233" s="326"/>
      <c r="AI233" s="326"/>
      <c r="AJ233" s="326"/>
      <c r="AK233" s="21"/>
      <c r="AL233" s="21"/>
      <c r="AM233" s="19"/>
      <c r="AN233" s="19"/>
    </row>
    <row r="234" spans="1:40">
      <c r="A234" s="19"/>
      <c r="B234" s="326"/>
      <c r="C234" s="326"/>
      <c r="D234" s="326"/>
      <c r="E234" s="579"/>
      <c r="F234" s="328"/>
      <c r="G234" s="328"/>
      <c r="H234" s="328"/>
      <c r="I234" s="580"/>
      <c r="J234" s="326"/>
      <c r="K234" s="342"/>
      <c r="L234" s="326"/>
      <c r="M234" s="338"/>
      <c r="N234" s="338"/>
      <c r="O234" s="338"/>
      <c r="P234" s="338"/>
      <c r="Q234" s="338"/>
      <c r="R234" s="338"/>
      <c r="S234" s="326"/>
      <c r="T234" s="326"/>
      <c r="U234" s="326"/>
      <c r="V234" s="326"/>
      <c r="W234" s="326"/>
      <c r="X234" s="326"/>
      <c r="Y234" s="326"/>
      <c r="Z234" s="326"/>
      <c r="AA234" s="326"/>
      <c r="AB234" s="326"/>
      <c r="AC234" s="326"/>
      <c r="AD234" s="326"/>
      <c r="AE234" s="326"/>
      <c r="AF234" s="326"/>
      <c r="AG234" s="326"/>
      <c r="AH234" s="326"/>
      <c r="AI234" s="326"/>
      <c r="AJ234" s="326"/>
      <c r="AK234" s="21"/>
      <c r="AL234" s="21"/>
      <c r="AM234" s="19"/>
      <c r="AN234" s="19"/>
    </row>
    <row r="235" spans="1:40">
      <c r="A235" s="19"/>
      <c r="B235" s="326"/>
      <c r="C235" s="326"/>
      <c r="D235" s="326"/>
      <c r="E235" s="579"/>
      <c r="F235" s="328"/>
      <c r="G235" s="328"/>
      <c r="H235" s="328"/>
      <c r="I235" s="580"/>
      <c r="J235" s="326"/>
      <c r="K235" s="342"/>
      <c r="L235" s="326"/>
      <c r="M235" s="338"/>
      <c r="N235" s="338"/>
      <c r="O235" s="338"/>
      <c r="P235" s="338"/>
      <c r="Q235" s="338"/>
      <c r="R235" s="338"/>
      <c r="S235" s="326"/>
      <c r="T235" s="326"/>
      <c r="U235" s="326"/>
      <c r="V235" s="326"/>
      <c r="W235" s="326"/>
      <c r="X235" s="326"/>
      <c r="Y235" s="326"/>
      <c r="Z235" s="326"/>
      <c r="AA235" s="326"/>
      <c r="AB235" s="326"/>
      <c r="AC235" s="326"/>
      <c r="AD235" s="326"/>
      <c r="AE235" s="326"/>
      <c r="AF235" s="326"/>
      <c r="AG235" s="326"/>
      <c r="AH235" s="326"/>
      <c r="AI235" s="326"/>
      <c r="AJ235" s="326"/>
      <c r="AK235" s="21"/>
      <c r="AL235" s="21"/>
      <c r="AM235" s="19"/>
      <c r="AN235" s="19"/>
    </row>
    <row r="236" spans="1:40">
      <c r="A236" s="19"/>
      <c r="B236" s="326"/>
      <c r="C236" s="326"/>
      <c r="D236" s="326"/>
      <c r="E236" s="579"/>
      <c r="F236" s="328"/>
      <c r="G236" s="328"/>
      <c r="H236" s="328"/>
      <c r="I236" s="580"/>
      <c r="J236" s="326"/>
      <c r="K236" s="342"/>
      <c r="L236" s="326"/>
      <c r="M236" s="338"/>
      <c r="N236" s="338"/>
      <c r="O236" s="338"/>
      <c r="P236" s="338"/>
      <c r="Q236" s="338"/>
      <c r="R236" s="338"/>
      <c r="S236" s="326"/>
      <c r="T236" s="326"/>
      <c r="U236" s="326"/>
      <c r="V236" s="326"/>
      <c r="W236" s="326"/>
      <c r="X236" s="326"/>
      <c r="Y236" s="326"/>
      <c r="Z236" s="326"/>
      <c r="AA236" s="326"/>
      <c r="AB236" s="326"/>
      <c r="AC236" s="326"/>
      <c r="AD236" s="326"/>
      <c r="AE236" s="326"/>
      <c r="AF236" s="326"/>
      <c r="AG236" s="326"/>
      <c r="AH236" s="326"/>
      <c r="AI236" s="326"/>
      <c r="AJ236" s="326"/>
      <c r="AK236" s="21"/>
      <c r="AL236" s="21"/>
      <c r="AM236" s="19"/>
      <c r="AN236" s="19"/>
    </row>
    <row r="237" spans="1:40">
      <c r="A237" s="19"/>
      <c r="B237" s="326"/>
      <c r="C237" s="326"/>
      <c r="D237" s="326"/>
      <c r="E237" s="579"/>
      <c r="F237" s="328"/>
      <c r="G237" s="328"/>
      <c r="H237" s="328"/>
      <c r="I237" s="580"/>
      <c r="J237" s="326"/>
      <c r="K237" s="342"/>
      <c r="L237" s="326"/>
      <c r="M237" s="338"/>
      <c r="N237" s="338"/>
      <c r="O237" s="338"/>
      <c r="P237" s="338"/>
      <c r="Q237" s="338"/>
      <c r="R237" s="338"/>
      <c r="S237" s="326"/>
      <c r="T237" s="326"/>
      <c r="U237" s="326"/>
      <c r="V237" s="326"/>
      <c r="W237" s="326"/>
      <c r="X237" s="326"/>
      <c r="Y237" s="326"/>
      <c r="Z237" s="326"/>
      <c r="AA237" s="326"/>
      <c r="AB237" s="326"/>
      <c r="AC237" s="326"/>
      <c r="AD237" s="326"/>
      <c r="AE237" s="326"/>
      <c r="AF237" s="326"/>
      <c r="AG237" s="326"/>
      <c r="AH237" s="326"/>
      <c r="AI237" s="326"/>
      <c r="AJ237" s="326"/>
      <c r="AK237" s="21"/>
      <c r="AL237" s="21"/>
      <c r="AM237" s="19"/>
      <c r="AN237" s="19"/>
    </row>
    <row r="238" spans="1:40">
      <c r="A238" s="19"/>
      <c r="B238" s="326"/>
      <c r="C238" s="326"/>
      <c r="D238" s="326"/>
      <c r="E238" s="579"/>
      <c r="F238" s="328"/>
      <c r="G238" s="328"/>
      <c r="H238" s="328"/>
      <c r="I238" s="580"/>
      <c r="J238" s="326"/>
      <c r="K238" s="342"/>
      <c r="L238" s="326"/>
      <c r="M238" s="338"/>
      <c r="N238" s="338"/>
      <c r="O238" s="338"/>
      <c r="P238" s="338"/>
      <c r="Q238" s="338"/>
      <c r="R238" s="338"/>
      <c r="S238" s="326"/>
      <c r="T238" s="326"/>
      <c r="U238" s="326"/>
      <c r="V238" s="326"/>
      <c r="W238" s="326"/>
      <c r="X238" s="326"/>
      <c r="Y238" s="326"/>
      <c r="Z238" s="326"/>
      <c r="AA238" s="326"/>
      <c r="AB238" s="326"/>
      <c r="AC238" s="326"/>
      <c r="AD238" s="326"/>
      <c r="AE238" s="326"/>
      <c r="AF238" s="326"/>
      <c r="AG238" s="326"/>
      <c r="AH238" s="326"/>
      <c r="AI238" s="326"/>
      <c r="AJ238" s="326"/>
      <c r="AK238" s="21"/>
      <c r="AL238" s="21"/>
      <c r="AM238" s="19"/>
      <c r="AN238" s="19"/>
    </row>
    <row r="239" spans="1:40">
      <c r="A239" s="19"/>
      <c r="B239" s="326"/>
      <c r="C239" s="326"/>
      <c r="D239" s="326"/>
      <c r="E239" s="579"/>
      <c r="F239" s="328"/>
      <c r="G239" s="328"/>
      <c r="H239" s="328"/>
      <c r="I239" s="580"/>
      <c r="J239" s="326"/>
      <c r="K239" s="342"/>
      <c r="L239" s="326"/>
      <c r="M239" s="338"/>
      <c r="N239" s="338"/>
      <c r="O239" s="338"/>
      <c r="P239" s="338"/>
      <c r="Q239" s="338"/>
      <c r="R239" s="338"/>
      <c r="S239" s="326"/>
      <c r="T239" s="326"/>
      <c r="U239" s="326"/>
      <c r="V239" s="326"/>
      <c r="W239" s="326"/>
      <c r="X239" s="326"/>
      <c r="Y239" s="326"/>
      <c r="Z239" s="326"/>
      <c r="AA239" s="326"/>
      <c r="AB239" s="326"/>
      <c r="AC239" s="326"/>
      <c r="AD239" s="326"/>
      <c r="AE239" s="326"/>
      <c r="AF239" s="326"/>
      <c r="AG239" s="326"/>
      <c r="AH239" s="326"/>
      <c r="AI239" s="326"/>
      <c r="AJ239" s="326"/>
      <c r="AK239" s="21"/>
      <c r="AL239" s="21"/>
      <c r="AM239" s="19"/>
      <c r="AN239" s="19"/>
    </row>
    <row r="240" spans="1:40">
      <c r="A240" s="19"/>
      <c r="B240" s="326"/>
      <c r="C240" s="326"/>
      <c r="D240" s="326"/>
      <c r="E240" s="579"/>
      <c r="F240" s="328"/>
      <c r="G240" s="328"/>
      <c r="H240" s="328"/>
      <c r="I240" s="580"/>
      <c r="J240" s="326"/>
      <c r="K240" s="342"/>
      <c r="L240" s="326"/>
      <c r="M240" s="338"/>
      <c r="N240" s="338"/>
      <c r="O240" s="338"/>
      <c r="P240" s="338"/>
      <c r="Q240" s="338"/>
      <c r="R240" s="338"/>
      <c r="S240" s="326"/>
      <c r="T240" s="326"/>
      <c r="U240" s="326"/>
      <c r="V240" s="326"/>
      <c r="W240" s="326"/>
      <c r="X240" s="326"/>
      <c r="Y240" s="326"/>
      <c r="Z240" s="326"/>
      <c r="AA240" s="326"/>
      <c r="AB240" s="326"/>
      <c r="AC240" s="326"/>
      <c r="AD240" s="326"/>
      <c r="AE240" s="326"/>
      <c r="AF240" s="326"/>
      <c r="AG240" s="326"/>
      <c r="AH240" s="326"/>
      <c r="AI240" s="326"/>
      <c r="AJ240" s="326"/>
      <c r="AK240" s="21"/>
      <c r="AL240" s="21"/>
      <c r="AM240" s="19"/>
      <c r="AN240" s="19"/>
    </row>
    <row r="241" spans="1:40">
      <c r="A241" s="19"/>
      <c r="B241" s="326"/>
      <c r="C241" s="326"/>
      <c r="D241" s="326"/>
      <c r="E241" s="579"/>
      <c r="F241" s="328"/>
      <c r="G241" s="328"/>
      <c r="H241" s="328"/>
      <c r="I241" s="580"/>
      <c r="J241" s="326"/>
      <c r="K241" s="342"/>
      <c r="L241" s="326"/>
      <c r="M241" s="338"/>
      <c r="N241" s="338"/>
      <c r="O241" s="338"/>
      <c r="P241" s="338"/>
      <c r="Q241" s="338"/>
      <c r="R241" s="338"/>
      <c r="S241" s="326"/>
      <c r="T241" s="326"/>
      <c r="U241" s="326"/>
      <c r="V241" s="326"/>
      <c r="W241" s="326"/>
      <c r="X241" s="326"/>
      <c r="Y241" s="326"/>
      <c r="Z241" s="326"/>
      <c r="AA241" s="326"/>
      <c r="AB241" s="326"/>
      <c r="AC241" s="326"/>
      <c r="AD241" s="326"/>
      <c r="AE241" s="326"/>
      <c r="AF241" s="326"/>
      <c r="AG241" s="326"/>
      <c r="AH241" s="326"/>
      <c r="AI241" s="326"/>
      <c r="AJ241" s="326"/>
      <c r="AK241" s="21"/>
      <c r="AL241" s="21"/>
      <c r="AM241" s="19"/>
      <c r="AN241" s="19"/>
    </row>
    <row r="242" spans="1:40">
      <c r="A242" s="19"/>
      <c r="B242" s="326"/>
      <c r="C242" s="326"/>
      <c r="D242" s="326"/>
      <c r="E242" s="579"/>
      <c r="F242" s="328"/>
      <c r="G242" s="328"/>
      <c r="H242" s="328"/>
      <c r="I242" s="580"/>
      <c r="J242" s="326"/>
      <c r="K242" s="342"/>
      <c r="L242" s="326"/>
      <c r="M242" s="338"/>
      <c r="N242" s="338"/>
      <c r="O242" s="338"/>
      <c r="P242" s="338"/>
      <c r="Q242" s="338"/>
      <c r="R242" s="338"/>
      <c r="S242" s="326"/>
      <c r="T242" s="326"/>
      <c r="U242" s="326"/>
      <c r="V242" s="326"/>
      <c r="W242" s="326"/>
      <c r="X242" s="326"/>
      <c r="Y242" s="326"/>
      <c r="Z242" s="326"/>
      <c r="AA242" s="326"/>
      <c r="AB242" s="326"/>
      <c r="AC242" s="326"/>
      <c r="AD242" s="326"/>
      <c r="AE242" s="326"/>
      <c r="AF242" s="326"/>
      <c r="AG242" s="326"/>
      <c r="AH242" s="326"/>
      <c r="AI242" s="326"/>
      <c r="AJ242" s="326"/>
      <c r="AK242" s="21"/>
      <c r="AL242" s="21"/>
      <c r="AM242" s="19"/>
      <c r="AN242" s="19"/>
    </row>
    <row r="243" spans="1:40">
      <c r="A243" s="19"/>
      <c r="B243" s="326"/>
      <c r="C243" s="326"/>
      <c r="D243" s="326"/>
      <c r="E243" s="579"/>
      <c r="F243" s="328"/>
      <c r="G243" s="328"/>
      <c r="H243" s="328"/>
      <c r="I243" s="580"/>
      <c r="J243" s="326"/>
      <c r="K243" s="342"/>
      <c r="L243" s="326"/>
      <c r="M243" s="338"/>
      <c r="N243" s="338"/>
      <c r="O243" s="338"/>
      <c r="P243" s="338"/>
      <c r="Q243" s="338"/>
      <c r="R243" s="338"/>
      <c r="S243" s="326"/>
      <c r="T243" s="326"/>
      <c r="U243" s="326"/>
      <c r="V243" s="326"/>
      <c r="W243" s="326"/>
      <c r="X243" s="326"/>
      <c r="Y243" s="326"/>
      <c r="Z243" s="326"/>
      <c r="AA243" s="326"/>
      <c r="AB243" s="326"/>
      <c r="AC243" s="326"/>
      <c r="AD243" s="326"/>
      <c r="AE243" s="326"/>
      <c r="AF243" s="326"/>
      <c r="AG243" s="326"/>
      <c r="AH243" s="326"/>
      <c r="AI243" s="326"/>
      <c r="AJ243" s="326"/>
      <c r="AK243" s="21"/>
      <c r="AL243" s="21"/>
      <c r="AM243" s="19"/>
      <c r="AN243" s="19"/>
    </row>
    <row r="244" spans="1:40">
      <c r="A244" s="19"/>
      <c r="B244" s="326"/>
      <c r="C244" s="326"/>
      <c r="D244" s="326"/>
      <c r="E244" s="579"/>
      <c r="F244" s="328"/>
      <c r="G244" s="328"/>
      <c r="H244" s="328"/>
      <c r="I244" s="580"/>
      <c r="J244" s="326"/>
      <c r="K244" s="342"/>
      <c r="L244" s="326"/>
      <c r="M244" s="338"/>
      <c r="N244" s="338"/>
      <c r="O244" s="338"/>
      <c r="P244" s="338"/>
      <c r="Q244" s="338"/>
      <c r="R244" s="338"/>
      <c r="S244" s="326"/>
      <c r="T244" s="326"/>
      <c r="U244" s="326"/>
      <c r="V244" s="326"/>
      <c r="W244" s="326"/>
      <c r="X244" s="326"/>
      <c r="Y244" s="326"/>
      <c r="Z244" s="326"/>
      <c r="AA244" s="326"/>
      <c r="AB244" s="326"/>
      <c r="AC244" s="326"/>
      <c r="AD244" s="326"/>
      <c r="AE244" s="326"/>
      <c r="AF244" s="326"/>
      <c r="AG244" s="326"/>
      <c r="AH244" s="326"/>
      <c r="AI244" s="326"/>
      <c r="AJ244" s="326"/>
      <c r="AK244" s="21"/>
      <c r="AL244" s="21"/>
      <c r="AM244" s="19"/>
      <c r="AN244" s="19"/>
    </row>
    <row r="245" spans="1:40">
      <c r="A245" s="19"/>
      <c r="B245" s="326"/>
      <c r="C245" s="326"/>
      <c r="D245" s="326"/>
      <c r="E245" s="579"/>
      <c r="F245" s="328"/>
      <c r="G245" s="328"/>
      <c r="H245" s="328"/>
      <c r="I245" s="580"/>
      <c r="J245" s="326"/>
      <c r="K245" s="342"/>
      <c r="L245" s="326"/>
      <c r="M245" s="338"/>
      <c r="N245" s="338"/>
      <c r="O245" s="338"/>
      <c r="P245" s="338"/>
      <c r="Q245" s="338"/>
      <c r="R245" s="338"/>
      <c r="S245" s="326"/>
      <c r="T245" s="326"/>
      <c r="U245" s="326"/>
      <c r="V245" s="326"/>
      <c r="W245" s="326"/>
      <c r="X245" s="326"/>
      <c r="Y245" s="326"/>
      <c r="Z245" s="326"/>
      <c r="AA245" s="326"/>
      <c r="AB245" s="326"/>
      <c r="AC245" s="326"/>
      <c r="AD245" s="326"/>
      <c r="AE245" s="326"/>
      <c r="AF245" s="326"/>
      <c r="AG245" s="326"/>
      <c r="AH245" s="326"/>
      <c r="AI245" s="326"/>
      <c r="AJ245" s="326"/>
      <c r="AK245" s="21"/>
      <c r="AL245" s="21"/>
      <c r="AM245" s="19"/>
      <c r="AN245" s="19"/>
    </row>
    <row r="246" spans="1:40">
      <c r="A246" s="19"/>
      <c r="B246" s="326"/>
      <c r="C246" s="326"/>
      <c r="D246" s="326"/>
      <c r="E246" s="579"/>
      <c r="F246" s="328"/>
      <c r="G246" s="328"/>
      <c r="H246" s="328"/>
      <c r="I246" s="580"/>
      <c r="J246" s="326"/>
      <c r="K246" s="342"/>
      <c r="L246" s="326"/>
      <c r="M246" s="338"/>
      <c r="N246" s="338"/>
      <c r="O246" s="338"/>
      <c r="P246" s="338"/>
      <c r="Q246" s="338"/>
      <c r="R246" s="338"/>
      <c r="S246" s="326"/>
      <c r="T246" s="326"/>
      <c r="U246" s="326"/>
      <c r="V246" s="326"/>
      <c r="W246" s="326"/>
      <c r="X246" s="326"/>
      <c r="Y246" s="326"/>
      <c r="Z246" s="326"/>
      <c r="AA246" s="326"/>
      <c r="AB246" s="326"/>
      <c r="AC246" s="326"/>
      <c r="AD246" s="326"/>
      <c r="AE246" s="326"/>
      <c r="AF246" s="326"/>
      <c r="AG246" s="326"/>
      <c r="AH246" s="326"/>
      <c r="AI246" s="326"/>
      <c r="AJ246" s="326"/>
      <c r="AK246" s="21"/>
      <c r="AL246" s="21"/>
      <c r="AM246" s="19"/>
      <c r="AN246" s="19"/>
    </row>
    <row r="247" spans="1:40">
      <c r="A247" s="19"/>
      <c r="B247" s="326"/>
      <c r="C247" s="326"/>
      <c r="D247" s="326"/>
      <c r="E247" s="579"/>
      <c r="F247" s="328"/>
      <c r="G247" s="328"/>
      <c r="H247" s="328"/>
      <c r="I247" s="580"/>
      <c r="J247" s="326"/>
      <c r="K247" s="342"/>
      <c r="L247" s="326"/>
      <c r="M247" s="338"/>
      <c r="N247" s="338"/>
      <c r="O247" s="338"/>
      <c r="P247" s="338"/>
      <c r="Q247" s="338"/>
      <c r="R247" s="338"/>
      <c r="S247" s="326"/>
      <c r="T247" s="326"/>
      <c r="U247" s="326"/>
      <c r="V247" s="326"/>
      <c r="W247" s="326"/>
      <c r="X247" s="326"/>
      <c r="Y247" s="326"/>
      <c r="Z247" s="326"/>
      <c r="AA247" s="326"/>
      <c r="AB247" s="326"/>
      <c r="AC247" s="326"/>
      <c r="AD247" s="326"/>
      <c r="AE247" s="326"/>
      <c r="AF247" s="326"/>
      <c r="AG247" s="326"/>
      <c r="AH247" s="326"/>
      <c r="AI247" s="326"/>
      <c r="AJ247" s="326"/>
      <c r="AK247" s="21"/>
      <c r="AL247" s="21"/>
      <c r="AM247" s="19"/>
      <c r="AN247" s="19"/>
    </row>
    <row r="248" spans="1:40">
      <c r="A248" s="19"/>
      <c r="B248" s="326"/>
      <c r="C248" s="326"/>
      <c r="D248" s="326"/>
      <c r="E248" s="579"/>
      <c r="F248" s="328"/>
      <c r="G248" s="328"/>
      <c r="H248" s="328"/>
      <c r="I248" s="580"/>
      <c r="J248" s="326"/>
      <c r="K248" s="342"/>
      <c r="L248" s="326"/>
      <c r="M248" s="338"/>
      <c r="N248" s="338"/>
      <c r="O248" s="338"/>
      <c r="P248" s="338"/>
      <c r="Q248" s="338"/>
      <c r="R248" s="338"/>
      <c r="S248" s="326"/>
      <c r="T248" s="326"/>
      <c r="U248" s="326"/>
      <c r="V248" s="326"/>
      <c r="W248" s="326"/>
      <c r="X248" s="326"/>
      <c r="Y248" s="326"/>
      <c r="Z248" s="326"/>
      <c r="AA248" s="326"/>
      <c r="AB248" s="326"/>
      <c r="AC248" s="326"/>
      <c r="AD248" s="326"/>
      <c r="AE248" s="326"/>
      <c r="AF248" s="326"/>
      <c r="AG248" s="326"/>
      <c r="AH248" s="326"/>
      <c r="AI248" s="326"/>
      <c r="AJ248" s="326"/>
      <c r="AK248" s="21"/>
      <c r="AL248" s="21"/>
      <c r="AM248" s="19"/>
      <c r="AN248" s="19"/>
    </row>
    <row r="249" spans="1:40">
      <c r="A249" s="19"/>
      <c r="B249" s="326"/>
      <c r="C249" s="326"/>
      <c r="D249" s="326"/>
      <c r="E249" s="579"/>
      <c r="F249" s="328"/>
      <c r="G249" s="328"/>
      <c r="H249" s="328"/>
      <c r="I249" s="580"/>
      <c r="J249" s="326"/>
      <c r="K249" s="342"/>
      <c r="L249" s="326"/>
      <c r="M249" s="338"/>
      <c r="N249" s="338"/>
      <c r="O249" s="338"/>
      <c r="P249" s="338"/>
      <c r="Q249" s="338"/>
      <c r="R249" s="338"/>
      <c r="S249" s="326"/>
      <c r="T249" s="326"/>
      <c r="U249" s="326"/>
      <c r="V249" s="326"/>
      <c r="W249" s="326"/>
      <c r="X249" s="326"/>
      <c r="Y249" s="326"/>
      <c r="Z249" s="326"/>
      <c r="AA249" s="326"/>
      <c r="AB249" s="326"/>
      <c r="AC249" s="326"/>
      <c r="AD249" s="326"/>
      <c r="AE249" s="326"/>
      <c r="AF249" s="326"/>
      <c r="AG249" s="326"/>
      <c r="AH249" s="326"/>
      <c r="AI249" s="326"/>
      <c r="AJ249" s="326"/>
      <c r="AK249" s="21"/>
      <c r="AL249" s="21"/>
      <c r="AM249" s="19"/>
      <c r="AN249" s="19"/>
    </row>
    <row r="250" spans="1:40">
      <c r="A250" s="19"/>
      <c r="B250" s="326"/>
      <c r="C250" s="326"/>
      <c r="D250" s="326"/>
      <c r="E250" s="579"/>
      <c r="F250" s="328"/>
      <c r="G250" s="328"/>
      <c r="H250" s="328"/>
      <c r="I250" s="580"/>
      <c r="J250" s="326"/>
      <c r="K250" s="342"/>
      <c r="L250" s="326"/>
      <c r="M250" s="338"/>
      <c r="N250" s="338"/>
      <c r="O250" s="338"/>
      <c r="P250" s="338"/>
      <c r="Q250" s="338"/>
      <c r="R250" s="338"/>
      <c r="S250" s="326"/>
      <c r="T250" s="326"/>
      <c r="U250" s="326"/>
      <c r="V250" s="326"/>
      <c r="W250" s="326"/>
      <c r="X250" s="326"/>
      <c r="Y250" s="326"/>
      <c r="Z250" s="326"/>
      <c r="AA250" s="326"/>
      <c r="AB250" s="326"/>
      <c r="AC250" s="326"/>
      <c r="AD250" s="326"/>
      <c r="AE250" s="326"/>
      <c r="AF250" s="326"/>
      <c r="AG250" s="326"/>
      <c r="AH250" s="326"/>
      <c r="AI250" s="326"/>
      <c r="AJ250" s="326"/>
      <c r="AK250" s="21"/>
      <c r="AL250" s="21"/>
      <c r="AM250" s="19"/>
      <c r="AN250" s="19"/>
    </row>
    <row r="251" spans="1:40">
      <c r="A251" s="19"/>
      <c r="B251" s="326"/>
      <c r="C251" s="326"/>
      <c r="D251" s="326"/>
      <c r="E251" s="579"/>
      <c r="F251" s="328"/>
      <c r="G251" s="328"/>
      <c r="H251" s="328"/>
      <c r="I251" s="580"/>
      <c r="J251" s="326"/>
      <c r="K251" s="342"/>
      <c r="L251" s="326"/>
      <c r="M251" s="338"/>
      <c r="N251" s="338"/>
      <c r="O251" s="338"/>
      <c r="P251" s="338"/>
      <c r="Q251" s="338"/>
      <c r="R251" s="338"/>
      <c r="S251" s="326"/>
      <c r="T251" s="326"/>
      <c r="U251" s="326"/>
      <c r="V251" s="326"/>
      <c r="W251" s="326"/>
      <c r="X251" s="326"/>
      <c r="Y251" s="326"/>
      <c r="Z251" s="326"/>
      <c r="AA251" s="326"/>
      <c r="AB251" s="326"/>
      <c r="AC251" s="326"/>
      <c r="AD251" s="326"/>
      <c r="AE251" s="326"/>
      <c r="AF251" s="326"/>
      <c r="AG251" s="326"/>
      <c r="AH251" s="326"/>
      <c r="AI251" s="326"/>
      <c r="AJ251" s="326"/>
      <c r="AK251" s="21"/>
      <c r="AL251" s="21"/>
      <c r="AM251" s="19"/>
      <c r="AN251" s="19"/>
    </row>
    <row r="252" spans="1:40">
      <c r="A252" s="19"/>
      <c r="B252" s="326"/>
      <c r="C252" s="326"/>
      <c r="D252" s="326"/>
      <c r="E252" s="579"/>
      <c r="F252" s="328"/>
      <c r="G252" s="328"/>
      <c r="H252" s="328"/>
      <c r="I252" s="580"/>
      <c r="J252" s="326"/>
      <c r="K252" s="342"/>
      <c r="L252" s="326"/>
      <c r="M252" s="338"/>
      <c r="N252" s="338"/>
      <c r="O252" s="338"/>
      <c r="P252" s="338"/>
      <c r="Q252" s="338"/>
      <c r="R252" s="338"/>
      <c r="S252" s="326"/>
      <c r="T252" s="326"/>
      <c r="U252" s="326"/>
      <c r="V252" s="326"/>
      <c r="W252" s="326"/>
      <c r="X252" s="326"/>
      <c r="Y252" s="326"/>
      <c r="Z252" s="326"/>
      <c r="AA252" s="326"/>
      <c r="AB252" s="326"/>
      <c r="AC252" s="326"/>
      <c r="AD252" s="326"/>
      <c r="AE252" s="326"/>
      <c r="AF252" s="326"/>
      <c r="AG252" s="326"/>
      <c r="AH252" s="326"/>
      <c r="AI252" s="326"/>
      <c r="AJ252" s="326"/>
      <c r="AK252" s="21"/>
      <c r="AL252" s="21"/>
      <c r="AM252" s="19"/>
      <c r="AN252" s="19"/>
    </row>
    <row r="253" spans="1:40">
      <c r="A253" s="19"/>
      <c r="B253" s="326"/>
      <c r="C253" s="326"/>
      <c r="D253" s="326"/>
      <c r="E253" s="579"/>
      <c r="F253" s="328"/>
      <c r="G253" s="328"/>
      <c r="H253" s="328"/>
      <c r="I253" s="580"/>
      <c r="J253" s="326"/>
      <c r="K253" s="342"/>
      <c r="L253" s="326"/>
      <c r="M253" s="338"/>
      <c r="N253" s="338"/>
      <c r="O253" s="338"/>
      <c r="P253" s="338"/>
      <c r="Q253" s="338"/>
      <c r="R253" s="338"/>
      <c r="S253" s="326"/>
      <c r="T253" s="326"/>
      <c r="U253" s="326"/>
      <c r="V253" s="326"/>
      <c r="W253" s="326"/>
      <c r="X253" s="326"/>
      <c r="Y253" s="326"/>
      <c r="Z253" s="326"/>
      <c r="AA253" s="326"/>
      <c r="AB253" s="326"/>
      <c r="AC253" s="326"/>
      <c r="AD253" s="326"/>
      <c r="AE253" s="326"/>
      <c r="AF253" s="326"/>
      <c r="AG253" s="326"/>
      <c r="AH253" s="326"/>
      <c r="AI253" s="326"/>
      <c r="AJ253" s="326"/>
      <c r="AK253" s="21"/>
      <c r="AL253" s="21"/>
      <c r="AM253" s="19"/>
      <c r="AN253" s="19"/>
    </row>
    <row r="254" spans="1:40">
      <c r="A254" s="19"/>
      <c r="B254" s="326"/>
      <c r="C254" s="326"/>
      <c r="D254" s="326"/>
      <c r="E254" s="579"/>
      <c r="F254" s="328"/>
      <c r="G254" s="328"/>
      <c r="H254" s="328"/>
      <c r="I254" s="580"/>
      <c r="J254" s="326"/>
      <c r="K254" s="342"/>
      <c r="L254" s="326"/>
      <c r="M254" s="338"/>
      <c r="N254" s="338"/>
      <c r="O254" s="338"/>
      <c r="P254" s="338"/>
      <c r="Q254" s="338"/>
      <c r="R254" s="338"/>
      <c r="S254" s="326"/>
      <c r="T254" s="326"/>
      <c r="U254" s="326"/>
      <c r="V254" s="326"/>
      <c r="W254" s="326"/>
      <c r="X254" s="326"/>
      <c r="Y254" s="326"/>
      <c r="Z254" s="326"/>
      <c r="AA254" s="326"/>
      <c r="AB254" s="326"/>
      <c r="AC254" s="326"/>
      <c r="AD254" s="326"/>
      <c r="AE254" s="326"/>
      <c r="AF254" s="326"/>
      <c r="AG254" s="326"/>
      <c r="AH254" s="326"/>
      <c r="AI254" s="326"/>
      <c r="AJ254" s="326"/>
      <c r="AK254" s="21"/>
      <c r="AL254" s="21"/>
      <c r="AM254" s="19"/>
      <c r="AN254" s="19"/>
    </row>
    <row r="255" spans="1:40">
      <c r="A255" s="19"/>
      <c r="B255" s="326"/>
      <c r="C255" s="326"/>
      <c r="D255" s="326"/>
      <c r="E255" s="579"/>
      <c r="F255" s="328"/>
      <c r="G255" s="328"/>
      <c r="H255" s="328"/>
      <c r="I255" s="580"/>
      <c r="J255" s="326"/>
      <c r="K255" s="342"/>
      <c r="L255" s="326"/>
      <c r="M255" s="338"/>
      <c r="N255" s="338"/>
      <c r="O255" s="338"/>
      <c r="P255" s="338"/>
      <c r="Q255" s="338"/>
      <c r="R255" s="338"/>
      <c r="S255" s="326"/>
      <c r="T255" s="326"/>
      <c r="U255" s="326"/>
      <c r="V255" s="326"/>
      <c r="W255" s="326"/>
      <c r="X255" s="326"/>
      <c r="Y255" s="326"/>
      <c r="Z255" s="326"/>
      <c r="AA255" s="326"/>
      <c r="AB255" s="326"/>
      <c r="AC255" s="326"/>
      <c r="AD255" s="326"/>
      <c r="AE255" s="326"/>
      <c r="AF255" s="326"/>
      <c r="AG255" s="326"/>
      <c r="AH255" s="326"/>
      <c r="AI255" s="326"/>
      <c r="AJ255" s="326"/>
      <c r="AK255" s="21"/>
      <c r="AL255" s="21"/>
      <c r="AM255" s="19"/>
      <c r="AN255" s="19"/>
    </row>
    <row r="256" spans="1:40">
      <c r="A256" s="19"/>
      <c r="B256" s="326"/>
      <c r="C256" s="326"/>
      <c r="D256" s="326"/>
      <c r="E256" s="579"/>
      <c r="F256" s="328"/>
      <c r="G256" s="328"/>
      <c r="H256" s="328"/>
      <c r="I256" s="580"/>
      <c r="J256" s="326"/>
      <c r="K256" s="342"/>
      <c r="L256" s="326"/>
      <c r="M256" s="338"/>
      <c r="N256" s="338"/>
      <c r="O256" s="338"/>
      <c r="P256" s="338"/>
      <c r="Q256" s="338"/>
      <c r="R256" s="338"/>
      <c r="S256" s="326"/>
      <c r="T256" s="326"/>
      <c r="U256" s="326"/>
      <c r="V256" s="326"/>
      <c r="W256" s="326"/>
      <c r="X256" s="326"/>
      <c r="Y256" s="326"/>
      <c r="Z256" s="326"/>
      <c r="AA256" s="326"/>
      <c r="AB256" s="326"/>
      <c r="AC256" s="326"/>
      <c r="AD256" s="326"/>
      <c r="AE256" s="326"/>
      <c r="AF256" s="326"/>
      <c r="AG256" s="326"/>
      <c r="AH256" s="326"/>
      <c r="AI256" s="326"/>
      <c r="AJ256" s="326"/>
      <c r="AK256" s="21"/>
      <c r="AL256" s="21"/>
      <c r="AM256" s="19"/>
      <c r="AN256" s="19"/>
    </row>
    <row r="257" spans="1:40">
      <c r="A257" s="19"/>
      <c r="B257" s="326"/>
      <c r="C257" s="326"/>
      <c r="D257" s="326"/>
      <c r="E257" s="579"/>
      <c r="F257" s="328"/>
      <c r="G257" s="328"/>
      <c r="H257" s="328"/>
      <c r="I257" s="580"/>
      <c r="J257" s="326"/>
      <c r="K257" s="342"/>
      <c r="L257" s="326"/>
      <c r="M257" s="338"/>
      <c r="N257" s="338"/>
      <c r="O257" s="338"/>
      <c r="P257" s="338"/>
      <c r="Q257" s="338"/>
      <c r="R257" s="338"/>
      <c r="S257" s="326"/>
      <c r="T257" s="326"/>
      <c r="U257" s="326"/>
      <c r="V257" s="326"/>
      <c r="W257" s="326"/>
      <c r="X257" s="326"/>
      <c r="Y257" s="326"/>
      <c r="Z257" s="326"/>
      <c r="AA257" s="326"/>
      <c r="AB257" s="326"/>
      <c r="AC257" s="326"/>
      <c r="AD257" s="326"/>
      <c r="AE257" s="326"/>
      <c r="AF257" s="326"/>
      <c r="AG257" s="326"/>
      <c r="AH257" s="326"/>
      <c r="AI257" s="326"/>
      <c r="AJ257" s="326"/>
      <c r="AK257" s="21"/>
      <c r="AL257" s="21"/>
      <c r="AM257" s="19"/>
      <c r="AN257" s="19"/>
    </row>
    <row r="258" spans="1:40">
      <c r="A258" s="19"/>
      <c r="B258" s="326"/>
      <c r="C258" s="326"/>
      <c r="D258" s="326"/>
      <c r="E258" s="579"/>
      <c r="F258" s="328"/>
      <c r="G258" s="328"/>
      <c r="H258" s="328"/>
      <c r="I258" s="580"/>
      <c r="J258" s="326"/>
      <c r="K258" s="342"/>
      <c r="L258" s="326"/>
      <c r="M258" s="338"/>
      <c r="N258" s="338"/>
      <c r="O258" s="338"/>
      <c r="P258" s="338"/>
      <c r="Q258" s="338"/>
      <c r="R258" s="338"/>
      <c r="S258" s="326"/>
      <c r="T258" s="326"/>
      <c r="U258" s="326"/>
      <c r="V258" s="326"/>
      <c r="W258" s="326"/>
      <c r="X258" s="326"/>
      <c r="Y258" s="326"/>
      <c r="Z258" s="326"/>
      <c r="AA258" s="326"/>
      <c r="AB258" s="326"/>
      <c r="AC258" s="326"/>
      <c r="AD258" s="326"/>
      <c r="AE258" s="326"/>
      <c r="AF258" s="326"/>
      <c r="AG258" s="326"/>
      <c r="AH258" s="326"/>
      <c r="AI258" s="326"/>
      <c r="AJ258" s="326"/>
      <c r="AK258" s="21"/>
      <c r="AL258" s="21"/>
      <c r="AM258" s="19"/>
      <c r="AN258" s="19"/>
    </row>
    <row r="259" spans="1:40">
      <c r="A259" s="19"/>
      <c r="B259" s="326"/>
      <c r="C259" s="326"/>
      <c r="D259" s="326"/>
      <c r="E259" s="579"/>
      <c r="F259" s="328"/>
      <c r="G259" s="328"/>
      <c r="H259" s="328"/>
      <c r="I259" s="580"/>
      <c r="J259" s="326"/>
      <c r="K259" s="342"/>
      <c r="L259" s="326"/>
      <c r="M259" s="338"/>
      <c r="N259" s="338"/>
      <c r="O259" s="338"/>
      <c r="P259" s="338"/>
      <c r="Q259" s="338"/>
      <c r="R259" s="338"/>
      <c r="S259" s="326"/>
      <c r="T259" s="326"/>
      <c r="U259" s="326"/>
      <c r="V259" s="326"/>
      <c r="W259" s="326"/>
      <c r="X259" s="326"/>
      <c r="Y259" s="326"/>
      <c r="Z259" s="326"/>
      <c r="AA259" s="326"/>
      <c r="AB259" s="326"/>
      <c r="AC259" s="326"/>
      <c r="AD259" s="326"/>
      <c r="AE259" s="326"/>
      <c r="AF259" s="326"/>
      <c r="AG259" s="326"/>
      <c r="AH259" s="326"/>
      <c r="AI259" s="326"/>
      <c r="AJ259" s="326"/>
      <c r="AK259" s="21"/>
      <c r="AL259" s="21"/>
      <c r="AM259" s="19"/>
      <c r="AN259" s="19"/>
    </row>
    <row r="260" spans="1:40">
      <c r="A260" s="19"/>
      <c r="B260" s="326"/>
      <c r="C260" s="326"/>
      <c r="D260" s="326"/>
      <c r="E260" s="579"/>
      <c r="F260" s="328"/>
      <c r="G260" s="328"/>
      <c r="H260" s="328"/>
      <c r="I260" s="580"/>
      <c r="J260" s="326"/>
      <c r="K260" s="342"/>
      <c r="L260" s="326"/>
      <c r="M260" s="338"/>
      <c r="N260" s="338"/>
      <c r="O260" s="338"/>
      <c r="P260" s="338"/>
      <c r="Q260" s="338"/>
      <c r="R260" s="338"/>
      <c r="S260" s="326"/>
      <c r="T260" s="326"/>
      <c r="U260" s="326"/>
      <c r="V260" s="326"/>
      <c r="W260" s="326"/>
      <c r="X260" s="326"/>
      <c r="Y260" s="326"/>
      <c r="Z260" s="326"/>
      <c r="AA260" s="326"/>
      <c r="AB260" s="326"/>
      <c r="AC260" s="326"/>
      <c r="AD260" s="326"/>
      <c r="AE260" s="326"/>
      <c r="AF260" s="326"/>
      <c r="AG260" s="326"/>
      <c r="AH260" s="326"/>
      <c r="AI260" s="326"/>
      <c r="AJ260" s="326"/>
      <c r="AK260" s="21"/>
      <c r="AL260" s="21"/>
      <c r="AM260" s="19"/>
      <c r="AN260" s="19"/>
    </row>
    <row r="261" spans="1:40">
      <c r="A261" s="19"/>
      <c r="B261" s="326"/>
      <c r="C261" s="326"/>
      <c r="D261" s="326"/>
      <c r="E261" s="579"/>
      <c r="F261" s="328"/>
      <c r="G261" s="328"/>
      <c r="H261" s="328"/>
      <c r="I261" s="580"/>
      <c r="J261" s="326"/>
      <c r="K261" s="342"/>
      <c r="L261" s="326"/>
      <c r="M261" s="338"/>
      <c r="N261" s="338"/>
      <c r="O261" s="338"/>
      <c r="P261" s="338"/>
      <c r="Q261" s="338"/>
      <c r="R261" s="338"/>
      <c r="S261" s="326"/>
      <c r="T261" s="326"/>
      <c r="U261" s="326"/>
      <c r="V261" s="326"/>
      <c r="W261" s="326"/>
      <c r="X261" s="326"/>
      <c r="Y261" s="326"/>
      <c r="Z261" s="326"/>
      <c r="AA261" s="326"/>
      <c r="AB261" s="326"/>
      <c r="AC261" s="326"/>
      <c r="AD261" s="326"/>
      <c r="AE261" s="326"/>
      <c r="AF261" s="326"/>
      <c r="AG261" s="326"/>
      <c r="AH261" s="326"/>
      <c r="AI261" s="326"/>
      <c r="AJ261" s="326"/>
      <c r="AK261" s="21"/>
      <c r="AL261" s="21"/>
      <c r="AM261" s="19"/>
      <c r="AN261" s="19"/>
    </row>
    <row r="262" spans="1:40">
      <c r="A262" s="19"/>
      <c r="B262" s="326"/>
      <c r="C262" s="326"/>
      <c r="D262" s="326"/>
      <c r="E262" s="579"/>
      <c r="F262" s="328"/>
      <c r="G262" s="328"/>
      <c r="H262" s="328"/>
      <c r="I262" s="580"/>
      <c r="J262" s="326"/>
      <c r="K262" s="342"/>
      <c r="L262" s="326"/>
      <c r="M262" s="338"/>
      <c r="N262" s="338"/>
      <c r="O262" s="338"/>
      <c r="P262" s="338"/>
      <c r="Q262" s="338"/>
      <c r="R262" s="338"/>
      <c r="S262" s="326"/>
      <c r="T262" s="326"/>
      <c r="U262" s="326"/>
      <c r="V262" s="326"/>
      <c r="W262" s="326"/>
      <c r="X262" s="326"/>
      <c r="Y262" s="326"/>
      <c r="Z262" s="326"/>
      <c r="AA262" s="326"/>
      <c r="AB262" s="326"/>
      <c r="AC262" s="326"/>
      <c r="AD262" s="326"/>
      <c r="AE262" s="326"/>
      <c r="AF262" s="326"/>
      <c r="AG262" s="326"/>
      <c r="AH262" s="326"/>
      <c r="AI262" s="326"/>
      <c r="AJ262" s="326"/>
      <c r="AK262" s="21"/>
      <c r="AL262" s="21"/>
      <c r="AM262" s="19"/>
      <c r="AN262" s="19"/>
    </row>
    <row r="263" spans="1:40">
      <c r="A263" s="19"/>
      <c r="B263" s="326"/>
      <c r="C263" s="326"/>
      <c r="D263" s="326"/>
      <c r="E263" s="579"/>
      <c r="F263" s="328"/>
      <c r="G263" s="328"/>
      <c r="H263" s="328"/>
      <c r="I263" s="580"/>
      <c r="J263" s="326"/>
      <c r="K263" s="342"/>
      <c r="L263" s="326"/>
      <c r="M263" s="338"/>
      <c r="N263" s="338"/>
      <c r="O263" s="338"/>
      <c r="P263" s="338"/>
      <c r="Q263" s="338"/>
      <c r="R263" s="338"/>
      <c r="S263" s="326"/>
      <c r="T263" s="326"/>
      <c r="U263" s="326"/>
      <c r="V263" s="326"/>
      <c r="W263" s="326"/>
      <c r="X263" s="326"/>
      <c r="Y263" s="326"/>
      <c r="Z263" s="326"/>
      <c r="AA263" s="326"/>
      <c r="AB263" s="326"/>
      <c r="AC263" s="326"/>
      <c r="AD263" s="326"/>
      <c r="AE263" s="326"/>
      <c r="AF263" s="326"/>
      <c r="AG263" s="326"/>
      <c r="AH263" s="326"/>
      <c r="AI263" s="326"/>
      <c r="AJ263" s="326"/>
      <c r="AK263" s="21"/>
      <c r="AL263" s="21"/>
      <c r="AM263" s="19"/>
      <c r="AN263" s="19"/>
    </row>
    <row r="264" spans="1:40">
      <c r="A264" s="19"/>
      <c r="B264" s="326"/>
      <c r="C264" s="326"/>
      <c r="D264" s="326"/>
      <c r="E264" s="579"/>
      <c r="F264" s="328"/>
      <c r="G264" s="328"/>
      <c r="H264" s="328"/>
      <c r="I264" s="580"/>
      <c r="J264" s="326"/>
      <c r="K264" s="342"/>
      <c r="L264" s="326"/>
      <c r="M264" s="338"/>
      <c r="N264" s="338"/>
      <c r="O264" s="338"/>
      <c r="P264" s="338"/>
      <c r="Q264" s="338"/>
      <c r="R264" s="338"/>
      <c r="S264" s="326"/>
      <c r="T264" s="326"/>
      <c r="U264" s="326"/>
      <c r="V264" s="326"/>
      <c r="W264" s="326"/>
      <c r="X264" s="326"/>
      <c r="Y264" s="326"/>
      <c r="Z264" s="326"/>
      <c r="AA264" s="326"/>
      <c r="AB264" s="326"/>
      <c r="AC264" s="326"/>
      <c r="AD264" s="326"/>
      <c r="AE264" s="326"/>
      <c r="AF264" s="326"/>
      <c r="AG264" s="326"/>
      <c r="AH264" s="326"/>
      <c r="AI264" s="326"/>
      <c r="AJ264" s="326"/>
      <c r="AK264" s="21"/>
      <c r="AL264" s="21"/>
      <c r="AM264" s="19"/>
      <c r="AN264" s="19"/>
    </row>
    <row r="265" spans="1:40">
      <c r="A265" s="19"/>
      <c r="B265" s="326"/>
      <c r="C265" s="326"/>
      <c r="D265" s="326"/>
      <c r="E265" s="579"/>
      <c r="F265" s="328"/>
      <c r="G265" s="328"/>
      <c r="H265" s="328"/>
      <c r="I265" s="580"/>
      <c r="J265" s="326"/>
      <c r="K265" s="342"/>
      <c r="L265" s="326"/>
      <c r="M265" s="338"/>
      <c r="N265" s="338"/>
      <c r="O265" s="338"/>
      <c r="P265" s="338"/>
      <c r="Q265" s="338"/>
      <c r="R265" s="338"/>
      <c r="S265" s="326"/>
      <c r="T265" s="326"/>
      <c r="U265" s="326"/>
      <c r="V265" s="326"/>
      <c r="W265" s="326"/>
      <c r="X265" s="326"/>
      <c r="Y265" s="326"/>
      <c r="Z265" s="326"/>
      <c r="AA265" s="326"/>
      <c r="AB265" s="326"/>
      <c r="AC265" s="326"/>
      <c r="AD265" s="326"/>
      <c r="AE265" s="326"/>
      <c r="AF265" s="326"/>
      <c r="AG265" s="326"/>
      <c r="AH265" s="326"/>
      <c r="AI265" s="326"/>
      <c r="AJ265" s="326"/>
      <c r="AK265" s="21"/>
      <c r="AL265" s="21"/>
      <c r="AM265" s="19"/>
      <c r="AN265" s="19"/>
    </row>
    <row r="266" spans="1:40">
      <c r="A266" s="19"/>
      <c r="B266" s="326"/>
      <c r="C266" s="326"/>
      <c r="D266" s="326"/>
      <c r="E266" s="579"/>
      <c r="F266" s="328"/>
      <c r="G266" s="328"/>
      <c r="H266" s="328"/>
      <c r="I266" s="580"/>
      <c r="J266" s="326"/>
      <c r="K266" s="342"/>
      <c r="L266" s="326"/>
      <c r="M266" s="338"/>
      <c r="N266" s="338"/>
      <c r="O266" s="338"/>
      <c r="P266" s="338"/>
      <c r="Q266" s="338"/>
      <c r="R266" s="338"/>
      <c r="S266" s="326"/>
      <c r="T266" s="326"/>
      <c r="U266" s="326"/>
      <c r="V266" s="326"/>
      <c r="W266" s="326"/>
      <c r="X266" s="326"/>
      <c r="Y266" s="326"/>
      <c r="Z266" s="326"/>
      <c r="AA266" s="326"/>
      <c r="AB266" s="326"/>
      <c r="AC266" s="326"/>
      <c r="AD266" s="326"/>
      <c r="AE266" s="326"/>
      <c r="AF266" s="326"/>
      <c r="AG266" s="326"/>
      <c r="AH266" s="326"/>
      <c r="AI266" s="326"/>
      <c r="AJ266" s="326"/>
      <c r="AK266" s="21"/>
      <c r="AL266" s="21"/>
      <c r="AM266" s="19"/>
      <c r="AN266" s="19"/>
    </row>
    <row r="267" spans="1:40">
      <c r="A267" s="19"/>
      <c r="B267" s="326"/>
      <c r="C267" s="326"/>
      <c r="D267" s="326"/>
      <c r="E267" s="579"/>
      <c r="F267" s="328"/>
      <c r="G267" s="328"/>
      <c r="H267" s="328"/>
      <c r="I267" s="580"/>
      <c r="J267" s="326"/>
      <c r="K267" s="342"/>
      <c r="L267" s="326"/>
      <c r="M267" s="338"/>
      <c r="N267" s="338"/>
      <c r="O267" s="338"/>
      <c r="P267" s="338"/>
      <c r="Q267" s="338"/>
      <c r="R267" s="338"/>
      <c r="S267" s="326"/>
      <c r="T267" s="326"/>
      <c r="U267" s="326"/>
      <c r="V267" s="326"/>
      <c r="W267" s="326"/>
      <c r="X267" s="326"/>
      <c r="Y267" s="326"/>
      <c r="Z267" s="326"/>
      <c r="AA267" s="326"/>
      <c r="AB267" s="326"/>
      <c r="AC267" s="326"/>
      <c r="AD267" s="326"/>
      <c r="AE267" s="326"/>
      <c r="AF267" s="326"/>
      <c r="AG267" s="326"/>
      <c r="AH267" s="326"/>
      <c r="AI267" s="326"/>
      <c r="AJ267" s="326"/>
      <c r="AK267" s="21"/>
      <c r="AL267" s="21"/>
      <c r="AM267" s="19"/>
      <c r="AN267" s="19"/>
    </row>
    <row r="268" spans="1:40">
      <c r="A268" s="19"/>
      <c r="B268" s="326"/>
      <c r="C268" s="326"/>
      <c r="D268" s="326"/>
      <c r="E268" s="579"/>
      <c r="F268" s="328"/>
      <c r="G268" s="328"/>
      <c r="H268" s="328"/>
      <c r="I268" s="580"/>
      <c r="J268" s="326"/>
      <c r="K268" s="342"/>
      <c r="L268" s="326"/>
      <c r="M268" s="338"/>
      <c r="N268" s="338"/>
      <c r="O268" s="338"/>
      <c r="P268" s="338"/>
      <c r="Q268" s="338"/>
      <c r="R268" s="338"/>
      <c r="S268" s="326"/>
      <c r="T268" s="326"/>
      <c r="U268" s="326"/>
      <c r="V268" s="326"/>
      <c r="W268" s="326"/>
      <c r="X268" s="326"/>
      <c r="Y268" s="326"/>
      <c r="Z268" s="326"/>
      <c r="AA268" s="326"/>
      <c r="AB268" s="326"/>
      <c r="AC268" s="326"/>
      <c r="AD268" s="326"/>
      <c r="AE268" s="326"/>
      <c r="AF268" s="326"/>
      <c r="AG268" s="326"/>
      <c r="AH268" s="326"/>
      <c r="AI268" s="326"/>
      <c r="AJ268" s="326"/>
      <c r="AK268" s="21"/>
      <c r="AL268" s="21"/>
      <c r="AM268" s="19"/>
      <c r="AN268" s="19"/>
    </row>
    <row r="269" spans="1:40">
      <c r="A269" s="19"/>
      <c r="B269" s="326"/>
      <c r="C269" s="326"/>
      <c r="D269" s="326"/>
      <c r="E269" s="579"/>
      <c r="F269" s="328"/>
      <c r="G269" s="328"/>
      <c r="H269" s="328"/>
      <c r="I269" s="580"/>
      <c r="J269" s="326"/>
      <c r="K269" s="342"/>
      <c r="L269" s="326"/>
      <c r="M269" s="338"/>
      <c r="N269" s="338"/>
      <c r="O269" s="338"/>
      <c r="P269" s="338"/>
      <c r="Q269" s="338"/>
      <c r="R269" s="338"/>
      <c r="S269" s="326"/>
      <c r="T269" s="326"/>
      <c r="U269" s="326"/>
      <c r="V269" s="326"/>
      <c r="W269" s="326"/>
      <c r="X269" s="326"/>
      <c r="Y269" s="326"/>
      <c r="Z269" s="326"/>
      <c r="AA269" s="326"/>
      <c r="AB269" s="326"/>
      <c r="AC269" s="326"/>
      <c r="AD269" s="326"/>
      <c r="AE269" s="326"/>
      <c r="AF269" s="326"/>
      <c r="AG269" s="326"/>
      <c r="AH269" s="326"/>
      <c r="AI269" s="326"/>
      <c r="AJ269" s="326"/>
      <c r="AK269" s="21"/>
      <c r="AL269" s="21"/>
      <c r="AM269" s="19"/>
      <c r="AN269" s="19"/>
    </row>
    <row r="270" spans="1:40">
      <c r="A270" s="19"/>
      <c r="B270" s="326"/>
      <c r="C270" s="326"/>
      <c r="D270" s="326"/>
      <c r="E270" s="579"/>
      <c r="F270" s="328"/>
      <c r="G270" s="328"/>
      <c r="H270" s="328"/>
      <c r="I270" s="580"/>
      <c r="J270" s="326"/>
      <c r="K270" s="342"/>
      <c r="L270" s="326"/>
      <c r="M270" s="338"/>
      <c r="N270" s="338"/>
      <c r="O270" s="338"/>
      <c r="P270" s="338"/>
      <c r="Q270" s="338"/>
      <c r="R270" s="338"/>
      <c r="S270" s="326"/>
      <c r="T270" s="326"/>
      <c r="U270" s="326"/>
      <c r="V270" s="326"/>
      <c r="W270" s="326"/>
      <c r="X270" s="326"/>
      <c r="Y270" s="326"/>
      <c r="Z270" s="326"/>
      <c r="AA270" s="326"/>
      <c r="AB270" s="326"/>
      <c r="AC270" s="326"/>
      <c r="AD270" s="326"/>
      <c r="AE270" s="326"/>
      <c r="AF270" s="326"/>
      <c r="AG270" s="326"/>
      <c r="AH270" s="326"/>
      <c r="AI270" s="326"/>
      <c r="AJ270" s="326"/>
      <c r="AK270" s="21"/>
      <c r="AL270" s="21"/>
      <c r="AM270" s="19"/>
      <c r="AN270" s="19"/>
    </row>
    <row r="271" spans="1:40">
      <c r="A271" s="19"/>
      <c r="B271" s="326"/>
      <c r="C271" s="326"/>
      <c r="D271" s="326"/>
      <c r="E271" s="579"/>
      <c r="F271" s="328"/>
      <c r="G271" s="328"/>
      <c r="H271" s="328"/>
      <c r="I271" s="580"/>
      <c r="J271" s="326"/>
      <c r="K271" s="342"/>
      <c r="L271" s="326"/>
      <c r="M271" s="338"/>
      <c r="N271" s="338"/>
      <c r="O271" s="338"/>
      <c r="P271" s="338"/>
      <c r="Q271" s="338"/>
      <c r="R271" s="338"/>
      <c r="S271" s="326"/>
      <c r="T271" s="326"/>
      <c r="U271" s="326"/>
      <c r="V271" s="326"/>
      <c r="W271" s="326"/>
      <c r="X271" s="326"/>
      <c r="Y271" s="326"/>
      <c r="Z271" s="326"/>
      <c r="AA271" s="326"/>
      <c r="AB271" s="326"/>
      <c r="AC271" s="326"/>
      <c r="AD271" s="326"/>
      <c r="AE271" s="326"/>
      <c r="AF271" s="326"/>
      <c r="AG271" s="326"/>
      <c r="AH271" s="326"/>
      <c r="AI271" s="326"/>
      <c r="AJ271" s="326"/>
      <c r="AK271" s="21"/>
      <c r="AL271" s="21"/>
      <c r="AM271" s="19"/>
      <c r="AN271" s="19"/>
    </row>
    <row r="272" spans="1:40">
      <c r="A272" s="19"/>
      <c r="B272" s="326"/>
      <c r="C272" s="326"/>
      <c r="D272" s="326"/>
      <c r="E272" s="579"/>
      <c r="F272" s="328"/>
      <c r="G272" s="328"/>
      <c r="H272" s="328"/>
      <c r="I272" s="580"/>
      <c r="J272" s="326"/>
      <c r="K272" s="342"/>
      <c r="L272" s="326"/>
      <c r="M272" s="338"/>
      <c r="N272" s="338"/>
      <c r="O272" s="338"/>
      <c r="P272" s="338"/>
      <c r="Q272" s="338"/>
      <c r="R272" s="338"/>
      <c r="S272" s="326"/>
      <c r="T272" s="326"/>
      <c r="U272" s="326"/>
      <c r="V272" s="326"/>
      <c r="W272" s="326"/>
      <c r="X272" s="326"/>
      <c r="Y272" s="326"/>
      <c r="Z272" s="326"/>
      <c r="AA272" s="326"/>
      <c r="AB272" s="326"/>
      <c r="AC272" s="326"/>
      <c r="AD272" s="326"/>
      <c r="AE272" s="326"/>
      <c r="AF272" s="326"/>
      <c r="AG272" s="326"/>
      <c r="AH272" s="326"/>
      <c r="AI272" s="326"/>
      <c r="AJ272" s="326"/>
      <c r="AK272" s="21"/>
      <c r="AL272" s="21"/>
      <c r="AM272" s="19"/>
      <c r="AN272" s="19"/>
    </row>
    <row r="273" spans="1:40">
      <c r="A273" s="19"/>
      <c r="B273" s="326"/>
      <c r="C273" s="326"/>
      <c r="D273" s="326"/>
      <c r="E273" s="579"/>
      <c r="F273" s="328"/>
      <c r="G273" s="328"/>
      <c r="H273" s="328"/>
      <c r="I273" s="580"/>
      <c r="J273" s="326"/>
      <c r="K273" s="342"/>
      <c r="L273" s="326"/>
      <c r="M273" s="338"/>
      <c r="N273" s="338"/>
      <c r="O273" s="338"/>
      <c r="P273" s="338"/>
      <c r="Q273" s="338"/>
      <c r="R273" s="338"/>
      <c r="S273" s="326"/>
      <c r="T273" s="326"/>
      <c r="U273" s="326"/>
      <c r="V273" s="326"/>
      <c r="W273" s="326"/>
      <c r="X273" s="326"/>
      <c r="Y273" s="326"/>
      <c r="Z273" s="326"/>
      <c r="AA273" s="326"/>
      <c r="AB273" s="326"/>
      <c r="AC273" s="326"/>
      <c r="AD273" s="326"/>
      <c r="AE273" s="326"/>
      <c r="AF273" s="326"/>
      <c r="AG273" s="326"/>
      <c r="AH273" s="326"/>
      <c r="AI273" s="326"/>
      <c r="AJ273" s="326"/>
      <c r="AK273" s="21"/>
      <c r="AL273" s="21"/>
      <c r="AM273" s="19"/>
      <c r="AN273" s="19"/>
    </row>
    <row r="274" spans="1:40">
      <c r="A274" s="19"/>
      <c r="B274" s="326"/>
      <c r="C274" s="326"/>
      <c r="D274" s="326"/>
      <c r="E274" s="579"/>
      <c r="F274" s="328"/>
      <c r="G274" s="328"/>
      <c r="H274" s="328"/>
      <c r="I274" s="580"/>
      <c r="J274" s="326"/>
      <c r="K274" s="342"/>
      <c r="L274" s="326"/>
      <c r="M274" s="338"/>
      <c r="N274" s="338"/>
      <c r="O274" s="338"/>
      <c r="P274" s="338"/>
      <c r="Q274" s="338"/>
      <c r="R274" s="338"/>
      <c r="S274" s="326"/>
      <c r="T274" s="326"/>
      <c r="U274" s="326"/>
      <c r="V274" s="326"/>
      <c r="W274" s="326"/>
      <c r="X274" s="326"/>
      <c r="Y274" s="326"/>
      <c r="Z274" s="326"/>
      <c r="AA274" s="326"/>
      <c r="AB274" s="326"/>
      <c r="AC274" s="326"/>
      <c r="AD274" s="326"/>
      <c r="AE274" s="326"/>
      <c r="AF274" s="326"/>
      <c r="AG274" s="326"/>
      <c r="AH274" s="326"/>
      <c r="AI274" s="326"/>
      <c r="AJ274" s="326"/>
      <c r="AK274" s="21"/>
      <c r="AL274" s="21"/>
      <c r="AM274" s="19"/>
      <c r="AN274" s="19"/>
    </row>
    <row r="275" spans="1:40">
      <c r="A275" s="19"/>
      <c r="B275" s="326"/>
      <c r="C275" s="326"/>
      <c r="D275" s="326"/>
      <c r="E275" s="579"/>
      <c r="F275" s="328"/>
      <c r="G275" s="328"/>
      <c r="H275" s="328"/>
      <c r="I275" s="580"/>
      <c r="J275" s="326"/>
      <c r="K275" s="342"/>
      <c r="L275" s="326"/>
      <c r="M275" s="338"/>
      <c r="N275" s="338"/>
      <c r="O275" s="338"/>
      <c r="P275" s="338"/>
      <c r="Q275" s="338"/>
      <c r="R275" s="338"/>
      <c r="S275" s="326"/>
      <c r="T275" s="326"/>
      <c r="U275" s="326"/>
      <c r="V275" s="326"/>
      <c r="W275" s="326"/>
      <c r="X275" s="326"/>
      <c r="Y275" s="326"/>
      <c r="Z275" s="326"/>
      <c r="AA275" s="326"/>
      <c r="AB275" s="326"/>
      <c r="AC275" s="326"/>
      <c r="AD275" s="326"/>
      <c r="AE275" s="326"/>
      <c r="AF275" s="326"/>
      <c r="AG275" s="326"/>
      <c r="AH275" s="326"/>
      <c r="AI275" s="326"/>
      <c r="AJ275" s="326"/>
      <c r="AK275" s="21"/>
      <c r="AL275" s="21"/>
      <c r="AM275" s="19"/>
      <c r="AN275" s="19"/>
    </row>
    <row r="276" spans="1:40">
      <c r="A276" s="19"/>
      <c r="B276" s="326"/>
      <c r="C276" s="326"/>
      <c r="D276" s="326"/>
      <c r="E276" s="579"/>
      <c r="F276" s="328"/>
      <c r="G276" s="328"/>
      <c r="H276" s="328"/>
      <c r="I276" s="580"/>
      <c r="J276" s="326"/>
      <c r="K276" s="342"/>
      <c r="L276" s="326"/>
      <c r="M276" s="338"/>
      <c r="N276" s="338"/>
      <c r="O276" s="338"/>
      <c r="P276" s="338"/>
      <c r="Q276" s="338"/>
      <c r="R276" s="338"/>
      <c r="S276" s="326"/>
      <c r="T276" s="326"/>
      <c r="U276" s="326"/>
      <c r="V276" s="326"/>
      <c r="W276" s="326"/>
      <c r="X276" s="326"/>
      <c r="Y276" s="326"/>
      <c r="Z276" s="326"/>
      <c r="AA276" s="326"/>
      <c r="AB276" s="326"/>
      <c r="AC276" s="326"/>
      <c r="AD276" s="326"/>
      <c r="AE276" s="326"/>
      <c r="AF276" s="326"/>
      <c r="AG276" s="326"/>
      <c r="AH276" s="326"/>
      <c r="AI276" s="326"/>
      <c r="AJ276" s="326"/>
      <c r="AK276" s="21"/>
      <c r="AL276" s="21"/>
      <c r="AM276" s="19"/>
      <c r="AN276" s="19"/>
    </row>
    <row r="277" spans="1:40">
      <c r="A277" s="19"/>
      <c r="B277" s="326"/>
      <c r="C277" s="326"/>
      <c r="D277" s="326"/>
      <c r="E277" s="579"/>
      <c r="F277" s="328"/>
      <c r="G277" s="328"/>
      <c r="H277" s="328"/>
      <c r="I277" s="580"/>
      <c r="J277" s="326"/>
      <c r="K277" s="342"/>
      <c r="L277" s="326"/>
      <c r="M277" s="338"/>
      <c r="N277" s="338"/>
      <c r="O277" s="338"/>
      <c r="P277" s="338"/>
      <c r="Q277" s="338"/>
      <c r="R277" s="338"/>
      <c r="S277" s="326"/>
      <c r="T277" s="326"/>
      <c r="U277" s="326"/>
      <c r="V277" s="326"/>
      <c r="W277" s="326"/>
      <c r="X277" s="326"/>
      <c r="Y277" s="326"/>
      <c r="Z277" s="326"/>
      <c r="AA277" s="326"/>
      <c r="AB277" s="326"/>
      <c r="AC277" s="326"/>
      <c r="AD277" s="326"/>
      <c r="AE277" s="326"/>
      <c r="AF277" s="326"/>
      <c r="AG277" s="326"/>
      <c r="AH277" s="326"/>
      <c r="AI277" s="326"/>
      <c r="AJ277" s="326"/>
      <c r="AK277" s="21"/>
      <c r="AL277" s="21"/>
      <c r="AM277" s="19"/>
      <c r="AN277" s="19"/>
    </row>
    <row r="278" spans="1:40">
      <c r="A278" s="19"/>
      <c r="B278" s="326"/>
      <c r="C278" s="326"/>
      <c r="D278" s="326"/>
      <c r="E278" s="579"/>
      <c r="F278" s="328"/>
      <c r="G278" s="328"/>
      <c r="H278" s="328"/>
      <c r="I278" s="580"/>
      <c r="J278" s="326"/>
      <c r="K278" s="342"/>
      <c r="L278" s="326"/>
      <c r="M278" s="338"/>
      <c r="N278" s="338"/>
      <c r="O278" s="338"/>
      <c r="P278" s="338"/>
      <c r="Q278" s="338"/>
      <c r="R278" s="338"/>
      <c r="S278" s="326"/>
      <c r="T278" s="326"/>
      <c r="U278" s="326"/>
      <c r="V278" s="326"/>
      <c r="W278" s="326"/>
      <c r="X278" s="326"/>
      <c r="Y278" s="326"/>
      <c r="Z278" s="326"/>
      <c r="AA278" s="326"/>
      <c r="AB278" s="326"/>
      <c r="AC278" s="326"/>
      <c r="AD278" s="326"/>
      <c r="AE278" s="326"/>
      <c r="AF278" s="326"/>
      <c r="AG278" s="326"/>
      <c r="AH278" s="326"/>
      <c r="AI278" s="326"/>
      <c r="AJ278" s="326"/>
      <c r="AK278" s="21"/>
      <c r="AL278" s="21"/>
      <c r="AM278" s="19"/>
      <c r="AN278" s="19"/>
    </row>
    <row r="279" spans="1:40">
      <c r="A279" s="19"/>
      <c r="B279" s="326"/>
      <c r="C279" s="326"/>
      <c r="D279" s="326"/>
      <c r="E279" s="579"/>
      <c r="F279" s="328"/>
      <c r="G279" s="328"/>
      <c r="H279" s="328"/>
      <c r="I279" s="580"/>
      <c r="J279" s="326"/>
      <c r="K279" s="342"/>
      <c r="L279" s="326"/>
      <c r="M279" s="338"/>
      <c r="N279" s="338"/>
      <c r="O279" s="338"/>
      <c r="P279" s="338"/>
      <c r="Q279" s="338"/>
      <c r="R279" s="338"/>
      <c r="S279" s="326"/>
      <c r="T279" s="326"/>
      <c r="U279" s="326"/>
      <c r="V279" s="326"/>
      <c r="W279" s="326"/>
      <c r="X279" s="326"/>
      <c r="Y279" s="326"/>
      <c r="Z279" s="326"/>
      <c r="AA279" s="326"/>
      <c r="AB279" s="326"/>
      <c r="AC279" s="326"/>
      <c r="AD279" s="326"/>
      <c r="AE279" s="326"/>
      <c r="AF279" s="326"/>
      <c r="AG279" s="326"/>
      <c r="AH279" s="326"/>
      <c r="AI279" s="326"/>
      <c r="AJ279" s="326"/>
      <c r="AK279" s="21"/>
      <c r="AL279" s="21"/>
      <c r="AM279" s="19"/>
      <c r="AN279" s="19"/>
    </row>
    <row r="280" spans="1:40">
      <c r="A280" s="19"/>
      <c r="B280" s="326"/>
      <c r="C280" s="326"/>
      <c r="D280" s="326"/>
      <c r="E280" s="579"/>
      <c r="F280" s="328"/>
      <c r="G280" s="328"/>
      <c r="H280" s="328"/>
      <c r="I280" s="580"/>
      <c r="J280" s="326"/>
      <c r="K280" s="342"/>
      <c r="L280" s="326"/>
      <c r="M280" s="338"/>
      <c r="N280" s="338"/>
      <c r="O280" s="338"/>
      <c r="P280" s="338"/>
      <c r="Q280" s="338"/>
      <c r="R280" s="338"/>
      <c r="S280" s="326"/>
      <c r="T280" s="326"/>
      <c r="U280" s="326"/>
      <c r="V280" s="326"/>
      <c r="W280" s="326"/>
      <c r="X280" s="326"/>
      <c r="Y280" s="326"/>
      <c r="Z280" s="326"/>
      <c r="AA280" s="326"/>
      <c r="AB280" s="326"/>
      <c r="AC280" s="326"/>
      <c r="AD280" s="326"/>
      <c r="AE280" s="326"/>
      <c r="AF280" s="326"/>
      <c r="AG280" s="326"/>
      <c r="AH280" s="326"/>
      <c r="AI280" s="326"/>
      <c r="AJ280" s="326"/>
      <c r="AK280" s="21"/>
      <c r="AL280" s="21"/>
      <c r="AM280" s="19"/>
      <c r="AN280" s="19"/>
    </row>
    <row r="281" spans="1:40">
      <c r="A281" s="19"/>
      <c r="B281" s="326"/>
      <c r="C281" s="326"/>
      <c r="D281" s="326"/>
      <c r="E281" s="579"/>
      <c r="F281" s="328"/>
      <c r="G281" s="328"/>
      <c r="H281" s="328"/>
      <c r="I281" s="580"/>
      <c r="J281" s="326"/>
      <c r="K281" s="342"/>
      <c r="L281" s="326"/>
      <c r="M281" s="338"/>
      <c r="N281" s="338"/>
      <c r="O281" s="338"/>
      <c r="P281" s="338"/>
      <c r="Q281" s="338"/>
      <c r="R281" s="338"/>
      <c r="S281" s="326"/>
      <c r="T281" s="326"/>
      <c r="U281" s="326"/>
      <c r="V281" s="326"/>
      <c r="W281" s="326"/>
      <c r="X281" s="326"/>
      <c r="Y281" s="326"/>
      <c r="Z281" s="326"/>
      <c r="AA281" s="326"/>
      <c r="AB281" s="326"/>
      <c r="AC281" s="326"/>
      <c r="AD281" s="326"/>
      <c r="AE281" s="326"/>
      <c r="AF281" s="326"/>
      <c r="AG281" s="326"/>
      <c r="AH281" s="326"/>
      <c r="AI281" s="326"/>
      <c r="AJ281" s="326"/>
      <c r="AK281" s="21"/>
      <c r="AL281" s="21"/>
      <c r="AM281" s="19"/>
      <c r="AN281" s="19"/>
    </row>
    <row r="282" spans="1:40">
      <c r="A282" s="19"/>
      <c r="B282" s="326"/>
      <c r="C282" s="326"/>
      <c r="D282" s="326"/>
      <c r="E282" s="579"/>
      <c r="F282" s="328"/>
      <c r="G282" s="328"/>
      <c r="H282" s="328"/>
      <c r="I282" s="580"/>
      <c r="J282" s="326"/>
      <c r="K282" s="342"/>
      <c r="L282" s="326"/>
      <c r="M282" s="338"/>
      <c r="N282" s="338"/>
      <c r="O282" s="338"/>
      <c r="P282" s="338"/>
      <c r="Q282" s="338"/>
      <c r="R282" s="338"/>
      <c r="S282" s="326"/>
      <c r="T282" s="326"/>
      <c r="U282" s="326"/>
      <c r="V282" s="326"/>
      <c r="W282" s="326"/>
      <c r="X282" s="326"/>
      <c r="Y282" s="326"/>
      <c r="Z282" s="326"/>
      <c r="AA282" s="326"/>
      <c r="AB282" s="326"/>
      <c r="AC282" s="326"/>
      <c r="AD282" s="326"/>
      <c r="AE282" s="326"/>
      <c r="AF282" s="326"/>
      <c r="AG282" s="326"/>
      <c r="AH282" s="326"/>
      <c r="AI282" s="326"/>
      <c r="AJ282" s="326"/>
      <c r="AK282" s="21"/>
      <c r="AL282" s="21"/>
      <c r="AM282" s="19"/>
      <c r="AN282" s="19"/>
    </row>
    <row r="283" spans="1:40">
      <c r="A283" s="19"/>
      <c r="B283" s="326"/>
      <c r="C283" s="326"/>
      <c r="D283" s="326"/>
      <c r="E283" s="579"/>
      <c r="F283" s="328"/>
      <c r="G283" s="328"/>
      <c r="H283" s="328"/>
      <c r="I283" s="580"/>
      <c r="J283" s="326"/>
      <c r="K283" s="342"/>
      <c r="L283" s="326"/>
      <c r="M283" s="338"/>
      <c r="N283" s="338"/>
      <c r="O283" s="338"/>
      <c r="P283" s="338"/>
      <c r="Q283" s="338"/>
      <c r="R283" s="338"/>
      <c r="S283" s="326"/>
      <c r="T283" s="326"/>
      <c r="U283" s="326"/>
      <c r="V283" s="326"/>
      <c r="W283" s="326"/>
      <c r="X283" s="326"/>
      <c r="Y283" s="326"/>
      <c r="Z283" s="326"/>
      <c r="AA283" s="326"/>
      <c r="AB283" s="326"/>
      <c r="AC283" s="326"/>
      <c r="AD283" s="326"/>
      <c r="AE283" s="326"/>
      <c r="AF283" s="326"/>
      <c r="AG283" s="326"/>
      <c r="AH283" s="326"/>
      <c r="AI283" s="326"/>
      <c r="AJ283" s="326"/>
      <c r="AK283" s="21"/>
      <c r="AL283" s="21"/>
      <c r="AM283" s="19"/>
      <c r="AN283" s="19"/>
    </row>
    <row r="284" spans="1:40">
      <c r="A284" s="19"/>
      <c r="B284" s="326"/>
      <c r="C284" s="326"/>
      <c r="D284" s="326"/>
      <c r="E284" s="579"/>
      <c r="F284" s="328"/>
      <c r="G284" s="328"/>
      <c r="H284" s="328"/>
      <c r="I284" s="580"/>
      <c r="J284" s="326"/>
      <c r="K284" s="342"/>
      <c r="L284" s="326"/>
      <c r="M284" s="338"/>
      <c r="N284" s="338"/>
      <c r="O284" s="338"/>
      <c r="P284" s="338"/>
      <c r="Q284" s="338"/>
      <c r="R284" s="338"/>
      <c r="S284" s="326"/>
      <c r="T284" s="326"/>
      <c r="U284" s="326"/>
      <c r="V284" s="326"/>
      <c r="W284" s="326"/>
      <c r="X284" s="326"/>
      <c r="Y284" s="326"/>
      <c r="Z284" s="326"/>
      <c r="AA284" s="326"/>
      <c r="AB284" s="326"/>
      <c r="AC284" s="326"/>
      <c r="AD284" s="326"/>
      <c r="AE284" s="326"/>
      <c r="AF284" s="326"/>
      <c r="AG284" s="326"/>
      <c r="AH284" s="326"/>
      <c r="AI284" s="326"/>
      <c r="AJ284" s="326"/>
      <c r="AK284" s="21"/>
      <c r="AL284" s="21"/>
      <c r="AM284" s="19"/>
      <c r="AN284" s="19"/>
    </row>
    <row r="285" spans="1:40">
      <c r="A285" s="19"/>
      <c r="B285" s="326"/>
      <c r="C285" s="326"/>
      <c r="D285" s="326"/>
      <c r="E285" s="579"/>
      <c r="F285" s="328"/>
      <c r="G285" s="328"/>
      <c r="H285" s="328"/>
      <c r="I285" s="580"/>
      <c r="J285" s="326"/>
      <c r="K285" s="342"/>
      <c r="L285" s="326"/>
      <c r="M285" s="338"/>
      <c r="N285" s="338"/>
      <c r="O285" s="338"/>
      <c r="P285" s="338"/>
      <c r="Q285" s="338"/>
      <c r="R285" s="338"/>
      <c r="S285" s="326"/>
      <c r="T285" s="326"/>
      <c r="U285" s="326"/>
      <c r="V285" s="326"/>
      <c r="W285" s="326"/>
      <c r="X285" s="326"/>
      <c r="Y285" s="326"/>
      <c r="Z285" s="326"/>
      <c r="AA285" s="326"/>
      <c r="AB285" s="326"/>
      <c r="AC285" s="326"/>
      <c r="AD285" s="326"/>
      <c r="AE285" s="326"/>
      <c r="AF285" s="326"/>
      <c r="AG285" s="326"/>
      <c r="AH285" s="326"/>
      <c r="AI285" s="326"/>
      <c r="AJ285" s="326"/>
      <c r="AK285" s="21"/>
      <c r="AL285" s="21"/>
      <c r="AM285" s="19"/>
      <c r="AN285" s="19"/>
    </row>
    <row r="286" spans="1:40">
      <c r="A286" s="19"/>
      <c r="B286" s="326"/>
      <c r="C286" s="326"/>
      <c r="D286" s="326"/>
      <c r="E286" s="579"/>
      <c r="F286" s="328"/>
      <c r="G286" s="328"/>
      <c r="H286" s="328"/>
      <c r="I286" s="580"/>
      <c r="J286" s="326"/>
      <c r="K286" s="342"/>
      <c r="L286" s="326"/>
      <c r="M286" s="338"/>
      <c r="N286" s="338"/>
      <c r="O286" s="338"/>
      <c r="P286" s="338"/>
      <c r="Q286" s="338"/>
      <c r="R286" s="338"/>
      <c r="S286" s="326"/>
      <c r="T286" s="326"/>
      <c r="U286" s="326"/>
      <c r="V286" s="326"/>
      <c r="W286" s="326"/>
      <c r="X286" s="326"/>
      <c r="Y286" s="326"/>
      <c r="Z286" s="326"/>
      <c r="AA286" s="326"/>
      <c r="AB286" s="326"/>
      <c r="AC286" s="326"/>
      <c r="AD286" s="326"/>
      <c r="AE286" s="326"/>
      <c r="AF286" s="326"/>
      <c r="AG286" s="326"/>
      <c r="AH286" s="326"/>
      <c r="AI286" s="326"/>
      <c r="AJ286" s="326"/>
      <c r="AK286" s="21"/>
      <c r="AL286" s="21"/>
      <c r="AM286" s="19"/>
      <c r="AN286" s="19"/>
    </row>
    <row r="287" spans="1:40">
      <c r="A287" s="19"/>
      <c r="B287" s="326"/>
      <c r="C287" s="326"/>
      <c r="D287" s="326"/>
      <c r="E287" s="579"/>
      <c r="F287" s="328"/>
      <c r="G287" s="328"/>
      <c r="H287" s="328"/>
      <c r="I287" s="580"/>
      <c r="J287" s="326"/>
      <c r="K287" s="342"/>
      <c r="L287" s="326"/>
      <c r="M287" s="338"/>
      <c r="N287" s="338"/>
      <c r="O287" s="338"/>
      <c r="P287" s="338"/>
      <c r="Q287" s="338"/>
      <c r="R287" s="338"/>
      <c r="S287" s="326"/>
      <c r="T287" s="326"/>
      <c r="U287" s="326"/>
      <c r="V287" s="326"/>
      <c r="W287" s="326"/>
      <c r="X287" s="326"/>
      <c r="Y287" s="326"/>
      <c r="Z287" s="326"/>
      <c r="AA287" s="326"/>
      <c r="AB287" s="326"/>
      <c r="AC287" s="326"/>
      <c r="AD287" s="326"/>
      <c r="AE287" s="326"/>
      <c r="AF287" s="326"/>
      <c r="AG287" s="326"/>
      <c r="AH287" s="326"/>
      <c r="AI287" s="326"/>
      <c r="AJ287" s="326"/>
      <c r="AK287" s="21"/>
      <c r="AL287" s="21"/>
      <c r="AM287" s="19"/>
      <c r="AN287" s="19"/>
    </row>
    <row r="288" spans="1:40">
      <c r="A288" s="19"/>
      <c r="B288" s="326"/>
      <c r="C288" s="326"/>
      <c r="D288" s="326"/>
      <c r="E288" s="579"/>
      <c r="F288" s="328"/>
      <c r="G288" s="328"/>
      <c r="H288" s="328"/>
      <c r="I288" s="580"/>
      <c r="J288" s="326"/>
      <c r="K288" s="342"/>
      <c r="L288" s="326"/>
      <c r="M288" s="338"/>
      <c r="N288" s="338"/>
      <c r="O288" s="338"/>
      <c r="P288" s="338"/>
      <c r="Q288" s="338"/>
      <c r="R288" s="338"/>
      <c r="S288" s="326"/>
      <c r="T288" s="326"/>
      <c r="U288" s="326"/>
      <c r="V288" s="326"/>
      <c r="W288" s="326"/>
      <c r="X288" s="326"/>
      <c r="Y288" s="326"/>
      <c r="Z288" s="326"/>
      <c r="AA288" s="326"/>
      <c r="AB288" s="326"/>
      <c r="AC288" s="326"/>
      <c r="AD288" s="326"/>
      <c r="AE288" s="326"/>
      <c r="AF288" s="326"/>
      <c r="AG288" s="326"/>
      <c r="AH288" s="326"/>
      <c r="AI288" s="326"/>
      <c r="AJ288" s="326"/>
      <c r="AK288" s="21"/>
      <c r="AL288" s="21"/>
      <c r="AM288" s="19"/>
      <c r="AN288" s="19"/>
    </row>
    <row r="289" spans="1:40">
      <c r="A289" s="19"/>
      <c r="B289" s="326"/>
      <c r="C289" s="326"/>
      <c r="D289" s="326"/>
      <c r="E289" s="579"/>
      <c r="F289" s="328"/>
      <c r="G289" s="328"/>
      <c r="H289" s="328"/>
      <c r="I289" s="580"/>
      <c r="J289" s="326"/>
      <c r="K289" s="342"/>
      <c r="L289" s="326"/>
      <c r="M289" s="338"/>
      <c r="N289" s="338"/>
      <c r="O289" s="338"/>
      <c r="P289" s="338"/>
      <c r="Q289" s="338"/>
      <c r="R289" s="338"/>
      <c r="S289" s="326"/>
      <c r="T289" s="326"/>
      <c r="U289" s="326"/>
      <c r="V289" s="326"/>
      <c r="W289" s="326"/>
      <c r="X289" s="326"/>
      <c r="Y289" s="326"/>
      <c r="Z289" s="326"/>
      <c r="AA289" s="326"/>
      <c r="AB289" s="326"/>
      <c r="AC289" s="326"/>
      <c r="AD289" s="326"/>
      <c r="AE289" s="326"/>
      <c r="AF289" s="326"/>
      <c r="AG289" s="326"/>
      <c r="AH289" s="326"/>
      <c r="AI289" s="326"/>
      <c r="AJ289" s="326"/>
      <c r="AK289" s="21"/>
      <c r="AL289" s="21"/>
      <c r="AM289" s="19"/>
      <c r="AN289" s="19"/>
    </row>
    <row r="290" spans="1:40">
      <c r="A290" s="19"/>
      <c r="B290" s="326"/>
      <c r="C290" s="326"/>
      <c r="D290" s="326"/>
      <c r="E290" s="579"/>
      <c r="F290" s="328"/>
      <c r="G290" s="328"/>
      <c r="H290" s="328"/>
      <c r="I290" s="580"/>
      <c r="J290" s="326"/>
      <c r="K290" s="342"/>
      <c r="L290" s="326"/>
      <c r="M290" s="338"/>
      <c r="N290" s="338"/>
      <c r="O290" s="338"/>
      <c r="P290" s="338"/>
      <c r="Q290" s="338"/>
      <c r="R290" s="338"/>
      <c r="S290" s="326"/>
      <c r="T290" s="326"/>
      <c r="U290" s="326"/>
      <c r="V290" s="326"/>
      <c r="W290" s="326"/>
      <c r="X290" s="326"/>
      <c r="Y290" s="326"/>
      <c r="Z290" s="326"/>
      <c r="AA290" s="326"/>
      <c r="AB290" s="326"/>
      <c r="AC290" s="326"/>
      <c r="AD290" s="326"/>
      <c r="AE290" s="326"/>
      <c r="AF290" s="326"/>
      <c r="AG290" s="326"/>
      <c r="AH290" s="326"/>
      <c r="AI290" s="326"/>
      <c r="AJ290" s="326"/>
      <c r="AK290" s="21"/>
      <c r="AL290" s="21"/>
      <c r="AM290" s="19"/>
      <c r="AN290" s="19"/>
    </row>
    <row r="291" spans="1:40">
      <c r="A291" s="19"/>
      <c r="B291" s="326"/>
      <c r="C291" s="326"/>
      <c r="D291" s="326"/>
      <c r="E291" s="579"/>
      <c r="F291" s="328"/>
      <c r="G291" s="328"/>
      <c r="H291" s="328"/>
      <c r="I291" s="580"/>
      <c r="J291" s="326"/>
      <c r="K291" s="342"/>
      <c r="L291" s="326"/>
      <c r="M291" s="338"/>
      <c r="N291" s="338"/>
      <c r="O291" s="338"/>
      <c r="P291" s="338"/>
      <c r="Q291" s="338"/>
      <c r="R291" s="338"/>
      <c r="S291" s="326"/>
      <c r="T291" s="326"/>
      <c r="U291" s="326"/>
      <c r="V291" s="326"/>
      <c r="W291" s="326"/>
      <c r="X291" s="326"/>
      <c r="Y291" s="326"/>
      <c r="Z291" s="326"/>
      <c r="AA291" s="326"/>
      <c r="AB291" s="326"/>
      <c r="AC291" s="326"/>
      <c r="AD291" s="326"/>
      <c r="AE291" s="326"/>
      <c r="AF291" s="326"/>
      <c r="AG291" s="326"/>
      <c r="AH291" s="326"/>
      <c r="AI291" s="326"/>
      <c r="AJ291" s="326"/>
      <c r="AK291" s="21"/>
      <c r="AL291" s="21"/>
      <c r="AM291" s="19"/>
      <c r="AN291" s="19"/>
    </row>
    <row r="292" spans="1:40">
      <c r="A292" s="19"/>
      <c r="B292" s="326"/>
      <c r="C292" s="326"/>
      <c r="D292" s="326"/>
      <c r="E292" s="579"/>
      <c r="F292" s="328"/>
      <c r="G292" s="328"/>
      <c r="H292" s="328"/>
      <c r="I292" s="580"/>
      <c r="J292" s="326"/>
      <c r="K292" s="342"/>
      <c r="L292" s="326"/>
      <c r="M292" s="338"/>
      <c r="N292" s="338"/>
      <c r="O292" s="338"/>
      <c r="P292" s="338"/>
      <c r="Q292" s="338"/>
      <c r="R292" s="338"/>
      <c r="S292" s="326"/>
      <c r="T292" s="326"/>
      <c r="U292" s="326"/>
      <c r="V292" s="326"/>
      <c r="W292" s="326"/>
      <c r="X292" s="326"/>
      <c r="Y292" s="326"/>
      <c r="Z292" s="326"/>
      <c r="AA292" s="326"/>
      <c r="AB292" s="326"/>
      <c r="AC292" s="326"/>
      <c r="AD292" s="326"/>
      <c r="AE292" s="326"/>
      <c r="AF292" s="326"/>
      <c r="AG292" s="326"/>
      <c r="AH292" s="326"/>
      <c r="AI292" s="326"/>
      <c r="AJ292" s="326"/>
      <c r="AK292" s="21"/>
      <c r="AL292" s="21"/>
      <c r="AM292" s="19"/>
      <c r="AN292" s="19"/>
    </row>
    <row r="293" spans="1:40">
      <c r="A293" s="19"/>
      <c r="B293" s="326"/>
      <c r="C293" s="326"/>
      <c r="D293" s="326"/>
      <c r="E293" s="579"/>
      <c r="F293" s="328"/>
      <c r="G293" s="328"/>
      <c r="H293" s="328"/>
      <c r="I293" s="580"/>
      <c r="J293" s="326"/>
      <c r="K293" s="342"/>
      <c r="L293" s="326"/>
      <c r="M293" s="338"/>
      <c r="N293" s="338"/>
      <c r="O293" s="338"/>
      <c r="P293" s="338"/>
      <c r="Q293" s="338"/>
      <c r="R293" s="338"/>
      <c r="S293" s="326"/>
      <c r="T293" s="326"/>
      <c r="U293" s="326"/>
      <c r="V293" s="326"/>
      <c r="W293" s="326"/>
      <c r="X293" s="326"/>
      <c r="Y293" s="326"/>
      <c r="Z293" s="326"/>
      <c r="AA293" s="326"/>
      <c r="AB293" s="326"/>
      <c r="AC293" s="326"/>
      <c r="AD293" s="326"/>
      <c r="AE293" s="326"/>
      <c r="AF293" s="326"/>
      <c r="AG293" s="326"/>
      <c r="AH293" s="326"/>
      <c r="AI293" s="326"/>
      <c r="AJ293" s="326"/>
      <c r="AK293" s="21"/>
      <c r="AL293" s="21"/>
      <c r="AM293" s="19"/>
      <c r="AN293" s="19"/>
    </row>
    <row r="294" spans="1:40">
      <c r="A294" s="19"/>
      <c r="B294" s="326"/>
      <c r="C294" s="326"/>
      <c r="D294" s="326"/>
      <c r="E294" s="579"/>
      <c r="F294" s="328"/>
      <c r="G294" s="328"/>
      <c r="H294" s="328"/>
      <c r="I294" s="580"/>
      <c r="J294" s="326"/>
      <c r="K294" s="342"/>
      <c r="L294" s="326"/>
      <c r="M294" s="338"/>
      <c r="N294" s="338"/>
      <c r="O294" s="338"/>
      <c r="P294" s="338"/>
      <c r="Q294" s="338"/>
      <c r="R294" s="338"/>
      <c r="S294" s="326"/>
      <c r="T294" s="326"/>
      <c r="U294" s="326"/>
      <c r="V294" s="326"/>
      <c r="W294" s="326"/>
      <c r="X294" s="326"/>
      <c r="Y294" s="326"/>
      <c r="Z294" s="326"/>
      <c r="AA294" s="326"/>
      <c r="AB294" s="326"/>
      <c r="AC294" s="326"/>
      <c r="AD294" s="326"/>
      <c r="AE294" s="326"/>
      <c r="AF294" s="326"/>
      <c r="AG294" s="326"/>
      <c r="AH294" s="326"/>
      <c r="AI294" s="326"/>
      <c r="AJ294" s="326"/>
      <c r="AK294" s="21"/>
      <c r="AL294" s="21"/>
      <c r="AM294" s="19"/>
      <c r="AN294" s="19"/>
    </row>
    <row r="295" spans="1:40">
      <c r="A295" s="19"/>
      <c r="B295" s="326"/>
      <c r="C295" s="326"/>
      <c r="D295" s="326"/>
      <c r="E295" s="579"/>
      <c r="F295" s="328"/>
      <c r="G295" s="328"/>
      <c r="H295" s="328"/>
      <c r="I295" s="580"/>
      <c r="J295" s="326"/>
      <c r="K295" s="342"/>
      <c r="L295" s="326"/>
      <c r="M295" s="338"/>
      <c r="N295" s="338"/>
      <c r="O295" s="338"/>
      <c r="P295" s="338"/>
      <c r="Q295" s="338"/>
      <c r="R295" s="338"/>
      <c r="S295" s="326"/>
      <c r="T295" s="326"/>
      <c r="U295" s="326"/>
      <c r="V295" s="326"/>
      <c r="W295" s="326"/>
      <c r="X295" s="326"/>
      <c r="Y295" s="326"/>
      <c r="Z295" s="326"/>
      <c r="AA295" s="326"/>
      <c r="AB295" s="326"/>
      <c r="AC295" s="326"/>
      <c r="AD295" s="326"/>
      <c r="AE295" s="326"/>
      <c r="AF295" s="326"/>
      <c r="AG295" s="326"/>
      <c r="AH295" s="326"/>
      <c r="AI295" s="326"/>
      <c r="AJ295" s="326"/>
      <c r="AK295" s="21"/>
      <c r="AL295" s="21"/>
      <c r="AM295" s="19"/>
      <c r="AN295" s="19"/>
    </row>
    <row r="296" spans="1:40">
      <c r="A296" s="19"/>
      <c r="B296" s="326"/>
      <c r="C296" s="326"/>
      <c r="D296" s="326"/>
      <c r="E296" s="579"/>
      <c r="F296" s="328"/>
      <c r="G296" s="328"/>
      <c r="H296" s="328"/>
      <c r="I296" s="580"/>
      <c r="J296" s="326"/>
      <c r="K296" s="342"/>
      <c r="L296" s="326"/>
      <c r="M296" s="338"/>
      <c r="N296" s="338"/>
      <c r="O296" s="338"/>
      <c r="P296" s="338"/>
      <c r="Q296" s="338"/>
      <c r="R296" s="338"/>
      <c r="S296" s="326"/>
      <c r="T296" s="326"/>
      <c r="U296" s="326"/>
      <c r="V296" s="326"/>
      <c r="W296" s="326"/>
      <c r="X296" s="326"/>
      <c r="Y296" s="326"/>
      <c r="Z296" s="326"/>
      <c r="AA296" s="326"/>
      <c r="AB296" s="326"/>
      <c r="AC296" s="326"/>
      <c r="AD296" s="326"/>
      <c r="AE296" s="326"/>
      <c r="AF296" s="326"/>
      <c r="AG296" s="326"/>
      <c r="AH296" s="326"/>
      <c r="AI296" s="326"/>
      <c r="AJ296" s="326"/>
      <c r="AK296" s="21"/>
      <c r="AL296" s="21"/>
      <c r="AM296" s="19"/>
      <c r="AN296" s="19"/>
    </row>
    <row r="297" spans="1:40">
      <c r="A297" s="19"/>
      <c r="B297" s="326"/>
      <c r="C297" s="326"/>
      <c r="D297" s="326"/>
      <c r="E297" s="579"/>
      <c r="F297" s="328"/>
      <c r="G297" s="328"/>
      <c r="H297" s="328"/>
      <c r="I297" s="580"/>
      <c r="J297" s="326"/>
      <c r="K297" s="342"/>
      <c r="L297" s="326"/>
      <c r="M297" s="338"/>
      <c r="N297" s="338"/>
      <c r="O297" s="338"/>
      <c r="P297" s="338"/>
      <c r="Q297" s="338"/>
      <c r="R297" s="338"/>
      <c r="S297" s="326"/>
      <c r="T297" s="326"/>
      <c r="U297" s="326"/>
      <c r="V297" s="326"/>
      <c r="W297" s="326"/>
      <c r="X297" s="326"/>
      <c r="Y297" s="326"/>
      <c r="Z297" s="326"/>
      <c r="AA297" s="326"/>
      <c r="AB297" s="326"/>
      <c r="AC297" s="326"/>
      <c r="AD297" s="326"/>
      <c r="AE297" s="326"/>
      <c r="AF297" s="326"/>
      <c r="AG297" s="326"/>
      <c r="AH297" s="326"/>
      <c r="AI297" s="326"/>
      <c r="AJ297" s="326"/>
      <c r="AK297" s="21"/>
      <c r="AL297" s="21"/>
      <c r="AM297" s="19"/>
      <c r="AN297" s="19"/>
    </row>
    <row r="298" spans="1:40">
      <c r="A298" s="19"/>
      <c r="B298" s="326"/>
      <c r="C298" s="326"/>
      <c r="D298" s="326"/>
      <c r="E298" s="579"/>
      <c r="F298" s="328"/>
      <c r="G298" s="328"/>
      <c r="H298" s="328"/>
      <c r="I298" s="580"/>
      <c r="J298" s="326"/>
      <c r="K298" s="342"/>
      <c r="L298" s="326"/>
      <c r="M298" s="338"/>
      <c r="N298" s="338"/>
      <c r="O298" s="338"/>
      <c r="P298" s="338"/>
      <c r="Q298" s="338"/>
      <c r="R298" s="338"/>
      <c r="S298" s="326"/>
      <c r="T298" s="326"/>
      <c r="U298" s="326"/>
      <c r="V298" s="326"/>
      <c r="W298" s="326"/>
      <c r="X298" s="326"/>
      <c r="Y298" s="326"/>
      <c r="Z298" s="326"/>
      <c r="AA298" s="326"/>
      <c r="AB298" s="326"/>
      <c r="AC298" s="326"/>
      <c r="AD298" s="326"/>
      <c r="AE298" s="326"/>
      <c r="AF298" s="326"/>
      <c r="AG298" s="326"/>
      <c r="AH298" s="326"/>
      <c r="AI298" s="326"/>
      <c r="AJ298" s="326"/>
      <c r="AK298" s="21"/>
      <c r="AL298" s="21"/>
      <c r="AM298" s="19"/>
      <c r="AN298" s="19"/>
    </row>
    <row r="299" spans="1:40">
      <c r="A299" s="19"/>
      <c r="B299" s="326"/>
      <c r="C299" s="326"/>
      <c r="D299" s="326"/>
      <c r="E299" s="579"/>
      <c r="F299" s="328"/>
      <c r="G299" s="328"/>
      <c r="H299" s="328"/>
      <c r="I299" s="580"/>
      <c r="J299" s="326"/>
      <c r="K299" s="342"/>
      <c r="L299" s="326"/>
      <c r="M299" s="338"/>
      <c r="N299" s="338"/>
      <c r="O299" s="338"/>
      <c r="P299" s="338"/>
      <c r="Q299" s="338"/>
      <c r="R299" s="338"/>
      <c r="S299" s="326"/>
      <c r="T299" s="326"/>
      <c r="U299" s="326"/>
      <c r="V299" s="326"/>
      <c r="W299" s="326"/>
      <c r="X299" s="326"/>
      <c r="Y299" s="326"/>
      <c r="Z299" s="326"/>
      <c r="AA299" s="326"/>
      <c r="AB299" s="326"/>
      <c r="AC299" s="326"/>
      <c r="AD299" s="326"/>
      <c r="AE299" s="326"/>
      <c r="AF299" s="326"/>
      <c r="AG299" s="326"/>
      <c r="AH299" s="326"/>
      <c r="AI299" s="326"/>
      <c r="AJ299" s="326"/>
      <c r="AK299" s="21"/>
      <c r="AL299" s="21"/>
      <c r="AM299" s="19"/>
      <c r="AN299" s="19"/>
    </row>
    <row r="300" spans="1:40">
      <c r="B300" s="326"/>
      <c r="C300" s="326"/>
      <c r="D300" s="326"/>
      <c r="E300" s="579"/>
      <c r="F300" s="328"/>
      <c r="G300" s="328"/>
      <c r="H300" s="328"/>
      <c r="I300" s="580"/>
      <c r="J300" s="326"/>
      <c r="K300" s="342"/>
      <c r="L300" s="326"/>
      <c r="M300" s="338"/>
      <c r="N300" s="338"/>
      <c r="O300" s="338"/>
      <c r="P300" s="338"/>
      <c r="Q300" s="338"/>
      <c r="R300" s="338"/>
      <c r="S300" s="326"/>
      <c r="T300" s="326"/>
      <c r="U300" s="326"/>
      <c r="V300" s="326"/>
      <c r="W300" s="326"/>
      <c r="X300" s="326"/>
      <c r="Y300" s="326"/>
      <c r="Z300" s="326"/>
      <c r="AA300" s="326"/>
      <c r="AB300" s="326"/>
      <c r="AC300" s="326"/>
      <c r="AD300" s="326"/>
      <c r="AE300" s="326"/>
      <c r="AF300" s="326"/>
      <c r="AG300" s="326"/>
      <c r="AH300" s="326"/>
      <c r="AI300" s="326"/>
      <c r="AJ300" s="326"/>
    </row>
    <row r="301" spans="1:40">
      <c r="B301" s="326"/>
      <c r="C301" s="326"/>
      <c r="D301" s="326"/>
      <c r="E301" s="579"/>
      <c r="F301" s="328"/>
      <c r="G301" s="328"/>
      <c r="H301" s="328"/>
      <c r="I301" s="580"/>
      <c r="J301" s="326"/>
      <c r="K301" s="342"/>
      <c r="L301" s="326"/>
      <c r="M301" s="338"/>
      <c r="N301" s="338"/>
      <c r="O301" s="338"/>
      <c r="P301" s="338"/>
      <c r="Q301" s="338"/>
      <c r="R301" s="338"/>
      <c r="S301" s="326"/>
      <c r="T301" s="326"/>
      <c r="U301" s="326"/>
      <c r="V301" s="326"/>
      <c r="W301" s="326"/>
      <c r="X301" s="326"/>
      <c r="Y301" s="326"/>
      <c r="Z301" s="326"/>
      <c r="AA301" s="326"/>
      <c r="AB301" s="326"/>
      <c r="AC301" s="326"/>
      <c r="AD301" s="326"/>
      <c r="AE301" s="326"/>
      <c r="AF301" s="326"/>
      <c r="AG301" s="326"/>
      <c r="AH301" s="326"/>
      <c r="AI301" s="326"/>
      <c r="AJ301" s="326"/>
    </row>
    <row r="302" spans="1:40">
      <c r="B302" s="326"/>
      <c r="C302" s="326"/>
      <c r="D302" s="326"/>
      <c r="E302" s="579"/>
      <c r="F302" s="328"/>
      <c r="G302" s="328"/>
      <c r="H302" s="328"/>
      <c r="I302" s="580"/>
      <c r="J302" s="326"/>
      <c r="K302" s="342"/>
      <c r="L302" s="326"/>
      <c r="M302" s="338"/>
      <c r="N302" s="338"/>
      <c r="O302" s="338"/>
      <c r="P302" s="338"/>
      <c r="Q302" s="338"/>
      <c r="R302" s="338"/>
      <c r="S302" s="326"/>
      <c r="T302" s="326"/>
      <c r="U302" s="326"/>
      <c r="V302" s="326"/>
      <c r="W302" s="326"/>
      <c r="X302" s="326"/>
      <c r="Y302" s="326"/>
      <c r="Z302" s="326"/>
      <c r="AA302" s="326"/>
      <c r="AB302" s="326"/>
      <c r="AC302" s="326"/>
      <c r="AD302" s="326"/>
      <c r="AE302" s="326"/>
      <c r="AF302" s="326"/>
      <c r="AG302" s="326"/>
      <c r="AH302" s="326"/>
      <c r="AI302" s="326"/>
      <c r="AJ302" s="326"/>
    </row>
    <row r="303" spans="1:40">
      <c r="B303" s="326"/>
      <c r="C303" s="326"/>
      <c r="D303" s="326"/>
      <c r="E303" s="579"/>
      <c r="F303" s="328"/>
      <c r="G303" s="328"/>
      <c r="H303" s="328"/>
      <c r="I303" s="580"/>
      <c r="J303" s="326"/>
      <c r="K303" s="342"/>
      <c r="L303" s="326"/>
      <c r="M303" s="338"/>
      <c r="N303" s="338"/>
      <c r="O303" s="338"/>
      <c r="P303" s="338"/>
      <c r="Q303" s="338"/>
      <c r="R303" s="338"/>
      <c r="S303" s="326"/>
      <c r="T303" s="326"/>
      <c r="U303" s="326"/>
      <c r="V303" s="326"/>
      <c r="W303" s="326"/>
      <c r="X303" s="326"/>
      <c r="Y303" s="326"/>
      <c r="Z303" s="326"/>
      <c r="AA303" s="326"/>
      <c r="AB303" s="326"/>
      <c r="AC303" s="326"/>
      <c r="AD303" s="326"/>
      <c r="AE303" s="326"/>
      <c r="AF303" s="326"/>
      <c r="AG303" s="326"/>
      <c r="AH303" s="326"/>
      <c r="AI303" s="326"/>
      <c r="AJ303" s="326"/>
    </row>
    <row r="304" spans="1:40">
      <c r="B304" s="326"/>
      <c r="C304" s="326"/>
      <c r="D304" s="326"/>
      <c r="E304" s="579"/>
      <c r="F304" s="328"/>
      <c r="G304" s="328"/>
      <c r="H304" s="328"/>
      <c r="I304" s="580"/>
      <c r="J304" s="326"/>
      <c r="K304" s="342"/>
      <c r="L304" s="326"/>
      <c r="M304" s="338"/>
      <c r="N304" s="338"/>
      <c r="O304" s="338"/>
      <c r="P304" s="338"/>
      <c r="Q304" s="338"/>
      <c r="R304" s="338"/>
      <c r="S304" s="326"/>
      <c r="T304" s="326"/>
      <c r="U304" s="326"/>
      <c r="V304" s="326"/>
      <c r="W304" s="326"/>
      <c r="X304" s="326"/>
      <c r="Y304" s="326"/>
      <c r="Z304" s="326"/>
      <c r="AA304" s="326"/>
      <c r="AB304" s="326"/>
      <c r="AC304" s="326"/>
      <c r="AD304" s="326"/>
      <c r="AE304" s="326"/>
      <c r="AF304" s="326"/>
      <c r="AG304" s="326"/>
      <c r="AH304" s="326"/>
      <c r="AI304" s="326"/>
      <c r="AJ304" s="326"/>
    </row>
    <row r="305" spans="2:36">
      <c r="B305" s="326"/>
      <c r="C305" s="326"/>
      <c r="D305" s="326"/>
      <c r="E305" s="579"/>
      <c r="F305" s="328"/>
      <c r="G305" s="328"/>
      <c r="H305" s="328"/>
      <c r="I305" s="580"/>
      <c r="J305" s="326"/>
      <c r="K305" s="342"/>
      <c r="L305" s="326"/>
      <c r="M305" s="338"/>
      <c r="N305" s="338"/>
      <c r="O305" s="338"/>
      <c r="P305" s="338"/>
      <c r="Q305" s="338"/>
      <c r="R305" s="338"/>
      <c r="S305" s="326"/>
      <c r="T305" s="326"/>
      <c r="U305" s="326"/>
      <c r="V305" s="326"/>
      <c r="W305" s="326"/>
      <c r="X305" s="326"/>
      <c r="Y305" s="326"/>
      <c r="Z305" s="326"/>
      <c r="AA305" s="326"/>
      <c r="AB305" s="326"/>
      <c r="AC305" s="326"/>
      <c r="AD305" s="326"/>
      <c r="AE305" s="326"/>
      <c r="AF305" s="326"/>
      <c r="AG305" s="326"/>
      <c r="AH305" s="326"/>
      <c r="AI305" s="326"/>
      <c r="AJ305" s="326"/>
    </row>
    <row r="306" spans="2:36">
      <c r="B306" s="326"/>
      <c r="C306" s="326"/>
      <c r="D306" s="326"/>
      <c r="E306" s="579"/>
      <c r="F306" s="328"/>
      <c r="G306" s="328"/>
      <c r="H306" s="328"/>
      <c r="I306" s="580"/>
      <c r="J306" s="326"/>
      <c r="K306" s="342"/>
      <c r="L306" s="326"/>
      <c r="M306" s="338"/>
      <c r="N306" s="338"/>
      <c r="O306" s="338"/>
      <c r="P306" s="338"/>
      <c r="Q306" s="338"/>
      <c r="R306" s="338"/>
      <c r="S306" s="326"/>
      <c r="T306" s="326"/>
      <c r="U306" s="326"/>
      <c r="V306" s="326"/>
      <c r="W306" s="326"/>
      <c r="X306" s="326"/>
      <c r="Y306" s="326"/>
      <c r="Z306" s="326"/>
      <c r="AA306" s="326"/>
      <c r="AB306" s="326"/>
      <c r="AC306" s="326"/>
      <c r="AD306" s="326"/>
      <c r="AE306" s="326"/>
      <c r="AF306" s="326"/>
      <c r="AG306" s="326"/>
      <c r="AH306" s="326"/>
      <c r="AI306" s="326"/>
      <c r="AJ306" s="326"/>
    </row>
    <row r="307" spans="2:36">
      <c r="B307" s="326"/>
      <c r="C307" s="326"/>
      <c r="D307" s="326"/>
      <c r="E307" s="579"/>
      <c r="F307" s="328"/>
      <c r="G307" s="328"/>
      <c r="H307" s="328"/>
      <c r="I307" s="580"/>
      <c r="J307" s="326"/>
      <c r="K307" s="342"/>
      <c r="L307" s="326"/>
      <c r="M307" s="338"/>
      <c r="N307" s="338"/>
      <c r="O307" s="338"/>
      <c r="P307" s="338"/>
      <c r="Q307" s="338"/>
      <c r="R307" s="338"/>
      <c r="S307" s="326"/>
      <c r="T307" s="326"/>
      <c r="U307" s="326"/>
      <c r="V307" s="326"/>
      <c r="W307" s="326"/>
      <c r="X307" s="326"/>
      <c r="Y307" s="326"/>
      <c r="Z307" s="326"/>
      <c r="AA307" s="326"/>
      <c r="AB307" s="326"/>
      <c r="AC307" s="326"/>
      <c r="AD307" s="326"/>
      <c r="AE307" s="326"/>
      <c r="AF307" s="326"/>
      <c r="AG307" s="326"/>
      <c r="AH307" s="326"/>
      <c r="AI307" s="326"/>
      <c r="AJ307" s="326"/>
    </row>
    <row r="308" spans="2:36">
      <c r="B308" s="326"/>
      <c r="C308" s="326"/>
      <c r="D308" s="326"/>
      <c r="E308" s="579"/>
      <c r="F308" s="328"/>
      <c r="G308" s="328"/>
      <c r="H308" s="328"/>
      <c r="I308" s="580"/>
      <c r="J308" s="326"/>
      <c r="K308" s="342"/>
      <c r="L308" s="326"/>
      <c r="M308" s="338"/>
      <c r="N308" s="338"/>
      <c r="O308" s="338"/>
      <c r="P308" s="338"/>
      <c r="Q308" s="338"/>
      <c r="R308" s="338"/>
      <c r="S308" s="326"/>
      <c r="T308" s="326"/>
      <c r="U308" s="326"/>
      <c r="V308" s="326"/>
      <c r="W308" s="326"/>
      <c r="X308" s="326"/>
      <c r="Y308" s="326"/>
      <c r="Z308" s="326"/>
      <c r="AA308" s="326"/>
      <c r="AB308" s="326"/>
      <c r="AC308" s="326"/>
      <c r="AD308" s="326"/>
      <c r="AE308" s="326"/>
      <c r="AF308" s="326"/>
      <c r="AG308" s="326"/>
      <c r="AH308" s="326"/>
      <c r="AI308" s="326"/>
      <c r="AJ308" s="326"/>
    </row>
    <row r="309" spans="2:36">
      <c r="B309" s="326"/>
      <c r="C309" s="326"/>
      <c r="D309" s="326"/>
      <c r="E309" s="579"/>
      <c r="F309" s="328"/>
      <c r="G309" s="328"/>
      <c r="H309" s="328"/>
      <c r="I309" s="580"/>
      <c r="J309" s="326"/>
      <c r="K309" s="342"/>
      <c r="L309" s="326"/>
      <c r="M309" s="338"/>
      <c r="N309" s="338"/>
      <c r="O309" s="338"/>
      <c r="P309" s="338"/>
      <c r="Q309" s="338"/>
      <c r="R309" s="338"/>
      <c r="S309" s="326"/>
      <c r="T309" s="326"/>
      <c r="U309" s="326"/>
      <c r="V309" s="326"/>
      <c r="W309" s="326"/>
      <c r="X309" s="326"/>
      <c r="Y309" s="326"/>
      <c r="Z309" s="326"/>
      <c r="AA309" s="326"/>
      <c r="AB309" s="326"/>
      <c r="AC309" s="326"/>
      <c r="AD309" s="326"/>
      <c r="AE309" s="326"/>
      <c r="AF309" s="326"/>
      <c r="AG309" s="326"/>
      <c r="AH309" s="326"/>
      <c r="AI309" s="326"/>
      <c r="AJ309" s="326"/>
    </row>
    <row r="310" spans="2:36">
      <c r="B310" s="326"/>
      <c r="C310" s="326"/>
      <c r="D310" s="326"/>
      <c r="E310" s="579"/>
      <c r="F310" s="328"/>
      <c r="G310" s="328"/>
      <c r="H310" s="328"/>
      <c r="I310" s="580"/>
      <c r="J310" s="326"/>
      <c r="K310" s="342"/>
      <c r="L310" s="326"/>
      <c r="M310" s="338"/>
      <c r="N310" s="338"/>
      <c r="O310" s="338"/>
      <c r="P310" s="338"/>
      <c r="Q310" s="338"/>
      <c r="R310" s="338"/>
      <c r="S310" s="326"/>
      <c r="T310" s="326"/>
      <c r="U310" s="326"/>
      <c r="V310" s="326"/>
      <c r="W310" s="326"/>
      <c r="X310" s="326"/>
      <c r="Y310" s="326"/>
      <c r="Z310" s="326"/>
      <c r="AA310" s="326"/>
      <c r="AB310" s="326"/>
      <c r="AC310" s="326"/>
      <c r="AD310" s="326"/>
      <c r="AE310" s="326"/>
      <c r="AF310" s="326"/>
      <c r="AG310" s="326"/>
      <c r="AH310" s="326"/>
      <c r="AI310" s="326"/>
      <c r="AJ310" s="326"/>
    </row>
    <row r="311" spans="2:36">
      <c r="B311" s="326"/>
      <c r="C311" s="326"/>
      <c r="D311" s="326"/>
      <c r="E311" s="579"/>
      <c r="F311" s="328"/>
      <c r="G311" s="328"/>
      <c r="H311" s="328"/>
      <c r="I311" s="580"/>
      <c r="J311" s="326"/>
      <c r="K311" s="342"/>
      <c r="L311" s="326"/>
      <c r="M311" s="338"/>
      <c r="N311" s="338"/>
      <c r="O311" s="338"/>
      <c r="P311" s="338"/>
      <c r="Q311" s="338"/>
      <c r="R311" s="338"/>
      <c r="S311" s="326"/>
      <c r="T311" s="326"/>
      <c r="U311" s="326"/>
      <c r="V311" s="326"/>
      <c r="W311" s="326"/>
      <c r="X311" s="326"/>
      <c r="Y311" s="326"/>
      <c r="Z311" s="326"/>
      <c r="AA311" s="326"/>
      <c r="AB311" s="326"/>
      <c r="AC311" s="326"/>
      <c r="AD311" s="326"/>
      <c r="AE311" s="326"/>
      <c r="AF311" s="326"/>
      <c r="AG311" s="326"/>
      <c r="AH311" s="326"/>
      <c r="AI311" s="326"/>
      <c r="AJ311" s="326"/>
    </row>
    <row r="312" spans="2:36">
      <c r="B312" s="326"/>
      <c r="C312" s="326"/>
      <c r="D312" s="326"/>
      <c r="E312" s="579"/>
      <c r="F312" s="328"/>
      <c r="G312" s="328"/>
      <c r="H312" s="328"/>
      <c r="I312" s="580"/>
      <c r="J312" s="326"/>
      <c r="K312" s="342"/>
      <c r="L312" s="326"/>
      <c r="M312" s="338"/>
      <c r="N312" s="338"/>
      <c r="O312" s="338"/>
      <c r="P312" s="338"/>
      <c r="Q312" s="338"/>
      <c r="R312" s="338"/>
      <c r="S312" s="326"/>
      <c r="T312" s="326"/>
      <c r="U312" s="326"/>
      <c r="V312" s="326"/>
      <c r="W312" s="326"/>
      <c r="X312" s="326"/>
      <c r="Y312" s="326"/>
      <c r="Z312" s="326"/>
      <c r="AA312" s="326"/>
      <c r="AB312" s="326"/>
      <c r="AC312" s="326"/>
      <c r="AD312" s="326"/>
      <c r="AE312" s="326"/>
      <c r="AF312" s="326"/>
      <c r="AG312" s="326"/>
      <c r="AH312" s="326"/>
      <c r="AI312" s="326"/>
      <c r="AJ312" s="326"/>
    </row>
    <row r="313" spans="2:36">
      <c r="B313" s="326"/>
      <c r="C313" s="326"/>
      <c r="D313" s="326"/>
      <c r="E313" s="579"/>
      <c r="F313" s="328"/>
      <c r="G313" s="328"/>
      <c r="H313" s="328"/>
      <c r="I313" s="580"/>
      <c r="J313" s="326"/>
      <c r="K313" s="342"/>
      <c r="L313" s="326"/>
      <c r="M313" s="338"/>
      <c r="N313" s="338"/>
      <c r="O313" s="338"/>
      <c r="P313" s="338"/>
      <c r="Q313" s="338"/>
      <c r="R313" s="338"/>
      <c r="S313" s="326"/>
      <c r="T313" s="326"/>
      <c r="U313" s="326"/>
      <c r="V313" s="326"/>
      <c r="W313" s="326"/>
      <c r="X313" s="326"/>
      <c r="Y313" s="326"/>
      <c r="Z313" s="326"/>
      <c r="AA313" s="326"/>
      <c r="AB313" s="326"/>
      <c r="AC313" s="326"/>
      <c r="AD313" s="326"/>
      <c r="AE313" s="326"/>
      <c r="AF313" s="326"/>
      <c r="AG313" s="326"/>
      <c r="AH313" s="326"/>
      <c r="AI313" s="326"/>
      <c r="AJ313" s="326"/>
    </row>
    <row r="314" spans="2:36">
      <c r="B314" s="326"/>
      <c r="C314" s="326"/>
      <c r="D314" s="326"/>
      <c r="E314" s="579"/>
      <c r="F314" s="328"/>
      <c r="G314" s="328"/>
      <c r="H314" s="328"/>
      <c r="I314" s="580"/>
      <c r="J314" s="326"/>
      <c r="K314" s="342"/>
      <c r="L314" s="326"/>
      <c r="M314" s="338"/>
      <c r="N314" s="338"/>
      <c r="O314" s="338"/>
      <c r="P314" s="338"/>
      <c r="Q314" s="338"/>
      <c r="R314" s="338"/>
      <c r="S314" s="326"/>
      <c r="T314" s="326"/>
      <c r="U314" s="326"/>
      <c r="V314" s="326"/>
      <c r="W314" s="326"/>
      <c r="X314" s="326"/>
      <c r="Y314" s="326"/>
      <c r="Z314" s="326"/>
      <c r="AA314" s="326"/>
      <c r="AB314" s="326"/>
      <c r="AC314" s="326"/>
      <c r="AD314" s="326"/>
      <c r="AE314" s="326"/>
      <c r="AF314" s="326"/>
      <c r="AG314" s="326"/>
      <c r="AH314" s="326"/>
      <c r="AI314" s="326"/>
      <c r="AJ314" s="326"/>
    </row>
    <row r="315" spans="2:36">
      <c r="B315" s="326"/>
      <c r="C315" s="326"/>
      <c r="D315" s="326"/>
      <c r="E315" s="579"/>
      <c r="F315" s="328"/>
      <c r="G315" s="328"/>
      <c r="H315" s="328"/>
      <c r="I315" s="580"/>
      <c r="J315" s="326"/>
      <c r="K315" s="342"/>
      <c r="L315" s="326"/>
      <c r="M315" s="338"/>
      <c r="N315" s="338"/>
      <c r="O315" s="338"/>
      <c r="P315" s="338"/>
      <c r="Q315" s="338"/>
      <c r="R315" s="338"/>
      <c r="S315" s="326"/>
      <c r="T315" s="326"/>
      <c r="U315" s="326"/>
      <c r="V315" s="326"/>
      <c r="W315" s="326"/>
      <c r="X315" s="326"/>
      <c r="Y315" s="326"/>
      <c r="Z315" s="326"/>
      <c r="AA315" s="326"/>
      <c r="AB315" s="326"/>
      <c r="AC315" s="326"/>
      <c r="AD315" s="326"/>
      <c r="AE315" s="326"/>
      <c r="AF315" s="326"/>
      <c r="AG315" s="326"/>
      <c r="AH315" s="326"/>
      <c r="AI315" s="326"/>
      <c r="AJ315" s="326"/>
    </row>
    <row r="316" spans="2:36">
      <c r="B316" s="326"/>
      <c r="C316" s="326"/>
      <c r="D316" s="326"/>
      <c r="E316" s="579"/>
      <c r="F316" s="328"/>
      <c r="G316" s="328"/>
      <c r="H316" s="328"/>
      <c r="I316" s="580"/>
      <c r="J316" s="326"/>
      <c r="K316" s="342"/>
      <c r="L316" s="326"/>
      <c r="M316" s="338"/>
      <c r="N316" s="338"/>
      <c r="O316" s="338"/>
      <c r="P316" s="338"/>
      <c r="Q316" s="338"/>
      <c r="R316" s="338"/>
      <c r="S316" s="326"/>
      <c r="T316" s="326"/>
      <c r="U316" s="326"/>
      <c r="V316" s="326"/>
      <c r="W316" s="326"/>
      <c r="X316" s="326"/>
      <c r="Y316" s="326"/>
      <c r="Z316" s="326"/>
      <c r="AA316" s="326"/>
      <c r="AB316" s="326"/>
      <c r="AC316" s="326"/>
      <c r="AD316" s="326"/>
      <c r="AE316" s="326"/>
      <c r="AF316" s="326"/>
      <c r="AG316" s="326"/>
      <c r="AH316" s="326"/>
      <c r="AI316" s="326"/>
      <c r="AJ316" s="326"/>
    </row>
    <row r="317" spans="2:36">
      <c r="B317" s="326"/>
      <c r="C317" s="326"/>
      <c r="D317" s="326"/>
      <c r="E317" s="579"/>
      <c r="F317" s="328"/>
      <c r="G317" s="328"/>
      <c r="H317" s="328"/>
      <c r="I317" s="580"/>
      <c r="J317" s="326"/>
      <c r="K317" s="342"/>
      <c r="L317" s="326"/>
      <c r="M317" s="338"/>
      <c r="N317" s="338"/>
      <c r="O317" s="338"/>
      <c r="P317" s="338"/>
      <c r="Q317" s="338"/>
      <c r="R317" s="338"/>
      <c r="S317" s="326"/>
      <c r="T317" s="326"/>
      <c r="U317" s="326"/>
      <c r="V317" s="326"/>
      <c r="W317" s="326"/>
      <c r="X317" s="326"/>
      <c r="Y317" s="326"/>
      <c r="Z317" s="326"/>
      <c r="AA317" s="326"/>
      <c r="AB317" s="326"/>
      <c r="AC317" s="326"/>
      <c r="AD317" s="326"/>
      <c r="AE317" s="326"/>
      <c r="AF317" s="326"/>
      <c r="AG317" s="326"/>
      <c r="AH317" s="326"/>
      <c r="AI317" s="326"/>
      <c r="AJ317" s="326"/>
    </row>
    <row r="318" spans="2:36">
      <c r="B318" s="326"/>
      <c r="C318" s="326"/>
      <c r="D318" s="326"/>
      <c r="E318" s="579"/>
      <c r="F318" s="328"/>
      <c r="G318" s="328"/>
      <c r="H318" s="328"/>
      <c r="I318" s="580"/>
      <c r="J318" s="326"/>
      <c r="K318" s="342"/>
      <c r="L318" s="326"/>
      <c r="M318" s="338"/>
      <c r="N318" s="338"/>
      <c r="O318" s="338"/>
      <c r="P318" s="338"/>
      <c r="Q318" s="338"/>
      <c r="R318" s="338"/>
      <c r="S318" s="326"/>
      <c r="T318" s="326"/>
      <c r="U318" s="326"/>
      <c r="V318" s="326"/>
      <c r="W318" s="326"/>
      <c r="X318" s="326"/>
      <c r="Y318" s="326"/>
      <c r="Z318" s="326"/>
      <c r="AA318" s="326"/>
      <c r="AB318" s="326"/>
      <c r="AC318" s="326"/>
      <c r="AD318" s="326"/>
      <c r="AE318" s="326"/>
      <c r="AF318" s="326"/>
      <c r="AG318" s="326"/>
      <c r="AH318" s="326"/>
      <c r="AI318" s="326"/>
      <c r="AJ318" s="326"/>
    </row>
    <row r="319" spans="2:36">
      <c r="B319" s="326"/>
      <c r="C319" s="326"/>
      <c r="D319" s="326"/>
      <c r="E319" s="579"/>
      <c r="F319" s="328"/>
      <c r="G319" s="328"/>
      <c r="H319" s="328"/>
      <c r="I319" s="580"/>
      <c r="J319" s="326"/>
      <c r="K319" s="342"/>
      <c r="L319" s="326"/>
      <c r="M319" s="338"/>
      <c r="N319" s="338"/>
      <c r="O319" s="338"/>
      <c r="P319" s="338"/>
      <c r="Q319" s="338"/>
      <c r="R319" s="338"/>
      <c r="S319" s="326"/>
      <c r="T319" s="326"/>
      <c r="U319" s="326"/>
      <c r="V319" s="326"/>
      <c r="W319" s="326"/>
      <c r="X319" s="326"/>
      <c r="Y319" s="326"/>
      <c r="Z319" s="326"/>
      <c r="AA319" s="326"/>
      <c r="AB319" s="326"/>
      <c r="AC319" s="326"/>
      <c r="AD319" s="326"/>
      <c r="AE319" s="326"/>
      <c r="AF319" s="326"/>
      <c r="AG319" s="326"/>
      <c r="AH319" s="326"/>
      <c r="AI319" s="326"/>
      <c r="AJ319" s="326"/>
    </row>
    <row r="320" spans="2:36">
      <c r="B320" s="326"/>
      <c r="C320" s="326"/>
      <c r="D320" s="326"/>
      <c r="E320" s="579"/>
      <c r="F320" s="328"/>
      <c r="G320" s="328"/>
      <c r="H320" s="328"/>
      <c r="I320" s="580"/>
      <c r="J320" s="326"/>
      <c r="K320" s="342"/>
      <c r="L320" s="326"/>
      <c r="M320" s="338"/>
      <c r="N320" s="338"/>
      <c r="O320" s="338"/>
      <c r="P320" s="338"/>
      <c r="Q320" s="338"/>
      <c r="R320" s="338"/>
      <c r="S320" s="326"/>
      <c r="T320" s="326"/>
      <c r="U320" s="326"/>
      <c r="V320" s="326"/>
      <c r="W320" s="326"/>
      <c r="X320" s="326"/>
      <c r="Y320" s="326"/>
      <c r="Z320" s="326"/>
      <c r="AA320" s="326"/>
      <c r="AB320" s="326"/>
      <c r="AC320" s="326"/>
      <c r="AD320" s="326"/>
      <c r="AE320" s="326"/>
      <c r="AF320" s="326"/>
      <c r="AG320" s="326"/>
      <c r="AH320" s="326"/>
      <c r="AI320" s="326"/>
      <c r="AJ320" s="326"/>
    </row>
    <row r="321" spans="2:36">
      <c r="B321" s="326"/>
      <c r="C321" s="326"/>
      <c r="D321" s="326"/>
      <c r="E321" s="579"/>
      <c r="F321" s="328"/>
      <c r="G321" s="328"/>
      <c r="H321" s="328"/>
      <c r="I321" s="580"/>
      <c r="J321" s="326"/>
      <c r="K321" s="342"/>
      <c r="L321" s="326"/>
      <c r="M321" s="338"/>
      <c r="N321" s="338"/>
      <c r="O321" s="338"/>
      <c r="P321" s="338"/>
      <c r="Q321" s="338"/>
      <c r="R321" s="338"/>
      <c r="S321" s="326"/>
      <c r="T321" s="326"/>
      <c r="U321" s="326"/>
      <c r="V321" s="326"/>
      <c r="W321" s="326"/>
      <c r="X321" s="326"/>
      <c r="Y321" s="326"/>
      <c r="Z321" s="326"/>
      <c r="AA321" s="326"/>
      <c r="AB321" s="326"/>
      <c r="AC321" s="326"/>
      <c r="AD321" s="326"/>
      <c r="AE321" s="326"/>
      <c r="AF321" s="326"/>
      <c r="AG321" s="326"/>
      <c r="AH321" s="326"/>
      <c r="AI321" s="326"/>
      <c r="AJ321" s="326"/>
    </row>
    <row r="322" spans="2:36">
      <c r="B322" s="326"/>
      <c r="C322" s="326"/>
      <c r="D322" s="326"/>
      <c r="E322" s="579"/>
      <c r="F322" s="328"/>
      <c r="G322" s="328"/>
      <c r="H322" s="328"/>
      <c r="I322" s="580"/>
      <c r="J322" s="326"/>
      <c r="K322" s="342"/>
      <c r="L322" s="326"/>
      <c r="M322" s="338"/>
      <c r="N322" s="338"/>
      <c r="O322" s="338"/>
      <c r="P322" s="338"/>
      <c r="Q322" s="338"/>
      <c r="R322" s="338"/>
      <c r="S322" s="326"/>
      <c r="T322" s="326"/>
      <c r="U322" s="326"/>
      <c r="V322" s="326"/>
      <c r="W322" s="326"/>
      <c r="X322" s="326"/>
      <c r="Y322" s="326"/>
      <c r="Z322" s="326"/>
      <c r="AA322" s="326"/>
      <c r="AB322" s="326"/>
      <c r="AC322" s="326"/>
      <c r="AD322" s="326"/>
      <c r="AE322" s="326"/>
      <c r="AF322" s="326"/>
      <c r="AG322" s="326"/>
      <c r="AH322" s="326"/>
      <c r="AI322" s="326"/>
      <c r="AJ322" s="326"/>
    </row>
    <row r="323" spans="2:36">
      <c r="B323" s="326"/>
      <c r="C323" s="326"/>
      <c r="D323" s="326"/>
      <c r="E323" s="579"/>
      <c r="F323" s="328"/>
      <c r="G323" s="328"/>
      <c r="H323" s="328"/>
      <c r="I323" s="580"/>
      <c r="J323" s="326"/>
      <c r="K323" s="342"/>
      <c r="L323" s="326"/>
      <c r="M323" s="338"/>
      <c r="N323" s="338"/>
      <c r="O323" s="338"/>
      <c r="P323" s="338"/>
      <c r="Q323" s="338"/>
      <c r="R323" s="338"/>
      <c r="S323" s="326"/>
      <c r="T323" s="326"/>
      <c r="U323" s="326"/>
      <c r="V323" s="326"/>
      <c r="W323" s="326"/>
      <c r="X323" s="326"/>
      <c r="Y323" s="326"/>
      <c r="Z323" s="326"/>
      <c r="AA323" s="326"/>
      <c r="AB323" s="326"/>
      <c r="AC323" s="326"/>
      <c r="AD323" s="326"/>
      <c r="AE323" s="326"/>
      <c r="AF323" s="326"/>
      <c r="AG323" s="326"/>
      <c r="AH323" s="326"/>
      <c r="AI323" s="326"/>
      <c r="AJ323" s="326"/>
    </row>
    <row r="324" spans="2:36">
      <c r="B324" s="326"/>
      <c r="C324" s="326"/>
      <c r="D324" s="326"/>
      <c r="E324" s="579"/>
      <c r="F324" s="328"/>
      <c r="G324" s="328"/>
      <c r="H324" s="328"/>
      <c r="I324" s="580"/>
      <c r="J324" s="326"/>
      <c r="K324" s="342"/>
      <c r="L324" s="326"/>
      <c r="M324" s="338"/>
      <c r="N324" s="338"/>
      <c r="O324" s="338"/>
      <c r="P324" s="338"/>
      <c r="Q324" s="338"/>
      <c r="R324" s="338"/>
      <c r="S324" s="326"/>
      <c r="T324" s="326"/>
      <c r="U324" s="326"/>
      <c r="V324" s="326"/>
      <c r="W324" s="326"/>
      <c r="X324" s="326"/>
      <c r="Y324" s="326"/>
      <c r="Z324" s="326"/>
      <c r="AA324" s="326"/>
      <c r="AB324" s="326"/>
      <c r="AC324" s="326"/>
      <c r="AD324" s="326"/>
      <c r="AE324" s="326"/>
      <c r="AF324" s="326"/>
      <c r="AG324" s="326"/>
      <c r="AH324" s="326"/>
      <c r="AI324" s="326"/>
      <c r="AJ324" s="326"/>
    </row>
    <row r="325" spans="2:36">
      <c r="B325" s="326"/>
      <c r="C325" s="326"/>
      <c r="D325" s="326"/>
      <c r="E325" s="579"/>
      <c r="F325" s="328"/>
      <c r="G325" s="328"/>
      <c r="H325" s="328"/>
      <c r="I325" s="580"/>
      <c r="J325" s="326"/>
      <c r="K325" s="342"/>
      <c r="L325" s="326"/>
      <c r="M325" s="338"/>
      <c r="N325" s="338"/>
      <c r="O325" s="338"/>
      <c r="P325" s="338"/>
      <c r="Q325" s="338"/>
      <c r="R325" s="338"/>
      <c r="S325" s="326"/>
      <c r="T325" s="326"/>
      <c r="U325" s="326"/>
      <c r="V325" s="326"/>
      <c r="W325" s="326"/>
      <c r="X325" s="326"/>
      <c r="Y325" s="326"/>
      <c r="Z325" s="326"/>
      <c r="AA325" s="326"/>
      <c r="AB325" s="326"/>
      <c r="AC325" s="326"/>
      <c r="AD325" s="326"/>
      <c r="AE325" s="326"/>
      <c r="AF325" s="326"/>
      <c r="AG325" s="326"/>
      <c r="AH325" s="326"/>
      <c r="AI325" s="326"/>
      <c r="AJ325" s="326"/>
    </row>
    <row r="326" spans="2:36">
      <c r="B326" s="326"/>
      <c r="C326" s="326"/>
      <c r="D326" s="326"/>
      <c r="E326" s="579"/>
      <c r="F326" s="328"/>
      <c r="G326" s="328"/>
      <c r="H326" s="328"/>
      <c r="I326" s="580"/>
      <c r="J326" s="326"/>
      <c r="K326" s="342"/>
      <c r="L326" s="326"/>
      <c r="M326" s="338"/>
      <c r="N326" s="338"/>
      <c r="O326" s="338"/>
      <c r="P326" s="338"/>
      <c r="Q326" s="338"/>
      <c r="R326" s="338"/>
      <c r="S326" s="326"/>
      <c r="T326" s="326"/>
      <c r="U326" s="326"/>
      <c r="V326" s="326"/>
      <c r="W326" s="326"/>
      <c r="X326" s="326"/>
      <c r="Y326" s="326"/>
      <c r="Z326" s="326"/>
      <c r="AA326" s="326"/>
      <c r="AB326" s="326"/>
      <c r="AC326" s="326"/>
      <c r="AD326" s="326"/>
      <c r="AE326" s="326"/>
      <c r="AF326" s="326"/>
      <c r="AG326" s="326"/>
      <c r="AH326" s="326"/>
      <c r="AI326" s="326"/>
      <c r="AJ326" s="326"/>
    </row>
    <row r="327" spans="2:36">
      <c r="B327" s="326"/>
      <c r="C327" s="326"/>
      <c r="D327" s="326"/>
      <c r="E327" s="579"/>
      <c r="F327" s="328"/>
      <c r="G327" s="328"/>
      <c r="H327" s="328"/>
      <c r="I327" s="580"/>
      <c r="J327" s="326"/>
      <c r="K327" s="342"/>
      <c r="L327" s="326"/>
      <c r="M327" s="338"/>
      <c r="N327" s="338"/>
      <c r="O327" s="338"/>
      <c r="P327" s="338"/>
      <c r="Q327" s="338"/>
      <c r="R327" s="338"/>
      <c r="S327" s="326"/>
      <c r="T327" s="326"/>
      <c r="U327" s="326"/>
      <c r="V327" s="326"/>
      <c r="W327" s="326"/>
      <c r="X327" s="326"/>
      <c r="Y327" s="326"/>
      <c r="Z327" s="326"/>
      <c r="AA327" s="326"/>
      <c r="AB327" s="326"/>
      <c r="AC327" s="326"/>
      <c r="AD327" s="326"/>
      <c r="AE327" s="326"/>
      <c r="AF327" s="326"/>
      <c r="AG327" s="326"/>
      <c r="AH327" s="326"/>
      <c r="AI327" s="326"/>
      <c r="AJ327" s="326"/>
    </row>
    <row r="328" spans="2:36">
      <c r="B328" s="326"/>
      <c r="C328" s="326"/>
      <c r="D328" s="326"/>
      <c r="E328" s="579"/>
      <c r="F328" s="328"/>
      <c r="G328" s="328"/>
      <c r="H328" s="328"/>
      <c r="I328" s="580"/>
      <c r="J328" s="326"/>
      <c r="K328" s="342"/>
      <c r="L328" s="326"/>
      <c r="M328" s="338"/>
      <c r="N328" s="338"/>
      <c r="O328" s="338"/>
      <c r="P328" s="338"/>
      <c r="Q328" s="338"/>
      <c r="R328" s="338"/>
      <c r="S328" s="326"/>
      <c r="T328" s="326"/>
      <c r="U328" s="326"/>
      <c r="V328" s="326"/>
      <c r="W328" s="326"/>
      <c r="X328" s="326"/>
      <c r="Y328" s="326"/>
      <c r="Z328" s="326"/>
      <c r="AA328" s="326"/>
      <c r="AB328" s="326"/>
      <c r="AC328" s="326"/>
      <c r="AD328" s="326"/>
      <c r="AE328" s="326"/>
      <c r="AF328" s="326"/>
      <c r="AG328" s="326"/>
      <c r="AH328" s="326"/>
      <c r="AI328" s="326"/>
      <c r="AJ328" s="326"/>
    </row>
    <row r="329" spans="2:36">
      <c r="B329" s="326"/>
      <c r="C329" s="326"/>
      <c r="D329" s="326"/>
      <c r="E329" s="579"/>
      <c r="F329" s="328"/>
      <c r="G329" s="328"/>
      <c r="H329" s="328"/>
      <c r="I329" s="580"/>
      <c r="J329" s="326"/>
      <c r="K329" s="342"/>
      <c r="L329" s="326"/>
      <c r="M329" s="338"/>
      <c r="N329" s="338"/>
      <c r="O329" s="338"/>
      <c r="P329" s="338"/>
      <c r="Q329" s="338"/>
      <c r="R329" s="338"/>
      <c r="S329" s="326"/>
      <c r="T329" s="326"/>
      <c r="U329" s="326"/>
      <c r="V329" s="326"/>
      <c r="W329" s="326"/>
      <c r="X329" s="326"/>
      <c r="Y329" s="326"/>
      <c r="Z329" s="326"/>
      <c r="AA329" s="326"/>
      <c r="AB329" s="326"/>
      <c r="AC329" s="326"/>
      <c r="AD329" s="326"/>
      <c r="AE329" s="326"/>
      <c r="AF329" s="326"/>
      <c r="AG329" s="326"/>
      <c r="AH329" s="326"/>
      <c r="AI329" s="326"/>
      <c r="AJ329" s="326"/>
    </row>
    <row r="330" spans="2:36">
      <c r="B330" s="326"/>
      <c r="C330" s="326"/>
      <c r="D330" s="326"/>
      <c r="E330" s="579"/>
      <c r="F330" s="328"/>
      <c r="G330" s="328"/>
      <c r="H330" s="328"/>
      <c r="I330" s="580"/>
      <c r="J330" s="326"/>
      <c r="K330" s="342"/>
      <c r="L330" s="326"/>
      <c r="M330" s="338"/>
      <c r="N330" s="338"/>
      <c r="O330" s="338"/>
      <c r="P330" s="338"/>
      <c r="Q330" s="338"/>
      <c r="R330" s="338"/>
      <c r="S330" s="326"/>
      <c r="T330" s="326"/>
      <c r="U330" s="326"/>
      <c r="V330" s="326"/>
      <c r="W330" s="326"/>
      <c r="X330" s="326"/>
      <c r="Y330" s="326"/>
      <c r="Z330" s="326"/>
      <c r="AA330" s="326"/>
      <c r="AB330" s="326"/>
      <c r="AC330" s="326"/>
      <c r="AD330" s="326"/>
      <c r="AE330" s="326"/>
      <c r="AF330" s="326"/>
      <c r="AG330" s="326"/>
      <c r="AH330" s="326"/>
      <c r="AI330" s="326"/>
      <c r="AJ330" s="326"/>
    </row>
    <row r="331" spans="2:36">
      <c r="B331" s="326"/>
      <c r="C331" s="326"/>
      <c r="D331" s="326"/>
      <c r="E331" s="579"/>
      <c r="F331" s="328"/>
      <c r="G331" s="328"/>
      <c r="H331" s="328"/>
      <c r="I331" s="580"/>
      <c r="J331" s="326"/>
      <c r="K331" s="342"/>
      <c r="L331" s="326"/>
      <c r="M331" s="338"/>
      <c r="N331" s="338"/>
      <c r="O331" s="338"/>
      <c r="P331" s="338"/>
      <c r="Q331" s="338"/>
      <c r="R331" s="338"/>
      <c r="S331" s="326"/>
      <c r="T331" s="326"/>
      <c r="U331" s="326"/>
      <c r="V331" s="326"/>
      <c r="W331" s="326"/>
      <c r="X331" s="326"/>
      <c r="Y331" s="326"/>
      <c r="Z331" s="326"/>
      <c r="AA331" s="326"/>
      <c r="AB331" s="326"/>
      <c r="AC331" s="326"/>
      <c r="AD331" s="326"/>
      <c r="AE331" s="326"/>
      <c r="AF331" s="326"/>
      <c r="AG331" s="326"/>
      <c r="AH331" s="326"/>
      <c r="AI331" s="326"/>
      <c r="AJ331" s="326"/>
    </row>
    <row r="332" spans="2:36">
      <c r="B332" s="326"/>
      <c r="C332" s="326"/>
      <c r="D332" s="326"/>
      <c r="E332" s="579"/>
      <c r="F332" s="328"/>
      <c r="G332" s="328"/>
      <c r="H332" s="328"/>
      <c r="I332" s="580"/>
      <c r="J332" s="326"/>
      <c r="K332" s="342"/>
      <c r="L332" s="326"/>
      <c r="M332" s="338"/>
      <c r="N332" s="338"/>
      <c r="O332" s="338"/>
      <c r="P332" s="338"/>
      <c r="Q332" s="338"/>
      <c r="R332" s="338"/>
      <c r="S332" s="326"/>
      <c r="T332" s="326"/>
      <c r="U332" s="326"/>
      <c r="V332" s="326"/>
      <c r="W332" s="326"/>
      <c r="X332" s="326"/>
      <c r="Y332" s="326"/>
      <c r="Z332" s="326"/>
      <c r="AA332" s="326"/>
      <c r="AB332" s="326"/>
      <c r="AC332" s="326"/>
      <c r="AD332" s="326"/>
      <c r="AE332" s="326"/>
      <c r="AF332" s="326"/>
      <c r="AG332" s="326"/>
      <c r="AH332" s="326"/>
      <c r="AI332" s="326"/>
      <c r="AJ332" s="326"/>
    </row>
    <row r="333" spans="2:36">
      <c r="B333" s="326"/>
      <c r="C333" s="326"/>
      <c r="D333" s="326"/>
      <c r="E333" s="579"/>
      <c r="F333" s="328"/>
      <c r="G333" s="328"/>
      <c r="H333" s="328"/>
      <c r="I333" s="580"/>
      <c r="J333" s="326"/>
      <c r="K333" s="342"/>
      <c r="L333" s="326"/>
      <c r="M333" s="338"/>
      <c r="N333" s="338"/>
      <c r="O333" s="338"/>
      <c r="P333" s="338"/>
      <c r="Q333" s="338"/>
      <c r="R333" s="338"/>
      <c r="S333" s="326"/>
      <c r="T333" s="326"/>
      <c r="U333" s="326"/>
      <c r="V333" s="326"/>
      <c r="W333" s="326"/>
      <c r="X333" s="326"/>
      <c r="Y333" s="326"/>
      <c r="Z333" s="326"/>
      <c r="AA333" s="326"/>
      <c r="AB333" s="326"/>
      <c r="AC333" s="326"/>
      <c r="AD333" s="326"/>
      <c r="AE333" s="326"/>
      <c r="AF333" s="326"/>
      <c r="AG333" s="326"/>
      <c r="AH333" s="326"/>
      <c r="AI333" s="326"/>
      <c r="AJ333" s="326"/>
    </row>
    <row r="334" spans="2:36">
      <c r="B334" s="326"/>
      <c r="C334" s="326"/>
      <c r="D334" s="326"/>
      <c r="E334" s="579"/>
      <c r="F334" s="328"/>
      <c r="G334" s="328"/>
      <c r="H334" s="328"/>
      <c r="I334" s="580"/>
      <c r="J334" s="326"/>
      <c r="K334" s="342"/>
      <c r="L334" s="326"/>
      <c r="M334" s="338"/>
      <c r="N334" s="338"/>
      <c r="O334" s="338"/>
      <c r="P334" s="338"/>
      <c r="Q334" s="338"/>
      <c r="R334" s="338"/>
      <c r="S334" s="326"/>
      <c r="T334" s="326"/>
      <c r="U334" s="326"/>
      <c r="V334" s="326"/>
      <c r="W334" s="326"/>
      <c r="X334" s="326"/>
      <c r="Y334" s="326"/>
      <c r="Z334" s="326"/>
      <c r="AA334" s="326"/>
      <c r="AB334" s="326"/>
      <c r="AC334" s="326"/>
      <c r="AD334" s="326"/>
      <c r="AE334" s="326"/>
      <c r="AF334" s="326"/>
      <c r="AG334" s="326"/>
      <c r="AH334" s="326"/>
      <c r="AI334" s="326"/>
      <c r="AJ334" s="326"/>
    </row>
    <row r="335" spans="2:36">
      <c r="B335" s="326"/>
      <c r="C335" s="326"/>
      <c r="D335" s="326"/>
      <c r="E335" s="579"/>
      <c r="F335" s="328"/>
      <c r="G335" s="328"/>
      <c r="H335" s="328"/>
      <c r="I335" s="580"/>
      <c r="J335" s="326"/>
      <c r="K335" s="342"/>
      <c r="L335" s="326"/>
      <c r="M335" s="338"/>
      <c r="N335" s="338"/>
      <c r="O335" s="338"/>
      <c r="P335" s="338"/>
      <c r="Q335" s="338"/>
      <c r="R335" s="338"/>
      <c r="S335" s="326"/>
      <c r="T335" s="326"/>
      <c r="U335" s="326"/>
      <c r="V335" s="326"/>
      <c r="W335" s="326"/>
      <c r="X335" s="326"/>
      <c r="Y335" s="326"/>
      <c r="Z335" s="326"/>
      <c r="AA335" s="326"/>
      <c r="AB335" s="326"/>
      <c r="AC335" s="326"/>
      <c r="AD335" s="326"/>
      <c r="AE335" s="326"/>
      <c r="AF335" s="326"/>
      <c r="AG335" s="326"/>
      <c r="AH335" s="326"/>
      <c r="AI335" s="326"/>
      <c r="AJ335" s="326"/>
    </row>
    <row r="336" spans="2:36">
      <c r="B336" s="326"/>
      <c r="C336" s="326"/>
      <c r="D336" s="326"/>
      <c r="E336" s="579"/>
      <c r="F336" s="328"/>
      <c r="G336" s="328"/>
      <c r="H336" s="328"/>
      <c r="I336" s="580"/>
      <c r="J336" s="326"/>
      <c r="K336" s="342"/>
      <c r="L336" s="326"/>
      <c r="M336" s="338"/>
      <c r="N336" s="338"/>
      <c r="O336" s="338"/>
      <c r="P336" s="338"/>
      <c r="Q336" s="338"/>
      <c r="R336" s="338"/>
      <c r="S336" s="326"/>
      <c r="T336" s="326"/>
      <c r="U336" s="326"/>
      <c r="V336" s="326"/>
      <c r="W336" s="326"/>
      <c r="X336" s="326"/>
      <c r="Y336" s="326"/>
      <c r="Z336" s="326"/>
      <c r="AA336" s="326"/>
      <c r="AB336" s="326"/>
      <c r="AC336" s="326"/>
      <c r="AD336" s="326"/>
      <c r="AE336" s="326"/>
      <c r="AF336" s="326"/>
      <c r="AG336" s="326"/>
      <c r="AH336" s="326"/>
      <c r="AI336" s="326"/>
      <c r="AJ336" s="326"/>
    </row>
    <row r="337" spans="2:36">
      <c r="B337" s="326"/>
      <c r="C337" s="326"/>
      <c r="D337" s="326"/>
      <c r="E337" s="579"/>
      <c r="F337" s="328"/>
      <c r="G337" s="328"/>
      <c r="H337" s="328"/>
      <c r="I337" s="580"/>
      <c r="J337" s="326"/>
      <c r="K337" s="342"/>
      <c r="L337" s="326"/>
      <c r="M337" s="338"/>
      <c r="N337" s="338"/>
      <c r="O337" s="338"/>
      <c r="P337" s="338"/>
      <c r="Q337" s="338"/>
      <c r="R337" s="338"/>
      <c r="S337" s="326"/>
      <c r="T337" s="326"/>
      <c r="U337" s="326"/>
      <c r="V337" s="326"/>
      <c r="W337" s="326"/>
      <c r="X337" s="326"/>
      <c r="Y337" s="326"/>
      <c r="Z337" s="326"/>
      <c r="AA337" s="326"/>
      <c r="AB337" s="326"/>
      <c r="AC337" s="326"/>
      <c r="AD337" s="326"/>
      <c r="AE337" s="326"/>
      <c r="AF337" s="326"/>
      <c r="AG337" s="326"/>
      <c r="AH337" s="326"/>
      <c r="AI337" s="326"/>
      <c r="AJ337" s="326"/>
    </row>
    <row r="338" spans="2:36">
      <c r="B338" s="326"/>
      <c r="C338" s="326"/>
      <c r="D338" s="326"/>
      <c r="E338" s="579"/>
      <c r="F338" s="328"/>
      <c r="G338" s="328"/>
      <c r="H338" s="328"/>
      <c r="I338" s="580"/>
      <c r="J338" s="326"/>
      <c r="K338" s="342"/>
      <c r="L338" s="326"/>
      <c r="M338" s="338"/>
      <c r="N338" s="338"/>
      <c r="O338" s="338"/>
      <c r="P338" s="338"/>
      <c r="Q338" s="338"/>
      <c r="R338" s="338"/>
      <c r="S338" s="326"/>
      <c r="T338" s="326"/>
      <c r="U338" s="326"/>
      <c r="V338" s="326"/>
      <c r="W338" s="326"/>
      <c r="X338" s="326"/>
      <c r="Y338" s="326"/>
      <c r="Z338" s="326"/>
      <c r="AA338" s="326"/>
      <c r="AB338" s="326"/>
      <c r="AC338" s="326"/>
      <c r="AD338" s="326"/>
      <c r="AE338" s="326"/>
      <c r="AF338" s="326"/>
      <c r="AG338" s="326"/>
      <c r="AH338" s="326"/>
      <c r="AI338" s="326"/>
      <c r="AJ338" s="326"/>
    </row>
  </sheetData>
  <conditionalFormatting sqref="C4">
    <cfRule type="cellIs" dxfId="110" priority="63" stopIfTrue="1" operator="equal">
      <formula>0</formula>
    </cfRule>
  </conditionalFormatting>
  <conditionalFormatting sqref="C14:AG14 C45:AG45 C16:AG19 C50:AG51 C21:AG21">
    <cfRule type="cellIs" dxfId="109" priority="32" operator="equal">
      <formula>0</formula>
    </cfRule>
  </conditionalFormatting>
  <conditionalFormatting sqref="C13:AG13">
    <cfRule type="cellIs" dxfId="108" priority="29" operator="equal">
      <formula>0</formula>
    </cfRule>
  </conditionalFormatting>
  <conditionalFormatting sqref="C41:AG43">
    <cfRule type="cellIs" dxfId="107" priority="27" operator="equal">
      <formula>0</formula>
    </cfRule>
  </conditionalFormatting>
  <conditionalFormatting sqref="C15:AG15">
    <cfRule type="cellIs" dxfId="106" priority="23" operator="equal">
      <formula>0</formula>
    </cfRule>
  </conditionalFormatting>
  <conditionalFormatting sqref="C53:AG53">
    <cfRule type="cellIs" dxfId="105" priority="21" operator="equal">
      <formula>0</formula>
    </cfRule>
  </conditionalFormatting>
  <conditionalFormatting sqref="C54:AG54">
    <cfRule type="cellIs" dxfId="104" priority="20" operator="equal">
      <formula>0</formula>
    </cfRule>
  </conditionalFormatting>
  <conditionalFormatting sqref="C55:AG55">
    <cfRule type="cellIs" dxfId="103" priority="19" operator="equal">
      <formula>0</formula>
    </cfRule>
  </conditionalFormatting>
  <conditionalFormatting sqref="C56:AG57">
    <cfRule type="cellIs" dxfId="102" priority="18" operator="equal">
      <formula>0</formula>
    </cfRule>
  </conditionalFormatting>
  <conditionalFormatting sqref="C44:AG44">
    <cfRule type="cellIs" dxfId="101" priority="17" operator="equal">
      <formula>0</formula>
    </cfRule>
  </conditionalFormatting>
  <conditionalFormatting sqref="C52:AG52">
    <cfRule type="cellIs" dxfId="100" priority="16" operator="equal">
      <formula>0</formula>
    </cfRule>
  </conditionalFormatting>
  <conditionalFormatting sqref="C46:AG46">
    <cfRule type="cellIs" dxfId="99" priority="10" operator="equal">
      <formula>0</formula>
    </cfRule>
  </conditionalFormatting>
  <conditionalFormatting sqref="C47:AG47">
    <cfRule type="cellIs" dxfId="98" priority="9" operator="equal">
      <formula>0</formula>
    </cfRule>
  </conditionalFormatting>
  <conditionalFormatting sqref="C37:AG37">
    <cfRule type="cellIs" dxfId="97" priority="3" operator="equal">
      <formula>0</formula>
    </cfRule>
  </conditionalFormatting>
  <conditionalFormatting sqref="C38:AG38">
    <cfRule type="cellIs" dxfId="96" priority="2" operator="equal">
      <formula>0</formula>
    </cfRule>
  </conditionalFormatting>
  <conditionalFormatting sqref="C36:AG36">
    <cfRule type="cellIs" dxfId="95" priority="6" operator="equal">
      <formula>0</formula>
    </cfRule>
  </conditionalFormatting>
  <conditionalFormatting sqref="C33:AG34">
    <cfRule type="cellIs" dxfId="94" priority="5" operator="equal">
      <formula>0</formula>
    </cfRule>
  </conditionalFormatting>
  <conditionalFormatting sqref="C35:AG35">
    <cfRule type="cellIs" dxfId="93" priority="4" operator="equal">
      <formula>0</formula>
    </cfRule>
  </conditionalFormatting>
  <conditionalFormatting sqref="C20:AG20">
    <cfRule type="cellIs" dxfId="92" priority="1" operator="equal">
      <formula>0</formula>
    </cfRule>
  </conditionalFormatting>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rgb="FFCCFFCC"/>
  </sheetPr>
  <dimension ref="A1:AI89"/>
  <sheetViews>
    <sheetView workbookViewId="0">
      <pane xSplit="2" ySplit="11" topLeftCell="P57" activePane="bottomRight" state="frozen"/>
      <selection pane="topRight" activeCell="C1" sqref="C1"/>
      <selection pane="bottomLeft" activeCell="A12" sqref="A12"/>
      <selection pane="bottomRight" activeCell="W65" sqref="W65"/>
    </sheetView>
  </sheetViews>
  <sheetFormatPr defaultColWidth="9.33203125" defaultRowHeight="13.2"/>
  <cols>
    <col min="1" max="1" width="2.33203125" style="326" customWidth="1"/>
    <col min="2" max="2" width="41" style="326" customWidth="1"/>
    <col min="3" max="3" width="9" style="326" bestFit="1" customWidth="1"/>
    <col min="4" max="28" width="9.33203125" style="326" bestFit="1" customWidth="1"/>
    <col min="29" max="29" width="10.88671875" style="326" customWidth="1"/>
    <col min="30" max="33" width="9.33203125" style="326" bestFit="1" customWidth="1"/>
    <col min="34" max="16384" width="9.33203125" style="326"/>
  </cols>
  <sheetData>
    <row r="1" spans="1:34" ht="24.6">
      <c r="B1" s="327" t="s">
        <v>396</v>
      </c>
      <c r="K1" s="328"/>
      <c r="L1" s="328"/>
      <c r="M1" s="328"/>
      <c r="N1" s="328"/>
    </row>
    <row r="2" spans="1:34">
      <c r="P2" s="329"/>
      <c r="S2" s="330"/>
    </row>
    <row r="3" spans="1:34">
      <c r="P3" s="329"/>
      <c r="S3" s="331"/>
    </row>
    <row r="4" spans="1:34" ht="13.8" thickBot="1">
      <c r="B4" s="332" t="s">
        <v>214</v>
      </c>
      <c r="C4" s="331"/>
      <c r="E4" s="333" t="str">
        <f>Cashflow!M4</f>
        <v>Production variables</v>
      </c>
      <c r="F4" s="328"/>
      <c r="G4" s="328"/>
      <c r="H4" s="328"/>
      <c r="I4" s="328"/>
      <c r="J4" s="328"/>
      <c r="L4" s="332" t="str">
        <f>Cashflow!S13</f>
        <v>Well-related costs</v>
      </c>
      <c r="M4" s="328"/>
      <c r="N4" s="328"/>
      <c r="O4" s="328"/>
      <c r="P4" s="328"/>
      <c r="R4" s="369" t="str">
        <f>Cashflow!X4</f>
        <v>Economic variables</v>
      </c>
      <c r="S4" s="421"/>
      <c r="T4" s="328"/>
      <c r="U4" s="328"/>
      <c r="V4" s="331"/>
      <c r="X4" s="369" t="str">
        <f>Cashflow!AC13</f>
        <v>Surface facility variables</v>
      </c>
    </row>
    <row r="5" spans="1:34" ht="13.8" thickBot="1">
      <c r="B5" s="334" t="s">
        <v>211</v>
      </c>
      <c r="C5" s="81"/>
      <c r="D5" s="329"/>
      <c r="E5" s="447" t="str">
        <f>Cashflow!M7</f>
        <v>Select: successful explor. and appr. wells re-used as injectors?</v>
      </c>
      <c r="F5" s="423"/>
      <c r="G5" s="423"/>
      <c r="H5" s="448"/>
      <c r="I5" s="449"/>
      <c r="J5" s="93" t="str">
        <f>Cashflow!Q7</f>
        <v>Yes</v>
      </c>
      <c r="K5" s="335"/>
      <c r="L5" s="336" t="str">
        <f>Cashflow!S16</f>
        <v>Drill &amp; compl. cost per explor. well ($ MM)</v>
      </c>
      <c r="M5" s="337"/>
      <c r="N5" s="337"/>
      <c r="O5" s="427"/>
      <c r="P5" s="123">
        <f>Cashflow!V16</f>
        <v>6</v>
      </c>
      <c r="Q5" s="429"/>
      <c r="R5" s="336" t="str">
        <f>Cashflow!X12</f>
        <v>Capex multiplier</v>
      </c>
      <c r="S5" s="337"/>
      <c r="T5" s="337"/>
      <c r="U5" s="427"/>
      <c r="V5" s="123">
        <f>Cashflow!AA12</f>
        <v>1</v>
      </c>
      <c r="X5" s="336" t="str">
        <f>Cashflow!AC15</f>
        <v>Select turbine capex replacement method:</v>
      </c>
      <c r="Y5" s="337"/>
      <c r="Z5" s="337"/>
      <c r="AA5" s="337"/>
      <c r="AB5" s="427"/>
      <c r="AC5" s="123" t="str">
        <f>Cashflow!AG15</f>
        <v>Constant</v>
      </c>
    </row>
    <row r="6" spans="1:34" ht="13.8" thickBot="1">
      <c r="B6" s="334" t="s">
        <v>89</v>
      </c>
      <c r="C6" s="29"/>
      <c r="E6" s="338"/>
      <c r="F6" s="338"/>
      <c r="G6" s="338"/>
      <c r="H6" s="422"/>
      <c r="I6" s="338"/>
      <c r="J6" s="338"/>
      <c r="L6" s="430"/>
      <c r="O6" s="633" t="str">
        <f>Cashflow!S17</f>
        <v>Drill &amp; compl. cost per appraisal well ($ MM)</v>
      </c>
      <c r="P6" s="124">
        <f>Cashflow!V17</f>
        <v>4.5</v>
      </c>
      <c r="Q6" s="429"/>
      <c r="R6" s="444" t="str">
        <f>Cashflow!X18</f>
        <v>Select who pays for connection to grid:</v>
      </c>
      <c r="S6" s="150"/>
      <c r="T6" s="443"/>
      <c r="U6" s="445"/>
      <c r="V6" s="446" t="str">
        <f>Cashflow!AA18</f>
        <v>TSO</v>
      </c>
      <c r="X6" s="431"/>
      <c r="Y6" s="338"/>
      <c r="Z6" s="338"/>
      <c r="AA6" s="338"/>
      <c r="AB6" s="432" t="str">
        <f>Cashflow!AF16</f>
        <v>Cost of replacement turbine ($ MM) --&gt;</v>
      </c>
      <c r="AC6" s="124">
        <f>Cashflow!AG16</f>
        <v>15</v>
      </c>
    </row>
    <row r="7" spans="1:34" ht="13.8" thickBot="1">
      <c r="E7" s="333" t="str">
        <f>Cashflow!S4</f>
        <v>Phasing variables</v>
      </c>
      <c r="F7" s="328"/>
      <c r="G7" s="328"/>
      <c r="H7" s="450"/>
      <c r="I7" s="328"/>
      <c r="J7" s="328"/>
      <c r="L7" s="431"/>
      <c r="M7" s="338"/>
      <c r="N7" s="338"/>
      <c r="O7" s="633" t="str">
        <f>Cashflow!S18</f>
        <v>Drill &amp; compl. cost per dev. well ($ MM)</v>
      </c>
      <c r="P7" s="124">
        <f>Cashflow!V18</f>
        <v>4</v>
      </c>
      <c r="Q7" s="335"/>
      <c r="S7" s="329"/>
      <c r="V7" s="331"/>
      <c r="X7" s="444"/>
      <c r="Y7" s="150"/>
      <c r="Z7" s="443"/>
      <c r="AA7" s="443"/>
      <c r="AB7" s="603" t="str">
        <f>Cashflow!AF17</f>
        <v>Hrs until turbine needs replacement --&gt;</v>
      </c>
      <c r="AC7" s="446">
        <f>Cashflow!AG17</f>
        <v>100000</v>
      </c>
    </row>
    <row r="8" spans="1:34" ht="13.8" thickBot="1">
      <c r="D8" s="329"/>
      <c r="E8" s="447" t="str">
        <f>Cashflow!S6</f>
        <v>COD (First year of production)</v>
      </c>
      <c r="F8" s="423"/>
      <c r="G8" s="423"/>
      <c r="H8" s="449"/>
      <c r="I8" s="423"/>
      <c r="J8" s="451">
        <f>Cashflow!V6</f>
        <v>2025</v>
      </c>
      <c r="K8" s="335"/>
      <c r="L8" s="431"/>
      <c r="M8" s="338"/>
      <c r="N8" s="338"/>
      <c r="O8" s="633" t="str">
        <f>Cashflow!S19</f>
        <v>Drill &amp; compl. cost per injection well ($ MM)</v>
      </c>
      <c r="P8" s="124">
        <f>Cashflow!V19</f>
        <v>8</v>
      </c>
      <c r="Q8" s="335"/>
    </row>
    <row r="9" spans="1:34" ht="13.8" thickBot="1">
      <c r="E9" s="338"/>
      <c r="F9" s="338"/>
      <c r="G9" s="338"/>
      <c r="H9" s="338"/>
      <c r="I9" s="338"/>
      <c r="J9" s="338"/>
      <c r="L9" s="339" t="str">
        <f>Cashflow!S20</f>
        <v>Well stimulation cost ($ MM)</v>
      </c>
      <c r="M9" s="340"/>
      <c r="N9" s="340"/>
      <c r="O9" s="340"/>
      <c r="P9" s="428">
        <f>Cashflow!V20</f>
        <v>1.5</v>
      </c>
    </row>
    <row r="10" spans="1:34">
      <c r="B10" s="328"/>
      <c r="C10" s="328"/>
      <c r="D10" s="328"/>
      <c r="E10" s="328"/>
      <c r="F10" s="328"/>
      <c r="G10" s="328"/>
      <c r="H10" s="328"/>
      <c r="I10" s="328"/>
      <c r="J10" s="328"/>
      <c r="K10" s="341"/>
      <c r="L10" s="331"/>
      <c r="M10" s="328"/>
      <c r="N10" s="328"/>
      <c r="O10" s="328"/>
      <c r="P10" s="328"/>
      <c r="Q10" s="328"/>
      <c r="R10" s="328"/>
      <c r="S10" s="328"/>
      <c r="T10" s="328"/>
      <c r="U10" s="328"/>
      <c r="V10" s="328"/>
      <c r="W10" s="328"/>
      <c r="X10" s="328"/>
      <c r="Y10" s="328"/>
      <c r="Z10" s="328"/>
      <c r="AA10" s="328"/>
      <c r="AB10" s="328"/>
      <c r="AC10" s="328"/>
      <c r="AD10" s="328"/>
      <c r="AE10" s="328"/>
      <c r="AF10" s="328"/>
      <c r="AG10" s="328"/>
    </row>
    <row r="11" spans="1:34">
      <c r="B11" s="328"/>
      <c r="C11" s="328"/>
      <c r="D11" s="328"/>
      <c r="E11" s="328"/>
      <c r="F11" s="328"/>
      <c r="G11" s="328"/>
      <c r="H11" s="328"/>
      <c r="I11" s="328"/>
      <c r="J11" s="328"/>
      <c r="K11" s="341"/>
      <c r="L11" s="331"/>
      <c r="M11" s="328"/>
      <c r="N11" s="328"/>
      <c r="O11" s="328"/>
      <c r="P11" s="328"/>
      <c r="Q11" s="328"/>
      <c r="R11" s="328"/>
      <c r="S11" s="328"/>
      <c r="T11" s="328"/>
      <c r="U11" s="328"/>
      <c r="V11" s="328"/>
      <c r="W11" s="328"/>
      <c r="X11" s="328"/>
      <c r="Y11" s="328"/>
      <c r="Z11" s="328"/>
      <c r="AA11" s="328"/>
      <c r="AB11" s="328"/>
      <c r="AC11" s="328"/>
      <c r="AD11" s="328"/>
      <c r="AE11" s="328"/>
      <c r="AF11" s="328"/>
      <c r="AG11" s="328"/>
    </row>
    <row r="12" spans="1:34">
      <c r="A12" s="342" t="s">
        <v>97</v>
      </c>
      <c r="B12" s="343" t="s">
        <v>98</v>
      </c>
      <c r="C12" s="343" t="s">
        <v>99</v>
      </c>
      <c r="D12" s="343" t="s">
        <v>100</v>
      </c>
      <c r="E12" s="343" t="s">
        <v>101</v>
      </c>
      <c r="F12" s="343" t="s">
        <v>102</v>
      </c>
      <c r="G12" s="343" t="s">
        <v>103</v>
      </c>
      <c r="H12" s="343" t="s">
        <v>104</v>
      </c>
      <c r="I12" s="343" t="s">
        <v>105</v>
      </c>
      <c r="J12" s="343" t="s">
        <v>106</v>
      </c>
      <c r="K12" s="343" t="s">
        <v>107</v>
      </c>
      <c r="L12" s="343" t="s">
        <v>108</v>
      </c>
      <c r="M12" s="343" t="s">
        <v>109</v>
      </c>
      <c r="N12" s="343" t="s">
        <v>88</v>
      </c>
      <c r="O12" s="343" t="s">
        <v>110</v>
      </c>
      <c r="P12" s="343" t="s">
        <v>111</v>
      </c>
      <c r="Q12" s="343" t="s">
        <v>112</v>
      </c>
      <c r="R12" s="343" t="s">
        <v>113</v>
      </c>
      <c r="S12" s="343" t="s">
        <v>114</v>
      </c>
      <c r="T12" s="343" t="s">
        <v>115</v>
      </c>
      <c r="U12" s="343" t="s">
        <v>116</v>
      </c>
      <c r="V12" s="343" t="s">
        <v>117</v>
      </c>
      <c r="W12" s="343" t="s">
        <v>118</v>
      </c>
      <c r="X12" s="343" t="s">
        <v>119</v>
      </c>
      <c r="Y12" s="343" t="s">
        <v>120</v>
      </c>
      <c r="Z12" s="343" t="s">
        <v>121</v>
      </c>
      <c r="AA12" s="343" t="s">
        <v>122</v>
      </c>
      <c r="AB12" s="343" t="s">
        <v>123</v>
      </c>
      <c r="AC12" s="343" t="s">
        <v>124</v>
      </c>
      <c r="AD12" s="343" t="s">
        <v>125</v>
      </c>
      <c r="AE12" s="343" t="s">
        <v>126</v>
      </c>
      <c r="AF12" s="343" t="s">
        <v>127</v>
      </c>
      <c r="AG12" s="343" t="s">
        <v>128</v>
      </c>
    </row>
    <row r="13" spans="1:34" ht="13.8" thickBot="1">
      <c r="A13" s="344"/>
      <c r="B13" s="345" t="s">
        <v>635</v>
      </c>
      <c r="C13" s="346">
        <f>Cashflow!C$30</f>
        <v>2017</v>
      </c>
      <c r="D13" s="346">
        <f>Cashflow!D$30</f>
        <v>2018</v>
      </c>
      <c r="E13" s="346">
        <f>Cashflow!E$30</f>
        <v>2019</v>
      </c>
      <c r="F13" s="346">
        <f>Cashflow!F$30</f>
        <v>2020</v>
      </c>
      <c r="G13" s="346">
        <f>Cashflow!G$30</f>
        <v>2021</v>
      </c>
      <c r="H13" s="346">
        <f>Cashflow!H$30</f>
        <v>2022</v>
      </c>
      <c r="I13" s="346">
        <f>Cashflow!I$30</f>
        <v>2023</v>
      </c>
      <c r="J13" s="346">
        <f>Cashflow!J$30</f>
        <v>2024</v>
      </c>
      <c r="K13" s="346">
        <f>Cashflow!K$30</f>
        <v>2025</v>
      </c>
      <c r="L13" s="346">
        <f>Cashflow!L$30</f>
        <v>2026</v>
      </c>
      <c r="M13" s="346">
        <f>Cashflow!M$30</f>
        <v>2027</v>
      </c>
      <c r="N13" s="346">
        <f>Cashflow!N$30</f>
        <v>2028</v>
      </c>
      <c r="O13" s="346">
        <f>Cashflow!O$30</f>
        <v>2029</v>
      </c>
      <c r="P13" s="346">
        <f>Cashflow!P$30</f>
        <v>2030</v>
      </c>
      <c r="Q13" s="346">
        <f>Cashflow!Q$30</f>
        <v>2031</v>
      </c>
      <c r="R13" s="346">
        <f>Cashflow!R$30</f>
        <v>2032</v>
      </c>
      <c r="S13" s="346">
        <f>Cashflow!S$30</f>
        <v>2033</v>
      </c>
      <c r="T13" s="346">
        <f>Cashflow!T$30</f>
        <v>2034</v>
      </c>
      <c r="U13" s="346">
        <f>Cashflow!U$30</f>
        <v>2035</v>
      </c>
      <c r="V13" s="346">
        <f>Cashflow!V$30</f>
        <v>2036</v>
      </c>
      <c r="W13" s="346">
        <f>Cashflow!W$30</f>
        <v>2037</v>
      </c>
      <c r="X13" s="346">
        <f>Cashflow!X$30</f>
        <v>2038</v>
      </c>
      <c r="Y13" s="346">
        <f>Cashflow!Y$30</f>
        <v>2039</v>
      </c>
      <c r="Z13" s="346">
        <f>Cashflow!Z$30</f>
        <v>2040</v>
      </c>
      <c r="AA13" s="346">
        <f>Cashflow!AA$30</f>
        <v>2041</v>
      </c>
      <c r="AB13" s="346">
        <f>Cashflow!AB$30</f>
        <v>2042</v>
      </c>
      <c r="AC13" s="346">
        <f>Cashflow!AC$30</f>
        <v>2043</v>
      </c>
      <c r="AD13" s="346">
        <f>Cashflow!AD$30</f>
        <v>2044</v>
      </c>
      <c r="AE13" s="346">
        <f>Cashflow!AE$30</f>
        <v>2045</v>
      </c>
      <c r="AF13" s="346">
        <f>Cashflow!AF$30</f>
        <v>2046</v>
      </c>
      <c r="AG13" s="346">
        <f>Cashflow!AG$30</f>
        <v>2047</v>
      </c>
      <c r="AH13" s="335"/>
    </row>
    <row r="14" spans="1:34" ht="13.8" thickTop="1">
      <c r="A14" s="329"/>
      <c r="B14" s="436" t="s">
        <v>637</v>
      </c>
      <c r="C14" s="437">
        <f>C15*$V$5</f>
        <v>-15.5</v>
      </c>
      <c r="D14" s="437">
        <f t="shared" ref="D14:AG14" si="0">D15*$V$5</f>
        <v>-11</v>
      </c>
      <c r="E14" s="437">
        <f t="shared" si="0"/>
        <v>-5</v>
      </c>
      <c r="F14" s="437">
        <f t="shared" si="0"/>
        <v>0</v>
      </c>
      <c r="G14" s="437">
        <f t="shared" si="0"/>
        <v>0</v>
      </c>
      <c r="H14" s="437">
        <f t="shared" si="0"/>
        <v>0</v>
      </c>
      <c r="I14" s="437">
        <f t="shared" si="0"/>
        <v>0</v>
      </c>
      <c r="J14" s="437">
        <f t="shared" si="0"/>
        <v>0</v>
      </c>
      <c r="K14" s="437">
        <f t="shared" si="0"/>
        <v>0</v>
      </c>
      <c r="L14" s="437">
        <f t="shared" ca="1" si="0"/>
        <v>0</v>
      </c>
      <c r="M14" s="437">
        <f t="shared" ca="1" si="0"/>
        <v>0</v>
      </c>
      <c r="N14" s="437">
        <f t="shared" ca="1" si="0"/>
        <v>0</v>
      </c>
      <c r="O14" s="437">
        <f t="shared" ca="1" si="0"/>
        <v>0</v>
      </c>
      <c r="P14" s="437">
        <f t="shared" ca="1" si="0"/>
        <v>0</v>
      </c>
      <c r="Q14" s="437">
        <f t="shared" ca="1" si="0"/>
        <v>0</v>
      </c>
      <c r="R14" s="437">
        <f t="shared" ca="1" si="0"/>
        <v>0</v>
      </c>
      <c r="S14" s="437">
        <f t="shared" ca="1" si="0"/>
        <v>0</v>
      </c>
      <c r="T14" s="437">
        <f t="shared" ca="1" si="0"/>
        <v>0</v>
      </c>
      <c r="U14" s="437">
        <f t="shared" ca="1" si="0"/>
        <v>0</v>
      </c>
      <c r="V14" s="437">
        <f t="shared" ca="1" si="0"/>
        <v>0</v>
      </c>
      <c r="W14" s="437">
        <f t="shared" ca="1" si="0"/>
        <v>0</v>
      </c>
      <c r="X14" s="437">
        <f t="shared" ca="1" si="0"/>
        <v>0</v>
      </c>
      <c r="Y14" s="437">
        <f t="shared" ca="1" si="0"/>
        <v>0</v>
      </c>
      <c r="Z14" s="437">
        <f t="shared" ca="1" si="0"/>
        <v>0</v>
      </c>
      <c r="AA14" s="437">
        <f t="shared" ca="1" si="0"/>
        <v>0</v>
      </c>
      <c r="AB14" s="437">
        <f t="shared" ca="1" si="0"/>
        <v>0</v>
      </c>
      <c r="AC14" s="437">
        <f t="shared" ca="1" si="0"/>
        <v>0</v>
      </c>
      <c r="AD14" s="437">
        <f t="shared" ca="1" si="0"/>
        <v>0</v>
      </c>
      <c r="AE14" s="437">
        <f t="shared" ca="1" si="0"/>
        <v>0</v>
      </c>
      <c r="AF14" s="437">
        <f t="shared" ca="1" si="0"/>
        <v>0</v>
      </c>
      <c r="AG14" s="437">
        <f t="shared" ca="1" si="0"/>
        <v>0</v>
      </c>
      <c r="AH14" s="335"/>
    </row>
    <row r="15" spans="1:34" ht="13.8" thickBot="1">
      <c r="A15" s="329"/>
      <c r="B15" s="438" t="s">
        <v>638</v>
      </c>
      <c r="C15" s="439">
        <f t="shared" ref="C15:AG15" si="1">SUM(C16:C19)</f>
        <v>-15.5</v>
      </c>
      <c r="D15" s="439">
        <f t="shared" si="1"/>
        <v>-11</v>
      </c>
      <c r="E15" s="439">
        <f t="shared" si="1"/>
        <v>-5</v>
      </c>
      <c r="F15" s="439">
        <f t="shared" si="1"/>
        <v>0</v>
      </c>
      <c r="G15" s="439">
        <f t="shared" si="1"/>
        <v>0</v>
      </c>
      <c r="H15" s="439">
        <f t="shared" si="1"/>
        <v>0</v>
      </c>
      <c r="I15" s="439">
        <f t="shared" si="1"/>
        <v>0</v>
      </c>
      <c r="J15" s="439">
        <f t="shared" si="1"/>
        <v>0</v>
      </c>
      <c r="K15" s="439">
        <f t="shared" si="1"/>
        <v>0</v>
      </c>
      <c r="L15" s="439">
        <f t="shared" ca="1" si="1"/>
        <v>0</v>
      </c>
      <c r="M15" s="439">
        <f t="shared" ca="1" si="1"/>
        <v>0</v>
      </c>
      <c r="N15" s="439">
        <f t="shared" ca="1" si="1"/>
        <v>0</v>
      </c>
      <c r="O15" s="439">
        <f t="shared" ca="1" si="1"/>
        <v>0</v>
      </c>
      <c r="P15" s="439">
        <f t="shared" ca="1" si="1"/>
        <v>0</v>
      </c>
      <c r="Q15" s="439">
        <f t="shared" ca="1" si="1"/>
        <v>0</v>
      </c>
      <c r="R15" s="439">
        <f t="shared" ca="1" si="1"/>
        <v>0</v>
      </c>
      <c r="S15" s="439">
        <f t="shared" ca="1" si="1"/>
        <v>0</v>
      </c>
      <c r="T15" s="439">
        <f t="shared" ca="1" si="1"/>
        <v>0</v>
      </c>
      <c r="U15" s="439">
        <f t="shared" ca="1" si="1"/>
        <v>0</v>
      </c>
      <c r="V15" s="439">
        <f t="shared" ca="1" si="1"/>
        <v>0</v>
      </c>
      <c r="W15" s="439">
        <f t="shared" ca="1" si="1"/>
        <v>0</v>
      </c>
      <c r="X15" s="439">
        <f t="shared" ca="1" si="1"/>
        <v>0</v>
      </c>
      <c r="Y15" s="439">
        <f t="shared" ca="1" si="1"/>
        <v>0</v>
      </c>
      <c r="Z15" s="439">
        <f t="shared" ca="1" si="1"/>
        <v>0</v>
      </c>
      <c r="AA15" s="439">
        <f t="shared" ca="1" si="1"/>
        <v>0</v>
      </c>
      <c r="AB15" s="439">
        <f t="shared" ca="1" si="1"/>
        <v>0</v>
      </c>
      <c r="AC15" s="439">
        <f t="shared" ca="1" si="1"/>
        <v>0</v>
      </c>
      <c r="AD15" s="439">
        <f t="shared" ca="1" si="1"/>
        <v>0</v>
      </c>
      <c r="AE15" s="439">
        <f t="shared" ca="1" si="1"/>
        <v>0</v>
      </c>
      <c r="AF15" s="439">
        <f t="shared" ca="1" si="1"/>
        <v>0</v>
      </c>
      <c r="AG15" s="439">
        <f t="shared" ca="1" si="1"/>
        <v>0</v>
      </c>
      <c r="AH15" s="335"/>
    </row>
    <row r="16" spans="1:34" ht="13.8" thickTop="1">
      <c r="A16" s="329"/>
      <c r="B16" s="350" t="str">
        <f>'Project-definition'!B40</f>
        <v>Consultancy costs</v>
      </c>
      <c r="C16" s="82">
        <f>IF(Cashflow!C$111="C/I",0,'Project-definition'!C40)</f>
        <v>0</v>
      </c>
      <c r="D16" s="82">
        <f>IF(Cashflow!D$111="C/I",0,'Project-definition'!D40)</f>
        <v>0</v>
      </c>
      <c r="E16" s="82">
        <f>IF(Cashflow!E$111="C/I",0,'Project-definition'!E40)</f>
        <v>0</v>
      </c>
      <c r="F16" s="82">
        <f>IF(Cashflow!F$111="C/I",0,'Project-definition'!F40)</f>
        <v>0</v>
      </c>
      <c r="G16" s="82">
        <f>IF(Cashflow!G$111="C/I",0,'Project-definition'!G40)</f>
        <v>0</v>
      </c>
      <c r="H16" s="82">
        <f>IF(Cashflow!H$111="C/I",0,'Project-definition'!H40)</f>
        <v>0</v>
      </c>
      <c r="I16" s="82">
        <f>IF(Cashflow!I$111="C/I",0,'Project-definition'!I40)</f>
        <v>0</v>
      </c>
      <c r="J16" s="82">
        <f>IF(Cashflow!J$111="C/I",0,'Project-definition'!J40)</f>
        <v>0</v>
      </c>
      <c r="K16" s="82">
        <f>IF(Cashflow!K$111="C/I",0,'Project-definition'!K40)</f>
        <v>0</v>
      </c>
      <c r="L16" s="82">
        <f ca="1">IF(Cashflow!L$111="C/I",0,'Project-definition'!L40)</f>
        <v>0</v>
      </c>
      <c r="M16" s="82">
        <f ca="1">IF(Cashflow!M$111="C/I",0,'Project-definition'!M40)</f>
        <v>0</v>
      </c>
      <c r="N16" s="82">
        <f ca="1">IF(Cashflow!N$111="C/I",0,'Project-definition'!N40)</f>
        <v>0</v>
      </c>
      <c r="O16" s="82">
        <f ca="1">IF(Cashflow!O$111="C/I",0,'Project-definition'!O40)</f>
        <v>0</v>
      </c>
      <c r="P16" s="82">
        <f ca="1">IF(Cashflow!P$111="C/I",0,'Project-definition'!P40)</f>
        <v>0</v>
      </c>
      <c r="Q16" s="82">
        <f ca="1">IF(Cashflow!Q$111="C/I",0,'Project-definition'!Q40)</f>
        <v>0</v>
      </c>
      <c r="R16" s="82">
        <f ca="1">IF(Cashflow!R$111="C/I",0,'Project-definition'!R40)</f>
        <v>0</v>
      </c>
      <c r="S16" s="82">
        <f ca="1">IF(Cashflow!S$111="C/I",0,'Project-definition'!S40)</f>
        <v>0</v>
      </c>
      <c r="T16" s="82">
        <f ca="1">IF(Cashflow!T$111="C/I",0,'Project-definition'!T40)</f>
        <v>0</v>
      </c>
      <c r="U16" s="82">
        <f ca="1">IF(Cashflow!U$111="C/I",0,'Project-definition'!U40)</f>
        <v>0</v>
      </c>
      <c r="V16" s="82">
        <f ca="1">IF(Cashflow!V$111="C/I",0,'Project-definition'!V40)</f>
        <v>0</v>
      </c>
      <c r="W16" s="82">
        <f ca="1">IF(Cashflow!W$111="C/I",0,'Project-definition'!W40)</f>
        <v>0</v>
      </c>
      <c r="X16" s="82">
        <f ca="1">IF(Cashflow!X$111="C/I",0,'Project-definition'!X40)</f>
        <v>0</v>
      </c>
      <c r="Y16" s="82">
        <f ca="1">IF(Cashflow!Y$111="C/I",0,'Project-definition'!Y40)</f>
        <v>0</v>
      </c>
      <c r="Z16" s="82">
        <f ca="1">IF(Cashflow!Z$111="C/I",0,'Project-definition'!Z40)</f>
        <v>0</v>
      </c>
      <c r="AA16" s="82">
        <f ca="1">IF(Cashflow!AA$111="C/I",0,'Project-definition'!AA40)</f>
        <v>0</v>
      </c>
      <c r="AB16" s="82">
        <f ca="1">IF(Cashflow!AB$111="C/I",0,'Project-definition'!AB40)</f>
        <v>0</v>
      </c>
      <c r="AC16" s="82">
        <f ca="1">IF(Cashflow!AC$111="C/I",0,'Project-definition'!AC40)</f>
        <v>0</v>
      </c>
      <c r="AD16" s="82">
        <f ca="1">IF(Cashflow!AD$111="C/I",0,'Project-definition'!AD40)</f>
        <v>0</v>
      </c>
      <c r="AE16" s="82">
        <f ca="1">IF(Cashflow!AE$111="C/I",0,'Project-definition'!AE40)</f>
        <v>0</v>
      </c>
      <c r="AF16" s="82">
        <f ca="1">IF(Cashflow!AF$111="C/I",0,'Project-definition'!AF40)</f>
        <v>0</v>
      </c>
      <c r="AG16" s="82">
        <f ca="1">IF(Cashflow!AG$111="C/I",0,'Project-definition'!AG40)</f>
        <v>0</v>
      </c>
      <c r="AH16" s="335"/>
    </row>
    <row r="17" spans="1:34">
      <c r="A17" s="329"/>
      <c r="B17" s="350" t="str">
        <f>'Project-definition'!B41</f>
        <v>Survey costs</v>
      </c>
      <c r="C17" s="82">
        <f>IF(Cashflow!C$111="C/I",0,'Project-definition'!C41)</f>
        <v>-15</v>
      </c>
      <c r="D17" s="82">
        <f>IF(Cashflow!D$111="C/I",0,'Project-definition'!D41)</f>
        <v>-10</v>
      </c>
      <c r="E17" s="82">
        <f>IF(Cashflow!E$111="C/I",0,'Project-definition'!E41)</f>
        <v>-5</v>
      </c>
      <c r="F17" s="82">
        <f>IF(Cashflow!F$111="C/I",0,'Project-definition'!F41)</f>
        <v>0</v>
      </c>
      <c r="G17" s="82">
        <f>IF(Cashflow!G$111="C/I",0,'Project-definition'!G41)</f>
        <v>0</v>
      </c>
      <c r="H17" s="82">
        <f>IF(Cashflow!H$111="C/I",0,'Project-definition'!H41)</f>
        <v>0</v>
      </c>
      <c r="I17" s="82">
        <f>IF(Cashflow!I$111="C/I",0,'Project-definition'!I41)</f>
        <v>0</v>
      </c>
      <c r="J17" s="82">
        <f>IF(Cashflow!J$111="C/I",0,'Project-definition'!J41)</f>
        <v>0</v>
      </c>
      <c r="K17" s="82">
        <f>IF(Cashflow!K$111="C/I",0,'Project-definition'!K41)</f>
        <v>0</v>
      </c>
      <c r="L17" s="82">
        <f ca="1">IF(Cashflow!L$111="C/I",0,'Project-definition'!L41)</f>
        <v>0</v>
      </c>
      <c r="M17" s="82">
        <f ca="1">IF(Cashflow!M$111="C/I",0,'Project-definition'!M41)</f>
        <v>0</v>
      </c>
      <c r="N17" s="82">
        <f ca="1">IF(Cashflow!N$111="C/I",0,'Project-definition'!N41)</f>
        <v>0</v>
      </c>
      <c r="O17" s="82">
        <f ca="1">IF(Cashflow!O$111="C/I",0,'Project-definition'!O41)</f>
        <v>0</v>
      </c>
      <c r="P17" s="82">
        <f ca="1">IF(Cashflow!P$111="C/I",0,'Project-definition'!P41)</f>
        <v>0</v>
      </c>
      <c r="Q17" s="82">
        <f ca="1">IF(Cashflow!Q$111="C/I",0,'Project-definition'!Q41)</f>
        <v>0</v>
      </c>
      <c r="R17" s="82">
        <f ca="1">IF(Cashflow!R$111="C/I",0,'Project-definition'!R41)</f>
        <v>0</v>
      </c>
      <c r="S17" s="82">
        <f ca="1">IF(Cashflow!S$111="C/I",0,'Project-definition'!S41)</f>
        <v>0</v>
      </c>
      <c r="T17" s="82">
        <f ca="1">IF(Cashflow!T$111="C/I",0,'Project-definition'!T41)</f>
        <v>0</v>
      </c>
      <c r="U17" s="82">
        <f ca="1">IF(Cashflow!U$111="C/I",0,'Project-definition'!U41)</f>
        <v>0</v>
      </c>
      <c r="V17" s="82">
        <f ca="1">IF(Cashflow!V$111="C/I",0,'Project-definition'!V41)</f>
        <v>0</v>
      </c>
      <c r="W17" s="82">
        <f ca="1">IF(Cashflow!W$111="C/I",0,'Project-definition'!W41)</f>
        <v>0</v>
      </c>
      <c r="X17" s="82">
        <f ca="1">IF(Cashflow!X$111="C/I",0,'Project-definition'!X41)</f>
        <v>0</v>
      </c>
      <c r="Y17" s="82">
        <f ca="1">IF(Cashflow!Y$111="C/I",0,'Project-definition'!Y41)</f>
        <v>0</v>
      </c>
      <c r="Z17" s="82">
        <f ca="1">IF(Cashflow!Z$111="C/I",0,'Project-definition'!Z41)</f>
        <v>0</v>
      </c>
      <c r="AA17" s="82">
        <f ca="1">IF(Cashflow!AA$111="C/I",0,'Project-definition'!AA41)</f>
        <v>0</v>
      </c>
      <c r="AB17" s="82">
        <f ca="1">IF(Cashflow!AB$111="C/I",0,'Project-definition'!AB41)</f>
        <v>0</v>
      </c>
      <c r="AC17" s="82">
        <f ca="1">IF(Cashflow!AC$111="C/I",0,'Project-definition'!AC41)</f>
        <v>0</v>
      </c>
      <c r="AD17" s="82">
        <f ca="1">IF(Cashflow!AD$111="C/I",0,'Project-definition'!AD41)</f>
        <v>0</v>
      </c>
      <c r="AE17" s="82">
        <f ca="1">IF(Cashflow!AE$111="C/I",0,'Project-definition'!AE41)</f>
        <v>0</v>
      </c>
      <c r="AF17" s="82">
        <f ca="1">IF(Cashflow!AF$111="C/I",0,'Project-definition'!AF41)</f>
        <v>0</v>
      </c>
      <c r="AG17" s="82">
        <f ca="1">IF(Cashflow!AG$111="C/I",0,'Project-definition'!AG41)</f>
        <v>0</v>
      </c>
      <c r="AH17" s="335"/>
    </row>
    <row r="18" spans="1:34">
      <c r="A18" s="329"/>
      <c r="B18" s="350" t="str">
        <f>'Project-definition'!B42</f>
        <v>Transactions to government</v>
      </c>
      <c r="C18" s="82">
        <f>IF(Cashflow!C$111="C/I",0,'Project-definition'!C42)</f>
        <v>-0.5</v>
      </c>
      <c r="D18" s="82">
        <f>IF(Cashflow!D$111="C/I",0,'Project-definition'!D42)</f>
        <v>-1</v>
      </c>
      <c r="E18" s="82">
        <f>IF(Cashflow!E$111="C/I",0,'Project-definition'!E42)</f>
        <v>0</v>
      </c>
      <c r="F18" s="82">
        <f>IF(Cashflow!F$111="C/I",0,'Project-definition'!F42)</f>
        <v>0</v>
      </c>
      <c r="G18" s="82">
        <f>IF(Cashflow!G$111="C/I",0,'Project-definition'!G42)</f>
        <v>0</v>
      </c>
      <c r="H18" s="82">
        <f>IF(Cashflow!H$111="C/I",0,'Project-definition'!H42)</f>
        <v>0</v>
      </c>
      <c r="I18" s="82">
        <f>IF(Cashflow!I$111="C/I",0,'Project-definition'!I42)</f>
        <v>0</v>
      </c>
      <c r="J18" s="82">
        <f>IF(Cashflow!J$111="C/I",0,'Project-definition'!J42)</f>
        <v>0</v>
      </c>
      <c r="K18" s="82">
        <f>IF(Cashflow!K$111="C/I",0,'Project-definition'!K42)</f>
        <v>0</v>
      </c>
      <c r="L18" s="82">
        <f ca="1">IF(Cashflow!L$111="C/I",0,'Project-definition'!L42)</f>
        <v>0</v>
      </c>
      <c r="M18" s="82">
        <f ca="1">IF(Cashflow!M$111="C/I",0,'Project-definition'!M42)</f>
        <v>0</v>
      </c>
      <c r="N18" s="82">
        <f ca="1">IF(Cashflow!N$111="C/I",0,'Project-definition'!N42)</f>
        <v>0</v>
      </c>
      <c r="O18" s="82">
        <f ca="1">IF(Cashflow!O$111="C/I",0,'Project-definition'!O42)</f>
        <v>0</v>
      </c>
      <c r="P18" s="82">
        <f ca="1">IF(Cashflow!P$111="C/I",0,'Project-definition'!P42)</f>
        <v>0</v>
      </c>
      <c r="Q18" s="82">
        <f ca="1">IF(Cashflow!Q$111="C/I",0,'Project-definition'!Q42)</f>
        <v>0</v>
      </c>
      <c r="R18" s="82">
        <f ca="1">IF(Cashflow!R$111="C/I",0,'Project-definition'!R42)</f>
        <v>0</v>
      </c>
      <c r="S18" s="82">
        <f ca="1">IF(Cashflow!S$111="C/I",0,'Project-definition'!S42)</f>
        <v>0</v>
      </c>
      <c r="T18" s="82">
        <f ca="1">IF(Cashflow!T$111="C/I",0,'Project-definition'!T42)</f>
        <v>0</v>
      </c>
      <c r="U18" s="82">
        <f ca="1">IF(Cashflow!U$111="C/I",0,'Project-definition'!U42)</f>
        <v>0</v>
      </c>
      <c r="V18" s="82">
        <f ca="1">IF(Cashflow!V$111="C/I",0,'Project-definition'!V42)</f>
        <v>0</v>
      </c>
      <c r="W18" s="82">
        <f ca="1">IF(Cashflow!W$111="C/I",0,'Project-definition'!W42)</f>
        <v>0</v>
      </c>
      <c r="X18" s="82">
        <f ca="1">IF(Cashflow!X$111="C/I",0,'Project-definition'!X42)</f>
        <v>0</v>
      </c>
      <c r="Y18" s="82">
        <f ca="1">IF(Cashflow!Y$111="C/I",0,'Project-definition'!Y42)</f>
        <v>0</v>
      </c>
      <c r="Z18" s="82">
        <f ca="1">IF(Cashflow!Z$111="C/I",0,'Project-definition'!Z42)</f>
        <v>0</v>
      </c>
      <c r="AA18" s="82">
        <f ca="1">IF(Cashflow!AA$111="C/I",0,'Project-definition'!AA42)</f>
        <v>0</v>
      </c>
      <c r="AB18" s="82">
        <f ca="1">IF(Cashflow!AB$111="C/I",0,'Project-definition'!AB42)</f>
        <v>0</v>
      </c>
      <c r="AC18" s="82">
        <f ca="1">IF(Cashflow!AC$111="C/I",0,'Project-definition'!AC42)</f>
        <v>0</v>
      </c>
      <c r="AD18" s="82">
        <f ca="1">IF(Cashflow!AD$111="C/I",0,'Project-definition'!AD42)</f>
        <v>0</v>
      </c>
      <c r="AE18" s="82">
        <f ca="1">IF(Cashflow!AE$111="C/I",0,'Project-definition'!AE42)</f>
        <v>0</v>
      </c>
      <c r="AF18" s="82">
        <f ca="1">IF(Cashflow!AF$111="C/I",0,'Project-definition'!AF42)</f>
        <v>0</v>
      </c>
      <c r="AG18" s="82">
        <f ca="1">IF(Cashflow!AG$111="C/I",0,'Project-definition'!AG42)</f>
        <v>0</v>
      </c>
      <c r="AH18" s="335"/>
    </row>
    <row r="19" spans="1:34">
      <c r="A19" s="329"/>
      <c r="B19" s="350" t="str">
        <f>'Project-definition'!B43</f>
        <v>Other costs</v>
      </c>
      <c r="C19" s="82">
        <f>IF(Cashflow!C$111="C/I",0,'Project-definition'!C43)</f>
        <v>0</v>
      </c>
      <c r="D19" s="82">
        <f>IF(Cashflow!D$111="C/I",0,'Project-definition'!D43)</f>
        <v>0</v>
      </c>
      <c r="E19" s="82">
        <f>IF(Cashflow!E$111="C/I",0,'Project-definition'!E43)</f>
        <v>0</v>
      </c>
      <c r="F19" s="82">
        <f>IF(Cashflow!F$111="C/I",0,'Project-definition'!F43)</f>
        <v>0</v>
      </c>
      <c r="G19" s="82">
        <f>IF(Cashflow!G$111="C/I",0,'Project-definition'!G43)</f>
        <v>0</v>
      </c>
      <c r="H19" s="82">
        <f>IF(Cashflow!H$111="C/I",0,'Project-definition'!H43)</f>
        <v>0</v>
      </c>
      <c r="I19" s="82">
        <f>IF(Cashflow!I$111="C/I",0,'Project-definition'!I43)</f>
        <v>0</v>
      </c>
      <c r="J19" s="82">
        <f>IF(Cashflow!J$111="C/I",0,'Project-definition'!J43)</f>
        <v>0</v>
      </c>
      <c r="K19" s="82">
        <f>IF(Cashflow!K$111="C/I",0,'Project-definition'!K43)</f>
        <v>0</v>
      </c>
      <c r="L19" s="82">
        <f ca="1">IF(Cashflow!L$111="C/I",0,'Project-definition'!L43)</f>
        <v>0</v>
      </c>
      <c r="M19" s="82">
        <f ca="1">IF(Cashflow!M$111="C/I",0,'Project-definition'!M43)</f>
        <v>0</v>
      </c>
      <c r="N19" s="82">
        <f ca="1">IF(Cashflow!N$111="C/I",0,'Project-definition'!N43)</f>
        <v>0</v>
      </c>
      <c r="O19" s="82">
        <f ca="1">IF(Cashflow!O$111="C/I",0,'Project-definition'!O43)</f>
        <v>0</v>
      </c>
      <c r="P19" s="82">
        <f ca="1">IF(Cashflow!P$111="C/I",0,'Project-definition'!P43)</f>
        <v>0</v>
      </c>
      <c r="Q19" s="82">
        <f ca="1">IF(Cashflow!Q$111="C/I",0,'Project-definition'!Q43)</f>
        <v>0</v>
      </c>
      <c r="R19" s="82">
        <f ca="1">IF(Cashflow!R$111="C/I",0,'Project-definition'!R43)</f>
        <v>0</v>
      </c>
      <c r="S19" s="82">
        <f ca="1">IF(Cashflow!S$111="C/I",0,'Project-definition'!S43)</f>
        <v>0</v>
      </c>
      <c r="T19" s="82">
        <f ca="1">IF(Cashflow!T$111="C/I",0,'Project-definition'!T43)</f>
        <v>0</v>
      </c>
      <c r="U19" s="82">
        <f ca="1">IF(Cashflow!U$111="C/I",0,'Project-definition'!U43)</f>
        <v>0</v>
      </c>
      <c r="V19" s="82">
        <f ca="1">IF(Cashflow!V$111="C/I",0,'Project-definition'!V43)</f>
        <v>0</v>
      </c>
      <c r="W19" s="82">
        <f ca="1">IF(Cashflow!W$111="C/I",0,'Project-definition'!W43)</f>
        <v>0</v>
      </c>
      <c r="X19" s="82">
        <f ca="1">IF(Cashflow!X$111="C/I",0,'Project-definition'!X43)</f>
        <v>0</v>
      </c>
      <c r="Y19" s="82">
        <f ca="1">IF(Cashflow!Y$111="C/I",0,'Project-definition'!Y43)</f>
        <v>0</v>
      </c>
      <c r="Z19" s="82">
        <f ca="1">IF(Cashflow!Z$111="C/I",0,'Project-definition'!Z43)</f>
        <v>0</v>
      </c>
      <c r="AA19" s="82">
        <f ca="1">IF(Cashflow!AA$111="C/I",0,'Project-definition'!AA43)</f>
        <v>0</v>
      </c>
      <c r="AB19" s="82">
        <f ca="1">IF(Cashflow!AB$111="C/I",0,'Project-definition'!AB43)</f>
        <v>0</v>
      </c>
      <c r="AC19" s="82">
        <f ca="1">IF(Cashflow!AC$111="C/I",0,'Project-definition'!AC43)</f>
        <v>0</v>
      </c>
      <c r="AD19" s="82">
        <f ca="1">IF(Cashflow!AD$111="C/I",0,'Project-definition'!AD43)</f>
        <v>0</v>
      </c>
      <c r="AE19" s="82">
        <f ca="1">IF(Cashflow!AE$111="C/I",0,'Project-definition'!AE43)</f>
        <v>0</v>
      </c>
      <c r="AF19" s="82">
        <f ca="1">IF(Cashflow!AF$111="C/I",0,'Project-definition'!AF43)</f>
        <v>0</v>
      </c>
      <c r="AG19" s="82">
        <f ca="1">IF(Cashflow!AG$111="C/I",0,'Project-definition'!AG43)</f>
        <v>0</v>
      </c>
      <c r="AH19" s="335"/>
    </row>
    <row r="20" spans="1:34">
      <c r="A20" s="329"/>
      <c r="AH20" s="335"/>
    </row>
    <row r="21" spans="1:34" ht="13.8" thickBot="1">
      <c r="A21" s="344"/>
      <c r="B21" s="345" t="s">
        <v>225</v>
      </c>
      <c r="C21" s="346">
        <f>Cashflow!C$30</f>
        <v>2017</v>
      </c>
      <c r="D21" s="346">
        <f>Cashflow!D$30</f>
        <v>2018</v>
      </c>
      <c r="E21" s="346">
        <f>Cashflow!E$30</f>
        <v>2019</v>
      </c>
      <c r="F21" s="346">
        <f>Cashflow!F$30</f>
        <v>2020</v>
      </c>
      <c r="G21" s="346">
        <f>Cashflow!G$30</f>
        <v>2021</v>
      </c>
      <c r="H21" s="346">
        <f>Cashflow!H$30</f>
        <v>2022</v>
      </c>
      <c r="I21" s="346">
        <f>Cashflow!I$30</f>
        <v>2023</v>
      </c>
      <c r="J21" s="346">
        <f>Cashflow!J$30</f>
        <v>2024</v>
      </c>
      <c r="K21" s="346">
        <f>Cashflow!K$30</f>
        <v>2025</v>
      </c>
      <c r="L21" s="346">
        <f>Cashflow!L$30</f>
        <v>2026</v>
      </c>
      <c r="M21" s="346">
        <f>Cashflow!M$30</f>
        <v>2027</v>
      </c>
      <c r="N21" s="346">
        <f>Cashflow!N$30</f>
        <v>2028</v>
      </c>
      <c r="O21" s="346">
        <f>Cashflow!O$30</f>
        <v>2029</v>
      </c>
      <c r="P21" s="346">
        <f>Cashflow!P$30</f>
        <v>2030</v>
      </c>
      <c r="Q21" s="346">
        <f>Cashflow!Q$30</f>
        <v>2031</v>
      </c>
      <c r="R21" s="346">
        <f>Cashflow!R$30</f>
        <v>2032</v>
      </c>
      <c r="S21" s="346">
        <f>Cashflow!S$30</f>
        <v>2033</v>
      </c>
      <c r="T21" s="346">
        <f>Cashflow!T$30</f>
        <v>2034</v>
      </c>
      <c r="U21" s="346">
        <f>Cashflow!U$30</f>
        <v>2035</v>
      </c>
      <c r="V21" s="346">
        <f>Cashflow!V$30</f>
        <v>2036</v>
      </c>
      <c r="W21" s="346">
        <f>Cashflow!W$30</f>
        <v>2037</v>
      </c>
      <c r="X21" s="346">
        <f>Cashflow!X$30</f>
        <v>2038</v>
      </c>
      <c r="Y21" s="346">
        <f>Cashflow!Y$30</f>
        <v>2039</v>
      </c>
      <c r="Z21" s="346">
        <f>Cashflow!Z$30</f>
        <v>2040</v>
      </c>
      <c r="AA21" s="346">
        <f>Cashflow!AA$30</f>
        <v>2041</v>
      </c>
      <c r="AB21" s="346">
        <f>Cashflow!AB$30</f>
        <v>2042</v>
      </c>
      <c r="AC21" s="346">
        <f>Cashflow!AC$30</f>
        <v>2043</v>
      </c>
      <c r="AD21" s="346">
        <f>Cashflow!AD$30</f>
        <v>2044</v>
      </c>
      <c r="AE21" s="346">
        <f>Cashflow!AE$30</f>
        <v>2045</v>
      </c>
      <c r="AF21" s="346">
        <f>Cashflow!AF$30</f>
        <v>2046</v>
      </c>
      <c r="AG21" s="346">
        <f>Cashflow!AG$30</f>
        <v>2047</v>
      </c>
      <c r="AH21" s="335"/>
    </row>
    <row r="22" spans="1:34" ht="13.8" thickTop="1">
      <c r="A22" s="329"/>
      <c r="B22" s="436" t="s">
        <v>182</v>
      </c>
      <c r="C22" s="437">
        <f>(C23-C26-C30)*$V$5+C26+C30</f>
        <v>0</v>
      </c>
      <c r="D22" s="437">
        <f t="shared" ref="D22:O22" si="2">(D23-D26-D30)*$V$5+D26+D30</f>
        <v>0</v>
      </c>
      <c r="E22" s="437">
        <f t="shared" si="2"/>
        <v>0</v>
      </c>
      <c r="F22" s="437">
        <f t="shared" si="2"/>
        <v>-27</v>
      </c>
      <c r="G22" s="437">
        <f t="shared" si="2"/>
        <v>0</v>
      </c>
      <c r="H22" s="437">
        <f t="shared" si="2"/>
        <v>0</v>
      </c>
      <c r="I22" s="437">
        <f t="shared" si="2"/>
        <v>0</v>
      </c>
      <c r="J22" s="437">
        <f t="shared" si="2"/>
        <v>0</v>
      </c>
      <c r="K22" s="437">
        <f t="shared" si="2"/>
        <v>-3</v>
      </c>
      <c r="L22" s="437">
        <f t="shared" ca="1" si="2"/>
        <v>0</v>
      </c>
      <c r="M22" s="437">
        <f t="shared" ca="1" si="2"/>
        <v>0</v>
      </c>
      <c r="N22" s="437">
        <f t="shared" ca="1" si="2"/>
        <v>0</v>
      </c>
      <c r="O22" s="437">
        <f t="shared" ca="1" si="2"/>
        <v>0</v>
      </c>
      <c r="P22" s="437">
        <f t="shared" ref="P22:AG22" ca="1" si="3">(P23-P26-P30)*$V$5+P26+P30</f>
        <v>0</v>
      </c>
      <c r="Q22" s="437">
        <f t="shared" ca="1" si="3"/>
        <v>0</v>
      </c>
      <c r="R22" s="437">
        <f t="shared" ca="1" si="3"/>
        <v>0</v>
      </c>
      <c r="S22" s="437">
        <f t="shared" ca="1" si="3"/>
        <v>0</v>
      </c>
      <c r="T22" s="437">
        <f t="shared" ca="1" si="3"/>
        <v>0</v>
      </c>
      <c r="U22" s="437">
        <f t="shared" ca="1" si="3"/>
        <v>0</v>
      </c>
      <c r="V22" s="437">
        <f t="shared" ca="1" si="3"/>
        <v>0</v>
      </c>
      <c r="W22" s="437">
        <f t="shared" ca="1" si="3"/>
        <v>0</v>
      </c>
      <c r="X22" s="437">
        <f t="shared" ca="1" si="3"/>
        <v>0</v>
      </c>
      <c r="Y22" s="437">
        <f t="shared" ca="1" si="3"/>
        <v>0</v>
      </c>
      <c r="Z22" s="437">
        <f t="shared" ca="1" si="3"/>
        <v>0</v>
      </c>
      <c r="AA22" s="437">
        <f t="shared" ca="1" si="3"/>
        <v>0</v>
      </c>
      <c r="AB22" s="437">
        <f t="shared" ca="1" si="3"/>
        <v>0</v>
      </c>
      <c r="AC22" s="437">
        <f t="shared" ca="1" si="3"/>
        <v>0</v>
      </c>
      <c r="AD22" s="437">
        <f t="shared" ca="1" si="3"/>
        <v>0</v>
      </c>
      <c r="AE22" s="437">
        <f t="shared" ca="1" si="3"/>
        <v>0</v>
      </c>
      <c r="AF22" s="437">
        <f t="shared" ca="1" si="3"/>
        <v>0</v>
      </c>
      <c r="AG22" s="437">
        <f t="shared" ca="1" si="3"/>
        <v>0</v>
      </c>
      <c r="AH22" s="335"/>
    </row>
    <row r="23" spans="1:34" ht="13.8" thickBot="1">
      <c r="A23" s="329"/>
      <c r="B23" s="438" t="s">
        <v>294</v>
      </c>
      <c r="C23" s="439">
        <f>C24+C26+C27+C28+C30</f>
        <v>0</v>
      </c>
      <c r="D23" s="439">
        <f t="shared" ref="D23:AG23" si="4">D24+D26+D27+D28+D30</f>
        <v>0</v>
      </c>
      <c r="E23" s="439">
        <f t="shared" si="4"/>
        <v>0</v>
      </c>
      <c r="F23" s="439">
        <f t="shared" si="4"/>
        <v>-27</v>
      </c>
      <c r="G23" s="439">
        <f t="shared" si="4"/>
        <v>0</v>
      </c>
      <c r="H23" s="439">
        <f t="shared" si="4"/>
        <v>0</v>
      </c>
      <c r="I23" s="439">
        <f t="shared" si="4"/>
        <v>0</v>
      </c>
      <c r="J23" s="439">
        <f t="shared" si="4"/>
        <v>0</v>
      </c>
      <c r="K23" s="439">
        <f t="shared" si="4"/>
        <v>-3</v>
      </c>
      <c r="L23" s="439">
        <f t="shared" ca="1" si="4"/>
        <v>0</v>
      </c>
      <c r="M23" s="439">
        <f t="shared" ca="1" si="4"/>
        <v>0</v>
      </c>
      <c r="N23" s="439">
        <f t="shared" ca="1" si="4"/>
        <v>0</v>
      </c>
      <c r="O23" s="439">
        <f t="shared" ca="1" si="4"/>
        <v>0</v>
      </c>
      <c r="P23" s="439">
        <f t="shared" ca="1" si="4"/>
        <v>0</v>
      </c>
      <c r="Q23" s="439">
        <f t="shared" ca="1" si="4"/>
        <v>0</v>
      </c>
      <c r="R23" s="439">
        <f t="shared" ca="1" si="4"/>
        <v>0</v>
      </c>
      <c r="S23" s="439">
        <f t="shared" ca="1" si="4"/>
        <v>0</v>
      </c>
      <c r="T23" s="439">
        <f t="shared" ca="1" si="4"/>
        <v>0</v>
      </c>
      <c r="U23" s="439">
        <f t="shared" ca="1" si="4"/>
        <v>0</v>
      </c>
      <c r="V23" s="439">
        <f t="shared" ca="1" si="4"/>
        <v>0</v>
      </c>
      <c r="W23" s="439">
        <f t="shared" ca="1" si="4"/>
        <v>0</v>
      </c>
      <c r="X23" s="439">
        <f t="shared" ca="1" si="4"/>
        <v>0</v>
      </c>
      <c r="Y23" s="439">
        <f t="shared" ca="1" si="4"/>
        <v>0</v>
      </c>
      <c r="Z23" s="439">
        <f t="shared" ca="1" si="4"/>
        <v>0</v>
      </c>
      <c r="AA23" s="439">
        <f t="shared" ca="1" si="4"/>
        <v>0</v>
      </c>
      <c r="AB23" s="439">
        <f t="shared" ca="1" si="4"/>
        <v>0</v>
      </c>
      <c r="AC23" s="439">
        <f t="shared" ca="1" si="4"/>
        <v>0</v>
      </c>
      <c r="AD23" s="439">
        <f t="shared" ca="1" si="4"/>
        <v>0</v>
      </c>
      <c r="AE23" s="439">
        <f t="shared" ca="1" si="4"/>
        <v>0</v>
      </c>
      <c r="AF23" s="439">
        <f t="shared" ca="1" si="4"/>
        <v>0</v>
      </c>
      <c r="AG23" s="439">
        <f t="shared" ca="1" si="4"/>
        <v>0</v>
      </c>
      <c r="AH23" s="335"/>
    </row>
    <row r="24" spans="1:34" ht="13.8" thickTop="1">
      <c r="A24" s="329"/>
      <c r="B24" s="350" t="str">
        <f>'Project-definition'!B46</f>
        <v>Survey costs</v>
      </c>
      <c r="C24" s="82">
        <f>IF(Cashflow!C$111="C/I",0,'Project-definition'!C46)</f>
        <v>0</v>
      </c>
      <c r="D24" s="82">
        <f>IF(Cashflow!D$111="C/I",0,'Project-definition'!D46)</f>
        <v>0</v>
      </c>
      <c r="E24" s="82">
        <f>IF(Cashflow!E$111="C/I",0,'Project-definition'!E46)</f>
        <v>0</v>
      </c>
      <c r="F24" s="82">
        <f>IF(Cashflow!F$111="C/I",0,'Project-definition'!F46)</f>
        <v>-15</v>
      </c>
      <c r="G24" s="82">
        <f>IF(Cashflow!G$111="C/I",0,'Project-definition'!G46)</f>
        <v>0</v>
      </c>
      <c r="H24" s="82">
        <f>IF(Cashflow!H$111="C/I",0,'Project-definition'!H46)</f>
        <v>0</v>
      </c>
      <c r="I24" s="82">
        <f>IF(Cashflow!I$111="C/I",0,'Project-definition'!I46)</f>
        <v>0</v>
      </c>
      <c r="J24" s="82">
        <f>IF(Cashflow!J$111="C/I",0,'Project-definition'!J46)</f>
        <v>0</v>
      </c>
      <c r="K24" s="82">
        <f>IF(Cashflow!K$111="C/I",0,'Project-definition'!K46)</f>
        <v>0</v>
      </c>
      <c r="L24" s="82">
        <f ca="1">IF(Cashflow!L$111="C/I",0,'Project-definition'!L46)</f>
        <v>0</v>
      </c>
      <c r="M24" s="82">
        <f ca="1">IF(Cashflow!M$111="C/I",0,'Project-definition'!M46)</f>
        <v>0</v>
      </c>
      <c r="N24" s="82">
        <f ca="1">IF(Cashflow!N$111="C/I",0,'Project-definition'!N46)</f>
        <v>0</v>
      </c>
      <c r="O24" s="82">
        <f ca="1">IF(Cashflow!O$111="C/I",0,'Project-definition'!O46)</f>
        <v>0</v>
      </c>
      <c r="P24" s="82">
        <f ca="1">IF(Cashflow!P$111="C/I",0,'Project-definition'!P46)</f>
        <v>0</v>
      </c>
      <c r="Q24" s="82">
        <f ca="1">IF(Cashflow!Q$111="C/I",0,'Project-definition'!Q46)</f>
        <v>0</v>
      </c>
      <c r="R24" s="82">
        <f ca="1">IF(Cashflow!R$111="C/I",0,'Project-definition'!R46)</f>
        <v>0</v>
      </c>
      <c r="S24" s="82">
        <f ca="1">IF(Cashflow!S$111="C/I",0,'Project-definition'!S46)</f>
        <v>0</v>
      </c>
      <c r="T24" s="82">
        <f ca="1">IF(Cashflow!T$111="C/I",0,'Project-definition'!T46)</f>
        <v>0</v>
      </c>
      <c r="U24" s="82">
        <f ca="1">IF(Cashflow!U$111="C/I",0,'Project-definition'!U46)</f>
        <v>0</v>
      </c>
      <c r="V24" s="82">
        <f ca="1">IF(Cashflow!V$111="C/I",0,'Project-definition'!V46)</f>
        <v>0</v>
      </c>
      <c r="W24" s="82">
        <f ca="1">IF(Cashflow!W$111="C/I",0,'Project-definition'!W46)</f>
        <v>0</v>
      </c>
      <c r="X24" s="82">
        <f ca="1">IF(Cashflow!X$111="C/I",0,'Project-definition'!X46)</f>
        <v>0</v>
      </c>
      <c r="Y24" s="82">
        <f ca="1">IF(Cashflow!Y$111="C/I",0,'Project-definition'!Y46)</f>
        <v>0</v>
      </c>
      <c r="Z24" s="82">
        <f ca="1">IF(Cashflow!Z$111="C/I",0,'Project-definition'!Z46)</f>
        <v>0</v>
      </c>
      <c r="AA24" s="82">
        <f ca="1">IF(Cashflow!AA$111="C/I",0,'Project-definition'!AA46)</f>
        <v>0</v>
      </c>
      <c r="AB24" s="82">
        <f ca="1">IF(Cashflow!AB$111="C/I",0,'Project-definition'!AB46)</f>
        <v>0</v>
      </c>
      <c r="AC24" s="82">
        <f ca="1">IF(Cashflow!AC$111="C/I",0,'Project-definition'!AC46)</f>
        <v>0</v>
      </c>
      <c r="AD24" s="82">
        <f ca="1">IF(Cashflow!AD$111="C/I",0,'Project-definition'!AD46)</f>
        <v>0</v>
      </c>
      <c r="AE24" s="82">
        <f ca="1">IF(Cashflow!AE$111="C/I",0,'Project-definition'!AE46)</f>
        <v>0</v>
      </c>
      <c r="AF24" s="82">
        <f ca="1">IF(Cashflow!AF$111="C/I",0,'Project-definition'!AF46)</f>
        <v>0</v>
      </c>
      <c r="AG24" s="82">
        <f ca="1">IF(Cashflow!AG$111="C/I",0,'Project-definition'!AG46)</f>
        <v>0</v>
      </c>
      <c r="AH24" s="335"/>
    </row>
    <row r="25" spans="1:34">
      <c r="A25" s="329"/>
      <c r="B25" s="350" t="str">
        <f>'Project-definition'!B47</f>
        <v>Nr. of exploration wells to attempt</v>
      </c>
      <c r="C25" s="433">
        <f>IF(Cashflow!C$111="C/I",0,'Project-definition'!C47)</f>
        <v>0</v>
      </c>
      <c r="D25" s="433">
        <f>IF(Cashflow!D$111="C/I",0,'Project-definition'!D47)</f>
        <v>0</v>
      </c>
      <c r="E25" s="433">
        <f>IF(Cashflow!E$111="C/I",0,'Project-definition'!E47)</f>
        <v>0</v>
      </c>
      <c r="F25" s="433">
        <f>IF(Cashflow!F$111="C/I",0,'Project-definition'!F47)</f>
        <v>2</v>
      </c>
      <c r="G25" s="433">
        <f>IF(Cashflow!G$111="C/I",0,'Project-definition'!G47)</f>
        <v>0</v>
      </c>
      <c r="H25" s="433">
        <f>IF(Cashflow!H$111="C/I",0,'Project-definition'!H47)</f>
        <v>0</v>
      </c>
      <c r="I25" s="433">
        <f>IF(Cashflow!I$111="C/I",0,'Project-definition'!I47)</f>
        <v>0</v>
      </c>
      <c r="J25" s="433">
        <f>IF(Cashflow!J$111="C/I",0,'Project-definition'!J47)</f>
        <v>0</v>
      </c>
      <c r="K25" s="433">
        <f>IF(Cashflow!K$111="C/I",0,'Project-definition'!K47)</f>
        <v>0</v>
      </c>
      <c r="L25" s="433">
        <f ca="1">IF(Cashflow!L$111="C/I",0,'Project-definition'!L47)</f>
        <v>0</v>
      </c>
      <c r="M25" s="433">
        <f ca="1">IF(Cashflow!M$111="C/I",0,'Project-definition'!M47)</f>
        <v>0</v>
      </c>
      <c r="N25" s="433">
        <f ca="1">IF(Cashflow!N$111="C/I",0,'Project-definition'!N47)</f>
        <v>0</v>
      </c>
      <c r="O25" s="433">
        <f ca="1">IF(Cashflow!O$111="C/I",0,'Project-definition'!O47)</f>
        <v>0</v>
      </c>
      <c r="P25" s="433">
        <f ca="1">IF(Cashflow!P$111="C/I",0,'Project-definition'!P47)</f>
        <v>0</v>
      </c>
      <c r="Q25" s="433">
        <f ca="1">IF(Cashflow!Q$111="C/I",0,'Project-definition'!Q47)</f>
        <v>0</v>
      </c>
      <c r="R25" s="433">
        <f ca="1">IF(Cashflow!R$111="C/I",0,'Project-definition'!R47)</f>
        <v>0</v>
      </c>
      <c r="S25" s="433">
        <f ca="1">IF(Cashflow!S$111="C/I",0,'Project-definition'!S47)</f>
        <v>0</v>
      </c>
      <c r="T25" s="433">
        <f ca="1">IF(Cashflow!T$111="C/I",0,'Project-definition'!T47)</f>
        <v>0</v>
      </c>
      <c r="U25" s="433">
        <f ca="1">IF(Cashflow!U$111="C/I",0,'Project-definition'!U47)</f>
        <v>0</v>
      </c>
      <c r="V25" s="433">
        <f ca="1">IF(Cashflow!V$111="C/I",0,'Project-definition'!V47)</f>
        <v>0</v>
      </c>
      <c r="W25" s="433">
        <f ca="1">IF(Cashflow!W$111="C/I",0,'Project-definition'!W47)</f>
        <v>0</v>
      </c>
      <c r="X25" s="433">
        <f ca="1">IF(Cashflow!X$111="C/I",0,'Project-definition'!X47)</f>
        <v>0</v>
      </c>
      <c r="Y25" s="433">
        <f ca="1">IF(Cashflow!Y$111="C/I",0,'Project-definition'!Y47)</f>
        <v>0</v>
      </c>
      <c r="Z25" s="433">
        <f ca="1">IF(Cashflow!Z$111="C/I",0,'Project-definition'!Z47)</f>
        <v>0</v>
      </c>
      <c r="AA25" s="433">
        <f ca="1">IF(Cashflow!AA$111="C/I",0,'Project-definition'!AA47)</f>
        <v>0</v>
      </c>
      <c r="AB25" s="433">
        <f ca="1">IF(Cashflow!AB$111="C/I",0,'Project-definition'!AB47)</f>
        <v>0</v>
      </c>
      <c r="AC25" s="433">
        <f ca="1">IF(Cashflow!AC$111="C/I",0,'Project-definition'!AC47)</f>
        <v>0</v>
      </c>
      <c r="AD25" s="433">
        <f ca="1">IF(Cashflow!AD$111="C/I",0,'Project-definition'!AD47)</f>
        <v>0</v>
      </c>
      <c r="AE25" s="433">
        <f ca="1">IF(Cashflow!AE$111="C/I",0,'Project-definition'!AE47)</f>
        <v>0</v>
      </c>
      <c r="AF25" s="433">
        <f ca="1">IF(Cashflow!AF$111="C/I",0,'Project-definition'!AF47)</f>
        <v>0</v>
      </c>
      <c r="AG25" s="433">
        <f ca="1">IF(Cashflow!AG$111="C/I",0,'Project-definition'!AG47)</f>
        <v>0</v>
      </c>
      <c r="AH25" s="335"/>
    </row>
    <row r="26" spans="1:34">
      <c r="A26" s="329"/>
      <c r="B26" s="350" t="str">
        <f>'Project-definition'!B48</f>
        <v>Exploration drillex</v>
      </c>
      <c r="C26" s="82">
        <f>IF(Cashflow!C$111="C/I",0,'Project-definition'!C48)</f>
        <v>0</v>
      </c>
      <c r="D26" s="82">
        <f>IF(Cashflow!D$111="C/I",0,'Project-definition'!D48)</f>
        <v>0</v>
      </c>
      <c r="E26" s="82">
        <f>IF(Cashflow!E$111="C/I",0,'Project-definition'!E48)</f>
        <v>0</v>
      </c>
      <c r="F26" s="82">
        <f>IF(Cashflow!F$111="C/I",0,'Project-definition'!F48)</f>
        <v>-12</v>
      </c>
      <c r="G26" s="82">
        <f>IF(Cashflow!G$111="C/I",0,'Project-definition'!G48)</f>
        <v>0</v>
      </c>
      <c r="H26" s="82">
        <f>IF(Cashflow!H$111="C/I",0,'Project-definition'!H48)</f>
        <v>0</v>
      </c>
      <c r="I26" s="82">
        <f>IF(Cashflow!I$111="C/I",0,'Project-definition'!I48)</f>
        <v>0</v>
      </c>
      <c r="J26" s="82">
        <f>IF(Cashflow!J$111="C/I",0,'Project-definition'!J48)</f>
        <v>0</v>
      </c>
      <c r="K26" s="82">
        <f>IF(Cashflow!K$111="C/I",0,'Project-definition'!K48)</f>
        <v>0</v>
      </c>
      <c r="L26" s="82">
        <f ca="1">IF(Cashflow!L$111="C/I",0,'Project-definition'!L48)</f>
        <v>0</v>
      </c>
      <c r="M26" s="82">
        <f ca="1">IF(Cashflow!M$111="C/I",0,'Project-definition'!M48)</f>
        <v>0</v>
      </c>
      <c r="N26" s="82">
        <f ca="1">IF(Cashflow!N$111="C/I",0,'Project-definition'!N48)</f>
        <v>0</v>
      </c>
      <c r="O26" s="82">
        <f ca="1">IF(Cashflow!O$111="C/I",0,'Project-definition'!O48)</f>
        <v>0</v>
      </c>
      <c r="P26" s="82">
        <f ca="1">IF(Cashflow!P$111="C/I",0,'Project-definition'!P48)</f>
        <v>0</v>
      </c>
      <c r="Q26" s="82">
        <f ca="1">IF(Cashflow!Q$111="C/I",0,'Project-definition'!Q48)</f>
        <v>0</v>
      </c>
      <c r="R26" s="82">
        <f ca="1">IF(Cashflow!R$111="C/I",0,'Project-definition'!R48)</f>
        <v>0</v>
      </c>
      <c r="S26" s="82">
        <f ca="1">IF(Cashflow!S$111="C/I",0,'Project-definition'!S48)</f>
        <v>0</v>
      </c>
      <c r="T26" s="82">
        <f ca="1">IF(Cashflow!T$111="C/I",0,'Project-definition'!T48)</f>
        <v>0</v>
      </c>
      <c r="U26" s="82">
        <f ca="1">IF(Cashflow!U$111="C/I",0,'Project-definition'!U48)</f>
        <v>0</v>
      </c>
      <c r="V26" s="82">
        <f ca="1">IF(Cashflow!V$111="C/I",0,'Project-definition'!V48)</f>
        <v>0</v>
      </c>
      <c r="W26" s="82">
        <f ca="1">IF(Cashflow!W$111="C/I",0,'Project-definition'!W48)</f>
        <v>0</v>
      </c>
      <c r="X26" s="82">
        <f ca="1">IF(Cashflow!X$111="C/I",0,'Project-definition'!X48)</f>
        <v>0</v>
      </c>
      <c r="Y26" s="82">
        <f ca="1">IF(Cashflow!Y$111="C/I",0,'Project-definition'!Y48)</f>
        <v>0</v>
      </c>
      <c r="Z26" s="82">
        <f ca="1">IF(Cashflow!Z$111="C/I",0,'Project-definition'!Z48)</f>
        <v>0</v>
      </c>
      <c r="AA26" s="82">
        <f ca="1">IF(Cashflow!AA$111="C/I",0,'Project-definition'!AA48)</f>
        <v>0</v>
      </c>
      <c r="AB26" s="82">
        <f ca="1">IF(Cashflow!AB$111="C/I",0,'Project-definition'!AB48)</f>
        <v>0</v>
      </c>
      <c r="AC26" s="82">
        <f ca="1">IF(Cashflow!AC$111="C/I",0,'Project-definition'!AC48)</f>
        <v>0</v>
      </c>
      <c r="AD26" s="82">
        <f ca="1">IF(Cashflow!AD$111="C/I",0,'Project-definition'!AD48)</f>
        <v>0</v>
      </c>
      <c r="AE26" s="82">
        <f ca="1">IF(Cashflow!AE$111="C/I",0,'Project-definition'!AE48)</f>
        <v>0</v>
      </c>
      <c r="AF26" s="82">
        <f ca="1">IF(Cashflow!AF$111="C/I",0,'Project-definition'!AF48)</f>
        <v>0</v>
      </c>
      <c r="AG26" s="82">
        <f ca="1">IF(Cashflow!AG$111="C/I",0,'Project-definition'!AG48)</f>
        <v>0</v>
      </c>
      <c r="AH26" s="335"/>
    </row>
    <row r="27" spans="1:34">
      <c r="A27" s="329"/>
      <c r="B27" s="350" t="str">
        <f>'Project-definition'!B49</f>
        <v>Transactions to government</v>
      </c>
      <c r="C27" s="82">
        <f>IF(Cashflow!C$111="C/I",0,'Project-definition'!C49)</f>
        <v>0</v>
      </c>
      <c r="D27" s="82">
        <f>IF(Cashflow!D$111="C/I",0,'Project-definition'!D49)</f>
        <v>0</v>
      </c>
      <c r="E27" s="82">
        <f>IF(Cashflow!E$111="C/I",0,'Project-definition'!E49)</f>
        <v>0</v>
      </c>
      <c r="F27" s="82">
        <f>IF(Cashflow!F$111="C/I",0,'Project-definition'!F49)</f>
        <v>0</v>
      </c>
      <c r="G27" s="82">
        <f>IF(Cashflow!G$111="C/I",0,'Project-definition'!G49)</f>
        <v>0</v>
      </c>
      <c r="H27" s="82">
        <f>IF(Cashflow!H$111="C/I",0,'Project-definition'!H49)</f>
        <v>0</v>
      </c>
      <c r="I27" s="82">
        <f>IF(Cashflow!I$111="C/I",0,'Project-definition'!I49)</f>
        <v>0</v>
      </c>
      <c r="J27" s="82">
        <f>IF(Cashflow!J$111="C/I",0,'Project-definition'!J49)</f>
        <v>0</v>
      </c>
      <c r="K27" s="82">
        <f>IF(Cashflow!K$111="C/I",0,'Project-definition'!K49)</f>
        <v>0</v>
      </c>
      <c r="L27" s="82">
        <f ca="1">IF(Cashflow!L$111="C/I",0,'Project-definition'!L49)</f>
        <v>0</v>
      </c>
      <c r="M27" s="82">
        <f ca="1">IF(Cashflow!M$111="C/I",0,'Project-definition'!M49)</f>
        <v>0</v>
      </c>
      <c r="N27" s="82">
        <f ca="1">IF(Cashflow!N$111="C/I",0,'Project-definition'!N49)</f>
        <v>0</v>
      </c>
      <c r="O27" s="82">
        <f ca="1">IF(Cashflow!O$111="C/I",0,'Project-definition'!O49)</f>
        <v>0</v>
      </c>
      <c r="P27" s="82">
        <f ca="1">IF(Cashflow!P$111="C/I",0,'Project-definition'!P49)</f>
        <v>0</v>
      </c>
      <c r="Q27" s="82">
        <f ca="1">IF(Cashflow!Q$111="C/I",0,'Project-definition'!Q49)</f>
        <v>0</v>
      </c>
      <c r="R27" s="82">
        <f ca="1">IF(Cashflow!R$111="C/I",0,'Project-definition'!R49)</f>
        <v>0</v>
      </c>
      <c r="S27" s="82">
        <f ca="1">IF(Cashflow!S$111="C/I",0,'Project-definition'!S49)</f>
        <v>0</v>
      </c>
      <c r="T27" s="82">
        <f ca="1">IF(Cashflow!T$111="C/I",0,'Project-definition'!T49)</f>
        <v>0</v>
      </c>
      <c r="U27" s="82">
        <f ca="1">IF(Cashflow!U$111="C/I",0,'Project-definition'!U49)</f>
        <v>0</v>
      </c>
      <c r="V27" s="82">
        <f ca="1">IF(Cashflow!V$111="C/I",0,'Project-definition'!V49)</f>
        <v>0</v>
      </c>
      <c r="W27" s="82">
        <f ca="1">IF(Cashflow!W$111="C/I",0,'Project-definition'!W49)</f>
        <v>0</v>
      </c>
      <c r="X27" s="82">
        <f ca="1">IF(Cashflow!X$111="C/I",0,'Project-definition'!X49)</f>
        <v>0</v>
      </c>
      <c r="Y27" s="82">
        <f ca="1">IF(Cashflow!Y$111="C/I",0,'Project-definition'!Y49)</f>
        <v>0</v>
      </c>
      <c r="Z27" s="82">
        <f ca="1">IF(Cashflow!Z$111="C/I",0,'Project-definition'!Z49)</f>
        <v>0</v>
      </c>
      <c r="AA27" s="82">
        <f ca="1">IF(Cashflow!AA$111="C/I",0,'Project-definition'!AA49)</f>
        <v>0</v>
      </c>
      <c r="AB27" s="82">
        <f ca="1">IF(Cashflow!AB$111="C/I",0,'Project-definition'!AB49)</f>
        <v>0</v>
      </c>
      <c r="AC27" s="82">
        <f ca="1">IF(Cashflow!AC$111="C/I",0,'Project-definition'!AC49)</f>
        <v>0</v>
      </c>
      <c r="AD27" s="82">
        <f ca="1">IF(Cashflow!AD$111="C/I",0,'Project-definition'!AD49)</f>
        <v>0</v>
      </c>
      <c r="AE27" s="82">
        <f ca="1">IF(Cashflow!AE$111="C/I",0,'Project-definition'!AE49)</f>
        <v>0</v>
      </c>
      <c r="AF27" s="82">
        <f ca="1">IF(Cashflow!AF$111="C/I",0,'Project-definition'!AF49)</f>
        <v>0</v>
      </c>
      <c r="AG27" s="82">
        <f ca="1">IF(Cashflow!AG$111="C/I",0,'Project-definition'!AG49)</f>
        <v>0</v>
      </c>
      <c r="AH27" s="335"/>
    </row>
    <row r="28" spans="1:34">
      <c r="A28" s="329"/>
      <c r="B28" s="350" t="str">
        <f>'Project-definition'!B50</f>
        <v>Other costs</v>
      </c>
      <c r="C28" s="82">
        <f>IF(Cashflow!C$111="C/I",0,'Project-definition'!C50)</f>
        <v>0</v>
      </c>
      <c r="D28" s="82">
        <f>IF(Cashflow!D$111="C/I",0,'Project-definition'!D50)</f>
        <v>0</v>
      </c>
      <c r="E28" s="82">
        <f>IF(Cashflow!E$111="C/I",0,'Project-definition'!E50)</f>
        <v>0</v>
      </c>
      <c r="F28" s="82">
        <f>IF(Cashflow!F$111="C/I",0,'Project-definition'!F50)</f>
        <v>0</v>
      </c>
      <c r="G28" s="82">
        <f>IF(Cashflow!G$111="C/I",0,'Project-definition'!G50)</f>
        <v>0</v>
      </c>
      <c r="H28" s="82">
        <f>IF(Cashflow!H$111="C/I",0,'Project-definition'!H50)</f>
        <v>0</v>
      </c>
      <c r="I28" s="82">
        <f>IF(Cashflow!I$111="C/I",0,'Project-definition'!I50)</f>
        <v>0</v>
      </c>
      <c r="J28" s="82">
        <f>IF(Cashflow!J$111="C/I",0,'Project-definition'!J50)</f>
        <v>0</v>
      </c>
      <c r="K28" s="82">
        <f>IF(Cashflow!K$111="C/I",0,'Project-definition'!K50)</f>
        <v>0</v>
      </c>
      <c r="L28" s="82">
        <f ca="1">IF(Cashflow!L$111="C/I",0,'Project-definition'!L50)</f>
        <v>0</v>
      </c>
      <c r="M28" s="82">
        <f ca="1">IF(Cashflow!M$111="C/I",0,'Project-definition'!M50)</f>
        <v>0</v>
      </c>
      <c r="N28" s="82">
        <f ca="1">IF(Cashflow!N$111="C/I",0,'Project-definition'!N50)</f>
        <v>0</v>
      </c>
      <c r="O28" s="82">
        <f ca="1">IF(Cashflow!O$111="C/I",0,'Project-definition'!O50)</f>
        <v>0</v>
      </c>
      <c r="P28" s="82">
        <f ca="1">IF(Cashflow!P$111="C/I",0,'Project-definition'!P50)</f>
        <v>0</v>
      </c>
      <c r="Q28" s="82">
        <f ca="1">IF(Cashflow!Q$111="C/I",0,'Project-definition'!Q50)</f>
        <v>0</v>
      </c>
      <c r="R28" s="82">
        <f ca="1">IF(Cashflow!R$111="C/I",0,'Project-definition'!R50)</f>
        <v>0</v>
      </c>
      <c r="S28" s="82">
        <f ca="1">IF(Cashflow!S$111="C/I",0,'Project-definition'!S50)</f>
        <v>0</v>
      </c>
      <c r="T28" s="82">
        <f ca="1">IF(Cashflow!T$111="C/I",0,'Project-definition'!T50)</f>
        <v>0</v>
      </c>
      <c r="U28" s="82">
        <f ca="1">IF(Cashflow!U$111="C/I",0,'Project-definition'!U50)</f>
        <v>0</v>
      </c>
      <c r="V28" s="82">
        <f ca="1">IF(Cashflow!V$111="C/I",0,'Project-definition'!V50)</f>
        <v>0</v>
      </c>
      <c r="W28" s="82">
        <f ca="1">IF(Cashflow!W$111="C/I",0,'Project-definition'!W50)</f>
        <v>0</v>
      </c>
      <c r="X28" s="82">
        <f ca="1">IF(Cashflow!X$111="C/I",0,'Project-definition'!X50)</f>
        <v>0</v>
      </c>
      <c r="Y28" s="82">
        <f ca="1">IF(Cashflow!Y$111="C/I",0,'Project-definition'!Y50)</f>
        <v>0</v>
      </c>
      <c r="Z28" s="82">
        <f ca="1">IF(Cashflow!Z$111="C/I",0,'Project-definition'!Z50)</f>
        <v>0</v>
      </c>
      <c r="AA28" s="82">
        <f ca="1">IF(Cashflow!AA$111="C/I",0,'Project-definition'!AA50)</f>
        <v>0</v>
      </c>
      <c r="AB28" s="82">
        <f ca="1">IF(Cashflow!AB$111="C/I",0,'Project-definition'!AB50)</f>
        <v>0</v>
      </c>
      <c r="AC28" s="82">
        <f ca="1">IF(Cashflow!AC$111="C/I",0,'Project-definition'!AC50)</f>
        <v>0</v>
      </c>
      <c r="AD28" s="82">
        <f ca="1">IF(Cashflow!AD$111="C/I",0,'Project-definition'!AD50)</f>
        <v>0</v>
      </c>
      <c r="AE28" s="82">
        <f ca="1">IF(Cashflow!AE$111="C/I",0,'Project-definition'!AE50)</f>
        <v>0</v>
      </c>
      <c r="AF28" s="82">
        <f ca="1">IF(Cashflow!AF$111="C/I",0,'Project-definition'!AF50)</f>
        <v>0</v>
      </c>
      <c r="AG28" s="82">
        <f ca="1">IF(Cashflow!AG$111="C/I",0,'Project-definition'!AG50)</f>
        <v>0</v>
      </c>
      <c r="AH28" s="335"/>
    </row>
    <row r="29" spans="1:34">
      <c r="A29" s="329"/>
      <c r="B29" s="348" t="s">
        <v>521</v>
      </c>
      <c r="C29" s="295">
        <f>IF(AND($J$5="Yes",C21&lt;$J$8),C25*-$P$9,0)</f>
        <v>0</v>
      </c>
      <c r="D29" s="295">
        <f t="shared" ref="D29:AG29" si="5">IF(AND($J$5="Yes",D21&lt;$J$8),C29+D25*-$P$9,0)</f>
        <v>0</v>
      </c>
      <c r="E29" s="295">
        <f t="shared" si="5"/>
        <v>0</v>
      </c>
      <c r="F29" s="295">
        <f t="shared" si="5"/>
        <v>-3</v>
      </c>
      <c r="G29" s="295">
        <f t="shared" si="5"/>
        <v>-3</v>
      </c>
      <c r="H29" s="295">
        <f t="shared" si="5"/>
        <v>-3</v>
      </c>
      <c r="I29" s="295">
        <f t="shared" si="5"/>
        <v>-3</v>
      </c>
      <c r="J29" s="295">
        <f t="shared" si="5"/>
        <v>-3</v>
      </c>
      <c r="K29" s="295">
        <f t="shared" si="5"/>
        <v>0</v>
      </c>
      <c r="L29" s="295">
        <f t="shared" si="5"/>
        <v>0</v>
      </c>
      <c r="M29" s="295">
        <f t="shared" si="5"/>
        <v>0</v>
      </c>
      <c r="N29" s="295">
        <f t="shared" si="5"/>
        <v>0</v>
      </c>
      <c r="O29" s="295">
        <f t="shared" si="5"/>
        <v>0</v>
      </c>
      <c r="P29" s="295">
        <f t="shared" si="5"/>
        <v>0</v>
      </c>
      <c r="Q29" s="295">
        <f t="shared" si="5"/>
        <v>0</v>
      </c>
      <c r="R29" s="295">
        <f t="shared" si="5"/>
        <v>0</v>
      </c>
      <c r="S29" s="295">
        <f t="shared" si="5"/>
        <v>0</v>
      </c>
      <c r="T29" s="295">
        <f t="shared" si="5"/>
        <v>0</v>
      </c>
      <c r="U29" s="295">
        <f t="shared" si="5"/>
        <v>0</v>
      </c>
      <c r="V29" s="295">
        <f t="shared" si="5"/>
        <v>0</v>
      </c>
      <c r="W29" s="295">
        <f t="shared" si="5"/>
        <v>0</v>
      </c>
      <c r="X29" s="295">
        <f t="shared" si="5"/>
        <v>0</v>
      </c>
      <c r="Y29" s="295">
        <f t="shared" si="5"/>
        <v>0</v>
      </c>
      <c r="Z29" s="295">
        <f t="shared" si="5"/>
        <v>0</v>
      </c>
      <c r="AA29" s="295">
        <f t="shared" si="5"/>
        <v>0</v>
      </c>
      <c r="AB29" s="295">
        <f t="shared" si="5"/>
        <v>0</v>
      </c>
      <c r="AC29" s="295">
        <f t="shared" si="5"/>
        <v>0</v>
      </c>
      <c r="AD29" s="295">
        <f t="shared" si="5"/>
        <v>0</v>
      </c>
      <c r="AE29" s="295">
        <f t="shared" si="5"/>
        <v>0</v>
      </c>
      <c r="AF29" s="295">
        <f t="shared" si="5"/>
        <v>0</v>
      </c>
      <c r="AG29" s="295">
        <f t="shared" si="5"/>
        <v>0</v>
      </c>
      <c r="AH29" s="335"/>
    </row>
    <row r="30" spans="1:34">
      <c r="A30" s="329"/>
      <c r="B30" s="348" t="s">
        <v>520</v>
      </c>
      <c r="C30" s="295">
        <f>IF($J$5="Yes",IF(C21&gt;=$J$8,B29,0),0)</f>
        <v>0</v>
      </c>
      <c r="D30" s="295">
        <f t="shared" ref="D30:AG30" si="6">IF($J$5="Yes",IF(D21&gt;=$J$8,C29,0),0)</f>
        <v>0</v>
      </c>
      <c r="E30" s="295">
        <f t="shared" si="6"/>
        <v>0</v>
      </c>
      <c r="F30" s="295">
        <f t="shared" si="6"/>
        <v>0</v>
      </c>
      <c r="G30" s="295">
        <f t="shared" si="6"/>
        <v>0</v>
      </c>
      <c r="H30" s="295">
        <f t="shared" si="6"/>
        <v>0</v>
      </c>
      <c r="I30" s="295">
        <f t="shared" si="6"/>
        <v>0</v>
      </c>
      <c r="J30" s="295">
        <f t="shared" si="6"/>
        <v>0</v>
      </c>
      <c r="K30" s="295">
        <f t="shared" si="6"/>
        <v>-3</v>
      </c>
      <c r="L30" s="295">
        <f t="shared" si="6"/>
        <v>0</v>
      </c>
      <c r="M30" s="295">
        <f t="shared" si="6"/>
        <v>0</v>
      </c>
      <c r="N30" s="295">
        <f t="shared" si="6"/>
        <v>0</v>
      </c>
      <c r="O30" s="295">
        <f t="shared" si="6"/>
        <v>0</v>
      </c>
      <c r="P30" s="295">
        <f t="shared" si="6"/>
        <v>0</v>
      </c>
      <c r="Q30" s="295">
        <f t="shared" si="6"/>
        <v>0</v>
      </c>
      <c r="R30" s="295">
        <f t="shared" si="6"/>
        <v>0</v>
      </c>
      <c r="S30" s="295">
        <f t="shared" si="6"/>
        <v>0</v>
      </c>
      <c r="T30" s="295">
        <f t="shared" si="6"/>
        <v>0</v>
      </c>
      <c r="U30" s="295">
        <f t="shared" si="6"/>
        <v>0</v>
      </c>
      <c r="V30" s="295">
        <f t="shared" si="6"/>
        <v>0</v>
      </c>
      <c r="W30" s="295">
        <f t="shared" si="6"/>
        <v>0</v>
      </c>
      <c r="X30" s="295">
        <f t="shared" si="6"/>
        <v>0</v>
      </c>
      <c r="Y30" s="295">
        <f t="shared" si="6"/>
        <v>0</v>
      </c>
      <c r="Z30" s="295">
        <f t="shared" si="6"/>
        <v>0</v>
      </c>
      <c r="AA30" s="295">
        <f t="shared" si="6"/>
        <v>0</v>
      </c>
      <c r="AB30" s="295">
        <f t="shared" si="6"/>
        <v>0</v>
      </c>
      <c r="AC30" s="295">
        <f t="shared" si="6"/>
        <v>0</v>
      </c>
      <c r="AD30" s="295">
        <f t="shared" si="6"/>
        <v>0</v>
      </c>
      <c r="AE30" s="295">
        <f t="shared" si="6"/>
        <v>0</v>
      </c>
      <c r="AF30" s="295">
        <f t="shared" si="6"/>
        <v>0</v>
      </c>
      <c r="AG30" s="295">
        <f t="shared" si="6"/>
        <v>0</v>
      </c>
      <c r="AH30" s="335"/>
    </row>
    <row r="31" spans="1:34">
      <c r="A31" s="329"/>
      <c r="AH31" s="335"/>
    </row>
    <row r="32" spans="1:34" ht="13.8" thickBot="1">
      <c r="B32" s="345" t="s">
        <v>227</v>
      </c>
      <c r="C32" s="346">
        <f>Cashflow!C$30</f>
        <v>2017</v>
      </c>
      <c r="D32" s="346">
        <f>Cashflow!D$30</f>
        <v>2018</v>
      </c>
      <c r="E32" s="346">
        <f>Cashflow!E$30</f>
        <v>2019</v>
      </c>
      <c r="F32" s="346">
        <f>Cashflow!F$30</f>
        <v>2020</v>
      </c>
      <c r="G32" s="346">
        <f>Cashflow!G$30</f>
        <v>2021</v>
      </c>
      <c r="H32" s="346">
        <f>Cashflow!H$30</f>
        <v>2022</v>
      </c>
      <c r="I32" s="346">
        <f>Cashflow!I$30</f>
        <v>2023</v>
      </c>
      <c r="J32" s="346">
        <f>Cashflow!J$30</f>
        <v>2024</v>
      </c>
      <c r="K32" s="346">
        <f>Cashflow!K$30</f>
        <v>2025</v>
      </c>
      <c r="L32" s="346">
        <f>Cashflow!L$30</f>
        <v>2026</v>
      </c>
      <c r="M32" s="346">
        <f>Cashflow!M$30</f>
        <v>2027</v>
      </c>
      <c r="N32" s="346">
        <f>Cashflow!N$30</f>
        <v>2028</v>
      </c>
      <c r="O32" s="346">
        <f>Cashflow!O$30</f>
        <v>2029</v>
      </c>
      <c r="P32" s="346">
        <f>Cashflow!P$30</f>
        <v>2030</v>
      </c>
      <c r="Q32" s="346">
        <f>Cashflow!Q$30</f>
        <v>2031</v>
      </c>
      <c r="R32" s="346">
        <f>Cashflow!R$30</f>
        <v>2032</v>
      </c>
      <c r="S32" s="346">
        <f>Cashflow!S$30</f>
        <v>2033</v>
      </c>
      <c r="T32" s="346">
        <f>Cashflow!T$30</f>
        <v>2034</v>
      </c>
      <c r="U32" s="346">
        <f>Cashflow!U$30</f>
        <v>2035</v>
      </c>
      <c r="V32" s="346">
        <f>Cashflow!V$30</f>
        <v>2036</v>
      </c>
      <c r="W32" s="346">
        <f>Cashflow!W$30</f>
        <v>2037</v>
      </c>
      <c r="X32" s="346">
        <f>Cashflow!X$30</f>
        <v>2038</v>
      </c>
      <c r="Y32" s="346">
        <f>Cashflow!Y$30</f>
        <v>2039</v>
      </c>
      <c r="Z32" s="346">
        <f>Cashflow!Z$30</f>
        <v>2040</v>
      </c>
      <c r="AA32" s="346">
        <f>Cashflow!AA$30</f>
        <v>2041</v>
      </c>
      <c r="AB32" s="346">
        <f>Cashflow!AB$30</f>
        <v>2042</v>
      </c>
      <c r="AC32" s="346">
        <f>Cashflow!AC$30</f>
        <v>2043</v>
      </c>
      <c r="AD32" s="346">
        <f>Cashflow!AD$30</f>
        <v>2044</v>
      </c>
      <c r="AE32" s="346">
        <f>Cashflow!AE$30</f>
        <v>2045</v>
      </c>
      <c r="AF32" s="346">
        <f>Cashflow!AF$30</f>
        <v>2046</v>
      </c>
      <c r="AG32" s="346">
        <f>Cashflow!AG$30</f>
        <v>2047</v>
      </c>
    </row>
    <row r="33" spans="1:34" ht="13.8" thickTop="1">
      <c r="B33" s="436" t="s">
        <v>513</v>
      </c>
      <c r="C33" s="437">
        <f>(C34-C37-C41)*$V$5+C37+C41</f>
        <v>0</v>
      </c>
      <c r="D33" s="437">
        <f t="shared" ref="D33:AG33" si="7">(D34-D37-D41)*$V$5+D37+D41</f>
        <v>0</v>
      </c>
      <c r="E33" s="437">
        <f t="shared" si="7"/>
        <v>0</v>
      </c>
      <c r="F33" s="437">
        <f t="shared" si="7"/>
        <v>-10</v>
      </c>
      <c r="G33" s="437">
        <f t="shared" si="7"/>
        <v>-9</v>
      </c>
      <c r="H33" s="437">
        <f t="shared" si="7"/>
        <v>0</v>
      </c>
      <c r="I33" s="437">
        <f t="shared" si="7"/>
        <v>0</v>
      </c>
      <c r="J33" s="437">
        <f t="shared" si="7"/>
        <v>0</v>
      </c>
      <c r="K33" s="437">
        <f t="shared" si="7"/>
        <v>-3</v>
      </c>
      <c r="L33" s="437">
        <f t="shared" ca="1" si="7"/>
        <v>0</v>
      </c>
      <c r="M33" s="437">
        <f t="shared" ca="1" si="7"/>
        <v>0</v>
      </c>
      <c r="N33" s="437">
        <f t="shared" ca="1" si="7"/>
        <v>0</v>
      </c>
      <c r="O33" s="437">
        <f t="shared" ca="1" si="7"/>
        <v>0</v>
      </c>
      <c r="P33" s="437">
        <f t="shared" ca="1" si="7"/>
        <v>0</v>
      </c>
      <c r="Q33" s="437">
        <f t="shared" ca="1" si="7"/>
        <v>0</v>
      </c>
      <c r="R33" s="437">
        <f t="shared" ca="1" si="7"/>
        <v>0</v>
      </c>
      <c r="S33" s="437">
        <f t="shared" ca="1" si="7"/>
        <v>0</v>
      </c>
      <c r="T33" s="437">
        <f t="shared" ca="1" si="7"/>
        <v>0</v>
      </c>
      <c r="U33" s="437">
        <f t="shared" ca="1" si="7"/>
        <v>0</v>
      </c>
      <c r="V33" s="437">
        <f t="shared" ca="1" si="7"/>
        <v>0</v>
      </c>
      <c r="W33" s="437">
        <f t="shared" ca="1" si="7"/>
        <v>0</v>
      </c>
      <c r="X33" s="437">
        <f t="shared" ca="1" si="7"/>
        <v>0</v>
      </c>
      <c r="Y33" s="437">
        <f t="shared" ca="1" si="7"/>
        <v>0</v>
      </c>
      <c r="Z33" s="437">
        <f t="shared" ca="1" si="7"/>
        <v>0</v>
      </c>
      <c r="AA33" s="437">
        <f t="shared" ca="1" si="7"/>
        <v>0</v>
      </c>
      <c r="AB33" s="437">
        <f t="shared" ca="1" si="7"/>
        <v>0</v>
      </c>
      <c r="AC33" s="437">
        <f t="shared" ca="1" si="7"/>
        <v>0</v>
      </c>
      <c r="AD33" s="437">
        <f t="shared" ca="1" si="7"/>
        <v>0</v>
      </c>
      <c r="AE33" s="437">
        <f t="shared" ca="1" si="7"/>
        <v>0</v>
      </c>
      <c r="AF33" s="437">
        <f t="shared" ca="1" si="7"/>
        <v>0</v>
      </c>
      <c r="AG33" s="437">
        <f t="shared" ca="1" si="7"/>
        <v>0</v>
      </c>
    </row>
    <row r="34" spans="1:34" ht="13.8" thickBot="1">
      <c r="B34" s="440" t="s">
        <v>512</v>
      </c>
      <c r="C34" s="439">
        <f>C35+C37+C38+C39+C41</f>
        <v>0</v>
      </c>
      <c r="D34" s="439">
        <f t="shared" ref="D34:AG34" si="8">D35+D37+D38+D39+D41</f>
        <v>0</v>
      </c>
      <c r="E34" s="439">
        <f t="shared" si="8"/>
        <v>0</v>
      </c>
      <c r="F34" s="439">
        <f t="shared" si="8"/>
        <v>-10</v>
      </c>
      <c r="G34" s="439">
        <f t="shared" si="8"/>
        <v>-9</v>
      </c>
      <c r="H34" s="439">
        <f t="shared" si="8"/>
        <v>0</v>
      </c>
      <c r="I34" s="439">
        <f t="shared" si="8"/>
        <v>0</v>
      </c>
      <c r="J34" s="439">
        <f t="shared" si="8"/>
        <v>0</v>
      </c>
      <c r="K34" s="439">
        <f t="shared" si="8"/>
        <v>-3</v>
      </c>
      <c r="L34" s="439">
        <f t="shared" ca="1" si="8"/>
        <v>0</v>
      </c>
      <c r="M34" s="439">
        <f t="shared" ca="1" si="8"/>
        <v>0</v>
      </c>
      <c r="N34" s="439">
        <f t="shared" ca="1" si="8"/>
        <v>0</v>
      </c>
      <c r="O34" s="439">
        <f t="shared" ca="1" si="8"/>
        <v>0</v>
      </c>
      <c r="P34" s="439">
        <f t="shared" ca="1" si="8"/>
        <v>0</v>
      </c>
      <c r="Q34" s="439">
        <f t="shared" ca="1" si="8"/>
        <v>0</v>
      </c>
      <c r="R34" s="439">
        <f t="shared" ca="1" si="8"/>
        <v>0</v>
      </c>
      <c r="S34" s="439">
        <f t="shared" ca="1" si="8"/>
        <v>0</v>
      </c>
      <c r="T34" s="439">
        <f t="shared" ca="1" si="8"/>
        <v>0</v>
      </c>
      <c r="U34" s="439">
        <f t="shared" ca="1" si="8"/>
        <v>0</v>
      </c>
      <c r="V34" s="439">
        <f t="shared" ca="1" si="8"/>
        <v>0</v>
      </c>
      <c r="W34" s="439">
        <f t="shared" ca="1" si="8"/>
        <v>0</v>
      </c>
      <c r="X34" s="439">
        <f t="shared" ca="1" si="8"/>
        <v>0</v>
      </c>
      <c r="Y34" s="439">
        <f t="shared" ca="1" si="8"/>
        <v>0</v>
      </c>
      <c r="Z34" s="439">
        <f t="shared" ca="1" si="8"/>
        <v>0</v>
      </c>
      <c r="AA34" s="439">
        <f t="shared" ca="1" si="8"/>
        <v>0</v>
      </c>
      <c r="AB34" s="439">
        <f t="shared" ca="1" si="8"/>
        <v>0</v>
      </c>
      <c r="AC34" s="439">
        <f t="shared" ca="1" si="8"/>
        <v>0</v>
      </c>
      <c r="AD34" s="439">
        <f t="shared" ca="1" si="8"/>
        <v>0</v>
      </c>
      <c r="AE34" s="439">
        <f t="shared" ca="1" si="8"/>
        <v>0</v>
      </c>
      <c r="AF34" s="439">
        <f t="shared" ca="1" si="8"/>
        <v>0</v>
      </c>
      <c r="AG34" s="439">
        <f t="shared" ca="1" si="8"/>
        <v>0</v>
      </c>
    </row>
    <row r="35" spans="1:34" ht="13.8" thickTop="1">
      <c r="B35" s="350" t="str">
        <f>'Project-definition'!B53</f>
        <v>Survey costs</v>
      </c>
      <c r="C35" s="82">
        <f>IF(Cashflow!C$111="C/I",0,'Project-definition'!C53)</f>
        <v>0</v>
      </c>
      <c r="D35" s="82">
        <f>IF(Cashflow!D$111="C/I",0,'Project-definition'!D53)</f>
        <v>0</v>
      </c>
      <c r="E35" s="82">
        <f>IF(Cashflow!E$111="C/I",0,'Project-definition'!E53)</f>
        <v>0</v>
      </c>
      <c r="F35" s="82">
        <f>IF(Cashflow!F$111="C/I",0,'Project-definition'!F53)</f>
        <v>-10</v>
      </c>
      <c r="G35" s="82">
        <f>IF(Cashflow!G$111="C/I",0,'Project-definition'!G53)</f>
        <v>0</v>
      </c>
      <c r="H35" s="82">
        <f>IF(Cashflow!H$111="C/I",0,'Project-definition'!H53)</f>
        <v>0</v>
      </c>
      <c r="I35" s="82">
        <f>IF(Cashflow!I$111="C/I",0,'Project-definition'!I53)</f>
        <v>0</v>
      </c>
      <c r="J35" s="82">
        <f>IF(Cashflow!J$111="C/I",0,'Project-definition'!J53)</f>
        <v>0</v>
      </c>
      <c r="K35" s="82">
        <f>IF(Cashflow!K$111="C/I",0,'Project-definition'!K53)</f>
        <v>0</v>
      </c>
      <c r="L35" s="82">
        <f ca="1">IF(Cashflow!L$111="C/I",0,'Project-definition'!L53)</f>
        <v>0</v>
      </c>
      <c r="M35" s="82">
        <f ca="1">IF(Cashflow!M$111="C/I",0,'Project-definition'!M53)</f>
        <v>0</v>
      </c>
      <c r="N35" s="82">
        <f ca="1">IF(Cashflow!N$111="C/I",0,'Project-definition'!N53)</f>
        <v>0</v>
      </c>
      <c r="O35" s="82">
        <f ca="1">IF(Cashflow!O$111="C/I",0,'Project-definition'!O53)</f>
        <v>0</v>
      </c>
      <c r="P35" s="82">
        <f ca="1">IF(Cashflow!P$111="C/I",0,'Project-definition'!P53)</f>
        <v>0</v>
      </c>
      <c r="Q35" s="82">
        <f ca="1">IF(Cashflow!Q$111="C/I",0,'Project-definition'!Q53)</f>
        <v>0</v>
      </c>
      <c r="R35" s="82">
        <f ca="1">IF(Cashflow!R$111="C/I",0,'Project-definition'!R53)</f>
        <v>0</v>
      </c>
      <c r="S35" s="82">
        <f ca="1">IF(Cashflow!S$111="C/I",0,'Project-definition'!S53)</f>
        <v>0</v>
      </c>
      <c r="T35" s="82">
        <f ca="1">IF(Cashflow!T$111="C/I",0,'Project-definition'!T53)</f>
        <v>0</v>
      </c>
      <c r="U35" s="82">
        <f ca="1">IF(Cashflow!U$111="C/I",0,'Project-definition'!U53)</f>
        <v>0</v>
      </c>
      <c r="V35" s="82">
        <f ca="1">IF(Cashflow!V$111="C/I",0,'Project-definition'!V53)</f>
        <v>0</v>
      </c>
      <c r="W35" s="82">
        <f ca="1">IF(Cashflow!W$111="C/I",0,'Project-definition'!W53)</f>
        <v>0</v>
      </c>
      <c r="X35" s="82">
        <f ca="1">IF(Cashflow!X$111="C/I",0,'Project-definition'!X53)</f>
        <v>0</v>
      </c>
      <c r="Y35" s="82">
        <f ca="1">IF(Cashflow!Y$111="C/I",0,'Project-definition'!Y53)</f>
        <v>0</v>
      </c>
      <c r="Z35" s="82">
        <f ca="1">IF(Cashflow!Z$111="C/I",0,'Project-definition'!Z53)</f>
        <v>0</v>
      </c>
      <c r="AA35" s="82">
        <f ca="1">IF(Cashflow!AA$111="C/I",0,'Project-definition'!AA53)</f>
        <v>0</v>
      </c>
      <c r="AB35" s="82">
        <f ca="1">IF(Cashflow!AB$111="C/I",0,'Project-definition'!AB53)</f>
        <v>0</v>
      </c>
      <c r="AC35" s="82">
        <f ca="1">IF(Cashflow!AC$111="C/I",0,'Project-definition'!AC53)</f>
        <v>0</v>
      </c>
      <c r="AD35" s="82">
        <f ca="1">IF(Cashflow!AD$111="C/I",0,'Project-definition'!AD53)</f>
        <v>0</v>
      </c>
      <c r="AE35" s="82">
        <f ca="1">IF(Cashflow!AE$111="C/I",0,'Project-definition'!AE53)</f>
        <v>0</v>
      </c>
      <c r="AF35" s="82">
        <f ca="1">IF(Cashflow!AF$111="C/I",0,'Project-definition'!AF53)</f>
        <v>0</v>
      </c>
      <c r="AG35" s="82">
        <f ca="1">IF(Cashflow!AG$111="C/I",0,'Project-definition'!AG53)</f>
        <v>0</v>
      </c>
    </row>
    <row r="36" spans="1:34">
      <c r="B36" s="350" t="str">
        <f>'Project-definition'!B54</f>
        <v>Nr. of appraisal wells to attempt</v>
      </c>
      <c r="C36" s="433">
        <f>IF(Cashflow!C$111="C/I",0,'Project-definition'!C54)</f>
        <v>0</v>
      </c>
      <c r="D36" s="433">
        <f>IF(Cashflow!D$111="C/I",0,'Project-definition'!D54)</f>
        <v>0</v>
      </c>
      <c r="E36" s="433">
        <f>IF(Cashflow!E$111="C/I",0,'Project-definition'!E54)</f>
        <v>0</v>
      </c>
      <c r="F36" s="433">
        <f>IF(Cashflow!F$111="C/I",0,'Project-definition'!F54)</f>
        <v>0</v>
      </c>
      <c r="G36" s="433">
        <f>IF(Cashflow!G$111="C/I",0,'Project-definition'!G54)</f>
        <v>2</v>
      </c>
      <c r="H36" s="433">
        <f>IF(Cashflow!H$111="C/I",0,'Project-definition'!H54)</f>
        <v>0</v>
      </c>
      <c r="I36" s="433">
        <f>IF(Cashflow!I$111="C/I",0,'Project-definition'!I54)</f>
        <v>0</v>
      </c>
      <c r="J36" s="433">
        <f>IF(Cashflow!J$111="C/I",0,'Project-definition'!J54)</f>
        <v>0</v>
      </c>
      <c r="K36" s="433">
        <f>IF(Cashflow!K$111="C/I",0,'Project-definition'!K54)</f>
        <v>0</v>
      </c>
      <c r="L36" s="433">
        <f ca="1">IF(Cashflow!L$111="C/I",0,'Project-definition'!L54)</f>
        <v>0</v>
      </c>
      <c r="M36" s="433">
        <f ca="1">IF(Cashflow!M$111="C/I",0,'Project-definition'!M54)</f>
        <v>0</v>
      </c>
      <c r="N36" s="433">
        <f ca="1">IF(Cashflow!N$111="C/I",0,'Project-definition'!N54)</f>
        <v>0</v>
      </c>
      <c r="O36" s="433">
        <f ca="1">IF(Cashflow!O$111="C/I",0,'Project-definition'!O54)</f>
        <v>0</v>
      </c>
      <c r="P36" s="433">
        <f ca="1">IF(Cashflow!P$111="C/I",0,'Project-definition'!P54)</f>
        <v>0</v>
      </c>
      <c r="Q36" s="433">
        <f ca="1">IF(Cashflow!Q$111="C/I",0,'Project-definition'!Q54)</f>
        <v>0</v>
      </c>
      <c r="R36" s="433">
        <f ca="1">IF(Cashflow!R$111="C/I",0,'Project-definition'!R54)</f>
        <v>0</v>
      </c>
      <c r="S36" s="433">
        <f ca="1">IF(Cashflow!S$111="C/I",0,'Project-definition'!S54)</f>
        <v>0</v>
      </c>
      <c r="T36" s="433">
        <f ca="1">IF(Cashflow!T$111="C/I",0,'Project-definition'!T54)</f>
        <v>0</v>
      </c>
      <c r="U36" s="433">
        <f ca="1">IF(Cashflow!U$111="C/I",0,'Project-definition'!U54)</f>
        <v>0</v>
      </c>
      <c r="V36" s="433">
        <f ca="1">IF(Cashflow!V$111="C/I",0,'Project-definition'!V54)</f>
        <v>0</v>
      </c>
      <c r="W36" s="433">
        <f ca="1">IF(Cashflow!W$111="C/I",0,'Project-definition'!W54)</f>
        <v>0</v>
      </c>
      <c r="X36" s="433">
        <f ca="1">IF(Cashflow!X$111="C/I",0,'Project-definition'!X54)</f>
        <v>0</v>
      </c>
      <c r="Y36" s="433">
        <f ca="1">IF(Cashflow!Y$111="C/I",0,'Project-definition'!Y54)</f>
        <v>0</v>
      </c>
      <c r="Z36" s="433">
        <f ca="1">IF(Cashflow!Z$111="C/I",0,'Project-definition'!Z54)</f>
        <v>0</v>
      </c>
      <c r="AA36" s="433">
        <f ca="1">IF(Cashflow!AA$111="C/I",0,'Project-definition'!AA54)</f>
        <v>0</v>
      </c>
      <c r="AB36" s="433">
        <f ca="1">IF(Cashflow!AB$111="C/I",0,'Project-definition'!AB54)</f>
        <v>0</v>
      </c>
      <c r="AC36" s="433">
        <f ca="1">IF(Cashflow!AC$111="C/I",0,'Project-definition'!AC54)</f>
        <v>0</v>
      </c>
      <c r="AD36" s="433">
        <f ca="1">IF(Cashflow!AD$111="C/I",0,'Project-definition'!AD54)</f>
        <v>0</v>
      </c>
      <c r="AE36" s="433">
        <f ca="1">IF(Cashflow!AE$111="C/I",0,'Project-definition'!AE54)</f>
        <v>0</v>
      </c>
      <c r="AF36" s="433">
        <f ca="1">IF(Cashflow!AF$111="C/I",0,'Project-definition'!AF54)</f>
        <v>0</v>
      </c>
      <c r="AG36" s="433">
        <f ca="1">IF(Cashflow!AG$111="C/I",0,'Project-definition'!AG54)</f>
        <v>0</v>
      </c>
    </row>
    <row r="37" spans="1:34">
      <c r="B37" s="350" t="str">
        <f>'Project-definition'!B55</f>
        <v>Appraisal drillex</v>
      </c>
      <c r="C37" s="82">
        <f>IF(Cashflow!C$111="C/I",0,'Project-definition'!C55)</f>
        <v>0</v>
      </c>
      <c r="D37" s="82">
        <f>IF(Cashflow!D$111="C/I",0,'Project-definition'!D55)</f>
        <v>0</v>
      </c>
      <c r="E37" s="82">
        <f>IF(Cashflow!E$111="C/I",0,'Project-definition'!E55)</f>
        <v>0</v>
      </c>
      <c r="F37" s="82">
        <f>IF(Cashflow!F$111="C/I",0,'Project-definition'!F55)</f>
        <v>0</v>
      </c>
      <c r="G37" s="82">
        <f>IF(Cashflow!G$111="C/I",0,'Project-definition'!G55)</f>
        <v>-9</v>
      </c>
      <c r="H37" s="82">
        <f>IF(Cashflow!H$111="C/I",0,'Project-definition'!H55)</f>
        <v>0</v>
      </c>
      <c r="I37" s="82">
        <f>IF(Cashflow!I$111="C/I",0,'Project-definition'!I55)</f>
        <v>0</v>
      </c>
      <c r="J37" s="82">
        <f>IF(Cashflow!J$111="C/I",0,'Project-definition'!J55)</f>
        <v>0</v>
      </c>
      <c r="K37" s="82">
        <f>IF(Cashflow!K$111="C/I",0,'Project-definition'!K55)</f>
        <v>0</v>
      </c>
      <c r="L37" s="82">
        <f ca="1">IF(Cashflow!L$111="C/I",0,'Project-definition'!L55)</f>
        <v>0</v>
      </c>
      <c r="M37" s="82">
        <f ca="1">IF(Cashflow!M$111="C/I",0,'Project-definition'!M55)</f>
        <v>0</v>
      </c>
      <c r="N37" s="82">
        <f ca="1">IF(Cashflow!N$111="C/I",0,'Project-definition'!N55)</f>
        <v>0</v>
      </c>
      <c r="O37" s="82">
        <f ca="1">IF(Cashflow!O$111="C/I",0,'Project-definition'!O55)</f>
        <v>0</v>
      </c>
      <c r="P37" s="82">
        <f ca="1">IF(Cashflow!P$111="C/I",0,'Project-definition'!P55)</f>
        <v>0</v>
      </c>
      <c r="Q37" s="82">
        <f ca="1">IF(Cashflow!Q$111="C/I",0,'Project-definition'!Q55)</f>
        <v>0</v>
      </c>
      <c r="R37" s="82">
        <f ca="1">IF(Cashflow!R$111="C/I",0,'Project-definition'!R55)</f>
        <v>0</v>
      </c>
      <c r="S37" s="82">
        <f ca="1">IF(Cashflow!S$111="C/I",0,'Project-definition'!S55)</f>
        <v>0</v>
      </c>
      <c r="T37" s="82">
        <f ca="1">IF(Cashflow!T$111="C/I",0,'Project-definition'!T55)</f>
        <v>0</v>
      </c>
      <c r="U37" s="82">
        <f ca="1">IF(Cashflow!U$111="C/I",0,'Project-definition'!U55)</f>
        <v>0</v>
      </c>
      <c r="V37" s="82">
        <f ca="1">IF(Cashflow!V$111="C/I",0,'Project-definition'!V55)</f>
        <v>0</v>
      </c>
      <c r="W37" s="82">
        <f ca="1">IF(Cashflow!W$111="C/I",0,'Project-definition'!W55)</f>
        <v>0</v>
      </c>
      <c r="X37" s="82">
        <f ca="1">IF(Cashflow!X$111="C/I",0,'Project-definition'!X55)</f>
        <v>0</v>
      </c>
      <c r="Y37" s="82">
        <f ca="1">IF(Cashflow!Y$111="C/I",0,'Project-definition'!Y55)</f>
        <v>0</v>
      </c>
      <c r="Z37" s="82">
        <f ca="1">IF(Cashflow!Z$111="C/I",0,'Project-definition'!Z55)</f>
        <v>0</v>
      </c>
      <c r="AA37" s="82">
        <f ca="1">IF(Cashflow!AA$111="C/I",0,'Project-definition'!AA55)</f>
        <v>0</v>
      </c>
      <c r="AB37" s="82">
        <f ca="1">IF(Cashflow!AB$111="C/I",0,'Project-definition'!AB55)</f>
        <v>0</v>
      </c>
      <c r="AC37" s="82">
        <f ca="1">IF(Cashflow!AC$111="C/I",0,'Project-definition'!AC55)</f>
        <v>0</v>
      </c>
      <c r="AD37" s="82">
        <f ca="1">IF(Cashflow!AD$111="C/I",0,'Project-definition'!AD55)</f>
        <v>0</v>
      </c>
      <c r="AE37" s="82">
        <f ca="1">IF(Cashflow!AE$111="C/I",0,'Project-definition'!AE55)</f>
        <v>0</v>
      </c>
      <c r="AF37" s="82">
        <f ca="1">IF(Cashflow!AF$111="C/I",0,'Project-definition'!AF55)</f>
        <v>0</v>
      </c>
      <c r="AG37" s="82">
        <f ca="1">IF(Cashflow!AG$111="C/I",0,'Project-definition'!AG55)</f>
        <v>0</v>
      </c>
    </row>
    <row r="38" spans="1:34">
      <c r="B38" s="350" t="str">
        <f>'Project-definition'!B56</f>
        <v>Transactions to government</v>
      </c>
      <c r="C38" s="82">
        <f>IF(Cashflow!C$111="C/I",0,'Project-definition'!C56)</f>
        <v>0</v>
      </c>
      <c r="D38" s="82">
        <f>IF(Cashflow!D$111="C/I",0,'Project-definition'!D56)</f>
        <v>0</v>
      </c>
      <c r="E38" s="82">
        <f>IF(Cashflow!E$111="C/I",0,'Project-definition'!E56)</f>
        <v>0</v>
      </c>
      <c r="F38" s="82">
        <f>IF(Cashflow!F$111="C/I",0,'Project-definition'!F56)</f>
        <v>0</v>
      </c>
      <c r="G38" s="82">
        <f>IF(Cashflow!G$111="C/I",0,'Project-definition'!G56)</f>
        <v>0</v>
      </c>
      <c r="H38" s="82">
        <f>IF(Cashflow!H$111="C/I",0,'Project-definition'!H56)</f>
        <v>0</v>
      </c>
      <c r="I38" s="82">
        <f>IF(Cashflow!I$111="C/I",0,'Project-definition'!I56)</f>
        <v>0</v>
      </c>
      <c r="J38" s="82">
        <f>IF(Cashflow!J$111="C/I",0,'Project-definition'!J56)</f>
        <v>0</v>
      </c>
      <c r="K38" s="82">
        <f>IF(Cashflow!K$111="C/I",0,'Project-definition'!K56)</f>
        <v>0</v>
      </c>
      <c r="L38" s="82">
        <f ca="1">IF(Cashflow!L$111="C/I",0,'Project-definition'!L56)</f>
        <v>0</v>
      </c>
      <c r="M38" s="82">
        <f ca="1">IF(Cashflow!M$111="C/I",0,'Project-definition'!M56)</f>
        <v>0</v>
      </c>
      <c r="N38" s="82">
        <f ca="1">IF(Cashflow!N$111="C/I",0,'Project-definition'!N56)</f>
        <v>0</v>
      </c>
      <c r="O38" s="82">
        <f ca="1">IF(Cashflow!O$111="C/I",0,'Project-definition'!O56)</f>
        <v>0</v>
      </c>
      <c r="P38" s="82">
        <f ca="1">IF(Cashflow!P$111="C/I",0,'Project-definition'!P56)</f>
        <v>0</v>
      </c>
      <c r="Q38" s="82">
        <f ca="1">IF(Cashflow!Q$111="C/I",0,'Project-definition'!Q56)</f>
        <v>0</v>
      </c>
      <c r="R38" s="82">
        <f ca="1">IF(Cashflow!R$111="C/I",0,'Project-definition'!R56)</f>
        <v>0</v>
      </c>
      <c r="S38" s="82">
        <f ca="1">IF(Cashflow!S$111="C/I",0,'Project-definition'!S56)</f>
        <v>0</v>
      </c>
      <c r="T38" s="82">
        <f ca="1">IF(Cashflow!T$111="C/I",0,'Project-definition'!T56)</f>
        <v>0</v>
      </c>
      <c r="U38" s="82">
        <f ca="1">IF(Cashflow!U$111="C/I",0,'Project-definition'!U56)</f>
        <v>0</v>
      </c>
      <c r="V38" s="82">
        <f ca="1">IF(Cashflow!V$111="C/I",0,'Project-definition'!V56)</f>
        <v>0</v>
      </c>
      <c r="W38" s="82">
        <f ca="1">IF(Cashflow!W$111="C/I",0,'Project-definition'!W56)</f>
        <v>0</v>
      </c>
      <c r="X38" s="82">
        <f ca="1">IF(Cashflow!X$111="C/I",0,'Project-definition'!X56)</f>
        <v>0</v>
      </c>
      <c r="Y38" s="82">
        <f ca="1">IF(Cashflow!Y$111="C/I",0,'Project-definition'!Y56)</f>
        <v>0</v>
      </c>
      <c r="Z38" s="82">
        <f ca="1">IF(Cashflow!Z$111="C/I",0,'Project-definition'!Z56)</f>
        <v>0</v>
      </c>
      <c r="AA38" s="82">
        <f ca="1">IF(Cashflow!AA$111="C/I",0,'Project-definition'!AA56)</f>
        <v>0</v>
      </c>
      <c r="AB38" s="82">
        <f ca="1">IF(Cashflow!AB$111="C/I",0,'Project-definition'!AB56)</f>
        <v>0</v>
      </c>
      <c r="AC38" s="82">
        <f ca="1">IF(Cashflow!AC$111="C/I",0,'Project-definition'!AC56)</f>
        <v>0</v>
      </c>
      <c r="AD38" s="82">
        <f ca="1">IF(Cashflow!AD$111="C/I",0,'Project-definition'!AD56)</f>
        <v>0</v>
      </c>
      <c r="AE38" s="82">
        <f ca="1">IF(Cashflow!AE$111="C/I",0,'Project-definition'!AE56)</f>
        <v>0</v>
      </c>
      <c r="AF38" s="82">
        <f ca="1">IF(Cashflow!AF$111="C/I",0,'Project-definition'!AF56)</f>
        <v>0</v>
      </c>
      <c r="AG38" s="82">
        <f ca="1">IF(Cashflow!AG$111="C/I",0,'Project-definition'!AG56)</f>
        <v>0</v>
      </c>
    </row>
    <row r="39" spans="1:34">
      <c r="B39" s="350" t="str">
        <f>'Project-definition'!B57</f>
        <v>Other costs</v>
      </c>
      <c r="C39" s="82">
        <f>IF(Cashflow!C$111="C/I",0,'Project-definition'!C57)</f>
        <v>0</v>
      </c>
      <c r="D39" s="82">
        <f>IF(Cashflow!D$111="C/I",0,'Project-definition'!D57)</f>
        <v>0</v>
      </c>
      <c r="E39" s="82">
        <f>IF(Cashflow!E$111="C/I",0,'Project-definition'!E57)</f>
        <v>0</v>
      </c>
      <c r="F39" s="82">
        <f>IF(Cashflow!F$111="C/I",0,'Project-definition'!F57)</f>
        <v>0</v>
      </c>
      <c r="G39" s="82">
        <f>IF(Cashflow!G$111="C/I",0,'Project-definition'!G57)</f>
        <v>0</v>
      </c>
      <c r="H39" s="82">
        <f>IF(Cashflow!H$111="C/I",0,'Project-definition'!H57)</f>
        <v>0</v>
      </c>
      <c r="I39" s="82">
        <f>IF(Cashflow!I$111="C/I",0,'Project-definition'!I57)</f>
        <v>0</v>
      </c>
      <c r="J39" s="82">
        <f>IF(Cashflow!J$111="C/I",0,'Project-definition'!J57)</f>
        <v>0</v>
      </c>
      <c r="K39" s="82">
        <f>IF(Cashflow!K$111="C/I",0,'Project-definition'!K57)</f>
        <v>0</v>
      </c>
      <c r="L39" s="82">
        <f ca="1">IF(Cashflow!L$111="C/I",0,'Project-definition'!L57)</f>
        <v>0</v>
      </c>
      <c r="M39" s="82">
        <f ca="1">IF(Cashflow!M$111="C/I",0,'Project-definition'!M57)</f>
        <v>0</v>
      </c>
      <c r="N39" s="82">
        <f ca="1">IF(Cashflow!N$111="C/I",0,'Project-definition'!N57)</f>
        <v>0</v>
      </c>
      <c r="O39" s="82">
        <f ca="1">IF(Cashflow!O$111="C/I",0,'Project-definition'!O57)</f>
        <v>0</v>
      </c>
      <c r="P39" s="82">
        <f ca="1">IF(Cashflow!P$111="C/I",0,'Project-definition'!P57)</f>
        <v>0</v>
      </c>
      <c r="Q39" s="82">
        <f ca="1">IF(Cashflow!Q$111="C/I",0,'Project-definition'!Q57)</f>
        <v>0</v>
      </c>
      <c r="R39" s="82">
        <f ca="1">IF(Cashflow!R$111="C/I",0,'Project-definition'!R57)</f>
        <v>0</v>
      </c>
      <c r="S39" s="82">
        <f ca="1">IF(Cashflow!S$111="C/I",0,'Project-definition'!S57)</f>
        <v>0</v>
      </c>
      <c r="T39" s="82">
        <f ca="1">IF(Cashflow!T$111="C/I",0,'Project-definition'!T57)</f>
        <v>0</v>
      </c>
      <c r="U39" s="82">
        <f ca="1">IF(Cashflow!U$111="C/I",0,'Project-definition'!U57)</f>
        <v>0</v>
      </c>
      <c r="V39" s="82">
        <f ca="1">IF(Cashflow!V$111="C/I",0,'Project-definition'!V57)</f>
        <v>0</v>
      </c>
      <c r="W39" s="82">
        <f ca="1">IF(Cashflow!W$111="C/I",0,'Project-definition'!W57)</f>
        <v>0</v>
      </c>
      <c r="X39" s="82">
        <f ca="1">IF(Cashflow!X$111="C/I",0,'Project-definition'!X57)</f>
        <v>0</v>
      </c>
      <c r="Y39" s="82">
        <f ca="1">IF(Cashflow!Y$111="C/I",0,'Project-definition'!Y57)</f>
        <v>0</v>
      </c>
      <c r="Z39" s="82">
        <f ca="1">IF(Cashflow!Z$111="C/I",0,'Project-definition'!Z57)</f>
        <v>0</v>
      </c>
      <c r="AA39" s="82">
        <f ca="1">IF(Cashflow!AA$111="C/I",0,'Project-definition'!AA57)</f>
        <v>0</v>
      </c>
      <c r="AB39" s="82">
        <f ca="1">IF(Cashflow!AB$111="C/I",0,'Project-definition'!AB57)</f>
        <v>0</v>
      </c>
      <c r="AC39" s="82">
        <f ca="1">IF(Cashflow!AC$111="C/I",0,'Project-definition'!AC57)</f>
        <v>0</v>
      </c>
      <c r="AD39" s="82">
        <f ca="1">IF(Cashflow!AD$111="C/I",0,'Project-definition'!AD57)</f>
        <v>0</v>
      </c>
      <c r="AE39" s="82">
        <f ca="1">IF(Cashflow!AE$111="C/I",0,'Project-definition'!AE57)</f>
        <v>0</v>
      </c>
      <c r="AF39" s="82">
        <f ca="1">IF(Cashflow!AF$111="C/I",0,'Project-definition'!AF57)</f>
        <v>0</v>
      </c>
      <c r="AG39" s="82">
        <f ca="1">IF(Cashflow!AG$111="C/I",0,'Project-definition'!AG57)</f>
        <v>0</v>
      </c>
    </row>
    <row r="40" spans="1:34">
      <c r="B40" s="348" t="s">
        <v>521</v>
      </c>
      <c r="C40" s="295">
        <f>IF(AND($J$5="Yes",C32&lt;$J$8),C36*-$P$9,0)</f>
        <v>0</v>
      </c>
      <c r="D40" s="295">
        <f t="shared" ref="D40:AG40" si="9">IF(AND($J$5="Yes",D32&lt;$J$8),C40+D36*-$P$9,0)</f>
        <v>0</v>
      </c>
      <c r="E40" s="295">
        <f t="shared" si="9"/>
        <v>0</v>
      </c>
      <c r="F40" s="295">
        <f t="shared" si="9"/>
        <v>0</v>
      </c>
      <c r="G40" s="295">
        <f t="shared" si="9"/>
        <v>-3</v>
      </c>
      <c r="H40" s="295">
        <f t="shared" si="9"/>
        <v>-3</v>
      </c>
      <c r="I40" s="295">
        <f t="shared" si="9"/>
        <v>-3</v>
      </c>
      <c r="J40" s="295">
        <f t="shared" si="9"/>
        <v>-3</v>
      </c>
      <c r="K40" s="295">
        <f t="shared" si="9"/>
        <v>0</v>
      </c>
      <c r="L40" s="295">
        <f t="shared" si="9"/>
        <v>0</v>
      </c>
      <c r="M40" s="295">
        <f t="shared" si="9"/>
        <v>0</v>
      </c>
      <c r="N40" s="295">
        <f t="shared" si="9"/>
        <v>0</v>
      </c>
      <c r="O40" s="295">
        <f t="shared" si="9"/>
        <v>0</v>
      </c>
      <c r="P40" s="295">
        <f t="shared" si="9"/>
        <v>0</v>
      </c>
      <c r="Q40" s="295">
        <f t="shared" si="9"/>
        <v>0</v>
      </c>
      <c r="R40" s="295">
        <f t="shared" si="9"/>
        <v>0</v>
      </c>
      <c r="S40" s="295">
        <f t="shared" si="9"/>
        <v>0</v>
      </c>
      <c r="T40" s="295">
        <f t="shared" si="9"/>
        <v>0</v>
      </c>
      <c r="U40" s="295">
        <f t="shared" si="9"/>
        <v>0</v>
      </c>
      <c r="V40" s="295">
        <f t="shared" si="9"/>
        <v>0</v>
      </c>
      <c r="W40" s="295">
        <f t="shared" si="9"/>
        <v>0</v>
      </c>
      <c r="X40" s="295">
        <f t="shared" si="9"/>
        <v>0</v>
      </c>
      <c r="Y40" s="295">
        <f t="shared" si="9"/>
        <v>0</v>
      </c>
      <c r="Z40" s="295">
        <f t="shared" si="9"/>
        <v>0</v>
      </c>
      <c r="AA40" s="295">
        <f t="shared" si="9"/>
        <v>0</v>
      </c>
      <c r="AB40" s="295">
        <f t="shared" si="9"/>
        <v>0</v>
      </c>
      <c r="AC40" s="295">
        <f t="shared" si="9"/>
        <v>0</v>
      </c>
      <c r="AD40" s="295">
        <f t="shared" si="9"/>
        <v>0</v>
      </c>
      <c r="AE40" s="295">
        <f t="shared" si="9"/>
        <v>0</v>
      </c>
      <c r="AF40" s="295">
        <f t="shared" si="9"/>
        <v>0</v>
      </c>
      <c r="AG40" s="295">
        <f t="shared" si="9"/>
        <v>0</v>
      </c>
    </row>
    <row r="41" spans="1:34">
      <c r="B41" s="348" t="s">
        <v>520</v>
      </c>
      <c r="C41" s="295">
        <f>IF($J$5="Yes",IF(C32&gt;=$J$8,B40,0),0)</f>
        <v>0</v>
      </c>
      <c r="D41" s="295">
        <f t="shared" ref="D41:AG41" si="10">IF($J$5="Yes",IF(D32&gt;=$J$8,C40,0),0)</f>
        <v>0</v>
      </c>
      <c r="E41" s="295">
        <f t="shared" si="10"/>
        <v>0</v>
      </c>
      <c r="F41" s="295">
        <f t="shared" si="10"/>
        <v>0</v>
      </c>
      <c r="G41" s="295">
        <f t="shared" si="10"/>
        <v>0</v>
      </c>
      <c r="H41" s="295">
        <f t="shared" si="10"/>
        <v>0</v>
      </c>
      <c r="I41" s="295">
        <f t="shared" si="10"/>
        <v>0</v>
      </c>
      <c r="J41" s="295">
        <f t="shared" si="10"/>
        <v>0</v>
      </c>
      <c r="K41" s="295">
        <f t="shared" si="10"/>
        <v>-3</v>
      </c>
      <c r="L41" s="295">
        <f t="shared" si="10"/>
        <v>0</v>
      </c>
      <c r="M41" s="295">
        <f t="shared" si="10"/>
        <v>0</v>
      </c>
      <c r="N41" s="295">
        <f t="shared" si="10"/>
        <v>0</v>
      </c>
      <c r="O41" s="295">
        <f t="shared" si="10"/>
        <v>0</v>
      </c>
      <c r="P41" s="295">
        <f t="shared" si="10"/>
        <v>0</v>
      </c>
      <c r="Q41" s="295">
        <f t="shared" si="10"/>
        <v>0</v>
      </c>
      <c r="R41" s="295">
        <f t="shared" si="10"/>
        <v>0</v>
      </c>
      <c r="S41" s="295">
        <f t="shared" si="10"/>
        <v>0</v>
      </c>
      <c r="T41" s="295">
        <f t="shared" si="10"/>
        <v>0</v>
      </c>
      <c r="U41" s="295">
        <f t="shared" si="10"/>
        <v>0</v>
      </c>
      <c r="V41" s="295">
        <f t="shared" si="10"/>
        <v>0</v>
      </c>
      <c r="W41" s="295">
        <f t="shared" si="10"/>
        <v>0</v>
      </c>
      <c r="X41" s="295">
        <f t="shared" si="10"/>
        <v>0</v>
      </c>
      <c r="Y41" s="295">
        <f t="shared" si="10"/>
        <v>0</v>
      </c>
      <c r="Z41" s="295">
        <f t="shared" si="10"/>
        <v>0</v>
      </c>
      <c r="AA41" s="295">
        <f t="shared" si="10"/>
        <v>0</v>
      </c>
      <c r="AB41" s="295">
        <f t="shared" si="10"/>
        <v>0</v>
      </c>
      <c r="AC41" s="295">
        <f t="shared" si="10"/>
        <v>0</v>
      </c>
      <c r="AD41" s="295">
        <f t="shared" si="10"/>
        <v>0</v>
      </c>
      <c r="AE41" s="295">
        <f t="shared" si="10"/>
        <v>0</v>
      </c>
      <c r="AF41" s="295">
        <f t="shared" si="10"/>
        <v>0</v>
      </c>
      <c r="AG41" s="295">
        <f t="shared" si="10"/>
        <v>0</v>
      </c>
    </row>
    <row r="43" spans="1:34" ht="13.8" thickBot="1">
      <c r="B43" s="345" t="s">
        <v>239</v>
      </c>
      <c r="C43" s="346">
        <f>Cashflow!C$30</f>
        <v>2017</v>
      </c>
      <c r="D43" s="346">
        <f>Cashflow!D$30</f>
        <v>2018</v>
      </c>
      <c r="E43" s="346">
        <f>Cashflow!E$30</f>
        <v>2019</v>
      </c>
      <c r="F43" s="346">
        <f>Cashflow!F$30</f>
        <v>2020</v>
      </c>
      <c r="G43" s="346">
        <f>Cashflow!G$30</f>
        <v>2021</v>
      </c>
      <c r="H43" s="346">
        <f>Cashflow!H$30</f>
        <v>2022</v>
      </c>
      <c r="I43" s="346">
        <f>Cashflow!I$30</f>
        <v>2023</v>
      </c>
      <c r="J43" s="346">
        <f>Cashflow!J$30</f>
        <v>2024</v>
      </c>
      <c r="K43" s="346">
        <f>Cashflow!K$30</f>
        <v>2025</v>
      </c>
      <c r="L43" s="346">
        <f>Cashflow!L$30</f>
        <v>2026</v>
      </c>
      <c r="M43" s="346">
        <f>Cashflow!M$30</f>
        <v>2027</v>
      </c>
      <c r="N43" s="346">
        <f>Cashflow!N$30</f>
        <v>2028</v>
      </c>
      <c r="O43" s="346">
        <f>Cashflow!O$30</f>
        <v>2029</v>
      </c>
      <c r="P43" s="346">
        <f>Cashflow!P$30</f>
        <v>2030</v>
      </c>
      <c r="Q43" s="346">
        <f>Cashflow!Q$30</f>
        <v>2031</v>
      </c>
      <c r="R43" s="346">
        <f>Cashflow!R$30</f>
        <v>2032</v>
      </c>
      <c r="S43" s="346">
        <f>Cashflow!S$30</f>
        <v>2033</v>
      </c>
      <c r="T43" s="346">
        <f>Cashflow!T$30</f>
        <v>2034</v>
      </c>
      <c r="U43" s="346">
        <f>Cashflow!U$30</f>
        <v>2035</v>
      </c>
      <c r="V43" s="346">
        <f>Cashflow!V$30</f>
        <v>2036</v>
      </c>
      <c r="W43" s="346">
        <f>Cashflow!W$30</f>
        <v>2037</v>
      </c>
      <c r="X43" s="346">
        <f>Cashflow!X$30</f>
        <v>2038</v>
      </c>
      <c r="Y43" s="346">
        <f>Cashflow!Y$30</f>
        <v>2039</v>
      </c>
      <c r="Z43" s="346">
        <f>Cashflow!Z$30</f>
        <v>2040</v>
      </c>
      <c r="AA43" s="346">
        <f>Cashflow!AA$30</f>
        <v>2041</v>
      </c>
      <c r="AB43" s="346">
        <f>Cashflow!AB$30</f>
        <v>2042</v>
      </c>
      <c r="AC43" s="346">
        <f>Cashflow!AC$30</f>
        <v>2043</v>
      </c>
      <c r="AD43" s="346">
        <f>Cashflow!AD$30</f>
        <v>2044</v>
      </c>
      <c r="AE43" s="346">
        <f>Cashflow!AE$30</f>
        <v>2045</v>
      </c>
      <c r="AF43" s="346">
        <f>Cashflow!AF$30</f>
        <v>2046</v>
      </c>
      <c r="AG43" s="346">
        <f>Cashflow!AG$30</f>
        <v>2047</v>
      </c>
    </row>
    <row r="44" spans="1:34" ht="13.8" thickTop="1">
      <c r="B44" s="441" t="s">
        <v>514</v>
      </c>
      <c r="C44" s="437">
        <f>(C45-C49-C53-C55)*$V$5+C49+C53+C55</f>
        <v>0</v>
      </c>
      <c r="D44" s="437">
        <f t="shared" ref="D44:AG44" si="11">(D45-D49-D53-D55)*$V$5+D49+D53+D55</f>
        <v>0</v>
      </c>
      <c r="E44" s="437">
        <f t="shared" si="11"/>
        <v>0</v>
      </c>
      <c r="F44" s="437">
        <f t="shared" si="11"/>
        <v>0</v>
      </c>
      <c r="G44" s="437">
        <f t="shared" si="11"/>
        <v>-122</v>
      </c>
      <c r="H44" s="437">
        <f t="shared" si="11"/>
        <v>-80</v>
      </c>
      <c r="I44" s="437">
        <f t="shared" si="11"/>
        <v>-55.5</v>
      </c>
      <c r="J44" s="437">
        <f t="shared" si="11"/>
        <v>-31</v>
      </c>
      <c r="K44" s="437">
        <f t="shared" si="11"/>
        <v>0</v>
      </c>
      <c r="L44" s="437">
        <f t="shared" ca="1" si="11"/>
        <v>0</v>
      </c>
      <c r="M44" s="437">
        <f t="shared" ca="1" si="11"/>
        <v>0</v>
      </c>
      <c r="N44" s="437">
        <f t="shared" ca="1" si="11"/>
        <v>0</v>
      </c>
      <c r="O44" s="437">
        <f t="shared" ca="1" si="11"/>
        <v>0</v>
      </c>
      <c r="P44" s="437">
        <f t="shared" ca="1" si="11"/>
        <v>0</v>
      </c>
      <c r="Q44" s="437">
        <f t="shared" ca="1" si="11"/>
        <v>0</v>
      </c>
      <c r="R44" s="437">
        <f t="shared" ca="1" si="11"/>
        <v>0</v>
      </c>
      <c r="S44" s="437">
        <f t="shared" ca="1" si="11"/>
        <v>0</v>
      </c>
      <c r="T44" s="437">
        <f t="shared" ca="1" si="11"/>
        <v>0</v>
      </c>
      <c r="U44" s="437">
        <f t="shared" ca="1" si="11"/>
        <v>0</v>
      </c>
      <c r="V44" s="437">
        <f t="shared" ca="1" si="11"/>
        <v>0</v>
      </c>
      <c r="W44" s="437">
        <f t="shared" ca="1" si="11"/>
        <v>0</v>
      </c>
      <c r="X44" s="437">
        <f t="shared" ca="1" si="11"/>
        <v>0</v>
      </c>
      <c r="Y44" s="437">
        <f t="shared" ca="1" si="11"/>
        <v>0</v>
      </c>
      <c r="Z44" s="437">
        <f t="shared" ca="1" si="11"/>
        <v>0</v>
      </c>
      <c r="AA44" s="437">
        <f t="shared" ca="1" si="11"/>
        <v>0</v>
      </c>
      <c r="AB44" s="437">
        <f t="shared" ca="1" si="11"/>
        <v>0</v>
      </c>
      <c r="AC44" s="437">
        <f t="shared" ca="1" si="11"/>
        <v>0</v>
      </c>
      <c r="AD44" s="437">
        <f t="shared" ca="1" si="11"/>
        <v>0</v>
      </c>
      <c r="AE44" s="437">
        <f t="shared" ca="1" si="11"/>
        <v>0</v>
      </c>
      <c r="AF44" s="437">
        <f t="shared" ca="1" si="11"/>
        <v>0</v>
      </c>
      <c r="AG44" s="437">
        <f t="shared" ca="1" si="11"/>
        <v>0</v>
      </c>
    </row>
    <row r="45" spans="1:34" ht="13.8" thickBot="1">
      <c r="A45" s="329"/>
      <c r="B45" s="442" t="s">
        <v>515</v>
      </c>
      <c r="C45" s="439">
        <f>C46+C47+C49+C50+C51+C53+C54+C55</f>
        <v>0</v>
      </c>
      <c r="D45" s="439">
        <f t="shared" ref="D45:AG45" si="12">D46+D47+D49+D50+D51+D53+D54+D55</f>
        <v>0</v>
      </c>
      <c r="E45" s="439">
        <f t="shared" si="12"/>
        <v>0</v>
      </c>
      <c r="F45" s="439">
        <f t="shared" si="12"/>
        <v>0</v>
      </c>
      <c r="G45" s="439">
        <f t="shared" si="12"/>
        <v>-122</v>
      </c>
      <c r="H45" s="439">
        <f t="shared" si="12"/>
        <v>-80</v>
      </c>
      <c r="I45" s="439">
        <f t="shared" si="12"/>
        <v>-55.5</v>
      </c>
      <c r="J45" s="439">
        <f t="shared" si="12"/>
        <v>-31</v>
      </c>
      <c r="K45" s="439">
        <f t="shared" si="12"/>
        <v>0</v>
      </c>
      <c r="L45" s="439">
        <f t="shared" ca="1" si="12"/>
        <v>0</v>
      </c>
      <c r="M45" s="439">
        <f t="shared" ca="1" si="12"/>
        <v>0</v>
      </c>
      <c r="N45" s="439">
        <f t="shared" ca="1" si="12"/>
        <v>0</v>
      </c>
      <c r="O45" s="439">
        <f t="shared" ca="1" si="12"/>
        <v>0</v>
      </c>
      <c r="P45" s="439">
        <f t="shared" ca="1" si="12"/>
        <v>0</v>
      </c>
      <c r="Q45" s="439">
        <f t="shared" ca="1" si="12"/>
        <v>0</v>
      </c>
      <c r="R45" s="439">
        <f t="shared" ca="1" si="12"/>
        <v>0</v>
      </c>
      <c r="S45" s="439">
        <f t="shared" ca="1" si="12"/>
        <v>0</v>
      </c>
      <c r="T45" s="439">
        <f t="shared" ca="1" si="12"/>
        <v>0</v>
      </c>
      <c r="U45" s="439">
        <f t="shared" ca="1" si="12"/>
        <v>0</v>
      </c>
      <c r="V45" s="439">
        <f t="shared" ca="1" si="12"/>
        <v>0</v>
      </c>
      <c r="W45" s="439">
        <f t="shared" ca="1" si="12"/>
        <v>0</v>
      </c>
      <c r="X45" s="439">
        <f t="shared" ca="1" si="12"/>
        <v>0</v>
      </c>
      <c r="Y45" s="439">
        <f t="shared" ca="1" si="12"/>
        <v>0</v>
      </c>
      <c r="Z45" s="439">
        <f t="shared" ca="1" si="12"/>
        <v>0</v>
      </c>
      <c r="AA45" s="439">
        <f t="shared" ca="1" si="12"/>
        <v>0</v>
      </c>
      <c r="AB45" s="439">
        <f t="shared" ca="1" si="12"/>
        <v>0</v>
      </c>
      <c r="AC45" s="439">
        <f t="shared" ca="1" si="12"/>
        <v>0</v>
      </c>
      <c r="AD45" s="439">
        <f t="shared" ca="1" si="12"/>
        <v>0</v>
      </c>
      <c r="AE45" s="439">
        <f t="shared" ca="1" si="12"/>
        <v>0</v>
      </c>
      <c r="AF45" s="439">
        <f t="shared" ca="1" si="12"/>
        <v>0</v>
      </c>
      <c r="AG45" s="439">
        <f t="shared" ca="1" si="12"/>
        <v>0</v>
      </c>
      <c r="AH45" s="335"/>
    </row>
    <row r="46" spans="1:34" ht="13.8" thickTop="1">
      <c r="A46" s="329"/>
      <c r="B46" s="350" t="str">
        <f>'Project-definition'!B60</f>
        <v>FEED (Front-End Engineering &amp; Design)</v>
      </c>
      <c r="C46" s="82">
        <f>IF(Cashflow!C$111="C/I",0,'Project-definition'!C60)</f>
        <v>0</v>
      </c>
      <c r="D46" s="82">
        <f>IF(Cashflow!D$111="C/I",0,'Project-definition'!D60)</f>
        <v>0</v>
      </c>
      <c r="E46" s="82">
        <f>IF(Cashflow!E$111="C/I",0,'Project-definition'!E60)</f>
        <v>0</v>
      </c>
      <c r="F46" s="82">
        <f>IF(Cashflow!F$111="C/I",0,'Project-definition'!F60)</f>
        <v>0</v>
      </c>
      <c r="G46" s="82">
        <f>IF(Cashflow!G$111="C/I",0,'Project-definition'!G60)</f>
        <v>-20</v>
      </c>
      <c r="H46" s="82">
        <f>IF(Cashflow!H$111="C/I",0,'Project-definition'!H60)</f>
        <v>0</v>
      </c>
      <c r="I46" s="82">
        <f>IF(Cashflow!I$111="C/I",0,'Project-definition'!I60)</f>
        <v>0</v>
      </c>
      <c r="J46" s="82">
        <f>IF(Cashflow!J$111="C/I",0,'Project-definition'!J60)</f>
        <v>0</v>
      </c>
      <c r="K46" s="82">
        <f>IF(Cashflow!K$111="C/I",0,'Project-definition'!K60)</f>
        <v>0</v>
      </c>
      <c r="L46" s="82">
        <f ca="1">IF(Cashflow!L$111="C/I",0,'Project-definition'!L60)</f>
        <v>0</v>
      </c>
      <c r="M46" s="82">
        <f ca="1">IF(Cashflow!M$111="C/I",0,'Project-definition'!M60)</f>
        <v>0</v>
      </c>
      <c r="N46" s="82">
        <f ca="1">IF(Cashflow!N$111="C/I",0,'Project-definition'!N60)</f>
        <v>0</v>
      </c>
      <c r="O46" s="82">
        <f ca="1">IF(Cashflow!O$111="C/I",0,'Project-definition'!O60)</f>
        <v>0</v>
      </c>
      <c r="P46" s="82">
        <f ca="1">IF(Cashflow!P$111="C/I",0,'Project-definition'!P60)</f>
        <v>0</v>
      </c>
      <c r="Q46" s="82">
        <f ca="1">IF(Cashflow!Q$111="C/I",0,'Project-definition'!Q60)</f>
        <v>0</v>
      </c>
      <c r="R46" s="82">
        <f ca="1">IF(Cashflow!R$111="C/I",0,'Project-definition'!R60)</f>
        <v>0</v>
      </c>
      <c r="S46" s="82">
        <f ca="1">IF(Cashflow!S$111="C/I",0,'Project-definition'!S60)</f>
        <v>0</v>
      </c>
      <c r="T46" s="82">
        <f ca="1">IF(Cashflow!T$111="C/I",0,'Project-definition'!T60)</f>
        <v>0</v>
      </c>
      <c r="U46" s="82">
        <f ca="1">IF(Cashflow!U$111="C/I",0,'Project-definition'!U60)</f>
        <v>0</v>
      </c>
      <c r="V46" s="82">
        <f ca="1">IF(Cashflow!V$111="C/I",0,'Project-definition'!V60)</f>
        <v>0</v>
      </c>
      <c r="W46" s="82">
        <f ca="1">IF(Cashflow!W$111="C/I",0,'Project-definition'!W60)</f>
        <v>0</v>
      </c>
      <c r="X46" s="82">
        <f ca="1">IF(Cashflow!X$111="C/I",0,'Project-definition'!X60)</f>
        <v>0</v>
      </c>
      <c r="Y46" s="82">
        <f ca="1">IF(Cashflow!Y$111="C/I",0,'Project-definition'!Y60)</f>
        <v>0</v>
      </c>
      <c r="Z46" s="82">
        <f ca="1">IF(Cashflow!Z$111="C/I",0,'Project-definition'!Z60)</f>
        <v>0</v>
      </c>
      <c r="AA46" s="82">
        <f ca="1">IF(Cashflow!AA$111="C/I",0,'Project-definition'!AA60)</f>
        <v>0</v>
      </c>
      <c r="AB46" s="82">
        <f ca="1">IF(Cashflow!AB$111="C/I",0,'Project-definition'!AB60)</f>
        <v>0</v>
      </c>
      <c r="AC46" s="82">
        <f ca="1">IF(Cashflow!AC$111="C/I",0,'Project-definition'!AC60)</f>
        <v>0</v>
      </c>
      <c r="AD46" s="82">
        <f ca="1">IF(Cashflow!AD$111="C/I",0,'Project-definition'!AD60)</f>
        <v>0</v>
      </c>
      <c r="AE46" s="82">
        <f ca="1">IF(Cashflow!AE$111="C/I",0,'Project-definition'!AE60)</f>
        <v>0</v>
      </c>
      <c r="AF46" s="82">
        <f ca="1">IF(Cashflow!AF$111="C/I",0,'Project-definition'!AF60)</f>
        <v>0</v>
      </c>
      <c r="AG46" s="82">
        <f ca="1">IF(Cashflow!AG$111="C/I",0,'Project-definition'!AG60)</f>
        <v>0</v>
      </c>
      <c r="AH46" s="349"/>
    </row>
    <row r="47" spans="1:34">
      <c r="A47" s="329"/>
      <c r="B47" s="350" t="str">
        <f>'Project-definition'!B61</f>
        <v>Detailed engineering</v>
      </c>
      <c r="C47" s="82">
        <f>IF(Cashflow!C$111="C/I",0,'Project-definition'!C61)</f>
        <v>0</v>
      </c>
      <c r="D47" s="82">
        <f>IF(Cashflow!D$111="C/I",0,'Project-definition'!D61)</f>
        <v>0</v>
      </c>
      <c r="E47" s="82">
        <f>IF(Cashflow!E$111="C/I",0,'Project-definition'!E61)</f>
        <v>0</v>
      </c>
      <c r="F47" s="82">
        <f>IF(Cashflow!F$111="C/I",0,'Project-definition'!F61)</f>
        <v>0</v>
      </c>
      <c r="G47" s="82">
        <f>IF(Cashflow!G$111="C/I",0,'Project-definition'!G61)</f>
        <v>-12</v>
      </c>
      <c r="H47" s="82">
        <f>IF(Cashflow!H$111="C/I",0,'Project-definition'!H61)</f>
        <v>0</v>
      </c>
      <c r="I47" s="82">
        <f>IF(Cashflow!I$111="C/I",0,'Project-definition'!I61)</f>
        <v>0</v>
      </c>
      <c r="J47" s="82">
        <f>IF(Cashflow!J$111="C/I",0,'Project-definition'!J61)</f>
        <v>0</v>
      </c>
      <c r="K47" s="82">
        <f>IF(Cashflow!K$111="C/I",0,'Project-definition'!K61)</f>
        <v>0</v>
      </c>
      <c r="L47" s="82">
        <f ca="1">IF(Cashflow!L$111="C/I",0,'Project-definition'!L61)</f>
        <v>0</v>
      </c>
      <c r="M47" s="82">
        <f ca="1">IF(Cashflow!M$111="C/I",0,'Project-definition'!M61)</f>
        <v>0</v>
      </c>
      <c r="N47" s="82">
        <f ca="1">IF(Cashflow!N$111="C/I",0,'Project-definition'!N61)</f>
        <v>0</v>
      </c>
      <c r="O47" s="82">
        <f ca="1">IF(Cashflow!O$111="C/I",0,'Project-definition'!O61)</f>
        <v>0</v>
      </c>
      <c r="P47" s="82">
        <f ca="1">IF(Cashflow!P$111="C/I",0,'Project-definition'!P61)</f>
        <v>0</v>
      </c>
      <c r="Q47" s="82">
        <f ca="1">IF(Cashflow!Q$111="C/I",0,'Project-definition'!Q61)</f>
        <v>0</v>
      </c>
      <c r="R47" s="82">
        <f ca="1">IF(Cashflow!R$111="C/I",0,'Project-definition'!R61)</f>
        <v>0</v>
      </c>
      <c r="S47" s="82">
        <f ca="1">IF(Cashflow!S$111="C/I",0,'Project-definition'!S61)</f>
        <v>0</v>
      </c>
      <c r="T47" s="82">
        <f ca="1">IF(Cashflow!T$111="C/I",0,'Project-definition'!T61)</f>
        <v>0</v>
      </c>
      <c r="U47" s="82">
        <f ca="1">IF(Cashflow!U$111="C/I",0,'Project-definition'!U61)</f>
        <v>0</v>
      </c>
      <c r="V47" s="82">
        <f ca="1">IF(Cashflow!V$111="C/I",0,'Project-definition'!V61)</f>
        <v>0</v>
      </c>
      <c r="W47" s="82">
        <f ca="1">IF(Cashflow!W$111="C/I",0,'Project-definition'!W61)</f>
        <v>0</v>
      </c>
      <c r="X47" s="82">
        <f ca="1">IF(Cashflow!X$111="C/I",0,'Project-definition'!X61)</f>
        <v>0</v>
      </c>
      <c r="Y47" s="82">
        <f ca="1">IF(Cashflow!Y$111="C/I",0,'Project-definition'!Y61)</f>
        <v>0</v>
      </c>
      <c r="Z47" s="82">
        <f ca="1">IF(Cashflow!Z$111="C/I",0,'Project-definition'!Z61)</f>
        <v>0</v>
      </c>
      <c r="AA47" s="82">
        <f ca="1">IF(Cashflow!AA$111="C/I",0,'Project-definition'!AA61)</f>
        <v>0</v>
      </c>
      <c r="AB47" s="82">
        <f ca="1">IF(Cashflow!AB$111="C/I",0,'Project-definition'!AB61)</f>
        <v>0</v>
      </c>
      <c r="AC47" s="82">
        <f ca="1">IF(Cashflow!AC$111="C/I",0,'Project-definition'!AC61)</f>
        <v>0</v>
      </c>
      <c r="AD47" s="82">
        <f ca="1">IF(Cashflow!AD$111="C/I",0,'Project-definition'!AD61)</f>
        <v>0</v>
      </c>
      <c r="AE47" s="82">
        <f ca="1">IF(Cashflow!AE$111="C/I",0,'Project-definition'!AE61)</f>
        <v>0</v>
      </c>
      <c r="AF47" s="82">
        <f ca="1">IF(Cashflow!AF$111="C/I",0,'Project-definition'!AF61)</f>
        <v>0</v>
      </c>
      <c r="AG47" s="82">
        <f ca="1">IF(Cashflow!AG$111="C/I",0,'Project-definition'!AG61)</f>
        <v>0</v>
      </c>
      <c r="AH47" s="349"/>
    </row>
    <row r="48" spans="1:34">
      <c r="A48" s="329"/>
      <c r="B48" s="350" t="str">
        <f>'Project-definition'!B62</f>
        <v>Nr. of initial development wells to attempt</v>
      </c>
      <c r="C48" s="433">
        <f>IF(Cashflow!C$111="C/I",0,'Project-definition'!C62)</f>
        <v>0</v>
      </c>
      <c r="D48" s="433">
        <f>IF(Cashflow!D$111="C/I",0,'Project-definition'!D62)</f>
        <v>0</v>
      </c>
      <c r="E48" s="433">
        <f>IF(Cashflow!E$111="C/I",0,'Project-definition'!E62)</f>
        <v>0</v>
      </c>
      <c r="F48" s="433">
        <f>IF(Cashflow!F$111="C/I",0,'Project-definition'!F62)</f>
        <v>0</v>
      </c>
      <c r="G48" s="433">
        <f>IF(Cashflow!G$111="C/I",0,'Project-definition'!G62)</f>
        <v>0</v>
      </c>
      <c r="H48" s="433">
        <f>IF(Cashflow!H$111="C/I",0,'Project-definition'!H62)</f>
        <v>0</v>
      </c>
      <c r="I48" s="433">
        <f>IF(Cashflow!I$111="C/I",0,'Project-definition'!I62)</f>
        <v>1</v>
      </c>
      <c r="J48" s="433">
        <f>IF(Cashflow!J$111="C/I",0,'Project-definition'!J62)</f>
        <v>2</v>
      </c>
      <c r="K48" s="433">
        <f>IF(Cashflow!K$111="C/I",0,'Project-definition'!K62)</f>
        <v>0</v>
      </c>
      <c r="L48" s="433">
        <f ca="1">IF(Cashflow!L$111="C/I",0,'Project-definition'!L62)</f>
        <v>0</v>
      </c>
      <c r="M48" s="433">
        <f ca="1">IF(Cashflow!M$111="C/I",0,'Project-definition'!M62)</f>
        <v>0</v>
      </c>
      <c r="N48" s="433">
        <f ca="1">IF(Cashflow!N$111="C/I",0,'Project-definition'!N62)</f>
        <v>0</v>
      </c>
      <c r="O48" s="433">
        <f ca="1">IF(Cashflow!O$111="C/I",0,'Project-definition'!O62)</f>
        <v>0</v>
      </c>
      <c r="P48" s="433">
        <f ca="1">IF(Cashflow!P$111="C/I",0,'Project-definition'!P62)</f>
        <v>0</v>
      </c>
      <c r="Q48" s="433">
        <f ca="1">IF(Cashflow!Q$111="C/I",0,'Project-definition'!Q62)</f>
        <v>0</v>
      </c>
      <c r="R48" s="433">
        <f ca="1">IF(Cashflow!R$111="C/I",0,'Project-definition'!R62)</f>
        <v>0</v>
      </c>
      <c r="S48" s="433">
        <f ca="1">IF(Cashflow!S$111="C/I",0,'Project-definition'!S62)</f>
        <v>0</v>
      </c>
      <c r="T48" s="433">
        <f ca="1">IF(Cashflow!T$111="C/I",0,'Project-definition'!T62)</f>
        <v>0</v>
      </c>
      <c r="U48" s="433">
        <f ca="1">IF(Cashflow!U$111="C/I",0,'Project-definition'!U62)</f>
        <v>0</v>
      </c>
      <c r="V48" s="433">
        <f ca="1">IF(Cashflow!V$111="C/I",0,'Project-definition'!V62)</f>
        <v>0</v>
      </c>
      <c r="W48" s="433">
        <f ca="1">IF(Cashflow!W$111="C/I",0,'Project-definition'!W62)</f>
        <v>0</v>
      </c>
      <c r="X48" s="433">
        <f ca="1">IF(Cashflow!X$111="C/I",0,'Project-definition'!X62)</f>
        <v>0</v>
      </c>
      <c r="Y48" s="433">
        <f ca="1">IF(Cashflow!Y$111="C/I",0,'Project-definition'!Y62)</f>
        <v>0</v>
      </c>
      <c r="Z48" s="433">
        <f ca="1">IF(Cashflow!Z$111="C/I",0,'Project-definition'!Z62)</f>
        <v>0</v>
      </c>
      <c r="AA48" s="433">
        <f ca="1">IF(Cashflow!AA$111="C/I",0,'Project-definition'!AA62)</f>
        <v>0</v>
      </c>
      <c r="AB48" s="433">
        <f ca="1">IF(Cashflow!AB$111="C/I",0,'Project-definition'!AB62)</f>
        <v>0</v>
      </c>
      <c r="AC48" s="433">
        <f ca="1">IF(Cashflow!AC$111="C/I",0,'Project-definition'!AC62)</f>
        <v>0</v>
      </c>
      <c r="AD48" s="433">
        <f ca="1">IF(Cashflow!AD$111="C/I",0,'Project-definition'!AD62)</f>
        <v>0</v>
      </c>
      <c r="AE48" s="433">
        <f ca="1">IF(Cashflow!AE$111="C/I",0,'Project-definition'!AE62)</f>
        <v>0</v>
      </c>
      <c r="AF48" s="433">
        <f ca="1">IF(Cashflow!AF$111="C/I",0,'Project-definition'!AF62)</f>
        <v>0</v>
      </c>
      <c r="AG48" s="433">
        <f ca="1">IF(Cashflow!AG$111="C/I",0,'Project-definition'!AG62)</f>
        <v>0</v>
      </c>
      <c r="AH48" s="349"/>
    </row>
    <row r="49" spans="1:34">
      <c r="A49" s="329"/>
      <c r="B49" s="350" t="str">
        <f>'Project-definition'!B63</f>
        <v>Initial devt. drillex</v>
      </c>
      <c r="C49" s="82">
        <f>IF(Cashflow!C$111="C/I",0,'Project-definition'!C63)</f>
        <v>0</v>
      </c>
      <c r="D49" s="82">
        <f>IF(Cashflow!D$111="C/I",0,'Project-definition'!D63)</f>
        <v>0</v>
      </c>
      <c r="E49" s="82">
        <f>IF(Cashflow!E$111="C/I",0,'Project-definition'!E63)</f>
        <v>0</v>
      </c>
      <c r="F49" s="82">
        <f>IF(Cashflow!F$111="C/I",0,'Project-definition'!F63)</f>
        <v>0</v>
      </c>
      <c r="G49" s="82">
        <f>IF(Cashflow!G$111="C/I",0,'Project-definition'!G63)</f>
        <v>0</v>
      </c>
      <c r="H49" s="82">
        <f>IF(Cashflow!H$111="C/I",0,'Project-definition'!H63)</f>
        <v>0</v>
      </c>
      <c r="I49" s="82">
        <f>IF(Cashflow!I$111="C/I",0,'Project-definition'!I63)</f>
        <v>-4</v>
      </c>
      <c r="J49" s="82">
        <f>IF(Cashflow!J$111="C/I",0,'Project-definition'!J63)</f>
        <v>-8</v>
      </c>
      <c r="K49" s="82">
        <f>IF(Cashflow!K$111="C/I",0,'Project-definition'!K63)</f>
        <v>0</v>
      </c>
      <c r="L49" s="82">
        <f ca="1">IF(Cashflow!L$111="C/I",0,'Project-definition'!L63)</f>
        <v>0</v>
      </c>
      <c r="M49" s="82">
        <f ca="1">IF(Cashflow!M$111="C/I",0,'Project-definition'!M63)</f>
        <v>0</v>
      </c>
      <c r="N49" s="82">
        <f ca="1">IF(Cashflow!N$111="C/I",0,'Project-definition'!N63)</f>
        <v>0</v>
      </c>
      <c r="O49" s="82">
        <f ca="1">IF(Cashflow!O$111="C/I",0,'Project-definition'!O63)</f>
        <v>0</v>
      </c>
      <c r="P49" s="82">
        <f ca="1">IF(Cashflow!P$111="C/I",0,'Project-definition'!P63)</f>
        <v>0</v>
      </c>
      <c r="Q49" s="82">
        <f ca="1">IF(Cashflow!Q$111="C/I",0,'Project-definition'!Q63)</f>
        <v>0</v>
      </c>
      <c r="R49" s="82">
        <f ca="1">IF(Cashflow!R$111="C/I",0,'Project-definition'!R63)</f>
        <v>0</v>
      </c>
      <c r="S49" s="82">
        <f ca="1">IF(Cashflow!S$111="C/I",0,'Project-definition'!S63)</f>
        <v>0</v>
      </c>
      <c r="T49" s="82">
        <f ca="1">IF(Cashflow!T$111="C/I",0,'Project-definition'!T63)</f>
        <v>0</v>
      </c>
      <c r="U49" s="82">
        <f ca="1">IF(Cashflow!U$111="C/I",0,'Project-definition'!U63)</f>
        <v>0</v>
      </c>
      <c r="V49" s="82">
        <f ca="1">IF(Cashflow!V$111="C/I",0,'Project-definition'!V63)</f>
        <v>0</v>
      </c>
      <c r="W49" s="82">
        <f ca="1">IF(Cashflow!W$111="C/I",0,'Project-definition'!W63)</f>
        <v>0</v>
      </c>
      <c r="X49" s="82">
        <f ca="1">IF(Cashflow!X$111="C/I",0,'Project-definition'!X63)</f>
        <v>0</v>
      </c>
      <c r="Y49" s="82">
        <f ca="1">IF(Cashflow!Y$111="C/I",0,'Project-definition'!Y63)</f>
        <v>0</v>
      </c>
      <c r="Z49" s="82">
        <f ca="1">IF(Cashflow!Z$111="C/I",0,'Project-definition'!Z63)</f>
        <v>0</v>
      </c>
      <c r="AA49" s="82">
        <f ca="1">IF(Cashflow!AA$111="C/I",0,'Project-definition'!AA63)</f>
        <v>0</v>
      </c>
      <c r="AB49" s="82">
        <f ca="1">IF(Cashflow!AB$111="C/I",0,'Project-definition'!AB63)</f>
        <v>0</v>
      </c>
      <c r="AC49" s="82">
        <f ca="1">IF(Cashflow!AC$111="C/I",0,'Project-definition'!AC63)</f>
        <v>0</v>
      </c>
      <c r="AD49" s="82">
        <f ca="1">IF(Cashflow!AD$111="C/I",0,'Project-definition'!AD63)</f>
        <v>0</v>
      </c>
      <c r="AE49" s="82">
        <f ca="1">IF(Cashflow!AE$111="C/I",0,'Project-definition'!AE63)</f>
        <v>0</v>
      </c>
      <c r="AF49" s="82">
        <f ca="1">IF(Cashflow!AF$111="C/I",0,'Project-definition'!AF63)</f>
        <v>0</v>
      </c>
      <c r="AG49" s="82">
        <f ca="1">IF(Cashflow!AG$111="C/I",0,'Project-definition'!AG63)</f>
        <v>0</v>
      </c>
      <c r="AH49" s="349"/>
    </row>
    <row r="50" spans="1:34">
      <c r="A50" s="329"/>
      <c r="B50" s="350" t="str">
        <f>'Project-definition'!B64</f>
        <v>Transactions to government</v>
      </c>
      <c r="C50" s="82">
        <f>IF(Cashflow!C$111="C/I",0,'Project-definition'!C64)</f>
        <v>0</v>
      </c>
      <c r="D50" s="82">
        <f>IF(Cashflow!D$111="C/I",0,'Project-definition'!D64)</f>
        <v>0</v>
      </c>
      <c r="E50" s="82">
        <f>IF(Cashflow!E$111="C/I",0,'Project-definition'!E64)</f>
        <v>0</v>
      </c>
      <c r="F50" s="82">
        <f>IF(Cashflow!F$111="C/I",0,'Project-definition'!F64)</f>
        <v>0</v>
      </c>
      <c r="G50" s="82">
        <f>IF(Cashflow!G$111="C/I",0,'Project-definition'!G64)</f>
        <v>0</v>
      </c>
      <c r="H50" s="82">
        <f>IF(Cashflow!H$111="C/I",0,'Project-definition'!H64)</f>
        <v>0</v>
      </c>
      <c r="I50" s="82">
        <f>IF(Cashflow!I$111="C/I",0,'Project-definition'!I64)</f>
        <v>0</v>
      </c>
      <c r="J50" s="82">
        <f>IF(Cashflow!J$111="C/I",0,'Project-definition'!J64)</f>
        <v>0</v>
      </c>
      <c r="K50" s="82">
        <f>IF(Cashflow!K$111="C/I",0,'Project-definition'!K64)</f>
        <v>0</v>
      </c>
      <c r="L50" s="82">
        <f ca="1">IF(Cashflow!L$111="C/I",0,'Project-definition'!L64)</f>
        <v>0</v>
      </c>
      <c r="M50" s="82">
        <f ca="1">IF(Cashflow!M$111="C/I",0,'Project-definition'!M64)</f>
        <v>0</v>
      </c>
      <c r="N50" s="82">
        <f ca="1">IF(Cashflow!N$111="C/I",0,'Project-definition'!N64)</f>
        <v>0</v>
      </c>
      <c r="O50" s="82">
        <f ca="1">IF(Cashflow!O$111="C/I",0,'Project-definition'!O64)</f>
        <v>0</v>
      </c>
      <c r="P50" s="82">
        <f ca="1">IF(Cashflow!P$111="C/I",0,'Project-definition'!P64)</f>
        <v>0</v>
      </c>
      <c r="Q50" s="82">
        <f ca="1">IF(Cashflow!Q$111="C/I",0,'Project-definition'!Q64)</f>
        <v>0</v>
      </c>
      <c r="R50" s="82">
        <f ca="1">IF(Cashflow!R$111="C/I",0,'Project-definition'!R64)</f>
        <v>0</v>
      </c>
      <c r="S50" s="82">
        <f ca="1">IF(Cashflow!S$111="C/I",0,'Project-definition'!S64)</f>
        <v>0</v>
      </c>
      <c r="T50" s="82">
        <f ca="1">IF(Cashflow!T$111="C/I",0,'Project-definition'!T64)</f>
        <v>0</v>
      </c>
      <c r="U50" s="82">
        <f ca="1">IF(Cashflow!U$111="C/I",0,'Project-definition'!U64)</f>
        <v>0</v>
      </c>
      <c r="V50" s="82">
        <f ca="1">IF(Cashflow!V$111="C/I",0,'Project-definition'!V64)</f>
        <v>0</v>
      </c>
      <c r="W50" s="82">
        <f ca="1">IF(Cashflow!W$111="C/I",0,'Project-definition'!W64)</f>
        <v>0</v>
      </c>
      <c r="X50" s="82">
        <f ca="1">IF(Cashflow!X$111="C/I",0,'Project-definition'!X64)</f>
        <v>0</v>
      </c>
      <c r="Y50" s="82">
        <f ca="1">IF(Cashflow!Y$111="C/I",0,'Project-definition'!Y64)</f>
        <v>0</v>
      </c>
      <c r="Z50" s="82">
        <f ca="1">IF(Cashflow!Z$111="C/I",0,'Project-definition'!Z64)</f>
        <v>0</v>
      </c>
      <c r="AA50" s="82">
        <f ca="1">IF(Cashflow!AA$111="C/I",0,'Project-definition'!AA64)</f>
        <v>0</v>
      </c>
      <c r="AB50" s="82">
        <f ca="1">IF(Cashflow!AB$111="C/I",0,'Project-definition'!AB64)</f>
        <v>0</v>
      </c>
      <c r="AC50" s="82">
        <f ca="1">IF(Cashflow!AC$111="C/I",0,'Project-definition'!AC64)</f>
        <v>0</v>
      </c>
      <c r="AD50" s="82">
        <f ca="1">IF(Cashflow!AD$111="C/I",0,'Project-definition'!AD64)</f>
        <v>0</v>
      </c>
      <c r="AE50" s="82">
        <f ca="1">IF(Cashflow!AE$111="C/I",0,'Project-definition'!AE64)</f>
        <v>0</v>
      </c>
      <c r="AF50" s="82">
        <f ca="1">IF(Cashflow!AF$111="C/I",0,'Project-definition'!AF64)</f>
        <v>0</v>
      </c>
      <c r="AG50" s="82">
        <f ca="1">IF(Cashflow!AG$111="C/I",0,'Project-definition'!AG64)</f>
        <v>0</v>
      </c>
      <c r="AH50" s="349"/>
    </row>
    <row r="51" spans="1:34">
      <c r="A51" s="329"/>
      <c r="B51" s="350" t="str">
        <f>'Project-definition'!B65</f>
        <v>EPC - initial surface facilities costs</v>
      </c>
      <c r="C51" s="82">
        <f>IF(Cashflow!C$111="C/I",0,'Project-definition'!C65)</f>
        <v>0</v>
      </c>
      <c r="D51" s="82">
        <f>IF(Cashflow!D$111="C/I",0,'Project-definition'!D65)</f>
        <v>0</v>
      </c>
      <c r="E51" s="82">
        <f>IF(Cashflow!E$111="C/I",0,'Project-definition'!E65)</f>
        <v>0</v>
      </c>
      <c r="F51" s="82">
        <f>IF(Cashflow!F$111="C/I",0,'Project-definition'!F65)</f>
        <v>0</v>
      </c>
      <c r="G51" s="82">
        <f>IF(Cashflow!G$111="C/I",0,'Project-definition'!G65)</f>
        <v>-80</v>
      </c>
      <c r="H51" s="82">
        <f>IF(Cashflow!H$111="C/I",0,'Project-definition'!H65)</f>
        <v>-65</v>
      </c>
      <c r="I51" s="82">
        <f>IF(Cashflow!I$111="C/I",0,'Project-definition'!I65)</f>
        <v>-50</v>
      </c>
      <c r="J51" s="82">
        <f>IF(Cashflow!J$111="C/I",0,'Project-definition'!J65)</f>
        <v>-20</v>
      </c>
      <c r="K51" s="82">
        <f>IF(Cashflow!K$111="C/I",0,'Project-definition'!K65)</f>
        <v>0</v>
      </c>
      <c r="L51" s="82">
        <f ca="1">IF(Cashflow!L$111="C/I",0,'Project-definition'!L65)</f>
        <v>0</v>
      </c>
      <c r="M51" s="82">
        <f ca="1">IF(Cashflow!M$111="C/I",0,'Project-definition'!M65)</f>
        <v>0</v>
      </c>
      <c r="N51" s="82">
        <f ca="1">IF(Cashflow!N$111="C/I",0,'Project-definition'!N65)</f>
        <v>0</v>
      </c>
      <c r="O51" s="82">
        <f ca="1">IF(Cashflow!O$111="C/I",0,'Project-definition'!O65)</f>
        <v>0</v>
      </c>
      <c r="P51" s="82">
        <f ca="1">IF(Cashflow!P$111="C/I",0,'Project-definition'!P65)</f>
        <v>0</v>
      </c>
      <c r="Q51" s="82">
        <f ca="1">IF(Cashflow!Q$111="C/I",0,'Project-definition'!Q65)</f>
        <v>0</v>
      </c>
      <c r="R51" s="82">
        <f ca="1">IF(Cashflow!R$111="C/I",0,'Project-definition'!R65)</f>
        <v>0</v>
      </c>
      <c r="S51" s="82">
        <f ca="1">IF(Cashflow!S$111="C/I",0,'Project-definition'!S65)</f>
        <v>0</v>
      </c>
      <c r="T51" s="82">
        <f ca="1">IF(Cashflow!T$111="C/I",0,'Project-definition'!T65)</f>
        <v>0</v>
      </c>
      <c r="U51" s="82">
        <f ca="1">IF(Cashflow!U$111="C/I",0,'Project-definition'!U65)</f>
        <v>0</v>
      </c>
      <c r="V51" s="82">
        <f ca="1">IF(Cashflow!V$111="C/I",0,'Project-definition'!V65)</f>
        <v>0</v>
      </c>
      <c r="W51" s="82">
        <f ca="1">IF(Cashflow!W$111="C/I",0,'Project-definition'!W65)</f>
        <v>0</v>
      </c>
      <c r="X51" s="82">
        <f ca="1">IF(Cashflow!X$111="C/I",0,'Project-definition'!X65)</f>
        <v>0</v>
      </c>
      <c r="Y51" s="82">
        <f ca="1">IF(Cashflow!Y$111="C/I",0,'Project-definition'!Y65)</f>
        <v>0</v>
      </c>
      <c r="Z51" s="82">
        <f ca="1">IF(Cashflow!Z$111="C/I",0,'Project-definition'!Z65)</f>
        <v>0</v>
      </c>
      <c r="AA51" s="82">
        <f ca="1">IF(Cashflow!AA$111="C/I",0,'Project-definition'!AA65)</f>
        <v>0</v>
      </c>
      <c r="AB51" s="82">
        <f ca="1">IF(Cashflow!AB$111="C/I",0,'Project-definition'!AB65)</f>
        <v>0</v>
      </c>
      <c r="AC51" s="82">
        <f ca="1">IF(Cashflow!AC$111="C/I",0,'Project-definition'!AC65)</f>
        <v>0</v>
      </c>
      <c r="AD51" s="82">
        <f ca="1">IF(Cashflow!AD$111="C/I",0,'Project-definition'!AD65)</f>
        <v>0</v>
      </c>
      <c r="AE51" s="82">
        <f ca="1">IF(Cashflow!AE$111="C/I",0,'Project-definition'!AE65)</f>
        <v>0</v>
      </c>
      <c r="AF51" s="82">
        <f ca="1">IF(Cashflow!AF$111="C/I",0,'Project-definition'!AF65)</f>
        <v>0</v>
      </c>
      <c r="AG51" s="82">
        <f ca="1">IF(Cashflow!AG$111="C/I",0,'Project-definition'!AG65)</f>
        <v>0</v>
      </c>
      <c r="AH51" s="349"/>
    </row>
    <row r="52" spans="1:34">
      <c r="A52" s="329"/>
      <c r="B52" s="350" t="str">
        <f>'Project-definition'!B66</f>
        <v>Grid connection capex</v>
      </c>
      <c r="C52" s="82">
        <f>IF(Cashflow!C$111="C/I",0,'Project-definition'!C66)</f>
        <v>0</v>
      </c>
      <c r="D52" s="82">
        <f>IF(Cashflow!D$111="C/I",0,'Project-definition'!D66)</f>
        <v>0</v>
      </c>
      <c r="E52" s="82">
        <f>IF(Cashflow!E$111="C/I",0,'Project-definition'!E66)</f>
        <v>0</v>
      </c>
      <c r="F52" s="82">
        <f>IF(Cashflow!F$111="C/I",0,'Project-definition'!F66)</f>
        <v>0</v>
      </c>
      <c r="G52" s="82">
        <f>IF(Cashflow!G$111="C/I",0,'Project-definition'!G66)</f>
        <v>0</v>
      </c>
      <c r="H52" s="82">
        <f>IF(Cashflow!H$111="C/I",0,'Project-definition'!H66)</f>
        <v>0</v>
      </c>
      <c r="I52" s="82">
        <f>IF(Cashflow!I$111="C/I",0,'Project-definition'!I66)</f>
        <v>0</v>
      </c>
      <c r="J52" s="82">
        <f>IF(Cashflow!J$111="C/I",0,'Project-definition'!J66)</f>
        <v>0</v>
      </c>
      <c r="K52" s="82">
        <f>IF(Cashflow!K$111="C/I",0,'Project-definition'!K66)</f>
        <v>0</v>
      </c>
      <c r="L52" s="82">
        <f ca="1">IF(Cashflow!L$111="C/I",0,'Project-definition'!L66)</f>
        <v>0</v>
      </c>
      <c r="M52" s="82">
        <f ca="1">IF(Cashflow!M$111="C/I",0,'Project-definition'!M66)</f>
        <v>0</v>
      </c>
      <c r="N52" s="82">
        <f ca="1">IF(Cashflow!N$111="C/I",0,'Project-definition'!N66)</f>
        <v>0</v>
      </c>
      <c r="O52" s="82">
        <f ca="1">IF(Cashflow!O$111="C/I",0,'Project-definition'!O66)</f>
        <v>0</v>
      </c>
      <c r="P52" s="82">
        <f ca="1">IF(Cashflow!P$111="C/I",0,'Project-definition'!P66)</f>
        <v>0</v>
      </c>
      <c r="Q52" s="82">
        <f ca="1">IF(Cashflow!Q$111="C/I",0,'Project-definition'!Q66)</f>
        <v>0</v>
      </c>
      <c r="R52" s="82">
        <f ca="1">IF(Cashflow!R$111="C/I",0,'Project-definition'!R66)</f>
        <v>0</v>
      </c>
      <c r="S52" s="82">
        <f ca="1">IF(Cashflow!S$111="C/I",0,'Project-definition'!S66)</f>
        <v>0</v>
      </c>
      <c r="T52" s="82">
        <f ca="1">IF(Cashflow!T$111="C/I",0,'Project-definition'!T66)</f>
        <v>0</v>
      </c>
      <c r="U52" s="82">
        <f ca="1">IF(Cashflow!U$111="C/I",0,'Project-definition'!U66)</f>
        <v>0</v>
      </c>
      <c r="V52" s="82">
        <f ca="1">IF(Cashflow!V$111="C/I",0,'Project-definition'!V66)</f>
        <v>0</v>
      </c>
      <c r="W52" s="82">
        <f ca="1">IF(Cashflow!W$111="C/I",0,'Project-definition'!W66)</f>
        <v>0</v>
      </c>
      <c r="X52" s="82">
        <f ca="1">IF(Cashflow!X$111="C/I",0,'Project-definition'!X66)</f>
        <v>0</v>
      </c>
      <c r="Y52" s="82">
        <f ca="1">IF(Cashflow!Y$111="C/I",0,'Project-definition'!Y66)</f>
        <v>0</v>
      </c>
      <c r="Z52" s="82">
        <f ca="1">IF(Cashflow!Z$111="C/I",0,'Project-definition'!Z66)</f>
        <v>0</v>
      </c>
      <c r="AA52" s="82">
        <f ca="1">IF(Cashflow!AA$111="C/I",0,'Project-definition'!AA66)</f>
        <v>0</v>
      </c>
      <c r="AB52" s="82">
        <f ca="1">IF(Cashflow!AB$111="C/I",0,'Project-definition'!AB66)</f>
        <v>0</v>
      </c>
      <c r="AC52" s="82">
        <f ca="1">IF(Cashflow!AC$111="C/I",0,'Project-definition'!AC66)</f>
        <v>0</v>
      </c>
      <c r="AD52" s="82">
        <f ca="1">IF(Cashflow!AD$111="C/I",0,'Project-definition'!AD66)</f>
        <v>0</v>
      </c>
      <c r="AE52" s="82">
        <f ca="1">IF(Cashflow!AE$111="C/I",0,'Project-definition'!AE66)</f>
        <v>0</v>
      </c>
      <c r="AF52" s="82">
        <f ca="1">IF(Cashflow!AF$111="C/I",0,'Project-definition'!AF66)</f>
        <v>0</v>
      </c>
      <c r="AG52" s="82">
        <f ca="1">IF(Cashflow!AG$111="C/I",0,'Project-definition'!AG66)</f>
        <v>0</v>
      </c>
      <c r="AH52" s="349"/>
    </row>
    <row r="53" spans="1:34">
      <c r="A53" s="329"/>
      <c r="B53" s="350" t="s">
        <v>506</v>
      </c>
      <c r="C53" s="295">
        <f t="shared" ref="C53:AG53" si="13">IF($V$6="TSO", 0, C52)</f>
        <v>0</v>
      </c>
      <c r="D53" s="295">
        <f t="shared" si="13"/>
        <v>0</v>
      </c>
      <c r="E53" s="295">
        <f t="shared" si="13"/>
        <v>0</v>
      </c>
      <c r="F53" s="295">
        <f t="shared" si="13"/>
        <v>0</v>
      </c>
      <c r="G53" s="295">
        <f t="shared" si="13"/>
        <v>0</v>
      </c>
      <c r="H53" s="295">
        <f t="shared" si="13"/>
        <v>0</v>
      </c>
      <c r="I53" s="295">
        <f t="shared" si="13"/>
        <v>0</v>
      </c>
      <c r="J53" s="295">
        <f t="shared" si="13"/>
        <v>0</v>
      </c>
      <c r="K53" s="295">
        <f t="shared" si="13"/>
        <v>0</v>
      </c>
      <c r="L53" s="295">
        <f t="shared" si="13"/>
        <v>0</v>
      </c>
      <c r="M53" s="295">
        <f t="shared" si="13"/>
        <v>0</v>
      </c>
      <c r="N53" s="295">
        <f t="shared" si="13"/>
        <v>0</v>
      </c>
      <c r="O53" s="295">
        <f t="shared" si="13"/>
        <v>0</v>
      </c>
      <c r="P53" s="295">
        <f t="shared" si="13"/>
        <v>0</v>
      </c>
      <c r="Q53" s="295">
        <f t="shared" si="13"/>
        <v>0</v>
      </c>
      <c r="R53" s="295">
        <f t="shared" si="13"/>
        <v>0</v>
      </c>
      <c r="S53" s="295">
        <f t="shared" si="13"/>
        <v>0</v>
      </c>
      <c r="T53" s="295">
        <f t="shared" si="13"/>
        <v>0</v>
      </c>
      <c r="U53" s="295">
        <f t="shared" si="13"/>
        <v>0</v>
      </c>
      <c r="V53" s="295">
        <f t="shared" si="13"/>
        <v>0</v>
      </c>
      <c r="W53" s="295">
        <f t="shared" si="13"/>
        <v>0</v>
      </c>
      <c r="X53" s="295">
        <f t="shared" si="13"/>
        <v>0</v>
      </c>
      <c r="Y53" s="295">
        <f t="shared" si="13"/>
        <v>0</v>
      </c>
      <c r="Z53" s="295">
        <f t="shared" si="13"/>
        <v>0</v>
      </c>
      <c r="AA53" s="295">
        <f t="shared" si="13"/>
        <v>0</v>
      </c>
      <c r="AB53" s="295">
        <f t="shared" si="13"/>
        <v>0</v>
      </c>
      <c r="AC53" s="295">
        <f t="shared" si="13"/>
        <v>0</v>
      </c>
      <c r="AD53" s="295">
        <f t="shared" si="13"/>
        <v>0</v>
      </c>
      <c r="AE53" s="295">
        <f t="shared" si="13"/>
        <v>0</v>
      </c>
      <c r="AF53" s="295">
        <f t="shared" si="13"/>
        <v>0</v>
      </c>
      <c r="AG53" s="295">
        <f t="shared" si="13"/>
        <v>0</v>
      </c>
      <c r="AH53" s="349"/>
    </row>
    <row r="54" spans="1:34">
      <c r="A54" s="329"/>
      <c r="B54" s="350" t="str">
        <f>'Project-definition'!B67</f>
        <v>Other costs</v>
      </c>
      <c r="C54" s="82">
        <f>IF(Cashflow!C$111="C/I",0,'Project-definition'!C67)</f>
        <v>0</v>
      </c>
      <c r="D54" s="82">
        <f>IF(Cashflow!D$111="C/I",0,'Project-definition'!D67)</f>
        <v>0</v>
      </c>
      <c r="E54" s="82">
        <f>IF(Cashflow!E$111="C/I",0,'Project-definition'!E67)</f>
        <v>0</v>
      </c>
      <c r="F54" s="82">
        <f>IF(Cashflow!F$111="C/I",0,'Project-definition'!F67)</f>
        <v>0</v>
      </c>
      <c r="G54" s="82">
        <f>IF(Cashflow!G$111="C/I",0,'Project-definition'!G67)</f>
        <v>-10</v>
      </c>
      <c r="H54" s="82">
        <f>IF(Cashflow!H$111="C/I",0,'Project-definition'!H67)</f>
        <v>-15</v>
      </c>
      <c r="I54" s="82">
        <f>IF(Cashflow!I$111="C/I",0,'Project-definition'!I67)</f>
        <v>0</v>
      </c>
      <c r="J54" s="82">
        <f>IF(Cashflow!J$111="C/I",0,'Project-definition'!J67)</f>
        <v>0</v>
      </c>
      <c r="K54" s="82">
        <f>IF(Cashflow!K$111="C/I",0,'Project-definition'!K67)</f>
        <v>0</v>
      </c>
      <c r="L54" s="82">
        <f ca="1">IF(Cashflow!L$111="C/I",0,'Project-definition'!L67)</f>
        <v>0</v>
      </c>
      <c r="M54" s="82">
        <f ca="1">IF(Cashflow!M$111="C/I",0,'Project-definition'!M67)</f>
        <v>0</v>
      </c>
      <c r="N54" s="82">
        <f ca="1">IF(Cashflow!N$111="C/I",0,'Project-definition'!N67)</f>
        <v>0</v>
      </c>
      <c r="O54" s="82">
        <f ca="1">IF(Cashflow!O$111="C/I",0,'Project-definition'!O67)</f>
        <v>0</v>
      </c>
      <c r="P54" s="82">
        <f ca="1">IF(Cashflow!P$111="C/I",0,'Project-definition'!P67)</f>
        <v>0</v>
      </c>
      <c r="Q54" s="82">
        <f ca="1">IF(Cashflow!Q$111="C/I",0,'Project-definition'!Q67)</f>
        <v>0</v>
      </c>
      <c r="R54" s="82">
        <f ca="1">IF(Cashflow!R$111="C/I",0,'Project-definition'!R67)</f>
        <v>0</v>
      </c>
      <c r="S54" s="82">
        <f ca="1">IF(Cashflow!S$111="C/I",0,'Project-definition'!S67)</f>
        <v>0</v>
      </c>
      <c r="T54" s="82">
        <f ca="1">IF(Cashflow!T$111="C/I",0,'Project-definition'!T67)</f>
        <v>0</v>
      </c>
      <c r="U54" s="82">
        <f ca="1">IF(Cashflow!U$111="C/I",0,'Project-definition'!U67)</f>
        <v>0</v>
      </c>
      <c r="V54" s="82">
        <f ca="1">IF(Cashflow!V$111="C/I",0,'Project-definition'!V67)</f>
        <v>0</v>
      </c>
      <c r="W54" s="82">
        <f ca="1">IF(Cashflow!W$111="C/I",0,'Project-definition'!W67)</f>
        <v>0</v>
      </c>
      <c r="X54" s="82">
        <f ca="1">IF(Cashflow!X$111="C/I",0,'Project-definition'!X67)</f>
        <v>0</v>
      </c>
      <c r="Y54" s="82">
        <f ca="1">IF(Cashflow!Y$111="C/I",0,'Project-definition'!Y67)</f>
        <v>0</v>
      </c>
      <c r="Z54" s="82">
        <f ca="1">IF(Cashflow!Z$111="C/I",0,'Project-definition'!Z67)</f>
        <v>0</v>
      </c>
      <c r="AA54" s="82">
        <f ca="1">IF(Cashflow!AA$111="C/I",0,'Project-definition'!AA67)</f>
        <v>0</v>
      </c>
      <c r="AB54" s="82">
        <f ca="1">IF(Cashflow!AB$111="C/I",0,'Project-definition'!AB67)</f>
        <v>0</v>
      </c>
      <c r="AC54" s="82">
        <f ca="1">IF(Cashflow!AC$111="C/I",0,'Project-definition'!AC67)</f>
        <v>0</v>
      </c>
      <c r="AD54" s="82">
        <f ca="1">IF(Cashflow!AD$111="C/I",0,'Project-definition'!AD67)</f>
        <v>0</v>
      </c>
      <c r="AE54" s="82">
        <f ca="1">IF(Cashflow!AE$111="C/I",0,'Project-definition'!AE67)</f>
        <v>0</v>
      </c>
      <c r="AF54" s="82">
        <f ca="1">IF(Cashflow!AF$111="C/I",0,'Project-definition'!AF67)</f>
        <v>0</v>
      </c>
      <c r="AG54" s="82">
        <f ca="1">IF(Cashflow!AG$111="C/I",0,'Project-definition'!AG67)</f>
        <v>0</v>
      </c>
      <c r="AH54" s="349"/>
    </row>
    <row r="55" spans="1:34">
      <c r="A55" s="329"/>
      <c r="B55" s="350" t="s">
        <v>519</v>
      </c>
      <c r="C55" s="295">
        <f t="shared" ref="C55:AG55" si="14">C48*-$P$9</f>
        <v>0</v>
      </c>
      <c r="D55" s="295">
        <f t="shared" si="14"/>
        <v>0</v>
      </c>
      <c r="E55" s="295">
        <f t="shared" si="14"/>
        <v>0</v>
      </c>
      <c r="F55" s="295">
        <f t="shared" si="14"/>
        <v>0</v>
      </c>
      <c r="G55" s="295">
        <f t="shared" si="14"/>
        <v>0</v>
      </c>
      <c r="H55" s="295">
        <f t="shared" si="14"/>
        <v>0</v>
      </c>
      <c r="I55" s="295">
        <f t="shared" si="14"/>
        <v>-1.5</v>
      </c>
      <c r="J55" s="295">
        <f t="shared" si="14"/>
        <v>-3</v>
      </c>
      <c r="K55" s="295">
        <f t="shared" si="14"/>
        <v>0</v>
      </c>
      <c r="L55" s="295">
        <f t="shared" ca="1" si="14"/>
        <v>0</v>
      </c>
      <c r="M55" s="295">
        <f t="shared" ca="1" si="14"/>
        <v>0</v>
      </c>
      <c r="N55" s="295">
        <f t="shared" ca="1" si="14"/>
        <v>0</v>
      </c>
      <c r="O55" s="295">
        <f t="shared" ca="1" si="14"/>
        <v>0</v>
      </c>
      <c r="P55" s="295">
        <f t="shared" ca="1" si="14"/>
        <v>0</v>
      </c>
      <c r="Q55" s="295">
        <f t="shared" ca="1" si="14"/>
        <v>0</v>
      </c>
      <c r="R55" s="295">
        <f t="shared" ca="1" si="14"/>
        <v>0</v>
      </c>
      <c r="S55" s="295">
        <f t="shared" ca="1" si="14"/>
        <v>0</v>
      </c>
      <c r="T55" s="295">
        <f t="shared" ca="1" si="14"/>
        <v>0</v>
      </c>
      <c r="U55" s="295">
        <f t="shared" ca="1" si="14"/>
        <v>0</v>
      </c>
      <c r="V55" s="295">
        <f t="shared" ca="1" si="14"/>
        <v>0</v>
      </c>
      <c r="W55" s="295">
        <f t="shared" ca="1" si="14"/>
        <v>0</v>
      </c>
      <c r="X55" s="295">
        <f t="shared" ca="1" si="14"/>
        <v>0</v>
      </c>
      <c r="Y55" s="295">
        <f t="shared" ca="1" si="14"/>
        <v>0</v>
      </c>
      <c r="Z55" s="295">
        <f t="shared" ca="1" si="14"/>
        <v>0</v>
      </c>
      <c r="AA55" s="295">
        <f t="shared" ca="1" si="14"/>
        <v>0</v>
      </c>
      <c r="AB55" s="295">
        <f t="shared" ca="1" si="14"/>
        <v>0</v>
      </c>
      <c r="AC55" s="295">
        <f t="shared" ca="1" si="14"/>
        <v>0</v>
      </c>
      <c r="AD55" s="295">
        <f t="shared" ca="1" si="14"/>
        <v>0</v>
      </c>
      <c r="AE55" s="295">
        <f t="shared" ca="1" si="14"/>
        <v>0</v>
      </c>
      <c r="AF55" s="295">
        <f t="shared" ca="1" si="14"/>
        <v>0</v>
      </c>
      <c r="AG55" s="295">
        <f t="shared" ca="1" si="14"/>
        <v>0</v>
      </c>
    </row>
    <row r="56" spans="1:34">
      <c r="A56" s="329"/>
    </row>
    <row r="57" spans="1:34" ht="13.8" thickBot="1">
      <c r="A57" s="329"/>
      <c r="B57" s="345" t="s">
        <v>240</v>
      </c>
      <c r="C57" s="346">
        <f>Cashflow!C$30</f>
        <v>2017</v>
      </c>
      <c r="D57" s="346">
        <f>Cashflow!D$30</f>
        <v>2018</v>
      </c>
      <c r="E57" s="346">
        <f>Cashflow!E$30</f>
        <v>2019</v>
      </c>
      <c r="F57" s="346">
        <f>Cashflow!F$30</f>
        <v>2020</v>
      </c>
      <c r="G57" s="346">
        <f>Cashflow!G$30</f>
        <v>2021</v>
      </c>
      <c r="H57" s="346">
        <f>Cashflow!H$30</f>
        <v>2022</v>
      </c>
      <c r="I57" s="346">
        <f>Cashflow!I$30</f>
        <v>2023</v>
      </c>
      <c r="J57" s="346">
        <f>Cashflow!J$30</f>
        <v>2024</v>
      </c>
      <c r="K57" s="346">
        <f>Cashflow!K$30</f>
        <v>2025</v>
      </c>
      <c r="L57" s="346">
        <f>Cashflow!L$30</f>
        <v>2026</v>
      </c>
      <c r="M57" s="346">
        <f>Cashflow!M$30</f>
        <v>2027</v>
      </c>
      <c r="N57" s="346">
        <f>Cashflow!N$30</f>
        <v>2028</v>
      </c>
      <c r="O57" s="346">
        <f>Cashflow!O$30</f>
        <v>2029</v>
      </c>
      <c r="P57" s="346">
        <f>Cashflow!P$30</f>
        <v>2030</v>
      </c>
      <c r="Q57" s="346">
        <f>Cashflow!Q$30</f>
        <v>2031</v>
      </c>
      <c r="R57" s="346">
        <f>Cashflow!R$30</f>
        <v>2032</v>
      </c>
      <c r="S57" s="346">
        <f>Cashflow!S$30</f>
        <v>2033</v>
      </c>
      <c r="T57" s="346">
        <f>Cashflow!T$30</f>
        <v>2034</v>
      </c>
      <c r="U57" s="346">
        <f>Cashflow!U$30</f>
        <v>2035</v>
      </c>
      <c r="V57" s="346">
        <f>Cashflow!V$30</f>
        <v>2036</v>
      </c>
      <c r="W57" s="346">
        <f>Cashflow!W$30</f>
        <v>2037</v>
      </c>
      <c r="X57" s="346">
        <f>Cashflow!X$30</f>
        <v>2038</v>
      </c>
      <c r="Y57" s="346">
        <f>Cashflow!Y$30</f>
        <v>2039</v>
      </c>
      <c r="Z57" s="346">
        <f>Cashflow!Z$30</f>
        <v>2040</v>
      </c>
      <c r="AA57" s="346">
        <f>Cashflow!AA$30</f>
        <v>2041</v>
      </c>
      <c r="AB57" s="346">
        <f>Cashflow!AB$30</f>
        <v>2042</v>
      </c>
      <c r="AC57" s="346">
        <f>Cashflow!AC$30</f>
        <v>2043</v>
      </c>
      <c r="AD57" s="346">
        <f>Cashflow!AD$30</f>
        <v>2044</v>
      </c>
      <c r="AE57" s="346">
        <f>Cashflow!AE$30</f>
        <v>2045</v>
      </c>
      <c r="AF57" s="346">
        <f>Cashflow!AF$30</f>
        <v>2046</v>
      </c>
      <c r="AG57" s="346">
        <f>Cashflow!AG$30</f>
        <v>2047</v>
      </c>
    </row>
    <row r="58" spans="1:34" ht="13.8" thickTop="1">
      <c r="B58" s="441" t="s">
        <v>514</v>
      </c>
      <c r="C58" s="437">
        <f>IF($AC$5="Constant",(C59-C63-C68-C69-C71-C65)*$V$5+C63+C68+C69+C71+C65,(C59-C63-C68-C69-C71)*$V$5+C63+C68+C69+C71)</f>
        <v>0</v>
      </c>
      <c r="D58" s="437">
        <f t="shared" ref="D58:AG58" si="15">IF($AC$5="Constant",(D59-D63-D68-D69-D71-D65)*$V$5+D63+D68+D69+D71+D65,(D59-D63-D68-D69-D71)*$V$5+D63+D68+D69+D71)</f>
        <v>0</v>
      </c>
      <c r="E58" s="437">
        <f t="shared" si="15"/>
        <v>0</v>
      </c>
      <c r="F58" s="437">
        <f t="shared" si="15"/>
        <v>0</v>
      </c>
      <c r="G58" s="437">
        <f t="shared" si="15"/>
        <v>0</v>
      </c>
      <c r="H58" s="437">
        <f t="shared" si="15"/>
        <v>0</v>
      </c>
      <c r="I58" s="437">
        <f t="shared" si="15"/>
        <v>0</v>
      </c>
      <c r="J58" s="437">
        <f t="shared" si="15"/>
        <v>-11.5</v>
      </c>
      <c r="K58" s="437">
        <f t="shared" si="15"/>
        <v>-32.5</v>
      </c>
      <c r="L58" s="437">
        <f t="shared" ca="1" si="15"/>
        <v>-35</v>
      </c>
      <c r="M58" s="437">
        <f t="shared" ca="1" si="15"/>
        <v>-22.5</v>
      </c>
      <c r="N58" s="437">
        <f t="shared" ca="1" si="15"/>
        <v>-32</v>
      </c>
      <c r="O58" s="437">
        <f t="shared" ca="1" si="15"/>
        <v>0</v>
      </c>
      <c r="P58" s="437">
        <f t="shared" ca="1" si="15"/>
        <v>0</v>
      </c>
      <c r="Q58" s="437">
        <f t="shared" ca="1" si="15"/>
        <v>0</v>
      </c>
      <c r="R58" s="437">
        <f t="shared" ca="1" si="15"/>
        <v>0</v>
      </c>
      <c r="S58" s="437">
        <f t="shared" ca="1" si="15"/>
        <v>0</v>
      </c>
      <c r="T58" s="437">
        <f t="shared" ca="1" si="15"/>
        <v>0</v>
      </c>
      <c r="U58" s="437">
        <f t="shared" ca="1" si="15"/>
        <v>0</v>
      </c>
      <c r="V58" s="437">
        <f t="shared" ca="1" si="15"/>
        <v>0</v>
      </c>
      <c r="W58" s="437">
        <f t="shared" ca="1" si="15"/>
        <v>0</v>
      </c>
      <c r="X58" s="437">
        <f t="shared" ca="1" si="15"/>
        <v>-15</v>
      </c>
      <c r="Y58" s="437">
        <f t="shared" ca="1" si="15"/>
        <v>0</v>
      </c>
      <c r="Z58" s="437">
        <f t="shared" ca="1" si="15"/>
        <v>0</v>
      </c>
      <c r="AA58" s="437">
        <f t="shared" ca="1" si="15"/>
        <v>0</v>
      </c>
      <c r="AB58" s="437">
        <f t="shared" ca="1" si="15"/>
        <v>0</v>
      </c>
      <c r="AC58" s="437">
        <f t="shared" ca="1" si="15"/>
        <v>0</v>
      </c>
      <c r="AD58" s="437">
        <f t="shared" ca="1" si="15"/>
        <v>0</v>
      </c>
      <c r="AE58" s="437">
        <f t="shared" ca="1" si="15"/>
        <v>0</v>
      </c>
      <c r="AF58" s="437">
        <f t="shared" ca="1" si="15"/>
        <v>0</v>
      </c>
      <c r="AG58" s="437">
        <f t="shared" ca="1" si="15"/>
        <v>0</v>
      </c>
    </row>
    <row r="59" spans="1:34" ht="13.8" thickBot="1">
      <c r="A59" s="329"/>
      <c r="B59" s="442" t="s">
        <v>516</v>
      </c>
      <c r="C59" s="439">
        <f>C60+C61+C63+C64+C65+C66+C67+C68+C69+C71</f>
        <v>0</v>
      </c>
      <c r="D59" s="439">
        <f t="shared" ref="D59:AG59" si="16">D60+D61+D63+D64+D65+D66+D67+D68+D69+D71</f>
        <v>0</v>
      </c>
      <c r="E59" s="439">
        <f t="shared" si="16"/>
        <v>0</v>
      </c>
      <c r="F59" s="439">
        <f t="shared" si="16"/>
        <v>0</v>
      </c>
      <c r="G59" s="439">
        <f t="shared" si="16"/>
        <v>0</v>
      </c>
      <c r="H59" s="439">
        <f t="shared" si="16"/>
        <v>0</v>
      </c>
      <c r="I59" s="439">
        <f t="shared" si="16"/>
        <v>0</v>
      </c>
      <c r="J59" s="439">
        <f t="shared" si="16"/>
        <v>-11.5</v>
      </c>
      <c r="K59" s="439">
        <f t="shared" si="16"/>
        <v>-32.5</v>
      </c>
      <c r="L59" s="439">
        <f t="shared" ca="1" si="16"/>
        <v>-35</v>
      </c>
      <c r="M59" s="439">
        <f t="shared" ca="1" si="16"/>
        <v>-22.5</v>
      </c>
      <c r="N59" s="439">
        <f t="shared" ca="1" si="16"/>
        <v>-32</v>
      </c>
      <c r="O59" s="439">
        <f t="shared" ca="1" si="16"/>
        <v>0</v>
      </c>
      <c r="P59" s="439">
        <f t="shared" ca="1" si="16"/>
        <v>0</v>
      </c>
      <c r="Q59" s="439">
        <f t="shared" ca="1" si="16"/>
        <v>0</v>
      </c>
      <c r="R59" s="439">
        <f t="shared" ca="1" si="16"/>
        <v>0</v>
      </c>
      <c r="S59" s="439">
        <f t="shared" ca="1" si="16"/>
        <v>0</v>
      </c>
      <c r="T59" s="439">
        <f t="shared" ca="1" si="16"/>
        <v>0</v>
      </c>
      <c r="U59" s="439">
        <f t="shared" ca="1" si="16"/>
        <v>0</v>
      </c>
      <c r="V59" s="439">
        <f t="shared" ca="1" si="16"/>
        <v>0</v>
      </c>
      <c r="W59" s="439">
        <f t="shared" ca="1" si="16"/>
        <v>0</v>
      </c>
      <c r="X59" s="439">
        <f t="shared" ca="1" si="16"/>
        <v>-15</v>
      </c>
      <c r="Y59" s="439">
        <f t="shared" ca="1" si="16"/>
        <v>0</v>
      </c>
      <c r="Z59" s="439">
        <f t="shared" ca="1" si="16"/>
        <v>0</v>
      </c>
      <c r="AA59" s="439">
        <f t="shared" ca="1" si="16"/>
        <v>0</v>
      </c>
      <c r="AB59" s="439">
        <f t="shared" ca="1" si="16"/>
        <v>0</v>
      </c>
      <c r="AC59" s="439">
        <f t="shared" ca="1" si="16"/>
        <v>0</v>
      </c>
      <c r="AD59" s="439">
        <f t="shared" ca="1" si="16"/>
        <v>0</v>
      </c>
      <c r="AE59" s="439">
        <f t="shared" ca="1" si="16"/>
        <v>0</v>
      </c>
      <c r="AF59" s="439">
        <f t="shared" ca="1" si="16"/>
        <v>0</v>
      </c>
      <c r="AG59" s="439">
        <f t="shared" ca="1" si="16"/>
        <v>0</v>
      </c>
    </row>
    <row r="60" spans="1:34" ht="13.8" thickTop="1">
      <c r="A60" s="329"/>
      <c r="B60" s="350" t="str">
        <f>'Project-definition'!B70</f>
        <v>FEED (Front-End Engineering &amp; Design)</v>
      </c>
      <c r="C60" s="82">
        <f>IF(Cashflow!C$111="C/I",0,'Project-definition'!C70)</f>
        <v>0</v>
      </c>
      <c r="D60" s="82">
        <f>IF(Cashflow!D$111="C/I",0,'Project-definition'!D70)</f>
        <v>0</v>
      </c>
      <c r="E60" s="82">
        <f>IF(Cashflow!E$111="C/I",0,'Project-definition'!E70)</f>
        <v>0</v>
      </c>
      <c r="F60" s="82">
        <f>IF(Cashflow!F$111="C/I",0,'Project-definition'!F70)</f>
        <v>0</v>
      </c>
      <c r="G60" s="82">
        <f>IF(Cashflow!G$111="C/I",0,'Project-definition'!G70)</f>
        <v>0</v>
      </c>
      <c r="H60" s="82">
        <f>IF(Cashflow!H$111="C/I",0,'Project-definition'!H70)</f>
        <v>0</v>
      </c>
      <c r="I60" s="82">
        <f>IF(Cashflow!I$111="C/I",0,'Project-definition'!I70)</f>
        <v>0</v>
      </c>
      <c r="J60" s="82">
        <f>IF(Cashflow!J$111="C/I",0,'Project-definition'!J70)</f>
        <v>0</v>
      </c>
      <c r="K60" s="82">
        <f>IF(Cashflow!K$111="C/I",0,'Project-definition'!K70)</f>
        <v>0</v>
      </c>
      <c r="L60" s="82">
        <f ca="1">IF(Cashflow!L$111="C/I",0,'Project-definition'!L70)</f>
        <v>0</v>
      </c>
      <c r="M60" s="82">
        <f ca="1">IF(Cashflow!M$111="C/I",0,'Project-definition'!M70)</f>
        <v>0</v>
      </c>
      <c r="N60" s="82">
        <f ca="1">IF(Cashflow!N$111="C/I",0,'Project-definition'!N70)</f>
        <v>0</v>
      </c>
      <c r="O60" s="82">
        <f ca="1">IF(Cashflow!O$111="C/I",0,'Project-definition'!O70)</f>
        <v>0</v>
      </c>
      <c r="P60" s="82">
        <f ca="1">IF(Cashflow!P$111="C/I",0,'Project-definition'!P70)</f>
        <v>0</v>
      </c>
      <c r="Q60" s="82">
        <f ca="1">IF(Cashflow!Q$111="C/I",0,'Project-definition'!Q70)</f>
        <v>0</v>
      </c>
      <c r="R60" s="82">
        <f ca="1">IF(Cashflow!R$111="C/I",0,'Project-definition'!R70)</f>
        <v>0</v>
      </c>
      <c r="S60" s="82">
        <f ca="1">IF(Cashflow!S$111="C/I",0,'Project-definition'!S70)</f>
        <v>0</v>
      </c>
      <c r="T60" s="82">
        <f ca="1">IF(Cashflow!T$111="C/I",0,'Project-definition'!T70)</f>
        <v>0</v>
      </c>
      <c r="U60" s="82">
        <f ca="1">IF(Cashflow!U$111="C/I",0,'Project-definition'!U70)</f>
        <v>0</v>
      </c>
      <c r="V60" s="82">
        <f ca="1">IF(Cashflow!V$111="C/I",0,'Project-definition'!V70)</f>
        <v>0</v>
      </c>
      <c r="W60" s="82">
        <f ca="1">IF(Cashflow!W$111="C/I",0,'Project-definition'!W70)</f>
        <v>0</v>
      </c>
      <c r="X60" s="82">
        <f ca="1">IF(Cashflow!X$111="C/I",0,'Project-definition'!X70)</f>
        <v>0</v>
      </c>
      <c r="Y60" s="82">
        <f ca="1">IF(Cashflow!Y$111="C/I",0,'Project-definition'!Y70)</f>
        <v>0</v>
      </c>
      <c r="Z60" s="82">
        <f ca="1">IF(Cashflow!Z$111="C/I",0,'Project-definition'!Z70)</f>
        <v>0</v>
      </c>
      <c r="AA60" s="82">
        <f ca="1">IF(Cashflow!AA$111="C/I",0,'Project-definition'!AA70)</f>
        <v>0</v>
      </c>
      <c r="AB60" s="82">
        <f ca="1">IF(Cashflow!AB$111="C/I",0,'Project-definition'!AB70)</f>
        <v>0</v>
      </c>
      <c r="AC60" s="82">
        <f ca="1">IF(Cashflow!AC$111="C/I",0,'Project-definition'!AC70)</f>
        <v>0</v>
      </c>
      <c r="AD60" s="82">
        <f ca="1">IF(Cashflow!AD$111="C/I",0,'Project-definition'!AD70)</f>
        <v>0</v>
      </c>
      <c r="AE60" s="82">
        <f ca="1">IF(Cashflow!AE$111="C/I",0,'Project-definition'!AE70)</f>
        <v>0</v>
      </c>
      <c r="AF60" s="82">
        <f ca="1">IF(Cashflow!AF$111="C/I",0,'Project-definition'!AF70)</f>
        <v>0</v>
      </c>
      <c r="AG60" s="82">
        <f ca="1">IF(Cashflow!AG$111="C/I",0,'Project-definition'!AG70)</f>
        <v>0</v>
      </c>
    </row>
    <row r="61" spans="1:34">
      <c r="A61" s="329"/>
      <c r="B61" s="350" t="str">
        <f>'Project-definition'!B71</f>
        <v>Detailed engineering</v>
      </c>
      <c r="C61" s="82">
        <f>IF(Cashflow!C$111="C/I",0,'Project-definition'!C71)</f>
        <v>0</v>
      </c>
      <c r="D61" s="82">
        <f>IF(Cashflow!D$111="C/I",0,'Project-definition'!D71)</f>
        <v>0</v>
      </c>
      <c r="E61" s="82">
        <f>IF(Cashflow!E$111="C/I",0,'Project-definition'!E71)</f>
        <v>0</v>
      </c>
      <c r="F61" s="82">
        <f>IF(Cashflow!F$111="C/I",0,'Project-definition'!F71)</f>
        <v>0</v>
      </c>
      <c r="G61" s="82">
        <f>IF(Cashflow!G$111="C/I",0,'Project-definition'!G71)</f>
        <v>0</v>
      </c>
      <c r="H61" s="82">
        <f>IF(Cashflow!H$111="C/I",0,'Project-definition'!H71)</f>
        <v>0</v>
      </c>
      <c r="I61" s="82">
        <f>IF(Cashflow!I$111="C/I",0,'Project-definition'!I71)</f>
        <v>0</v>
      </c>
      <c r="J61" s="82">
        <f>IF(Cashflow!J$111="C/I",0,'Project-definition'!J71)</f>
        <v>0</v>
      </c>
      <c r="K61" s="82">
        <f>IF(Cashflow!K$111="C/I",0,'Project-definition'!K71)</f>
        <v>0</v>
      </c>
      <c r="L61" s="82">
        <f ca="1">IF(Cashflow!L$111="C/I",0,'Project-definition'!L71)</f>
        <v>0</v>
      </c>
      <c r="M61" s="82">
        <f ca="1">IF(Cashflow!M$111="C/I",0,'Project-definition'!M71)</f>
        <v>0</v>
      </c>
      <c r="N61" s="82">
        <f ca="1">IF(Cashflow!N$111="C/I",0,'Project-definition'!N71)</f>
        <v>0</v>
      </c>
      <c r="O61" s="82">
        <f ca="1">IF(Cashflow!O$111="C/I",0,'Project-definition'!O71)</f>
        <v>0</v>
      </c>
      <c r="P61" s="82">
        <f ca="1">IF(Cashflow!P$111="C/I",0,'Project-definition'!P71)</f>
        <v>0</v>
      </c>
      <c r="Q61" s="82">
        <f ca="1">IF(Cashflow!Q$111="C/I",0,'Project-definition'!Q71)</f>
        <v>0</v>
      </c>
      <c r="R61" s="82">
        <f ca="1">IF(Cashflow!R$111="C/I",0,'Project-definition'!R71)</f>
        <v>0</v>
      </c>
      <c r="S61" s="82">
        <f ca="1">IF(Cashflow!S$111="C/I",0,'Project-definition'!S71)</f>
        <v>0</v>
      </c>
      <c r="T61" s="82">
        <f ca="1">IF(Cashflow!T$111="C/I",0,'Project-definition'!T71)</f>
        <v>0</v>
      </c>
      <c r="U61" s="82">
        <f ca="1">IF(Cashflow!U$111="C/I",0,'Project-definition'!U71)</f>
        <v>0</v>
      </c>
      <c r="V61" s="82">
        <f ca="1">IF(Cashflow!V$111="C/I",0,'Project-definition'!V71)</f>
        <v>0</v>
      </c>
      <c r="W61" s="82">
        <f ca="1">IF(Cashflow!W$111="C/I",0,'Project-definition'!W71)</f>
        <v>0</v>
      </c>
      <c r="X61" s="82">
        <f ca="1">IF(Cashflow!X$111="C/I",0,'Project-definition'!X71)</f>
        <v>0</v>
      </c>
      <c r="Y61" s="82">
        <f ca="1">IF(Cashflow!Y$111="C/I",0,'Project-definition'!Y71)</f>
        <v>0</v>
      </c>
      <c r="Z61" s="82">
        <f ca="1">IF(Cashflow!Z$111="C/I",0,'Project-definition'!Z71)</f>
        <v>0</v>
      </c>
      <c r="AA61" s="82">
        <f ca="1">IF(Cashflow!AA$111="C/I",0,'Project-definition'!AA71)</f>
        <v>0</v>
      </c>
      <c r="AB61" s="82">
        <f ca="1">IF(Cashflow!AB$111="C/I",0,'Project-definition'!AB71)</f>
        <v>0</v>
      </c>
      <c r="AC61" s="82">
        <f ca="1">IF(Cashflow!AC$111="C/I",0,'Project-definition'!AC71)</f>
        <v>0</v>
      </c>
      <c r="AD61" s="82">
        <f ca="1">IF(Cashflow!AD$111="C/I",0,'Project-definition'!AD71)</f>
        <v>0</v>
      </c>
      <c r="AE61" s="82">
        <f ca="1">IF(Cashflow!AE$111="C/I",0,'Project-definition'!AE71)</f>
        <v>0</v>
      </c>
      <c r="AF61" s="82">
        <f ca="1">IF(Cashflow!AF$111="C/I",0,'Project-definition'!AF71)</f>
        <v>0</v>
      </c>
      <c r="AG61" s="82">
        <f ca="1">IF(Cashflow!AG$111="C/I",0,'Project-definition'!AG71)</f>
        <v>0</v>
      </c>
    </row>
    <row r="62" spans="1:34">
      <c r="A62" s="329"/>
      <c r="B62" s="350" t="str">
        <f>'Project-definition'!B72</f>
        <v>Nr. of incremental development wells to attempt</v>
      </c>
      <c r="C62" s="433">
        <f>IF(Cashflow!C$111="C/I",0,'Project-definition'!C72)</f>
        <v>0</v>
      </c>
      <c r="D62" s="433">
        <f>IF(Cashflow!D$111="C/I",0,'Project-definition'!D72)</f>
        <v>0</v>
      </c>
      <c r="E62" s="433">
        <f>IF(Cashflow!E$111="C/I",0,'Project-definition'!E72)</f>
        <v>0</v>
      </c>
      <c r="F62" s="433">
        <f>IF(Cashflow!F$111="C/I",0,'Project-definition'!F72)</f>
        <v>0</v>
      </c>
      <c r="G62" s="433">
        <f>IF(Cashflow!G$111="C/I",0,'Project-definition'!G72)</f>
        <v>0</v>
      </c>
      <c r="H62" s="433">
        <f>IF(Cashflow!H$111="C/I",0,'Project-definition'!H72)</f>
        <v>0</v>
      </c>
      <c r="I62" s="433">
        <f>IF(Cashflow!I$111="C/I",0,'Project-definition'!I72)</f>
        <v>0</v>
      </c>
      <c r="J62" s="433">
        <f>IF(Cashflow!J$111="C/I",0,'Project-definition'!J72)</f>
        <v>0</v>
      </c>
      <c r="K62" s="433">
        <f>IF(Cashflow!K$111="C/I",0,'Project-definition'!K72)</f>
        <v>2</v>
      </c>
      <c r="L62" s="433">
        <f ca="1">IF(Cashflow!L$111="C/I",0,'Project-definition'!L72)</f>
        <v>2</v>
      </c>
      <c r="M62" s="433">
        <f ca="1">IF(Cashflow!M$111="C/I",0,'Project-definition'!M72)</f>
        <v>2</v>
      </c>
      <c r="N62" s="433">
        <f ca="1">IF(Cashflow!N$111="C/I",0,'Project-definition'!N72)</f>
        <v>2</v>
      </c>
      <c r="O62" s="433">
        <f ca="1">IF(Cashflow!O$111="C/I",0,'Project-definition'!O72)</f>
        <v>0</v>
      </c>
      <c r="P62" s="433">
        <f ca="1">IF(Cashflow!P$111="C/I",0,'Project-definition'!P72)</f>
        <v>0</v>
      </c>
      <c r="Q62" s="433">
        <f ca="1">IF(Cashflow!Q$111="C/I",0,'Project-definition'!Q72)</f>
        <v>0</v>
      </c>
      <c r="R62" s="433">
        <f ca="1">IF(Cashflow!R$111="C/I",0,'Project-definition'!R72)</f>
        <v>0</v>
      </c>
      <c r="S62" s="433">
        <f ca="1">IF(Cashflow!S$111="C/I",0,'Project-definition'!S72)</f>
        <v>0</v>
      </c>
      <c r="T62" s="433">
        <f ca="1">IF(Cashflow!T$111="C/I",0,'Project-definition'!T72)</f>
        <v>0</v>
      </c>
      <c r="U62" s="433">
        <f ca="1">IF(Cashflow!U$111="C/I",0,'Project-definition'!U72)</f>
        <v>0</v>
      </c>
      <c r="V62" s="433">
        <f ca="1">IF(Cashflow!V$111="C/I",0,'Project-definition'!V72)</f>
        <v>0</v>
      </c>
      <c r="W62" s="433">
        <f ca="1">IF(Cashflow!W$111="C/I",0,'Project-definition'!W72)</f>
        <v>0</v>
      </c>
      <c r="X62" s="433">
        <f ca="1">IF(Cashflow!X$111="C/I",0,'Project-definition'!X72)</f>
        <v>0</v>
      </c>
      <c r="Y62" s="433">
        <f ca="1">IF(Cashflow!Y$111="C/I",0,'Project-definition'!Y72)</f>
        <v>0</v>
      </c>
      <c r="Z62" s="433">
        <f ca="1">IF(Cashflow!Z$111="C/I",0,'Project-definition'!Z72)</f>
        <v>0</v>
      </c>
      <c r="AA62" s="433">
        <f ca="1">IF(Cashflow!AA$111="C/I",0,'Project-definition'!AA72)</f>
        <v>0</v>
      </c>
      <c r="AB62" s="433">
        <f ca="1">IF(Cashflow!AB$111="C/I",0,'Project-definition'!AB72)</f>
        <v>0</v>
      </c>
      <c r="AC62" s="433">
        <f ca="1">IF(Cashflow!AC$111="C/I",0,'Project-definition'!AC72)</f>
        <v>0</v>
      </c>
      <c r="AD62" s="433">
        <f ca="1">IF(Cashflow!AD$111="C/I",0,'Project-definition'!AD72)</f>
        <v>0</v>
      </c>
      <c r="AE62" s="433">
        <f ca="1">IF(Cashflow!AE$111="C/I",0,'Project-definition'!AE72)</f>
        <v>0</v>
      </c>
      <c r="AF62" s="433">
        <f ca="1">IF(Cashflow!AF$111="C/I",0,'Project-definition'!AF72)</f>
        <v>0</v>
      </c>
      <c r="AG62" s="433">
        <f ca="1">IF(Cashflow!AG$111="C/I",0,'Project-definition'!AG72)</f>
        <v>0</v>
      </c>
    </row>
    <row r="63" spans="1:34">
      <c r="A63" s="329"/>
      <c r="B63" s="350" t="str">
        <f>'Project-definition'!B73</f>
        <v>Incremental devt. drillex</v>
      </c>
      <c r="C63" s="82">
        <f>IF(Cashflow!C$111="C/I",0,'Project-definition'!C73)</f>
        <v>0</v>
      </c>
      <c r="D63" s="82">
        <f>IF(Cashflow!D$111="C/I",0,'Project-definition'!D73)</f>
        <v>0</v>
      </c>
      <c r="E63" s="82">
        <f>IF(Cashflow!E$111="C/I",0,'Project-definition'!E73)</f>
        <v>0</v>
      </c>
      <c r="F63" s="82">
        <f>IF(Cashflow!F$111="C/I",0,'Project-definition'!F73)</f>
        <v>0</v>
      </c>
      <c r="G63" s="82">
        <f>IF(Cashflow!G$111="C/I",0,'Project-definition'!G73)</f>
        <v>0</v>
      </c>
      <c r="H63" s="82">
        <f>IF(Cashflow!H$111="C/I",0,'Project-definition'!H73)</f>
        <v>0</v>
      </c>
      <c r="I63" s="82">
        <f>IF(Cashflow!I$111="C/I",0,'Project-definition'!I73)</f>
        <v>0</v>
      </c>
      <c r="J63" s="82">
        <f>IF(Cashflow!J$111="C/I",0,'Project-definition'!J73)</f>
        <v>0</v>
      </c>
      <c r="K63" s="82">
        <f>IF(Cashflow!K$111="C/I",0,'Project-definition'!K73)</f>
        <v>-8</v>
      </c>
      <c r="L63" s="82">
        <f ca="1">IF(Cashflow!L$111="C/I",0,'Project-definition'!L73)</f>
        <v>-8</v>
      </c>
      <c r="M63" s="82">
        <f ca="1">IF(Cashflow!M$111="C/I",0,'Project-definition'!M73)</f>
        <v>-8</v>
      </c>
      <c r="N63" s="82">
        <f ca="1">IF(Cashflow!N$111="C/I",0,'Project-definition'!N73)</f>
        <v>-8</v>
      </c>
      <c r="O63" s="82">
        <f ca="1">IF(Cashflow!O$111="C/I",0,'Project-definition'!O73)</f>
        <v>0</v>
      </c>
      <c r="P63" s="82">
        <f ca="1">IF(Cashflow!P$111="C/I",0,'Project-definition'!P73)</f>
        <v>0</v>
      </c>
      <c r="Q63" s="82">
        <f ca="1">IF(Cashflow!Q$111="C/I",0,'Project-definition'!Q73)</f>
        <v>0</v>
      </c>
      <c r="R63" s="82">
        <f ca="1">IF(Cashflow!R$111="C/I",0,'Project-definition'!R73)</f>
        <v>0</v>
      </c>
      <c r="S63" s="82">
        <f ca="1">IF(Cashflow!S$111="C/I",0,'Project-definition'!S73)</f>
        <v>0</v>
      </c>
      <c r="T63" s="82">
        <f ca="1">IF(Cashflow!T$111="C/I",0,'Project-definition'!T73)</f>
        <v>0</v>
      </c>
      <c r="U63" s="82">
        <f ca="1">IF(Cashflow!U$111="C/I",0,'Project-definition'!U73)</f>
        <v>0</v>
      </c>
      <c r="V63" s="82">
        <f ca="1">IF(Cashflow!V$111="C/I",0,'Project-definition'!V73)</f>
        <v>0</v>
      </c>
      <c r="W63" s="82">
        <f ca="1">IF(Cashflow!W$111="C/I",0,'Project-definition'!W73)</f>
        <v>0</v>
      </c>
      <c r="X63" s="82">
        <f ca="1">IF(Cashflow!X$111="C/I",0,'Project-definition'!X73)</f>
        <v>0</v>
      </c>
      <c r="Y63" s="82">
        <f ca="1">IF(Cashflow!Y$111="C/I",0,'Project-definition'!Y73)</f>
        <v>0</v>
      </c>
      <c r="Z63" s="82">
        <f ca="1">IF(Cashflow!Z$111="C/I",0,'Project-definition'!Z73)</f>
        <v>0</v>
      </c>
      <c r="AA63" s="82">
        <f ca="1">IF(Cashflow!AA$111="C/I",0,'Project-definition'!AA73)</f>
        <v>0</v>
      </c>
      <c r="AB63" s="82">
        <f ca="1">IF(Cashflow!AB$111="C/I",0,'Project-definition'!AB73)</f>
        <v>0</v>
      </c>
      <c r="AC63" s="82">
        <f ca="1">IF(Cashflow!AC$111="C/I",0,'Project-definition'!AC73)</f>
        <v>0</v>
      </c>
      <c r="AD63" s="82">
        <f ca="1">IF(Cashflow!AD$111="C/I",0,'Project-definition'!AD73)</f>
        <v>0</v>
      </c>
      <c r="AE63" s="82">
        <f ca="1">IF(Cashflow!AE$111="C/I",0,'Project-definition'!AE73)</f>
        <v>0</v>
      </c>
      <c r="AF63" s="82">
        <f ca="1">IF(Cashflow!AF$111="C/I",0,'Project-definition'!AF73)</f>
        <v>0</v>
      </c>
      <c r="AG63" s="82">
        <f ca="1">IF(Cashflow!AG$111="C/I",0,'Project-definition'!AG73)</f>
        <v>0</v>
      </c>
    </row>
    <row r="64" spans="1:34">
      <c r="A64" s="329"/>
      <c r="B64" s="350" t="str">
        <f>'Project-definition'!B74</f>
        <v>Transactions to government</v>
      </c>
      <c r="C64" s="82">
        <f>IF(Cashflow!C$111="C/I",0,'Project-definition'!C74)</f>
        <v>0</v>
      </c>
      <c r="D64" s="82">
        <f>IF(Cashflow!D$111="C/I",0,'Project-definition'!D74)</f>
        <v>0</v>
      </c>
      <c r="E64" s="82">
        <f>IF(Cashflow!E$111="C/I",0,'Project-definition'!E74)</f>
        <v>0</v>
      </c>
      <c r="F64" s="82">
        <f>IF(Cashflow!F$111="C/I",0,'Project-definition'!F74)</f>
        <v>0</v>
      </c>
      <c r="G64" s="82">
        <f>IF(Cashflow!G$111="C/I",0,'Project-definition'!G74)</f>
        <v>0</v>
      </c>
      <c r="H64" s="82">
        <f>IF(Cashflow!H$111="C/I",0,'Project-definition'!H74)</f>
        <v>0</v>
      </c>
      <c r="I64" s="82">
        <f>IF(Cashflow!I$111="C/I",0,'Project-definition'!I74)</f>
        <v>0</v>
      </c>
      <c r="J64" s="82">
        <f>IF(Cashflow!J$111="C/I",0,'Project-definition'!J74)</f>
        <v>0</v>
      </c>
      <c r="K64" s="82">
        <f>IF(Cashflow!K$111="C/I",0,'Project-definition'!K74)</f>
        <v>0</v>
      </c>
      <c r="L64" s="82">
        <f ca="1">IF(Cashflow!L$111="C/I",0,'Project-definition'!L74)</f>
        <v>0</v>
      </c>
      <c r="M64" s="82">
        <f ca="1">IF(Cashflow!M$111="C/I",0,'Project-definition'!M74)</f>
        <v>0</v>
      </c>
      <c r="N64" s="82">
        <f ca="1">IF(Cashflow!N$111="C/I",0,'Project-definition'!N74)</f>
        <v>0</v>
      </c>
      <c r="O64" s="82">
        <f ca="1">IF(Cashflow!O$111="C/I",0,'Project-definition'!O74)</f>
        <v>0</v>
      </c>
      <c r="P64" s="82">
        <f ca="1">IF(Cashflow!P$111="C/I",0,'Project-definition'!P74)</f>
        <v>0</v>
      </c>
      <c r="Q64" s="82">
        <f ca="1">IF(Cashflow!Q$111="C/I",0,'Project-definition'!Q74)</f>
        <v>0</v>
      </c>
      <c r="R64" s="82">
        <f ca="1">IF(Cashflow!R$111="C/I",0,'Project-definition'!R74)</f>
        <v>0</v>
      </c>
      <c r="S64" s="82">
        <f ca="1">IF(Cashflow!S$111="C/I",0,'Project-definition'!S74)</f>
        <v>0</v>
      </c>
      <c r="T64" s="82">
        <f ca="1">IF(Cashflow!T$111="C/I",0,'Project-definition'!T74)</f>
        <v>0</v>
      </c>
      <c r="U64" s="82">
        <f ca="1">IF(Cashflow!U$111="C/I",0,'Project-definition'!U74)</f>
        <v>0</v>
      </c>
      <c r="V64" s="82">
        <f ca="1">IF(Cashflow!V$111="C/I",0,'Project-definition'!V74)</f>
        <v>0</v>
      </c>
      <c r="W64" s="82">
        <f ca="1">IF(Cashflow!W$111="C/I",0,'Project-definition'!W74)</f>
        <v>0</v>
      </c>
      <c r="X64" s="82">
        <f ca="1">IF(Cashflow!X$111="C/I",0,'Project-definition'!X74)</f>
        <v>0</v>
      </c>
      <c r="Y64" s="82">
        <f ca="1">IF(Cashflow!Y$111="C/I",0,'Project-definition'!Y74)</f>
        <v>0</v>
      </c>
      <c r="Z64" s="82">
        <f ca="1">IF(Cashflow!Z$111="C/I",0,'Project-definition'!Z74)</f>
        <v>0</v>
      </c>
      <c r="AA64" s="82">
        <f ca="1">IF(Cashflow!AA$111="C/I",0,'Project-definition'!AA74)</f>
        <v>0</v>
      </c>
      <c r="AB64" s="82">
        <f ca="1">IF(Cashflow!AB$111="C/I",0,'Project-definition'!AB74)</f>
        <v>0</v>
      </c>
      <c r="AC64" s="82">
        <f ca="1">IF(Cashflow!AC$111="C/I",0,'Project-definition'!AC74)</f>
        <v>0</v>
      </c>
      <c r="AD64" s="82">
        <f ca="1">IF(Cashflow!AD$111="C/I",0,'Project-definition'!AD74)</f>
        <v>0</v>
      </c>
      <c r="AE64" s="82">
        <f ca="1">IF(Cashflow!AE$111="C/I",0,'Project-definition'!AE74)</f>
        <v>0</v>
      </c>
      <c r="AF64" s="82">
        <f ca="1">IF(Cashflow!AF$111="C/I",0,'Project-definition'!AF74)</f>
        <v>0</v>
      </c>
      <c r="AG64" s="82">
        <f ca="1">IF(Cashflow!AG$111="C/I",0,'Project-definition'!AG74)</f>
        <v>0</v>
      </c>
    </row>
    <row r="65" spans="1:35">
      <c r="A65" s="329"/>
      <c r="B65" s="350" t="str">
        <f>'Project-definition'!B75</f>
        <v>Turbine replacement capex</v>
      </c>
      <c r="C65" s="82">
        <f>IF(Cashflow!C$111="C/I",0,IF($AC$5="Constant",C74,'Project-definition'!C75))</f>
        <v>0</v>
      </c>
      <c r="D65" s="82">
        <f>IF(Cashflow!D$111="C/I",0,IF($AC$5="Constant",D74,'Project-definition'!D75))</f>
        <v>0</v>
      </c>
      <c r="E65" s="82">
        <f>IF(Cashflow!E$111="C/I",0,IF($AC$5="Constant",E74,'Project-definition'!E75))</f>
        <v>0</v>
      </c>
      <c r="F65" s="82">
        <f>IF(Cashflow!F$111="C/I",0,IF($AC$5="Constant",F74,'Project-definition'!F75))</f>
        <v>0</v>
      </c>
      <c r="G65" s="82">
        <f>IF(Cashflow!G$111="C/I",0,IF($AC$5="Constant",G74,'Project-definition'!G75))</f>
        <v>0</v>
      </c>
      <c r="H65" s="82">
        <f>IF(Cashflow!H$111="C/I",0,IF($AC$5="Constant",H74,'Project-definition'!H75))</f>
        <v>0</v>
      </c>
      <c r="I65" s="82">
        <f>IF(Cashflow!I$111="C/I",0,IF($AC$5="Constant",I74,'Project-definition'!I75))</f>
        <v>0</v>
      </c>
      <c r="J65" s="82">
        <f>IF(Cashflow!J$111="C/I",0,IF($AC$5="Constant",J74,'Project-definition'!J75))</f>
        <v>0</v>
      </c>
      <c r="K65" s="82">
        <f>IF(Cashflow!K$111="C/I",0,IF($AC$5="Constant",K74,'Project-definition'!K75))</f>
        <v>0</v>
      </c>
      <c r="L65" s="82">
        <f ca="1">IF(Cashflow!L$111="C/I",0,IF($AC$5="Constant",L74,'Project-definition'!L75))</f>
        <v>0</v>
      </c>
      <c r="M65" s="82">
        <f ca="1">IF(Cashflow!M$111="C/I",0,IF($AC$5="Constant",M74,'Project-definition'!M75))</f>
        <v>0</v>
      </c>
      <c r="N65" s="82">
        <f ca="1">IF(Cashflow!N$111="C/I",0,IF($AC$5="Constant",N74,'Project-definition'!N75))</f>
        <v>0</v>
      </c>
      <c r="O65" s="82">
        <f ca="1">IF(Cashflow!O$111="C/I",0,IF($AC$5="Constant",O74,'Project-definition'!O75))</f>
        <v>0</v>
      </c>
      <c r="P65" s="82">
        <f ca="1">IF(Cashflow!P$111="C/I",0,IF($AC$5="Constant",P74,'Project-definition'!P75))</f>
        <v>0</v>
      </c>
      <c r="Q65" s="82">
        <f ca="1">IF(Cashflow!Q$111="C/I",0,IF($AC$5="Constant",Q74,'Project-definition'!Q75))</f>
        <v>0</v>
      </c>
      <c r="R65" s="82">
        <f ca="1">IF(Cashflow!R$111="C/I",0,IF($AC$5="Constant",R74,'Project-definition'!R75))</f>
        <v>0</v>
      </c>
      <c r="S65" s="82">
        <f ca="1">IF(Cashflow!S$111="C/I",0,IF($AC$5="Constant",S74,'Project-definition'!S75))</f>
        <v>0</v>
      </c>
      <c r="T65" s="82">
        <f ca="1">IF(Cashflow!T$111="C/I",0,IF($AC$5="Constant",T74,'Project-definition'!T75))</f>
        <v>0</v>
      </c>
      <c r="U65" s="82">
        <f ca="1">IF(Cashflow!U$111="C/I",0,IF($AC$5="Constant",U74,'Project-definition'!U75))</f>
        <v>0</v>
      </c>
      <c r="V65" s="82">
        <f ca="1">IF(Cashflow!V$111="C/I",0,IF($AC$5="Constant",V74,'Project-definition'!V75))</f>
        <v>0</v>
      </c>
      <c r="W65" s="82">
        <f ca="1">IF(Cashflow!W$111="C/I",0,IF($AC$5="Constant",W74,'Project-definition'!W75))</f>
        <v>0</v>
      </c>
      <c r="X65" s="82">
        <f ca="1">IF(Cashflow!X$111="C/I",0,IF($AC$5="Constant",X74,'Project-definition'!X75))</f>
        <v>-15</v>
      </c>
      <c r="Y65" s="82">
        <f ca="1">IF(Cashflow!Y$111="C/I",0,IF($AC$5="Constant",Y74,'Project-definition'!Y75))</f>
        <v>0</v>
      </c>
      <c r="Z65" s="82">
        <f ca="1">IF(Cashflow!Z$111="C/I",0,IF($AC$5="Constant",Z74,'Project-definition'!Z75))</f>
        <v>0</v>
      </c>
      <c r="AA65" s="82">
        <f ca="1">IF(Cashflow!AA$111="C/I",0,IF($AC$5="Constant",AA74,'Project-definition'!AA75))</f>
        <v>0</v>
      </c>
      <c r="AB65" s="82">
        <f ca="1">IF(Cashflow!AB$111="C/I",0,IF($AC$5="Constant",AB74,'Project-definition'!AB75))</f>
        <v>0</v>
      </c>
      <c r="AC65" s="82">
        <f ca="1">IF(Cashflow!AC$111="C/I",0,IF($AC$5="Constant",AC74,'Project-definition'!AC75))</f>
        <v>0</v>
      </c>
      <c r="AD65" s="82">
        <f ca="1">IF(Cashflow!AD$111="C/I",0,IF($AC$5="Constant",AD74,'Project-definition'!AD75))</f>
        <v>0</v>
      </c>
      <c r="AE65" s="82">
        <f ca="1">IF(Cashflow!AE$111="C/I",0,IF($AC$5="Constant",AE74,'Project-definition'!AE75))</f>
        <v>0</v>
      </c>
      <c r="AF65" s="82">
        <f ca="1">IF(Cashflow!AF$111="C/I",0,IF($AC$5="Constant",AF74,'Project-definition'!AF75))</f>
        <v>0</v>
      </c>
      <c r="AG65" s="82">
        <f ca="1">IF(Cashflow!AG$111="C/I",0,IF($AC$5="Constant",AG74,'Project-definition'!AG75))</f>
        <v>0</v>
      </c>
    </row>
    <row r="66" spans="1:35">
      <c r="A66" s="329"/>
      <c r="B66" s="350" t="str">
        <f>'Project-definition'!B76</f>
        <v>EPC - incremental facility costs etc.</v>
      </c>
      <c r="C66" s="82">
        <f>IF(Cashflow!C$111="C/I",0,'Project-definition'!C76)</f>
        <v>0</v>
      </c>
      <c r="D66" s="82">
        <f>IF(Cashflow!D$111="C/I",0,'Project-definition'!D76)</f>
        <v>0</v>
      </c>
      <c r="E66" s="82">
        <f>IF(Cashflow!E$111="C/I",0,'Project-definition'!E76)</f>
        <v>0</v>
      </c>
      <c r="F66" s="82">
        <f>IF(Cashflow!F$111="C/I",0,'Project-definition'!F76)</f>
        <v>0</v>
      </c>
      <c r="G66" s="82">
        <f>IF(Cashflow!G$111="C/I",0,'Project-definition'!G76)</f>
        <v>0</v>
      </c>
      <c r="H66" s="82">
        <f>IF(Cashflow!H$111="C/I",0,'Project-definition'!H76)</f>
        <v>0</v>
      </c>
      <c r="I66" s="82">
        <f>IF(Cashflow!I$111="C/I",0,'Project-definition'!I76)</f>
        <v>0</v>
      </c>
      <c r="J66" s="82">
        <f>IF(Cashflow!J$111="C/I",0,'Project-definition'!J76)</f>
        <v>0</v>
      </c>
      <c r="K66" s="82">
        <f>IF(Cashflow!K$111="C/I",0,'Project-definition'!K76)</f>
        <v>-10</v>
      </c>
      <c r="L66" s="82">
        <f ca="1">IF(Cashflow!L$111="C/I",0,'Project-definition'!L76)</f>
        <v>-5</v>
      </c>
      <c r="M66" s="82">
        <f ca="1">IF(Cashflow!M$111="C/I",0,'Project-definition'!M76)</f>
        <v>0</v>
      </c>
      <c r="N66" s="82">
        <f ca="1">IF(Cashflow!N$111="C/I",0,'Project-definition'!N76)</f>
        <v>0</v>
      </c>
      <c r="O66" s="82">
        <f ca="1">IF(Cashflow!O$111="C/I",0,'Project-definition'!O76)</f>
        <v>0</v>
      </c>
      <c r="P66" s="82">
        <f ca="1">IF(Cashflow!P$111="C/I",0,'Project-definition'!P76)</f>
        <v>0</v>
      </c>
      <c r="Q66" s="82">
        <f ca="1">IF(Cashflow!Q$111="C/I",0,'Project-definition'!Q76)</f>
        <v>0</v>
      </c>
      <c r="R66" s="82">
        <f ca="1">IF(Cashflow!R$111="C/I",0,'Project-definition'!R76)</f>
        <v>0</v>
      </c>
      <c r="S66" s="82">
        <f ca="1">IF(Cashflow!S$111="C/I",0,'Project-definition'!S76)</f>
        <v>0</v>
      </c>
      <c r="T66" s="82">
        <f ca="1">IF(Cashflow!T$111="C/I",0,'Project-definition'!T76)</f>
        <v>0</v>
      </c>
      <c r="U66" s="82">
        <f ca="1">IF(Cashflow!U$111="C/I",0,'Project-definition'!U76)</f>
        <v>0</v>
      </c>
      <c r="V66" s="82">
        <f ca="1">IF(Cashflow!V$111="C/I",0,'Project-definition'!V76)</f>
        <v>0</v>
      </c>
      <c r="W66" s="82">
        <f ca="1">IF(Cashflow!W$111="C/I",0,'Project-definition'!W76)</f>
        <v>0</v>
      </c>
      <c r="X66" s="82">
        <f ca="1">IF(Cashflow!X$111="C/I",0,'Project-definition'!X76)</f>
        <v>0</v>
      </c>
      <c r="Y66" s="82">
        <f ca="1">IF(Cashflow!Y$111="C/I",0,'Project-definition'!Y76)</f>
        <v>0</v>
      </c>
      <c r="Z66" s="82">
        <f ca="1">IF(Cashflow!Z$111="C/I",0,'Project-definition'!Z76)</f>
        <v>0</v>
      </c>
      <c r="AA66" s="82">
        <f ca="1">IF(Cashflow!AA$111="C/I",0,'Project-definition'!AA76)</f>
        <v>0</v>
      </c>
      <c r="AB66" s="82">
        <f ca="1">IF(Cashflow!AB$111="C/I",0,'Project-definition'!AB76)</f>
        <v>0</v>
      </c>
      <c r="AC66" s="82">
        <f ca="1">IF(Cashflow!AC$111="C/I",0,'Project-definition'!AC76)</f>
        <v>0</v>
      </c>
      <c r="AD66" s="82">
        <f ca="1">IF(Cashflow!AD$111="C/I",0,'Project-definition'!AD76)</f>
        <v>0</v>
      </c>
      <c r="AE66" s="82">
        <f ca="1">IF(Cashflow!AE$111="C/I",0,'Project-definition'!AE76)</f>
        <v>0</v>
      </c>
      <c r="AF66" s="82">
        <f ca="1">IF(Cashflow!AF$111="C/I",0,'Project-definition'!AF76)</f>
        <v>0</v>
      </c>
      <c r="AG66" s="82">
        <f ca="1">IF(Cashflow!AG$111="C/I",0,'Project-definition'!AG76)</f>
        <v>0</v>
      </c>
    </row>
    <row r="67" spans="1:35">
      <c r="B67" s="350" t="str">
        <f>'Project-definition'!B77</f>
        <v>Other costs</v>
      </c>
      <c r="C67" s="82">
        <f>IF(Cashflow!C$111="C/I",0,'Project-definition'!C77)</f>
        <v>0</v>
      </c>
      <c r="D67" s="82">
        <f>IF(Cashflow!D$111="C/I",0,'Project-definition'!D77)</f>
        <v>0</v>
      </c>
      <c r="E67" s="82">
        <f>IF(Cashflow!E$111="C/I",0,'Project-definition'!E77)</f>
        <v>0</v>
      </c>
      <c r="F67" s="82">
        <f>IF(Cashflow!F$111="C/I",0,'Project-definition'!F77)</f>
        <v>0</v>
      </c>
      <c r="G67" s="82">
        <f>IF(Cashflow!G$111="C/I",0,'Project-definition'!G77)</f>
        <v>0</v>
      </c>
      <c r="H67" s="82">
        <f>IF(Cashflow!H$111="C/I",0,'Project-definition'!H77)</f>
        <v>0</v>
      </c>
      <c r="I67" s="82">
        <f>IF(Cashflow!I$111="C/I",0,'Project-definition'!I77)</f>
        <v>0</v>
      </c>
      <c r="J67" s="82">
        <f>IF(Cashflow!J$111="C/I",0,'Project-definition'!J77)</f>
        <v>0</v>
      </c>
      <c r="K67" s="82">
        <f>IF(Cashflow!K$111="C/I",0,'Project-definition'!K77)</f>
        <v>0</v>
      </c>
      <c r="L67" s="82">
        <f ca="1">IF(Cashflow!L$111="C/I",0,'Project-definition'!L77)</f>
        <v>0</v>
      </c>
      <c r="M67" s="82">
        <f ca="1">IF(Cashflow!M$111="C/I",0,'Project-definition'!M77)</f>
        <v>0</v>
      </c>
      <c r="N67" s="82">
        <f ca="1">IF(Cashflow!N$111="C/I",0,'Project-definition'!N77)</f>
        <v>0</v>
      </c>
      <c r="O67" s="82">
        <f ca="1">IF(Cashflow!O$111="C/I",0,'Project-definition'!O77)</f>
        <v>0</v>
      </c>
      <c r="P67" s="82">
        <f ca="1">IF(Cashflow!P$111="C/I",0,'Project-definition'!P77)</f>
        <v>0</v>
      </c>
      <c r="Q67" s="82">
        <f ca="1">IF(Cashflow!Q$111="C/I",0,'Project-definition'!Q77)</f>
        <v>0</v>
      </c>
      <c r="R67" s="82">
        <f ca="1">IF(Cashflow!R$111="C/I",0,'Project-definition'!R77)</f>
        <v>0</v>
      </c>
      <c r="S67" s="82">
        <f ca="1">IF(Cashflow!S$111="C/I",0,'Project-definition'!S77)</f>
        <v>0</v>
      </c>
      <c r="T67" s="82">
        <f ca="1">IF(Cashflow!T$111="C/I",0,'Project-definition'!T77)</f>
        <v>0</v>
      </c>
      <c r="U67" s="82">
        <f ca="1">IF(Cashflow!U$111="C/I",0,'Project-definition'!U77)</f>
        <v>0</v>
      </c>
      <c r="V67" s="82">
        <f ca="1">IF(Cashflow!V$111="C/I",0,'Project-definition'!V77)</f>
        <v>0</v>
      </c>
      <c r="W67" s="82">
        <f ca="1">IF(Cashflow!W$111="C/I",0,'Project-definition'!W77)</f>
        <v>0</v>
      </c>
      <c r="X67" s="82">
        <f ca="1">IF(Cashflow!X$111="C/I",0,'Project-definition'!X77)</f>
        <v>0</v>
      </c>
      <c r="Y67" s="82">
        <f ca="1">IF(Cashflow!Y$111="C/I",0,'Project-definition'!Y77)</f>
        <v>0</v>
      </c>
      <c r="Z67" s="82">
        <f ca="1">IF(Cashflow!Z$111="C/I",0,'Project-definition'!Z77)</f>
        <v>0</v>
      </c>
      <c r="AA67" s="82">
        <f ca="1">IF(Cashflow!AA$111="C/I",0,'Project-definition'!AA77)</f>
        <v>0</v>
      </c>
      <c r="AB67" s="82">
        <f ca="1">IF(Cashflow!AB$111="C/I",0,'Project-definition'!AB77)</f>
        <v>0</v>
      </c>
      <c r="AC67" s="82">
        <f ca="1">IF(Cashflow!AC$111="C/I",0,'Project-definition'!AC77)</f>
        <v>0</v>
      </c>
      <c r="AD67" s="82">
        <f ca="1">IF(Cashflow!AD$111="C/I",0,'Project-definition'!AD77)</f>
        <v>0</v>
      </c>
      <c r="AE67" s="82">
        <f ca="1">IF(Cashflow!AE$111="C/I",0,'Project-definition'!AE77)</f>
        <v>0</v>
      </c>
      <c r="AF67" s="82">
        <f ca="1">IF(Cashflow!AF$111="C/I",0,'Project-definition'!AF77)</f>
        <v>0</v>
      </c>
      <c r="AG67" s="82">
        <f ca="1">IF(Cashflow!AG$111="C/I",0,'Project-definition'!AG77)</f>
        <v>0</v>
      </c>
    </row>
    <row r="68" spans="1:35">
      <c r="A68" s="329"/>
      <c r="B68" s="351" t="s">
        <v>519</v>
      </c>
      <c r="C68" s="40">
        <f>(C62+C70)*-$P$9</f>
        <v>0</v>
      </c>
      <c r="D68" s="40">
        <f t="shared" ref="D68:AG68" si="17">(D62+D70)*-$P$9</f>
        <v>0</v>
      </c>
      <c r="E68" s="40">
        <f t="shared" si="17"/>
        <v>0</v>
      </c>
      <c r="F68" s="40">
        <f t="shared" si="17"/>
        <v>0</v>
      </c>
      <c r="G68" s="40">
        <f t="shared" si="17"/>
        <v>0</v>
      </c>
      <c r="H68" s="40">
        <f t="shared" si="17"/>
        <v>0</v>
      </c>
      <c r="I68" s="40">
        <f t="shared" si="17"/>
        <v>0</v>
      </c>
      <c r="J68" s="40">
        <f t="shared" si="17"/>
        <v>-1.5</v>
      </c>
      <c r="K68" s="40">
        <f t="shared" si="17"/>
        <v>-4.5</v>
      </c>
      <c r="L68" s="40">
        <f t="shared" ca="1" si="17"/>
        <v>-6</v>
      </c>
      <c r="M68" s="40">
        <f t="shared" ca="1" si="17"/>
        <v>-4.5</v>
      </c>
      <c r="N68" s="40">
        <f t="shared" ca="1" si="17"/>
        <v>-6</v>
      </c>
      <c r="O68" s="40">
        <f t="shared" ca="1" si="17"/>
        <v>0</v>
      </c>
      <c r="P68" s="40">
        <f t="shared" ca="1" si="17"/>
        <v>0</v>
      </c>
      <c r="Q68" s="40">
        <f t="shared" ca="1" si="17"/>
        <v>0</v>
      </c>
      <c r="R68" s="40">
        <f t="shared" ca="1" si="17"/>
        <v>0</v>
      </c>
      <c r="S68" s="40">
        <f t="shared" ca="1" si="17"/>
        <v>0</v>
      </c>
      <c r="T68" s="40">
        <f t="shared" ca="1" si="17"/>
        <v>0</v>
      </c>
      <c r="U68" s="40">
        <f t="shared" ca="1" si="17"/>
        <v>0</v>
      </c>
      <c r="V68" s="40">
        <f t="shared" ca="1" si="17"/>
        <v>0</v>
      </c>
      <c r="W68" s="40">
        <f t="shared" ca="1" si="17"/>
        <v>0</v>
      </c>
      <c r="X68" s="40">
        <f t="shared" ca="1" si="17"/>
        <v>0</v>
      </c>
      <c r="Y68" s="40">
        <f t="shared" ca="1" si="17"/>
        <v>0</v>
      </c>
      <c r="Z68" s="40">
        <f t="shared" ca="1" si="17"/>
        <v>0</v>
      </c>
      <c r="AA68" s="40">
        <f t="shared" ca="1" si="17"/>
        <v>0</v>
      </c>
      <c r="AB68" s="40">
        <f t="shared" ca="1" si="17"/>
        <v>0</v>
      </c>
      <c r="AC68" s="40">
        <f t="shared" ca="1" si="17"/>
        <v>0</v>
      </c>
      <c r="AD68" s="40">
        <f t="shared" ca="1" si="17"/>
        <v>0</v>
      </c>
      <c r="AE68" s="40">
        <f t="shared" ca="1" si="17"/>
        <v>0</v>
      </c>
      <c r="AF68" s="40">
        <f t="shared" ca="1" si="17"/>
        <v>0</v>
      </c>
      <c r="AG68" s="40">
        <f t="shared" ca="1" si="17"/>
        <v>0</v>
      </c>
      <c r="AH68" s="352">
        <f ca="1">SUM(C68:AG68)</f>
        <v>-22.5</v>
      </c>
      <c r="AI68" s="353" t="s">
        <v>279</v>
      </c>
    </row>
    <row r="69" spans="1:35">
      <c r="A69" s="329"/>
      <c r="B69" s="55" t="s">
        <v>542</v>
      </c>
      <c r="C69" s="189">
        <f>Cashflow!C124</f>
        <v>0</v>
      </c>
      <c r="D69" s="189">
        <f>Cashflow!D124</f>
        <v>0</v>
      </c>
      <c r="E69" s="189">
        <f>Cashflow!E124</f>
        <v>0</v>
      </c>
      <c r="F69" s="189">
        <f>Cashflow!F124</f>
        <v>0</v>
      </c>
      <c r="G69" s="189">
        <f>Cashflow!G124</f>
        <v>0</v>
      </c>
      <c r="H69" s="189">
        <f>Cashflow!H124</f>
        <v>0</v>
      </c>
      <c r="I69" s="189">
        <f>Cashflow!I124</f>
        <v>0</v>
      </c>
      <c r="J69" s="189">
        <f>Cashflow!J124</f>
        <v>-2</v>
      </c>
      <c r="K69" s="189">
        <f>Cashflow!K124</f>
        <v>-2</v>
      </c>
      <c r="L69" s="189">
        <f ca="1">Cashflow!L124</f>
        <v>0</v>
      </c>
      <c r="M69" s="189">
        <f ca="1">Cashflow!M124</f>
        <v>-2</v>
      </c>
      <c r="N69" s="189">
        <f ca="1">Cashflow!N124</f>
        <v>-2</v>
      </c>
      <c r="O69" s="189">
        <f ca="1">Cashflow!O124</f>
        <v>0</v>
      </c>
      <c r="P69" s="189">
        <f ca="1">Cashflow!P124</f>
        <v>0</v>
      </c>
      <c r="Q69" s="189">
        <f ca="1">Cashflow!Q124</f>
        <v>0</v>
      </c>
      <c r="R69" s="189">
        <f ca="1">Cashflow!R124</f>
        <v>0</v>
      </c>
      <c r="S69" s="189">
        <f ca="1">Cashflow!S124</f>
        <v>0</v>
      </c>
      <c r="T69" s="189">
        <f ca="1">Cashflow!T124</f>
        <v>0</v>
      </c>
      <c r="U69" s="189">
        <f ca="1">Cashflow!U124</f>
        <v>0</v>
      </c>
      <c r="V69" s="189">
        <f ca="1">Cashflow!V124</f>
        <v>0</v>
      </c>
      <c r="W69" s="189">
        <f ca="1">Cashflow!W124</f>
        <v>0</v>
      </c>
      <c r="X69" s="189">
        <f ca="1">Cashflow!X124</f>
        <v>0</v>
      </c>
      <c r="Y69" s="189">
        <f ca="1">Cashflow!Y124</f>
        <v>0</v>
      </c>
      <c r="Z69" s="189">
        <f ca="1">Cashflow!Z124</f>
        <v>0</v>
      </c>
      <c r="AA69" s="189">
        <f ca="1">Cashflow!AA124</f>
        <v>0</v>
      </c>
      <c r="AB69" s="189">
        <f ca="1">Cashflow!AB124</f>
        <v>0</v>
      </c>
      <c r="AC69" s="189">
        <f ca="1">Cashflow!AC124</f>
        <v>0</v>
      </c>
      <c r="AD69" s="189">
        <f ca="1">Cashflow!AD124</f>
        <v>0</v>
      </c>
      <c r="AE69" s="189">
        <f ca="1">Cashflow!AE124</f>
        <v>0</v>
      </c>
      <c r="AF69" s="189">
        <f ca="1">Cashflow!AF124</f>
        <v>0</v>
      </c>
      <c r="AG69" s="189">
        <f ca="1">Cashflow!AG124</f>
        <v>0</v>
      </c>
      <c r="AH69" s="349"/>
      <c r="AI69" s="349"/>
    </row>
    <row r="70" spans="1:35">
      <c r="A70" s="329"/>
      <c r="B70" s="55" t="s">
        <v>773</v>
      </c>
      <c r="C70" s="189">
        <f>Cashflow!C156</f>
        <v>0</v>
      </c>
      <c r="D70" s="189">
        <f>Cashflow!D156</f>
        <v>0</v>
      </c>
      <c r="E70" s="189">
        <f>Cashflow!E156</f>
        <v>0</v>
      </c>
      <c r="F70" s="189">
        <f>Cashflow!F156</f>
        <v>0</v>
      </c>
      <c r="G70" s="189">
        <f>Cashflow!G156</f>
        <v>0</v>
      </c>
      <c r="H70" s="189">
        <f>Cashflow!H156</f>
        <v>0</v>
      </c>
      <c r="I70" s="189">
        <f>Cashflow!I156</f>
        <v>0</v>
      </c>
      <c r="J70" s="189">
        <f>Cashflow!J156</f>
        <v>1</v>
      </c>
      <c r="K70" s="189">
        <f>Cashflow!K156</f>
        <v>1</v>
      </c>
      <c r="L70" s="189">
        <f ca="1">Cashflow!L156</f>
        <v>2</v>
      </c>
      <c r="M70" s="189">
        <f ca="1">Cashflow!M156</f>
        <v>1</v>
      </c>
      <c r="N70" s="189">
        <f ca="1">Cashflow!N156</f>
        <v>2</v>
      </c>
      <c r="O70" s="189">
        <f ca="1">Cashflow!O156</f>
        <v>0</v>
      </c>
      <c r="P70" s="189">
        <f ca="1">Cashflow!P156</f>
        <v>0</v>
      </c>
      <c r="Q70" s="189">
        <f ca="1">Cashflow!Q156</f>
        <v>0</v>
      </c>
      <c r="R70" s="189">
        <f ca="1">Cashflow!R156</f>
        <v>0</v>
      </c>
      <c r="S70" s="189">
        <f ca="1">Cashflow!S156</f>
        <v>0</v>
      </c>
      <c r="T70" s="189">
        <f ca="1">Cashflow!T156</f>
        <v>0</v>
      </c>
      <c r="U70" s="189">
        <f ca="1">Cashflow!U156</f>
        <v>0</v>
      </c>
      <c r="V70" s="189">
        <f ca="1">Cashflow!V156</f>
        <v>0</v>
      </c>
      <c r="W70" s="189">
        <f ca="1">Cashflow!W156</f>
        <v>0</v>
      </c>
      <c r="X70" s="189">
        <f ca="1">Cashflow!X156</f>
        <v>0</v>
      </c>
      <c r="Y70" s="189">
        <f ca="1">Cashflow!Y156</f>
        <v>0</v>
      </c>
      <c r="Z70" s="189">
        <f ca="1">Cashflow!Z156</f>
        <v>0</v>
      </c>
      <c r="AA70" s="189">
        <f ca="1">Cashflow!AA156</f>
        <v>0</v>
      </c>
      <c r="AB70" s="189">
        <f ca="1">Cashflow!AB156</f>
        <v>0</v>
      </c>
      <c r="AC70" s="189">
        <f ca="1">Cashflow!AC156</f>
        <v>0</v>
      </c>
      <c r="AD70" s="189">
        <f ca="1">Cashflow!AD156</f>
        <v>0</v>
      </c>
      <c r="AE70" s="189">
        <f ca="1">Cashflow!AE156</f>
        <v>0</v>
      </c>
      <c r="AF70" s="189">
        <f ca="1">Cashflow!AF156</f>
        <v>0</v>
      </c>
      <c r="AG70" s="189">
        <f ca="1">Cashflow!AG156</f>
        <v>0</v>
      </c>
      <c r="AH70" s="349"/>
      <c r="AI70" s="349"/>
    </row>
    <row r="71" spans="1:35">
      <c r="A71" s="329"/>
      <c r="B71" s="55" t="s">
        <v>847</v>
      </c>
      <c r="C71" s="189">
        <f>C70*-$P$8</f>
        <v>0</v>
      </c>
      <c r="D71" s="189">
        <f t="shared" ref="D71:AG71" si="18">D70*-$P$8</f>
        <v>0</v>
      </c>
      <c r="E71" s="189">
        <f t="shared" si="18"/>
        <v>0</v>
      </c>
      <c r="F71" s="189">
        <f t="shared" si="18"/>
        <v>0</v>
      </c>
      <c r="G71" s="189">
        <f t="shared" si="18"/>
        <v>0</v>
      </c>
      <c r="H71" s="189">
        <f t="shared" si="18"/>
        <v>0</v>
      </c>
      <c r="I71" s="189">
        <f t="shared" si="18"/>
        <v>0</v>
      </c>
      <c r="J71" s="189">
        <f t="shared" si="18"/>
        <v>-8</v>
      </c>
      <c r="K71" s="189">
        <f t="shared" si="18"/>
        <v>-8</v>
      </c>
      <c r="L71" s="189">
        <f t="shared" ca="1" si="18"/>
        <v>-16</v>
      </c>
      <c r="M71" s="189">
        <f t="shared" ca="1" si="18"/>
        <v>-8</v>
      </c>
      <c r="N71" s="189">
        <f t="shared" ca="1" si="18"/>
        <v>-16</v>
      </c>
      <c r="O71" s="189">
        <f t="shared" ca="1" si="18"/>
        <v>0</v>
      </c>
      <c r="P71" s="189">
        <f t="shared" ca="1" si="18"/>
        <v>0</v>
      </c>
      <c r="Q71" s="189">
        <f t="shared" ca="1" si="18"/>
        <v>0</v>
      </c>
      <c r="R71" s="189">
        <f t="shared" ca="1" si="18"/>
        <v>0</v>
      </c>
      <c r="S71" s="189">
        <f t="shared" ca="1" si="18"/>
        <v>0</v>
      </c>
      <c r="T71" s="189">
        <f t="shared" ca="1" si="18"/>
        <v>0</v>
      </c>
      <c r="U71" s="189">
        <f t="shared" ca="1" si="18"/>
        <v>0</v>
      </c>
      <c r="V71" s="189">
        <f t="shared" ca="1" si="18"/>
        <v>0</v>
      </c>
      <c r="W71" s="189">
        <f t="shared" ca="1" si="18"/>
        <v>0</v>
      </c>
      <c r="X71" s="189">
        <f t="shared" ca="1" si="18"/>
        <v>0</v>
      </c>
      <c r="Y71" s="189">
        <f t="shared" ca="1" si="18"/>
        <v>0</v>
      </c>
      <c r="Z71" s="189">
        <f t="shared" ca="1" si="18"/>
        <v>0</v>
      </c>
      <c r="AA71" s="189">
        <f t="shared" ca="1" si="18"/>
        <v>0</v>
      </c>
      <c r="AB71" s="189">
        <f t="shared" ca="1" si="18"/>
        <v>0</v>
      </c>
      <c r="AC71" s="189">
        <f t="shared" ca="1" si="18"/>
        <v>0</v>
      </c>
      <c r="AD71" s="189">
        <f t="shared" ca="1" si="18"/>
        <v>0</v>
      </c>
      <c r="AE71" s="189">
        <f t="shared" ca="1" si="18"/>
        <v>0</v>
      </c>
      <c r="AF71" s="189">
        <f t="shared" ca="1" si="18"/>
        <v>0</v>
      </c>
      <c r="AG71" s="189">
        <f t="shared" ca="1" si="18"/>
        <v>0</v>
      </c>
      <c r="AH71" s="349"/>
      <c r="AI71" s="349"/>
    </row>
    <row r="72" spans="1:35">
      <c r="A72" s="329"/>
      <c r="B72" s="55" t="s">
        <v>776</v>
      </c>
      <c r="C72" s="634">
        <f>Cashflow!C32</f>
        <v>0</v>
      </c>
      <c r="D72" s="634">
        <f>Cashflow!D32</f>
        <v>0</v>
      </c>
      <c r="E72" s="634">
        <f>Cashflow!E32</f>
        <v>0</v>
      </c>
      <c r="F72" s="634">
        <f>Cashflow!F32</f>
        <v>0</v>
      </c>
      <c r="G72" s="634">
        <f>Cashflow!G32</f>
        <v>0</v>
      </c>
      <c r="H72" s="634">
        <f>Cashflow!H32</f>
        <v>0</v>
      </c>
      <c r="I72" s="634">
        <f>Cashflow!I32</f>
        <v>0</v>
      </c>
      <c r="J72" s="634">
        <f>Cashflow!J32</f>
        <v>0</v>
      </c>
      <c r="K72" s="634">
        <f>Cashflow!K32</f>
        <v>8322</v>
      </c>
      <c r="L72" s="634">
        <f ca="1">Cashflow!L32</f>
        <v>16644</v>
      </c>
      <c r="M72" s="634">
        <f ca="1">Cashflow!M32</f>
        <v>24966</v>
      </c>
      <c r="N72" s="634">
        <f ca="1">Cashflow!N32</f>
        <v>33288</v>
      </c>
      <c r="O72" s="634">
        <f ca="1">Cashflow!O32</f>
        <v>40890</v>
      </c>
      <c r="P72" s="634">
        <f ca="1">Cashflow!P32</f>
        <v>47772</v>
      </c>
      <c r="Q72" s="634">
        <f ca="1">Cashflow!Q32</f>
        <v>55374</v>
      </c>
      <c r="R72" s="634">
        <f ca="1">Cashflow!R32</f>
        <v>62256</v>
      </c>
      <c r="S72" s="634">
        <f ca="1">Cashflow!S32</f>
        <v>69858</v>
      </c>
      <c r="T72" s="634">
        <f ca="1">Cashflow!T32</f>
        <v>76740</v>
      </c>
      <c r="U72" s="634">
        <f ca="1">Cashflow!U32</f>
        <v>84342</v>
      </c>
      <c r="V72" s="634">
        <f ca="1">Cashflow!V32</f>
        <v>91224</v>
      </c>
      <c r="W72" s="634">
        <f ca="1">Cashflow!W32</f>
        <v>98826</v>
      </c>
      <c r="X72" s="634">
        <f ca="1">Cashflow!X32</f>
        <v>105708</v>
      </c>
      <c r="Y72" s="634">
        <f ca="1">Cashflow!Y32</f>
        <v>113310</v>
      </c>
      <c r="Z72" s="634">
        <f ca="1">Cashflow!Z32</f>
        <v>120192</v>
      </c>
      <c r="AA72" s="634">
        <f ca="1">Cashflow!AA32</f>
        <v>127794</v>
      </c>
      <c r="AB72" s="634">
        <f ca="1">Cashflow!AB32</f>
        <v>134676</v>
      </c>
      <c r="AC72" s="634">
        <f ca="1">Cashflow!AC32</f>
        <v>142278</v>
      </c>
      <c r="AD72" s="634">
        <f ca="1">Cashflow!AD32</f>
        <v>149160</v>
      </c>
      <c r="AE72" s="634">
        <f ca="1">Cashflow!AE32</f>
        <v>156762</v>
      </c>
      <c r="AF72" s="634">
        <f ca="1">Cashflow!AF32</f>
        <v>163644</v>
      </c>
      <c r="AG72" s="634">
        <f ca="1">Cashflow!AG32</f>
        <v>171246</v>
      </c>
      <c r="AH72" s="349"/>
      <c r="AI72" s="349"/>
    </row>
    <row r="73" spans="1:35">
      <c r="A73" s="329"/>
      <c r="B73" s="55" t="s">
        <v>1894</v>
      </c>
      <c r="C73" s="606">
        <f t="shared" ref="C73:AG73" si="19">FLOOR(C72/$AC$7,1)</f>
        <v>0</v>
      </c>
      <c r="D73" s="606">
        <f t="shared" si="19"/>
        <v>0</v>
      </c>
      <c r="E73" s="606">
        <f t="shared" si="19"/>
        <v>0</v>
      </c>
      <c r="F73" s="606">
        <f t="shared" si="19"/>
        <v>0</v>
      </c>
      <c r="G73" s="606">
        <f t="shared" si="19"/>
        <v>0</v>
      </c>
      <c r="H73" s="606">
        <f t="shared" si="19"/>
        <v>0</v>
      </c>
      <c r="I73" s="606">
        <f t="shared" si="19"/>
        <v>0</v>
      </c>
      <c r="J73" s="606">
        <f t="shared" si="19"/>
        <v>0</v>
      </c>
      <c r="K73" s="606">
        <f t="shared" si="19"/>
        <v>0</v>
      </c>
      <c r="L73" s="606">
        <f t="shared" ca="1" si="19"/>
        <v>0</v>
      </c>
      <c r="M73" s="606">
        <f t="shared" ca="1" si="19"/>
        <v>0</v>
      </c>
      <c r="N73" s="606">
        <f t="shared" ca="1" si="19"/>
        <v>0</v>
      </c>
      <c r="O73" s="606">
        <f t="shared" ca="1" si="19"/>
        <v>0</v>
      </c>
      <c r="P73" s="606">
        <f t="shared" ca="1" si="19"/>
        <v>0</v>
      </c>
      <c r="Q73" s="606">
        <f t="shared" ca="1" si="19"/>
        <v>0</v>
      </c>
      <c r="R73" s="606">
        <f t="shared" ca="1" si="19"/>
        <v>0</v>
      </c>
      <c r="S73" s="606">
        <f t="shared" ca="1" si="19"/>
        <v>0</v>
      </c>
      <c r="T73" s="606">
        <f t="shared" ca="1" si="19"/>
        <v>0</v>
      </c>
      <c r="U73" s="606">
        <f t="shared" ca="1" si="19"/>
        <v>0</v>
      </c>
      <c r="V73" s="606">
        <f t="shared" ca="1" si="19"/>
        <v>0</v>
      </c>
      <c r="W73" s="606">
        <f t="shared" ca="1" si="19"/>
        <v>0</v>
      </c>
      <c r="X73" s="606">
        <f t="shared" ca="1" si="19"/>
        <v>1</v>
      </c>
      <c r="Y73" s="606">
        <f t="shared" ca="1" si="19"/>
        <v>1</v>
      </c>
      <c r="Z73" s="606">
        <f t="shared" ca="1" si="19"/>
        <v>1</v>
      </c>
      <c r="AA73" s="606">
        <f t="shared" ca="1" si="19"/>
        <v>1</v>
      </c>
      <c r="AB73" s="606">
        <f t="shared" ca="1" si="19"/>
        <v>1</v>
      </c>
      <c r="AC73" s="606">
        <f t="shared" ca="1" si="19"/>
        <v>1</v>
      </c>
      <c r="AD73" s="606">
        <f t="shared" ca="1" si="19"/>
        <v>1</v>
      </c>
      <c r="AE73" s="606">
        <f t="shared" ca="1" si="19"/>
        <v>1</v>
      </c>
      <c r="AF73" s="606">
        <f t="shared" ca="1" si="19"/>
        <v>1</v>
      </c>
      <c r="AG73" s="606">
        <f t="shared" ca="1" si="19"/>
        <v>1</v>
      </c>
      <c r="AH73" s="349"/>
      <c r="AI73" s="349"/>
    </row>
    <row r="74" spans="1:35">
      <c r="A74" s="329"/>
      <c r="B74" s="55" t="s">
        <v>1811</v>
      </c>
      <c r="C74" s="40">
        <f>IF(C73=1,-$AC$6,0)</f>
        <v>0</v>
      </c>
      <c r="D74" s="40">
        <f t="shared" ref="D74:AG74" si="20">IF(D73-C73=1,-$AC$6,0)</f>
        <v>0</v>
      </c>
      <c r="E74" s="40">
        <f t="shared" si="20"/>
        <v>0</v>
      </c>
      <c r="F74" s="40">
        <f t="shared" si="20"/>
        <v>0</v>
      </c>
      <c r="G74" s="40">
        <f t="shared" si="20"/>
        <v>0</v>
      </c>
      <c r="H74" s="40">
        <f t="shared" si="20"/>
        <v>0</v>
      </c>
      <c r="I74" s="40">
        <f t="shared" si="20"/>
        <v>0</v>
      </c>
      <c r="J74" s="40">
        <f t="shared" si="20"/>
        <v>0</v>
      </c>
      <c r="K74" s="40">
        <f t="shared" si="20"/>
        <v>0</v>
      </c>
      <c r="L74" s="40">
        <f t="shared" ca="1" si="20"/>
        <v>0</v>
      </c>
      <c r="M74" s="40">
        <f t="shared" ca="1" si="20"/>
        <v>0</v>
      </c>
      <c r="N74" s="40">
        <f t="shared" ca="1" si="20"/>
        <v>0</v>
      </c>
      <c r="O74" s="40">
        <f t="shared" ca="1" si="20"/>
        <v>0</v>
      </c>
      <c r="P74" s="40">
        <f t="shared" ca="1" si="20"/>
        <v>0</v>
      </c>
      <c r="Q74" s="40">
        <f t="shared" ca="1" si="20"/>
        <v>0</v>
      </c>
      <c r="R74" s="40">
        <f t="shared" ca="1" si="20"/>
        <v>0</v>
      </c>
      <c r="S74" s="40">
        <f t="shared" ca="1" si="20"/>
        <v>0</v>
      </c>
      <c r="T74" s="40">
        <f t="shared" ca="1" si="20"/>
        <v>0</v>
      </c>
      <c r="U74" s="40">
        <f t="shared" ca="1" si="20"/>
        <v>0</v>
      </c>
      <c r="V74" s="40">
        <f t="shared" ca="1" si="20"/>
        <v>0</v>
      </c>
      <c r="W74" s="40">
        <f t="shared" ca="1" si="20"/>
        <v>0</v>
      </c>
      <c r="X74" s="40">
        <f t="shared" ca="1" si="20"/>
        <v>-15</v>
      </c>
      <c r="Y74" s="40">
        <f t="shared" ca="1" si="20"/>
        <v>0</v>
      </c>
      <c r="Z74" s="40">
        <f t="shared" ca="1" si="20"/>
        <v>0</v>
      </c>
      <c r="AA74" s="40">
        <f t="shared" ca="1" si="20"/>
        <v>0</v>
      </c>
      <c r="AB74" s="40">
        <f t="shared" ca="1" si="20"/>
        <v>0</v>
      </c>
      <c r="AC74" s="40">
        <f t="shared" ca="1" si="20"/>
        <v>0</v>
      </c>
      <c r="AD74" s="40">
        <f t="shared" ca="1" si="20"/>
        <v>0</v>
      </c>
      <c r="AE74" s="40">
        <f t="shared" ca="1" si="20"/>
        <v>0</v>
      </c>
      <c r="AF74" s="40">
        <f t="shared" ca="1" si="20"/>
        <v>0</v>
      </c>
      <c r="AG74" s="40">
        <f t="shared" ca="1" si="20"/>
        <v>0</v>
      </c>
      <c r="AH74" s="349"/>
      <c r="AI74" s="349"/>
    </row>
    <row r="75" spans="1:35">
      <c r="A75" s="329"/>
      <c r="C75" s="338"/>
      <c r="D75" s="338"/>
      <c r="E75" s="338"/>
      <c r="F75" s="338"/>
      <c r="G75" s="338"/>
      <c r="H75" s="338"/>
      <c r="I75" s="338"/>
      <c r="J75" s="338"/>
      <c r="K75" s="338"/>
      <c r="L75" s="338"/>
      <c r="M75" s="338"/>
      <c r="N75" s="338"/>
      <c r="O75" s="338"/>
      <c r="P75" s="338"/>
      <c r="Q75" s="338"/>
      <c r="R75" s="338"/>
      <c r="S75" s="338"/>
      <c r="T75" s="338"/>
      <c r="U75" s="338"/>
      <c r="V75" s="338"/>
      <c r="W75" s="338"/>
      <c r="X75" s="338"/>
      <c r="Y75" s="338"/>
      <c r="Z75" s="338"/>
      <c r="AA75" s="338"/>
      <c r="AB75" s="338"/>
      <c r="AC75" s="338"/>
      <c r="AD75" s="338"/>
      <c r="AE75" s="338"/>
      <c r="AF75" s="338"/>
      <c r="AG75" s="338"/>
    </row>
    <row r="76" spans="1:35" ht="13.8" thickBot="1">
      <c r="B76" s="345" t="s">
        <v>169</v>
      </c>
      <c r="C76" s="346">
        <f>Cashflow!C$30</f>
        <v>2017</v>
      </c>
      <c r="D76" s="346">
        <f>Cashflow!D$30</f>
        <v>2018</v>
      </c>
      <c r="E76" s="346">
        <f>Cashflow!E$30</f>
        <v>2019</v>
      </c>
      <c r="F76" s="346">
        <f>Cashflow!F$30</f>
        <v>2020</v>
      </c>
      <c r="G76" s="346">
        <f>Cashflow!G$30</f>
        <v>2021</v>
      </c>
      <c r="H76" s="346">
        <f>Cashflow!H$30</f>
        <v>2022</v>
      </c>
      <c r="I76" s="346">
        <f>Cashflow!I$30</f>
        <v>2023</v>
      </c>
      <c r="J76" s="346">
        <f>Cashflow!J$30</f>
        <v>2024</v>
      </c>
      <c r="K76" s="346">
        <f>Cashflow!K$30</f>
        <v>2025</v>
      </c>
      <c r="L76" s="346">
        <f>Cashflow!L$30</f>
        <v>2026</v>
      </c>
      <c r="M76" s="346">
        <f>Cashflow!M$30</f>
        <v>2027</v>
      </c>
      <c r="N76" s="346">
        <f>Cashflow!N$30</f>
        <v>2028</v>
      </c>
      <c r="O76" s="346">
        <f>Cashflow!O$30</f>
        <v>2029</v>
      </c>
      <c r="P76" s="346">
        <f>Cashflow!P$30</f>
        <v>2030</v>
      </c>
      <c r="Q76" s="346">
        <f>Cashflow!Q$30</f>
        <v>2031</v>
      </c>
      <c r="R76" s="346">
        <f>Cashflow!R$30</f>
        <v>2032</v>
      </c>
      <c r="S76" s="346">
        <f>Cashflow!S$30</f>
        <v>2033</v>
      </c>
      <c r="T76" s="346">
        <f>Cashflow!T$30</f>
        <v>2034</v>
      </c>
      <c r="U76" s="346">
        <f>Cashflow!U$30</f>
        <v>2035</v>
      </c>
      <c r="V76" s="346">
        <f>Cashflow!V$30</f>
        <v>2036</v>
      </c>
      <c r="W76" s="346">
        <f>Cashflow!W$30</f>
        <v>2037</v>
      </c>
      <c r="X76" s="346">
        <f>Cashflow!X$30</f>
        <v>2038</v>
      </c>
      <c r="Y76" s="346">
        <f>Cashflow!Y$30</f>
        <v>2039</v>
      </c>
      <c r="Z76" s="346">
        <f>Cashflow!Z$30</f>
        <v>2040</v>
      </c>
      <c r="AA76" s="346">
        <f>Cashflow!AA$30</f>
        <v>2041</v>
      </c>
      <c r="AB76" s="346">
        <f>Cashflow!AB$30</f>
        <v>2042</v>
      </c>
      <c r="AC76" s="346">
        <f>Cashflow!AC$30</f>
        <v>2043</v>
      </c>
      <c r="AD76" s="346">
        <f>Cashflow!AD$30</f>
        <v>2044</v>
      </c>
      <c r="AE76" s="346">
        <f>Cashflow!AE$30</f>
        <v>2045</v>
      </c>
      <c r="AF76" s="346">
        <f>Cashflow!AF$30</f>
        <v>2046</v>
      </c>
      <c r="AG76" s="346">
        <f>Cashflow!AG$30</f>
        <v>2047</v>
      </c>
    </row>
    <row r="77" spans="1:35" ht="13.8" thickTop="1">
      <c r="B77" s="347" t="s">
        <v>131</v>
      </c>
      <c r="C77" s="40">
        <f>Cashflow!C116</f>
        <v>0</v>
      </c>
      <c r="D77" s="40">
        <f>Cashflow!D116</f>
        <v>0</v>
      </c>
      <c r="E77" s="40">
        <f>Cashflow!E116</f>
        <v>0</v>
      </c>
      <c r="F77" s="40">
        <f>Cashflow!F116</f>
        <v>0</v>
      </c>
      <c r="G77" s="40">
        <f>Cashflow!G116</f>
        <v>0</v>
      </c>
      <c r="H77" s="40">
        <f>Cashflow!H116</f>
        <v>0</v>
      </c>
      <c r="I77" s="40">
        <f>Cashflow!I116</f>
        <v>0</v>
      </c>
      <c r="J77" s="40">
        <f>Cashflow!J116</f>
        <v>0</v>
      </c>
      <c r="K77" s="40">
        <f>Cashflow!K116</f>
        <v>0</v>
      </c>
      <c r="L77" s="40">
        <f ca="1">Cashflow!L116</f>
        <v>0</v>
      </c>
      <c r="M77" s="40">
        <f ca="1">Cashflow!M116</f>
        <v>0</v>
      </c>
      <c r="N77" s="40">
        <f ca="1">Cashflow!N116</f>
        <v>0</v>
      </c>
      <c r="O77" s="40">
        <f ca="1">Cashflow!O116</f>
        <v>0</v>
      </c>
      <c r="P77" s="40">
        <f ca="1">Cashflow!P116</f>
        <v>0</v>
      </c>
      <c r="Q77" s="40">
        <f ca="1">Cashflow!Q116</f>
        <v>0</v>
      </c>
      <c r="R77" s="40">
        <f ca="1">Cashflow!R116</f>
        <v>0</v>
      </c>
      <c r="S77" s="40">
        <f ca="1">Cashflow!S116</f>
        <v>0</v>
      </c>
      <c r="T77" s="40">
        <f ca="1">Cashflow!T116</f>
        <v>0</v>
      </c>
      <c r="U77" s="40">
        <f ca="1">Cashflow!U116</f>
        <v>0</v>
      </c>
      <c r="V77" s="40">
        <f ca="1">Cashflow!V116</f>
        <v>0</v>
      </c>
      <c r="W77" s="40">
        <f ca="1">Cashflow!W116</f>
        <v>0</v>
      </c>
      <c r="X77" s="40">
        <f ca="1">Cashflow!X116</f>
        <v>0</v>
      </c>
      <c r="Y77" s="40">
        <f ca="1">Cashflow!Y116</f>
        <v>0</v>
      </c>
      <c r="Z77" s="40">
        <f ca="1">Cashflow!Z116</f>
        <v>0</v>
      </c>
      <c r="AA77" s="40">
        <f ca="1">Cashflow!AA116</f>
        <v>0</v>
      </c>
      <c r="AB77" s="40">
        <f ca="1">Cashflow!AB116</f>
        <v>0</v>
      </c>
      <c r="AC77" s="40">
        <f ca="1">Cashflow!AC116</f>
        <v>0</v>
      </c>
      <c r="AD77" s="40">
        <f ca="1">Cashflow!AD116</f>
        <v>0</v>
      </c>
      <c r="AE77" s="40">
        <f ca="1">Cashflow!AE116</f>
        <v>0</v>
      </c>
      <c r="AF77" s="40">
        <f ca="1">Cashflow!AF116</f>
        <v>0</v>
      </c>
      <c r="AG77" s="40">
        <f ca="1">Cashflow!AG116</f>
        <v>0</v>
      </c>
      <c r="AH77" s="352">
        <f ca="1">SUM(C77:AG77)</f>
        <v>0</v>
      </c>
      <c r="AI77" s="353" t="s">
        <v>279</v>
      </c>
    </row>
    <row r="78" spans="1:35">
      <c r="B78" s="338"/>
    </row>
    <row r="79" spans="1:35" ht="13.8" thickBot="1">
      <c r="B79" s="345" t="s">
        <v>168</v>
      </c>
      <c r="C79" s="346">
        <f>Cashflow!C$30</f>
        <v>2017</v>
      </c>
      <c r="D79" s="346">
        <f>Cashflow!D$30</f>
        <v>2018</v>
      </c>
      <c r="E79" s="346">
        <f>Cashflow!E$30</f>
        <v>2019</v>
      </c>
      <c r="F79" s="346">
        <f>Cashflow!F$30</f>
        <v>2020</v>
      </c>
      <c r="G79" s="346">
        <f>Cashflow!G$30</f>
        <v>2021</v>
      </c>
      <c r="H79" s="346">
        <f>Cashflow!H$30</f>
        <v>2022</v>
      </c>
      <c r="I79" s="346">
        <f>Cashflow!I$30</f>
        <v>2023</v>
      </c>
      <c r="J79" s="346">
        <f>Cashflow!J$30</f>
        <v>2024</v>
      </c>
      <c r="K79" s="346">
        <f>Cashflow!K$30</f>
        <v>2025</v>
      </c>
      <c r="L79" s="346">
        <f>Cashflow!L$30</f>
        <v>2026</v>
      </c>
      <c r="M79" s="346">
        <f>Cashflow!M$30</f>
        <v>2027</v>
      </c>
      <c r="N79" s="346">
        <f>Cashflow!N$30</f>
        <v>2028</v>
      </c>
      <c r="O79" s="346">
        <f>Cashflow!O$30</f>
        <v>2029</v>
      </c>
      <c r="P79" s="346">
        <f>Cashflow!P$30</f>
        <v>2030</v>
      </c>
      <c r="Q79" s="346">
        <f>Cashflow!Q$30</f>
        <v>2031</v>
      </c>
      <c r="R79" s="346">
        <f>Cashflow!R$30</f>
        <v>2032</v>
      </c>
      <c r="S79" s="346">
        <f>Cashflow!S$30</f>
        <v>2033</v>
      </c>
      <c r="T79" s="346">
        <f>Cashflow!T$30</f>
        <v>2034</v>
      </c>
      <c r="U79" s="346">
        <f>Cashflow!U$30</f>
        <v>2035</v>
      </c>
      <c r="V79" s="346">
        <f>Cashflow!V$30</f>
        <v>2036</v>
      </c>
      <c r="W79" s="346">
        <f>Cashflow!W$30</f>
        <v>2037</v>
      </c>
      <c r="X79" s="346">
        <f>Cashflow!X$30</f>
        <v>2038</v>
      </c>
      <c r="Y79" s="346">
        <f>Cashflow!Y$30</f>
        <v>2039</v>
      </c>
      <c r="Z79" s="346">
        <f>Cashflow!Z$30</f>
        <v>2040</v>
      </c>
      <c r="AA79" s="346">
        <f>Cashflow!AA$30</f>
        <v>2041</v>
      </c>
      <c r="AB79" s="346">
        <f>Cashflow!AB$30</f>
        <v>2042</v>
      </c>
      <c r="AC79" s="346">
        <f>Cashflow!AC$30</f>
        <v>2043</v>
      </c>
      <c r="AD79" s="346">
        <f>Cashflow!AD$30</f>
        <v>2044</v>
      </c>
      <c r="AE79" s="346">
        <f>Cashflow!AE$30</f>
        <v>2045</v>
      </c>
      <c r="AF79" s="346">
        <f>Cashflow!AF$30</f>
        <v>2046</v>
      </c>
      <c r="AG79" s="346">
        <f>Cashflow!AG$30</f>
        <v>2047</v>
      </c>
    </row>
    <row r="80" spans="1:35" ht="13.8" thickTop="1">
      <c r="B80" s="354" t="s">
        <v>1184</v>
      </c>
      <c r="C80" s="40">
        <f>C64+C50+C38+C27+C18</f>
        <v>-0.5</v>
      </c>
      <c r="D80" s="40">
        <f t="shared" ref="D80:AG80" si="21">D64+D50+D38+D27+D18</f>
        <v>-1</v>
      </c>
      <c r="E80" s="40">
        <f t="shared" si="21"/>
        <v>0</v>
      </c>
      <c r="F80" s="40">
        <f t="shared" si="21"/>
        <v>0</v>
      </c>
      <c r="G80" s="40">
        <f t="shared" si="21"/>
        <v>0</v>
      </c>
      <c r="H80" s="40">
        <f t="shared" si="21"/>
        <v>0</v>
      </c>
      <c r="I80" s="40">
        <f t="shared" si="21"/>
        <v>0</v>
      </c>
      <c r="J80" s="40">
        <f t="shared" si="21"/>
        <v>0</v>
      </c>
      <c r="K80" s="40">
        <f t="shared" si="21"/>
        <v>0</v>
      </c>
      <c r="L80" s="40">
        <f t="shared" ca="1" si="21"/>
        <v>0</v>
      </c>
      <c r="M80" s="40">
        <f t="shared" ca="1" si="21"/>
        <v>0</v>
      </c>
      <c r="N80" s="40">
        <f t="shared" ca="1" si="21"/>
        <v>0</v>
      </c>
      <c r="O80" s="40">
        <f t="shared" ca="1" si="21"/>
        <v>0</v>
      </c>
      <c r="P80" s="40">
        <f t="shared" ca="1" si="21"/>
        <v>0</v>
      </c>
      <c r="Q80" s="40">
        <f t="shared" ca="1" si="21"/>
        <v>0</v>
      </c>
      <c r="R80" s="40">
        <f t="shared" ca="1" si="21"/>
        <v>0</v>
      </c>
      <c r="S80" s="40">
        <f t="shared" ca="1" si="21"/>
        <v>0</v>
      </c>
      <c r="T80" s="40">
        <f t="shared" ca="1" si="21"/>
        <v>0</v>
      </c>
      <c r="U80" s="40">
        <f t="shared" ca="1" si="21"/>
        <v>0</v>
      </c>
      <c r="V80" s="40">
        <f t="shared" ca="1" si="21"/>
        <v>0</v>
      </c>
      <c r="W80" s="40">
        <f t="shared" ca="1" si="21"/>
        <v>0</v>
      </c>
      <c r="X80" s="40">
        <f t="shared" ca="1" si="21"/>
        <v>0</v>
      </c>
      <c r="Y80" s="40">
        <f t="shared" ca="1" si="21"/>
        <v>0</v>
      </c>
      <c r="Z80" s="40">
        <f t="shared" ca="1" si="21"/>
        <v>0</v>
      </c>
      <c r="AA80" s="40">
        <f t="shared" ca="1" si="21"/>
        <v>0</v>
      </c>
      <c r="AB80" s="40">
        <f t="shared" ca="1" si="21"/>
        <v>0</v>
      </c>
      <c r="AC80" s="40">
        <f t="shared" ca="1" si="21"/>
        <v>0</v>
      </c>
      <c r="AD80" s="40">
        <f t="shared" ca="1" si="21"/>
        <v>0</v>
      </c>
      <c r="AE80" s="40">
        <f t="shared" ca="1" si="21"/>
        <v>0</v>
      </c>
      <c r="AF80" s="40">
        <f t="shared" ca="1" si="21"/>
        <v>0</v>
      </c>
      <c r="AG80" s="40">
        <f t="shared" ca="1" si="21"/>
        <v>0</v>
      </c>
    </row>
    <row r="81" spans="2:34">
      <c r="B81" s="354" t="s">
        <v>183</v>
      </c>
      <c r="C81" s="40">
        <f>C14+C22+C33+C44+C58+C77</f>
        <v>-15.5</v>
      </c>
      <c r="D81" s="40">
        <f t="shared" ref="D81:AG81" si="22">D14+D22+D33+D44+D58+D77</f>
        <v>-11</v>
      </c>
      <c r="E81" s="40">
        <f t="shared" si="22"/>
        <v>-5</v>
      </c>
      <c r="F81" s="40">
        <f t="shared" si="22"/>
        <v>-37</v>
      </c>
      <c r="G81" s="40">
        <f t="shared" si="22"/>
        <v>-131</v>
      </c>
      <c r="H81" s="40">
        <f t="shared" si="22"/>
        <v>-80</v>
      </c>
      <c r="I81" s="40">
        <f t="shared" si="22"/>
        <v>-55.5</v>
      </c>
      <c r="J81" s="40">
        <f t="shared" si="22"/>
        <v>-42.5</v>
      </c>
      <c r="K81" s="40">
        <f t="shared" si="22"/>
        <v>-38.5</v>
      </c>
      <c r="L81" s="40">
        <f t="shared" ca="1" si="22"/>
        <v>-35</v>
      </c>
      <c r="M81" s="40">
        <f t="shared" ca="1" si="22"/>
        <v>-22.5</v>
      </c>
      <c r="N81" s="40">
        <f t="shared" ca="1" si="22"/>
        <v>-32</v>
      </c>
      <c r="O81" s="40">
        <f t="shared" ca="1" si="22"/>
        <v>0</v>
      </c>
      <c r="P81" s="40">
        <f t="shared" ca="1" si="22"/>
        <v>0</v>
      </c>
      <c r="Q81" s="40">
        <f t="shared" ca="1" si="22"/>
        <v>0</v>
      </c>
      <c r="R81" s="40">
        <f t="shared" ca="1" si="22"/>
        <v>0</v>
      </c>
      <c r="S81" s="40">
        <f t="shared" ca="1" si="22"/>
        <v>0</v>
      </c>
      <c r="T81" s="40">
        <f t="shared" ca="1" si="22"/>
        <v>0</v>
      </c>
      <c r="U81" s="40">
        <f t="shared" ca="1" si="22"/>
        <v>0</v>
      </c>
      <c r="V81" s="40">
        <f t="shared" ca="1" si="22"/>
        <v>0</v>
      </c>
      <c r="W81" s="40">
        <f t="shared" ca="1" si="22"/>
        <v>0</v>
      </c>
      <c r="X81" s="40">
        <f t="shared" ca="1" si="22"/>
        <v>-15</v>
      </c>
      <c r="Y81" s="40">
        <f t="shared" ca="1" si="22"/>
        <v>0</v>
      </c>
      <c r="Z81" s="40">
        <f t="shared" ca="1" si="22"/>
        <v>0</v>
      </c>
      <c r="AA81" s="40">
        <f t="shared" ca="1" si="22"/>
        <v>0</v>
      </c>
      <c r="AB81" s="40">
        <f t="shared" ca="1" si="22"/>
        <v>0</v>
      </c>
      <c r="AC81" s="40">
        <f t="shared" ca="1" si="22"/>
        <v>0</v>
      </c>
      <c r="AD81" s="40">
        <f t="shared" ca="1" si="22"/>
        <v>0</v>
      </c>
      <c r="AE81" s="40">
        <f t="shared" ca="1" si="22"/>
        <v>0</v>
      </c>
      <c r="AF81" s="40">
        <f t="shared" ca="1" si="22"/>
        <v>0</v>
      </c>
      <c r="AG81" s="40">
        <f t="shared" ca="1" si="22"/>
        <v>0</v>
      </c>
    </row>
    <row r="84" spans="2:34">
      <c r="K84" s="604"/>
      <c r="L84" s="604"/>
      <c r="M84" s="604"/>
      <c r="N84" s="604"/>
      <c r="O84" s="604"/>
      <c r="P84" s="604"/>
      <c r="Q84" s="604"/>
      <c r="R84" s="604"/>
      <c r="S84" s="604"/>
    </row>
    <row r="85" spans="2:34">
      <c r="I85" s="604"/>
      <c r="J85" s="604"/>
      <c r="K85" s="604"/>
      <c r="L85" s="604"/>
      <c r="M85" s="604"/>
      <c r="N85" s="604"/>
      <c r="O85" s="604"/>
      <c r="P85" s="604"/>
      <c r="Q85" s="604"/>
      <c r="R85" s="604"/>
      <c r="S85" s="604"/>
    </row>
    <row r="86" spans="2:34">
      <c r="AH86" s="355"/>
    </row>
    <row r="88" spans="2:34">
      <c r="J88" s="605"/>
      <c r="K88" s="605"/>
      <c r="L88" s="605"/>
    </row>
    <row r="89" spans="2:34">
      <c r="J89" s="605"/>
      <c r="K89" s="605"/>
      <c r="L89" s="605"/>
    </row>
  </sheetData>
  <conditionalFormatting sqref="C5">
    <cfRule type="cellIs" dxfId="91" priority="39" stopIfTrue="1" operator="equal">
      <formula>0</formula>
    </cfRule>
  </conditionalFormatting>
  <conditionalFormatting sqref="V5 C77:AG77 P5 P9 C81:AG81 C15:AG19 C23:AG29 C34:AG39 C45:AG55 C59:AG71">
    <cfRule type="cellIs" dxfId="90" priority="38" operator="equal">
      <formula>0</formula>
    </cfRule>
  </conditionalFormatting>
  <conditionalFormatting sqref="V6">
    <cfRule type="cellIs" dxfId="89" priority="37" stopIfTrue="1" operator="equal">
      <formula>0</formula>
    </cfRule>
  </conditionalFormatting>
  <conditionalFormatting sqref="V6">
    <cfRule type="cellIs" dxfId="88" priority="36" stopIfTrue="1" operator="equal">
      <formula>0</formula>
    </cfRule>
  </conditionalFormatting>
  <conditionalFormatting sqref="P7">
    <cfRule type="cellIs" dxfId="87" priority="35" operator="equal">
      <formula>0</formula>
    </cfRule>
  </conditionalFormatting>
  <conditionalFormatting sqref="P6">
    <cfRule type="cellIs" dxfId="86" priority="34" operator="equal">
      <formula>0</formula>
    </cfRule>
  </conditionalFormatting>
  <conditionalFormatting sqref="C16:AG19 C24:AG28 C35:AG39 C46:AG52 C54:AG54 C60:AG67">
    <cfRule type="cellIs" dxfId="85" priority="33" operator="equal">
      <formula>0</formula>
    </cfRule>
  </conditionalFormatting>
  <conditionalFormatting sqref="C44:AG44">
    <cfRule type="cellIs" dxfId="84" priority="28" operator="equal">
      <formula>0</formula>
    </cfRule>
  </conditionalFormatting>
  <conditionalFormatting sqref="J5">
    <cfRule type="cellIs" dxfId="83" priority="25" operator="equal">
      <formula>0</formula>
    </cfRule>
  </conditionalFormatting>
  <conditionalFormatting sqref="C33:AG33">
    <cfRule type="cellIs" dxfId="82" priority="24" operator="equal">
      <formula>0</formula>
    </cfRule>
  </conditionalFormatting>
  <conditionalFormatting sqref="C22:AG22">
    <cfRule type="cellIs" dxfId="81" priority="23" operator="equal">
      <formula>0</formula>
    </cfRule>
  </conditionalFormatting>
  <conditionalFormatting sqref="J8">
    <cfRule type="cellIs" dxfId="80" priority="21" operator="equal">
      <formula>0</formula>
    </cfRule>
  </conditionalFormatting>
  <conditionalFormatting sqref="C30:AG30">
    <cfRule type="cellIs" dxfId="79" priority="20" operator="equal">
      <formula>0</formula>
    </cfRule>
  </conditionalFormatting>
  <conditionalFormatting sqref="C14:AG14">
    <cfRule type="cellIs" dxfId="78" priority="16" operator="equal">
      <formula>0</formula>
    </cfRule>
  </conditionalFormatting>
  <conditionalFormatting sqref="AC5">
    <cfRule type="cellIs" dxfId="77" priority="14" operator="equal">
      <formula>0</formula>
    </cfRule>
  </conditionalFormatting>
  <conditionalFormatting sqref="AC7">
    <cfRule type="cellIs" dxfId="76" priority="13" stopIfTrue="1" operator="equal">
      <formula>0</formula>
    </cfRule>
  </conditionalFormatting>
  <conditionalFormatting sqref="AC7">
    <cfRule type="cellIs" dxfId="75" priority="12" stopIfTrue="1" operator="equal">
      <formula>0</formula>
    </cfRule>
  </conditionalFormatting>
  <conditionalFormatting sqref="AC6">
    <cfRule type="cellIs" dxfId="74" priority="11" operator="equal">
      <formula>0</formula>
    </cfRule>
  </conditionalFormatting>
  <conditionalFormatting sqref="C72:AG72">
    <cfRule type="cellIs" dxfId="73" priority="10" operator="equal">
      <formula>0</formula>
    </cfRule>
  </conditionalFormatting>
  <conditionalFormatting sqref="C73:AG73">
    <cfRule type="cellIs" dxfId="72" priority="8" operator="equal">
      <formula>0</formula>
    </cfRule>
  </conditionalFormatting>
  <conditionalFormatting sqref="C40:AG40">
    <cfRule type="cellIs" dxfId="71" priority="7" operator="equal">
      <formula>0</formula>
    </cfRule>
  </conditionalFormatting>
  <conditionalFormatting sqref="C41:AG41">
    <cfRule type="cellIs" dxfId="70" priority="6" operator="equal">
      <formula>0</formula>
    </cfRule>
  </conditionalFormatting>
  <conditionalFormatting sqref="P8">
    <cfRule type="cellIs" dxfId="69" priority="5" operator="equal">
      <formula>0</formula>
    </cfRule>
  </conditionalFormatting>
  <conditionalFormatting sqref="C74:AG74">
    <cfRule type="cellIs" dxfId="68" priority="3" operator="equal">
      <formula>0</formula>
    </cfRule>
  </conditionalFormatting>
  <conditionalFormatting sqref="C80:AG80">
    <cfRule type="cellIs" dxfId="67" priority="2" operator="equal">
      <formula>0</formula>
    </cfRule>
  </conditionalFormatting>
  <conditionalFormatting sqref="C58:AG58">
    <cfRule type="cellIs" dxfId="66" priority="1" operator="equal">
      <formula>0</formula>
    </cfRule>
  </conditionalFormatting>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CCFFCC"/>
  </sheetPr>
  <dimension ref="A1:AJ53"/>
  <sheetViews>
    <sheetView workbookViewId="0"/>
  </sheetViews>
  <sheetFormatPr defaultRowHeight="13.2"/>
  <cols>
    <col min="1" max="1" width="3" style="60" customWidth="1"/>
    <col min="2" max="2" width="31.33203125" style="60" customWidth="1"/>
    <col min="3" max="33" width="10.6640625" style="60" customWidth="1"/>
    <col min="34" max="256" width="9.33203125" style="60"/>
    <col min="257" max="257" width="3" style="60" customWidth="1"/>
    <col min="258" max="258" width="31.33203125" style="60" customWidth="1"/>
    <col min="259" max="260" width="9.33203125" style="60" bestFit="1" customWidth="1"/>
    <col min="261" max="269" width="9.5546875" style="60" bestFit="1" customWidth="1"/>
    <col min="270" max="512" width="9.33203125" style="60"/>
    <col min="513" max="513" width="3" style="60" customWidth="1"/>
    <col min="514" max="514" width="31.33203125" style="60" customWidth="1"/>
    <col min="515" max="516" width="9.33203125" style="60" bestFit="1" customWidth="1"/>
    <col min="517" max="525" width="9.5546875" style="60" bestFit="1" customWidth="1"/>
    <col min="526" max="768" width="9.33203125" style="60"/>
    <col min="769" max="769" width="3" style="60" customWidth="1"/>
    <col min="770" max="770" width="31.33203125" style="60" customWidth="1"/>
    <col min="771" max="772" width="9.33203125" style="60" bestFit="1" customWidth="1"/>
    <col min="773" max="781" width="9.5546875" style="60" bestFit="1" customWidth="1"/>
    <col min="782" max="1024" width="9.33203125" style="60"/>
    <col min="1025" max="1025" width="3" style="60" customWidth="1"/>
    <col min="1026" max="1026" width="31.33203125" style="60" customWidth="1"/>
    <col min="1027" max="1028" width="9.33203125" style="60" bestFit="1" customWidth="1"/>
    <col min="1029" max="1037" width="9.5546875" style="60" bestFit="1" customWidth="1"/>
    <col min="1038" max="1280" width="9.33203125" style="60"/>
    <col min="1281" max="1281" width="3" style="60" customWidth="1"/>
    <col min="1282" max="1282" width="31.33203125" style="60" customWidth="1"/>
    <col min="1283" max="1284" width="9.33203125" style="60" bestFit="1" customWidth="1"/>
    <col min="1285" max="1293" width="9.5546875" style="60" bestFit="1" customWidth="1"/>
    <col min="1294" max="1536" width="9.33203125" style="60"/>
    <col min="1537" max="1537" width="3" style="60" customWidth="1"/>
    <col min="1538" max="1538" width="31.33203125" style="60" customWidth="1"/>
    <col min="1539" max="1540" width="9.33203125" style="60" bestFit="1" customWidth="1"/>
    <col min="1541" max="1549" width="9.5546875" style="60" bestFit="1" customWidth="1"/>
    <col min="1550" max="1792" width="9.33203125" style="60"/>
    <col min="1793" max="1793" width="3" style="60" customWidth="1"/>
    <col min="1794" max="1794" width="31.33203125" style="60" customWidth="1"/>
    <col min="1795" max="1796" width="9.33203125" style="60" bestFit="1" customWidth="1"/>
    <col min="1797" max="1805" width="9.5546875" style="60" bestFit="1" customWidth="1"/>
    <col min="1806" max="2048" width="9.33203125" style="60"/>
    <col min="2049" max="2049" width="3" style="60" customWidth="1"/>
    <col min="2050" max="2050" width="31.33203125" style="60" customWidth="1"/>
    <col min="2051" max="2052" width="9.33203125" style="60" bestFit="1" customWidth="1"/>
    <col min="2053" max="2061" width="9.5546875" style="60" bestFit="1" customWidth="1"/>
    <col min="2062" max="2304" width="9.33203125" style="60"/>
    <col min="2305" max="2305" width="3" style="60" customWidth="1"/>
    <col min="2306" max="2306" width="31.33203125" style="60" customWidth="1"/>
    <col min="2307" max="2308" width="9.33203125" style="60" bestFit="1" customWidth="1"/>
    <col min="2309" max="2317" width="9.5546875" style="60" bestFit="1" customWidth="1"/>
    <col min="2318" max="2560" width="9.33203125" style="60"/>
    <col min="2561" max="2561" width="3" style="60" customWidth="1"/>
    <col min="2562" max="2562" width="31.33203125" style="60" customWidth="1"/>
    <col min="2563" max="2564" width="9.33203125" style="60" bestFit="1" customWidth="1"/>
    <col min="2565" max="2573" width="9.5546875" style="60" bestFit="1" customWidth="1"/>
    <col min="2574" max="2816" width="9.33203125" style="60"/>
    <col min="2817" max="2817" width="3" style="60" customWidth="1"/>
    <col min="2818" max="2818" width="31.33203125" style="60" customWidth="1"/>
    <col min="2819" max="2820" width="9.33203125" style="60" bestFit="1" customWidth="1"/>
    <col min="2821" max="2829" width="9.5546875" style="60" bestFit="1" customWidth="1"/>
    <col min="2830" max="3072" width="9.33203125" style="60"/>
    <col min="3073" max="3073" width="3" style="60" customWidth="1"/>
    <col min="3074" max="3074" width="31.33203125" style="60" customWidth="1"/>
    <col min="3075" max="3076" width="9.33203125" style="60" bestFit="1" customWidth="1"/>
    <col min="3077" max="3085" width="9.5546875" style="60" bestFit="1" customWidth="1"/>
    <col min="3086" max="3328" width="9.33203125" style="60"/>
    <col min="3329" max="3329" width="3" style="60" customWidth="1"/>
    <col min="3330" max="3330" width="31.33203125" style="60" customWidth="1"/>
    <col min="3331" max="3332" width="9.33203125" style="60" bestFit="1" customWidth="1"/>
    <col min="3333" max="3341" width="9.5546875" style="60" bestFit="1" customWidth="1"/>
    <col min="3342" max="3584" width="9.33203125" style="60"/>
    <col min="3585" max="3585" width="3" style="60" customWidth="1"/>
    <col min="3586" max="3586" width="31.33203125" style="60" customWidth="1"/>
    <col min="3587" max="3588" width="9.33203125" style="60" bestFit="1" customWidth="1"/>
    <col min="3589" max="3597" width="9.5546875" style="60" bestFit="1" customWidth="1"/>
    <col min="3598" max="3840" width="9.33203125" style="60"/>
    <col min="3841" max="3841" width="3" style="60" customWidth="1"/>
    <col min="3842" max="3842" width="31.33203125" style="60" customWidth="1"/>
    <col min="3843" max="3844" width="9.33203125" style="60" bestFit="1" customWidth="1"/>
    <col min="3845" max="3853" width="9.5546875" style="60" bestFit="1" customWidth="1"/>
    <col min="3854" max="4096" width="9.33203125" style="60"/>
    <col min="4097" max="4097" width="3" style="60" customWidth="1"/>
    <col min="4098" max="4098" width="31.33203125" style="60" customWidth="1"/>
    <col min="4099" max="4100" width="9.33203125" style="60" bestFit="1" customWidth="1"/>
    <col min="4101" max="4109" width="9.5546875" style="60" bestFit="1" customWidth="1"/>
    <col min="4110" max="4352" width="9.33203125" style="60"/>
    <col min="4353" max="4353" width="3" style="60" customWidth="1"/>
    <col min="4354" max="4354" width="31.33203125" style="60" customWidth="1"/>
    <col min="4355" max="4356" width="9.33203125" style="60" bestFit="1" customWidth="1"/>
    <col min="4357" max="4365" width="9.5546875" style="60" bestFit="1" customWidth="1"/>
    <col min="4366" max="4608" width="9.33203125" style="60"/>
    <col min="4609" max="4609" width="3" style="60" customWidth="1"/>
    <col min="4610" max="4610" width="31.33203125" style="60" customWidth="1"/>
    <col min="4611" max="4612" width="9.33203125" style="60" bestFit="1" customWidth="1"/>
    <col min="4613" max="4621" width="9.5546875" style="60" bestFit="1" customWidth="1"/>
    <col min="4622" max="4864" width="9.33203125" style="60"/>
    <col min="4865" max="4865" width="3" style="60" customWidth="1"/>
    <col min="4866" max="4866" width="31.33203125" style="60" customWidth="1"/>
    <col min="4867" max="4868" width="9.33203125" style="60" bestFit="1" customWidth="1"/>
    <col min="4869" max="4877" width="9.5546875" style="60" bestFit="1" customWidth="1"/>
    <col min="4878" max="5120" width="9.33203125" style="60"/>
    <col min="5121" max="5121" width="3" style="60" customWidth="1"/>
    <col min="5122" max="5122" width="31.33203125" style="60" customWidth="1"/>
    <col min="5123" max="5124" width="9.33203125" style="60" bestFit="1" customWidth="1"/>
    <col min="5125" max="5133" width="9.5546875" style="60" bestFit="1" customWidth="1"/>
    <col min="5134" max="5376" width="9.33203125" style="60"/>
    <col min="5377" max="5377" width="3" style="60" customWidth="1"/>
    <col min="5378" max="5378" width="31.33203125" style="60" customWidth="1"/>
    <col min="5379" max="5380" width="9.33203125" style="60" bestFit="1" customWidth="1"/>
    <col min="5381" max="5389" width="9.5546875" style="60" bestFit="1" customWidth="1"/>
    <col min="5390" max="5632" width="9.33203125" style="60"/>
    <col min="5633" max="5633" width="3" style="60" customWidth="1"/>
    <col min="5634" max="5634" width="31.33203125" style="60" customWidth="1"/>
    <col min="5635" max="5636" width="9.33203125" style="60" bestFit="1" customWidth="1"/>
    <col min="5637" max="5645" width="9.5546875" style="60" bestFit="1" customWidth="1"/>
    <col min="5646" max="5888" width="9.33203125" style="60"/>
    <col min="5889" max="5889" width="3" style="60" customWidth="1"/>
    <col min="5890" max="5890" width="31.33203125" style="60" customWidth="1"/>
    <col min="5891" max="5892" width="9.33203125" style="60" bestFit="1" customWidth="1"/>
    <col min="5893" max="5901" width="9.5546875" style="60" bestFit="1" customWidth="1"/>
    <col min="5902" max="6144" width="9.33203125" style="60"/>
    <col min="6145" max="6145" width="3" style="60" customWidth="1"/>
    <col min="6146" max="6146" width="31.33203125" style="60" customWidth="1"/>
    <col min="6147" max="6148" width="9.33203125" style="60" bestFit="1" customWidth="1"/>
    <col min="6149" max="6157" width="9.5546875" style="60" bestFit="1" customWidth="1"/>
    <col min="6158" max="6400" width="9.33203125" style="60"/>
    <col min="6401" max="6401" width="3" style="60" customWidth="1"/>
    <col min="6402" max="6402" width="31.33203125" style="60" customWidth="1"/>
    <col min="6403" max="6404" width="9.33203125" style="60" bestFit="1" customWidth="1"/>
    <col min="6405" max="6413" width="9.5546875" style="60" bestFit="1" customWidth="1"/>
    <col min="6414" max="6656" width="9.33203125" style="60"/>
    <col min="6657" max="6657" width="3" style="60" customWidth="1"/>
    <col min="6658" max="6658" width="31.33203125" style="60" customWidth="1"/>
    <col min="6659" max="6660" width="9.33203125" style="60" bestFit="1" customWidth="1"/>
    <col min="6661" max="6669" width="9.5546875" style="60" bestFit="1" customWidth="1"/>
    <col min="6670" max="6912" width="9.33203125" style="60"/>
    <col min="6913" max="6913" width="3" style="60" customWidth="1"/>
    <col min="6914" max="6914" width="31.33203125" style="60" customWidth="1"/>
    <col min="6915" max="6916" width="9.33203125" style="60" bestFit="1" customWidth="1"/>
    <col min="6917" max="6925" width="9.5546875" style="60" bestFit="1" customWidth="1"/>
    <col min="6926" max="7168" width="9.33203125" style="60"/>
    <col min="7169" max="7169" width="3" style="60" customWidth="1"/>
    <col min="7170" max="7170" width="31.33203125" style="60" customWidth="1"/>
    <col min="7171" max="7172" width="9.33203125" style="60" bestFit="1" customWidth="1"/>
    <col min="7173" max="7181" width="9.5546875" style="60" bestFit="1" customWidth="1"/>
    <col min="7182" max="7424" width="9.33203125" style="60"/>
    <col min="7425" max="7425" width="3" style="60" customWidth="1"/>
    <col min="7426" max="7426" width="31.33203125" style="60" customWidth="1"/>
    <col min="7427" max="7428" width="9.33203125" style="60" bestFit="1" customWidth="1"/>
    <col min="7429" max="7437" width="9.5546875" style="60" bestFit="1" customWidth="1"/>
    <col min="7438" max="7680" width="9.33203125" style="60"/>
    <col min="7681" max="7681" width="3" style="60" customWidth="1"/>
    <col min="7682" max="7682" width="31.33203125" style="60" customWidth="1"/>
    <col min="7683" max="7684" width="9.33203125" style="60" bestFit="1" customWidth="1"/>
    <col min="7685" max="7693" width="9.5546875" style="60" bestFit="1" customWidth="1"/>
    <col min="7694" max="7936" width="9.33203125" style="60"/>
    <col min="7937" max="7937" width="3" style="60" customWidth="1"/>
    <col min="7938" max="7938" width="31.33203125" style="60" customWidth="1"/>
    <col min="7939" max="7940" width="9.33203125" style="60" bestFit="1" customWidth="1"/>
    <col min="7941" max="7949" width="9.5546875" style="60" bestFit="1" customWidth="1"/>
    <col min="7950" max="8192" width="9.33203125" style="60"/>
    <col min="8193" max="8193" width="3" style="60" customWidth="1"/>
    <col min="8194" max="8194" width="31.33203125" style="60" customWidth="1"/>
    <col min="8195" max="8196" width="9.33203125" style="60" bestFit="1" customWidth="1"/>
    <col min="8197" max="8205" width="9.5546875" style="60" bestFit="1" customWidth="1"/>
    <col min="8206" max="8448" width="9.33203125" style="60"/>
    <col min="8449" max="8449" width="3" style="60" customWidth="1"/>
    <col min="8450" max="8450" width="31.33203125" style="60" customWidth="1"/>
    <col min="8451" max="8452" width="9.33203125" style="60" bestFit="1" customWidth="1"/>
    <col min="8453" max="8461" width="9.5546875" style="60" bestFit="1" customWidth="1"/>
    <col min="8462" max="8704" width="9.33203125" style="60"/>
    <col min="8705" max="8705" width="3" style="60" customWidth="1"/>
    <col min="8706" max="8706" width="31.33203125" style="60" customWidth="1"/>
    <col min="8707" max="8708" width="9.33203125" style="60" bestFit="1" customWidth="1"/>
    <col min="8709" max="8717" width="9.5546875" style="60" bestFit="1" customWidth="1"/>
    <col min="8718" max="8960" width="9.33203125" style="60"/>
    <col min="8961" max="8961" width="3" style="60" customWidth="1"/>
    <col min="8962" max="8962" width="31.33203125" style="60" customWidth="1"/>
    <col min="8963" max="8964" width="9.33203125" style="60" bestFit="1" customWidth="1"/>
    <col min="8965" max="8973" width="9.5546875" style="60" bestFit="1" customWidth="1"/>
    <col min="8974" max="9216" width="9.33203125" style="60"/>
    <col min="9217" max="9217" width="3" style="60" customWidth="1"/>
    <col min="9218" max="9218" width="31.33203125" style="60" customWidth="1"/>
    <col min="9219" max="9220" width="9.33203125" style="60" bestFit="1" customWidth="1"/>
    <col min="9221" max="9229" width="9.5546875" style="60" bestFit="1" customWidth="1"/>
    <col min="9230" max="9472" width="9.33203125" style="60"/>
    <col min="9473" max="9473" width="3" style="60" customWidth="1"/>
    <col min="9474" max="9474" width="31.33203125" style="60" customWidth="1"/>
    <col min="9475" max="9476" width="9.33203125" style="60" bestFit="1" customWidth="1"/>
    <col min="9477" max="9485" width="9.5546875" style="60" bestFit="1" customWidth="1"/>
    <col min="9486" max="9728" width="9.33203125" style="60"/>
    <col min="9729" max="9729" width="3" style="60" customWidth="1"/>
    <col min="9730" max="9730" width="31.33203125" style="60" customWidth="1"/>
    <col min="9731" max="9732" width="9.33203125" style="60" bestFit="1" customWidth="1"/>
    <col min="9733" max="9741" width="9.5546875" style="60" bestFit="1" customWidth="1"/>
    <col min="9742" max="9984" width="9.33203125" style="60"/>
    <col min="9985" max="9985" width="3" style="60" customWidth="1"/>
    <col min="9986" max="9986" width="31.33203125" style="60" customWidth="1"/>
    <col min="9987" max="9988" width="9.33203125" style="60" bestFit="1" customWidth="1"/>
    <col min="9989" max="9997" width="9.5546875" style="60" bestFit="1" customWidth="1"/>
    <col min="9998" max="10240" width="9.33203125" style="60"/>
    <col min="10241" max="10241" width="3" style="60" customWidth="1"/>
    <col min="10242" max="10242" width="31.33203125" style="60" customWidth="1"/>
    <col min="10243" max="10244" width="9.33203125" style="60" bestFit="1" customWidth="1"/>
    <col min="10245" max="10253" width="9.5546875" style="60" bestFit="1" customWidth="1"/>
    <col min="10254" max="10496" width="9.33203125" style="60"/>
    <col min="10497" max="10497" width="3" style="60" customWidth="1"/>
    <col min="10498" max="10498" width="31.33203125" style="60" customWidth="1"/>
    <col min="10499" max="10500" width="9.33203125" style="60" bestFit="1" customWidth="1"/>
    <col min="10501" max="10509" width="9.5546875" style="60" bestFit="1" customWidth="1"/>
    <col min="10510" max="10752" width="9.33203125" style="60"/>
    <col min="10753" max="10753" width="3" style="60" customWidth="1"/>
    <col min="10754" max="10754" width="31.33203125" style="60" customWidth="1"/>
    <col min="10755" max="10756" width="9.33203125" style="60" bestFit="1" customWidth="1"/>
    <col min="10757" max="10765" width="9.5546875" style="60" bestFit="1" customWidth="1"/>
    <col min="10766" max="11008" width="9.33203125" style="60"/>
    <col min="11009" max="11009" width="3" style="60" customWidth="1"/>
    <col min="11010" max="11010" width="31.33203125" style="60" customWidth="1"/>
    <col min="11011" max="11012" width="9.33203125" style="60" bestFit="1" customWidth="1"/>
    <col min="11013" max="11021" width="9.5546875" style="60" bestFit="1" customWidth="1"/>
    <col min="11022" max="11264" width="9.33203125" style="60"/>
    <col min="11265" max="11265" width="3" style="60" customWidth="1"/>
    <col min="11266" max="11266" width="31.33203125" style="60" customWidth="1"/>
    <col min="11267" max="11268" width="9.33203125" style="60" bestFit="1" customWidth="1"/>
    <col min="11269" max="11277" width="9.5546875" style="60" bestFit="1" customWidth="1"/>
    <col min="11278" max="11520" width="9.33203125" style="60"/>
    <col min="11521" max="11521" width="3" style="60" customWidth="1"/>
    <col min="11522" max="11522" width="31.33203125" style="60" customWidth="1"/>
    <col min="11523" max="11524" width="9.33203125" style="60" bestFit="1" customWidth="1"/>
    <col min="11525" max="11533" width="9.5546875" style="60" bestFit="1" customWidth="1"/>
    <col min="11534" max="11776" width="9.33203125" style="60"/>
    <col min="11777" max="11777" width="3" style="60" customWidth="1"/>
    <col min="11778" max="11778" width="31.33203125" style="60" customWidth="1"/>
    <col min="11779" max="11780" width="9.33203125" style="60" bestFit="1" customWidth="1"/>
    <col min="11781" max="11789" width="9.5546875" style="60" bestFit="1" customWidth="1"/>
    <col min="11790" max="12032" width="9.33203125" style="60"/>
    <col min="12033" max="12033" width="3" style="60" customWidth="1"/>
    <col min="12034" max="12034" width="31.33203125" style="60" customWidth="1"/>
    <col min="12035" max="12036" width="9.33203125" style="60" bestFit="1" customWidth="1"/>
    <col min="12037" max="12045" width="9.5546875" style="60" bestFit="1" customWidth="1"/>
    <col min="12046" max="12288" width="9.33203125" style="60"/>
    <col min="12289" max="12289" width="3" style="60" customWidth="1"/>
    <col min="12290" max="12290" width="31.33203125" style="60" customWidth="1"/>
    <col min="12291" max="12292" width="9.33203125" style="60" bestFit="1" customWidth="1"/>
    <col min="12293" max="12301" width="9.5546875" style="60" bestFit="1" customWidth="1"/>
    <col min="12302" max="12544" width="9.33203125" style="60"/>
    <col min="12545" max="12545" width="3" style="60" customWidth="1"/>
    <col min="12546" max="12546" width="31.33203125" style="60" customWidth="1"/>
    <col min="12547" max="12548" width="9.33203125" style="60" bestFit="1" customWidth="1"/>
    <col min="12549" max="12557" width="9.5546875" style="60" bestFit="1" customWidth="1"/>
    <col min="12558" max="12800" width="9.33203125" style="60"/>
    <col min="12801" max="12801" width="3" style="60" customWidth="1"/>
    <col min="12802" max="12802" width="31.33203125" style="60" customWidth="1"/>
    <col min="12803" max="12804" width="9.33203125" style="60" bestFit="1" customWidth="1"/>
    <col min="12805" max="12813" width="9.5546875" style="60" bestFit="1" customWidth="1"/>
    <col min="12814" max="13056" width="9.33203125" style="60"/>
    <col min="13057" max="13057" width="3" style="60" customWidth="1"/>
    <col min="13058" max="13058" width="31.33203125" style="60" customWidth="1"/>
    <col min="13059" max="13060" width="9.33203125" style="60" bestFit="1" customWidth="1"/>
    <col min="13061" max="13069" width="9.5546875" style="60" bestFit="1" customWidth="1"/>
    <col min="13070" max="13312" width="9.33203125" style="60"/>
    <col min="13313" max="13313" width="3" style="60" customWidth="1"/>
    <col min="13314" max="13314" width="31.33203125" style="60" customWidth="1"/>
    <col min="13315" max="13316" width="9.33203125" style="60" bestFit="1" customWidth="1"/>
    <col min="13317" max="13325" width="9.5546875" style="60" bestFit="1" customWidth="1"/>
    <col min="13326" max="13568" width="9.33203125" style="60"/>
    <col min="13569" max="13569" width="3" style="60" customWidth="1"/>
    <col min="13570" max="13570" width="31.33203125" style="60" customWidth="1"/>
    <col min="13571" max="13572" width="9.33203125" style="60" bestFit="1" customWidth="1"/>
    <col min="13573" max="13581" width="9.5546875" style="60" bestFit="1" customWidth="1"/>
    <col min="13582" max="13824" width="9.33203125" style="60"/>
    <col min="13825" max="13825" width="3" style="60" customWidth="1"/>
    <col min="13826" max="13826" width="31.33203125" style="60" customWidth="1"/>
    <col min="13827" max="13828" width="9.33203125" style="60" bestFit="1" customWidth="1"/>
    <col min="13829" max="13837" width="9.5546875" style="60" bestFit="1" customWidth="1"/>
    <col min="13838" max="14080" width="9.33203125" style="60"/>
    <col min="14081" max="14081" width="3" style="60" customWidth="1"/>
    <col min="14082" max="14082" width="31.33203125" style="60" customWidth="1"/>
    <col min="14083" max="14084" width="9.33203125" style="60" bestFit="1" customWidth="1"/>
    <col min="14085" max="14093" width="9.5546875" style="60" bestFit="1" customWidth="1"/>
    <col min="14094" max="14336" width="9.33203125" style="60"/>
    <col min="14337" max="14337" width="3" style="60" customWidth="1"/>
    <col min="14338" max="14338" width="31.33203125" style="60" customWidth="1"/>
    <col min="14339" max="14340" width="9.33203125" style="60" bestFit="1" customWidth="1"/>
    <col min="14341" max="14349" width="9.5546875" style="60" bestFit="1" customWidth="1"/>
    <col min="14350" max="14592" width="9.33203125" style="60"/>
    <col min="14593" max="14593" width="3" style="60" customWidth="1"/>
    <col min="14594" max="14594" width="31.33203125" style="60" customWidth="1"/>
    <col min="14595" max="14596" width="9.33203125" style="60" bestFit="1" customWidth="1"/>
    <col min="14597" max="14605" width="9.5546875" style="60" bestFit="1" customWidth="1"/>
    <col min="14606" max="14848" width="9.33203125" style="60"/>
    <col min="14849" max="14849" width="3" style="60" customWidth="1"/>
    <col min="14850" max="14850" width="31.33203125" style="60" customWidth="1"/>
    <col min="14851" max="14852" width="9.33203125" style="60" bestFit="1" customWidth="1"/>
    <col min="14853" max="14861" width="9.5546875" style="60" bestFit="1" customWidth="1"/>
    <col min="14862" max="15104" width="9.33203125" style="60"/>
    <col min="15105" max="15105" width="3" style="60" customWidth="1"/>
    <col min="15106" max="15106" width="31.33203125" style="60" customWidth="1"/>
    <col min="15107" max="15108" width="9.33203125" style="60" bestFit="1" customWidth="1"/>
    <col min="15109" max="15117" width="9.5546875" style="60" bestFit="1" customWidth="1"/>
    <col min="15118" max="15360" width="9.33203125" style="60"/>
    <col min="15361" max="15361" width="3" style="60" customWidth="1"/>
    <col min="15362" max="15362" width="31.33203125" style="60" customWidth="1"/>
    <col min="15363" max="15364" width="9.33203125" style="60" bestFit="1" customWidth="1"/>
    <col min="15365" max="15373" width="9.5546875" style="60" bestFit="1" customWidth="1"/>
    <col min="15374" max="15616" width="9.33203125" style="60"/>
    <col min="15617" max="15617" width="3" style="60" customWidth="1"/>
    <col min="15618" max="15618" width="31.33203125" style="60" customWidth="1"/>
    <col min="15619" max="15620" width="9.33203125" style="60" bestFit="1" customWidth="1"/>
    <col min="15621" max="15629" width="9.5546875" style="60" bestFit="1" customWidth="1"/>
    <col min="15630" max="15872" width="9.33203125" style="60"/>
    <col min="15873" max="15873" width="3" style="60" customWidth="1"/>
    <col min="15874" max="15874" width="31.33203125" style="60" customWidth="1"/>
    <col min="15875" max="15876" width="9.33203125" style="60" bestFit="1" customWidth="1"/>
    <col min="15877" max="15885" width="9.5546875" style="60" bestFit="1" customWidth="1"/>
    <col min="15886" max="16128" width="9.33203125" style="60"/>
    <col min="16129" max="16129" width="3" style="60" customWidth="1"/>
    <col min="16130" max="16130" width="31.33203125" style="60" customWidth="1"/>
    <col min="16131" max="16132" width="9.33203125" style="60" bestFit="1" customWidth="1"/>
    <col min="16133" max="16141" width="9.5546875" style="60" bestFit="1" customWidth="1"/>
    <col min="16142" max="16384" width="9.33203125" style="60"/>
  </cols>
  <sheetData>
    <row r="1" spans="1:36" ht="24.6">
      <c r="A1" s="667"/>
      <c r="B1" s="668" t="s">
        <v>150</v>
      </c>
      <c r="C1" s="667"/>
      <c r="D1" s="667"/>
      <c r="E1" s="667"/>
      <c r="F1" s="667"/>
      <c r="G1" s="667"/>
      <c r="H1" s="667"/>
      <c r="I1" s="667"/>
      <c r="J1" s="667"/>
      <c r="K1" s="667"/>
      <c r="L1" s="667"/>
      <c r="M1" s="667"/>
      <c r="N1" s="667"/>
      <c r="O1" s="667"/>
      <c r="P1" s="667"/>
      <c r="Q1" s="667"/>
      <c r="R1" s="667"/>
      <c r="S1" s="667"/>
      <c r="T1" s="667"/>
      <c r="U1" s="667"/>
      <c r="V1" s="667"/>
      <c r="W1" s="667"/>
      <c r="X1" s="667"/>
      <c r="Y1" s="667"/>
      <c r="Z1" s="667"/>
      <c r="AA1" s="667"/>
      <c r="AB1" s="667"/>
      <c r="AC1" s="667"/>
      <c r="AD1" s="667"/>
      <c r="AE1" s="667"/>
      <c r="AF1" s="667"/>
      <c r="AG1" s="670"/>
      <c r="AH1" s="667"/>
      <c r="AI1" s="667"/>
      <c r="AJ1" s="667"/>
    </row>
    <row r="2" spans="1:36">
      <c r="A2" s="667"/>
      <c r="B2" s="669"/>
      <c r="C2" s="667"/>
      <c r="D2" s="667"/>
      <c r="E2" s="667"/>
      <c r="F2" s="667"/>
      <c r="G2" s="667"/>
      <c r="H2" s="667"/>
      <c r="I2" s="667"/>
      <c r="J2" s="667"/>
      <c r="K2" s="667"/>
      <c r="L2" s="667"/>
      <c r="M2" s="667"/>
      <c r="N2" s="667"/>
      <c r="O2" s="667"/>
      <c r="P2" s="667"/>
      <c r="Q2" s="667"/>
      <c r="R2" s="667"/>
      <c r="S2" s="667"/>
      <c r="T2" s="667"/>
      <c r="U2" s="667"/>
      <c r="V2" s="667"/>
      <c r="W2" s="667"/>
      <c r="X2" s="667"/>
      <c r="Y2" s="667"/>
      <c r="Z2" s="667"/>
      <c r="AA2" s="667"/>
      <c r="AB2" s="667"/>
      <c r="AC2" s="667"/>
      <c r="AD2" s="667"/>
      <c r="AE2" s="667"/>
      <c r="AF2" s="667"/>
      <c r="AG2" s="670"/>
      <c r="AH2" s="667"/>
      <c r="AI2" s="667"/>
      <c r="AJ2" s="667"/>
    </row>
    <row r="3" spans="1:36">
      <c r="A3" s="667"/>
      <c r="B3" s="681"/>
      <c r="C3" s="673"/>
      <c r="D3" s="673"/>
      <c r="E3" s="673"/>
      <c r="F3" s="673"/>
      <c r="G3" s="673"/>
      <c r="H3" s="673"/>
      <c r="I3" s="673"/>
      <c r="J3" s="673"/>
      <c r="K3" s="673"/>
      <c r="L3" s="673"/>
      <c r="M3" s="673"/>
      <c r="N3" s="673"/>
      <c r="O3" s="673"/>
      <c r="P3" s="673"/>
      <c r="Q3" s="673"/>
      <c r="R3" s="673"/>
      <c r="S3" s="673"/>
      <c r="T3" s="673"/>
      <c r="U3" s="673"/>
      <c r="V3" s="673"/>
      <c r="W3" s="673"/>
      <c r="X3" s="673"/>
      <c r="Y3" s="673"/>
      <c r="Z3" s="673"/>
      <c r="AA3" s="673"/>
      <c r="AB3" s="673"/>
      <c r="AC3" s="673"/>
      <c r="AD3" s="673"/>
      <c r="AE3" s="673"/>
      <c r="AF3" s="673"/>
      <c r="AG3" s="675"/>
      <c r="AH3" s="667"/>
      <c r="AI3" s="667"/>
      <c r="AJ3" s="667"/>
    </row>
    <row r="4" spans="1:36" ht="13.8" thickBot="1">
      <c r="A4" s="670"/>
      <c r="B4" s="195" t="s">
        <v>290</v>
      </c>
      <c r="C4" s="196">
        <f>Cashflow!C$30</f>
        <v>2017</v>
      </c>
      <c r="D4" s="196">
        <f>Cashflow!D$30</f>
        <v>2018</v>
      </c>
      <c r="E4" s="196">
        <f>Cashflow!E$30</f>
        <v>2019</v>
      </c>
      <c r="F4" s="196">
        <f>Cashflow!F$30</f>
        <v>2020</v>
      </c>
      <c r="G4" s="196">
        <f>Cashflow!G$30</f>
        <v>2021</v>
      </c>
      <c r="H4" s="196">
        <f>Cashflow!H$30</f>
        <v>2022</v>
      </c>
      <c r="I4" s="196">
        <f>Cashflow!I$30</f>
        <v>2023</v>
      </c>
      <c r="J4" s="196">
        <f>Cashflow!J$30</f>
        <v>2024</v>
      </c>
      <c r="K4" s="196">
        <f>Cashflow!K$30</f>
        <v>2025</v>
      </c>
      <c r="L4" s="196">
        <f>Cashflow!L$30</f>
        <v>2026</v>
      </c>
      <c r="M4" s="196">
        <f>Cashflow!M$30</f>
        <v>2027</v>
      </c>
      <c r="N4" s="196">
        <f>Cashflow!N$30</f>
        <v>2028</v>
      </c>
      <c r="O4" s="196">
        <f>Cashflow!O$30</f>
        <v>2029</v>
      </c>
      <c r="P4" s="196">
        <f>Cashflow!P$30</f>
        <v>2030</v>
      </c>
      <c r="Q4" s="196">
        <f>Cashflow!Q$30</f>
        <v>2031</v>
      </c>
      <c r="R4" s="196">
        <f>Cashflow!R$30</f>
        <v>2032</v>
      </c>
      <c r="S4" s="196">
        <f>Cashflow!S$30</f>
        <v>2033</v>
      </c>
      <c r="T4" s="196">
        <f>Cashflow!T$30</f>
        <v>2034</v>
      </c>
      <c r="U4" s="196">
        <f>Cashflow!U$30</f>
        <v>2035</v>
      </c>
      <c r="V4" s="196">
        <f>Cashflow!V$30</f>
        <v>2036</v>
      </c>
      <c r="W4" s="196">
        <f>Cashflow!W$30</f>
        <v>2037</v>
      </c>
      <c r="X4" s="196">
        <f>Cashflow!X$30</f>
        <v>2038</v>
      </c>
      <c r="Y4" s="196">
        <f>Cashflow!Y$30</f>
        <v>2039</v>
      </c>
      <c r="Z4" s="196">
        <f>Cashflow!Z$30</f>
        <v>2040</v>
      </c>
      <c r="AA4" s="196">
        <f>Cashflow!AA$30</f>
        <v>2041</v>
      </c>
      <c r="AB4" s="196">
        <f>Cashflow!AB$30</f>
        <v>2042</v>
      </c>
      <c r="AC4" s="196">
        <f>Cashflow!AC$30</f>
        <v>2043</v>
      </c>
      <c r="AD4" s="196">
        <f>Cashflow!AD$30</f>
        <v>2044</v>
      </c>
      <c r="AE4" s="196">
        <f>Cashflow!AE$30</f>
        <v>2045</v>
      </c>
      <c r="AF4" s="196">
        <f>Cashflow!AF$30</f>
        <v>2046</v>
      </c>
      <c r="AG4" s="196">
        <f>Cashflow!AG$30</f>
        <v>2047</v>
      </c>
      <c r="AH4" s="680"/>
      <c r="AI4" s="667"/>
      <c r="AJ4" s="667"/>
    </row>
    <row r="5" spans="1:36" ht="13.8" thickTop="1">
      <c r="A5" s="670"/>
      <c r="B5" s="63" t="s">
        <v>1471</v>
      </c>
      <c r="C5" s="194">
        <f>Cashflow!C34*3600*Cashflow!C31/1000000</f>
        <v>0</v>
      </c>
      <c r="D5" s="194">
        <f>Cashflow!D34*3600*Cashflow!D31/1000000+C5</f>
        <v>0</v>
      </c>
      <c r="E5" s="194">
        <f>Cashflow!E34*3600*Cashflow!E31/1000000+D5</f>
        <v>0</v>
      </c>
      <c r="F5" s="194">
        <f>Cashflow!F34*3600*Cashflow!F31/1000000+E5</f>
        <v>0</v>
      </c>
      <c r="G5" s="194">
        <f>Cashflow!G34*3600*Cashflow!G31/1000000+F5</f>
        <v>0</v>
      </c>
      <c r="H5" s="194">
        <f>Cashflow!H34*3600*Cashflow!H31/1000000+G5</f>
        <v>0</v>
      </c>
      <c r="I5" s="194">
        <f>Cashflow!I34*3600*Cashflow!I31/1000000+H5</f>
        <v>0</v>
      </c>
      <c r="J5" s="194">
        <f>Cashflow!J34*3600*Cashflow!J31/1000000+I5</f>
        <v>0</v>
      </c>
      <c r="K5" s="194">
        <f>Cashflow!K34*3600*Cashflow!K31/1000000+J5</f>
        <v>6579.3011139694554</v>
      </c>
      <c r="L5" s="194">
        <f ca="1">Cashflow!L34*3600*Cashflow!L31/1000000+K5</f>
        <v>16253.625086305632</v>
      </c>
      <c r="M5" s="194">
        <f ca="1">Cashflow!M34*3600*Cashflow!M31/1000000+L5</f>
        <v>26472.7761148625</v>
      </c>
      <c r="N5" s="194">
        <f ca="1">Cashflow!N34*3600*Cashflow!N31/1000000+M5</f>
        <v>39414.931624006713</v>
      </c>
      <c r="O5" s="194">
        <f ca="1">Cashflow!O34*3600*Cashflow!O31/1000000+N5</f>
        <v>50585.855851829649</v>
      </c>
      <c r="P5" s="194">
        <f ca="1">Cashflow!P34*3600*Cashflow!P31/1000000+O5</f>
        <v>61288.561236824899</v>
      </c>
      <c r="Q5" s="194">
        <f ca="1">Cashflow!Q34*3600*Cashflow!Q31/1000000+P5</f>
        <v>72459.485464647834</v>
      </c>
      <c r="R5" s="194">
        <f ca="1">Cashflow!R34*3600*Cashflow!R31/1000000+Q5</f>
        <v>83162.190849643084</v>
      </c>
      <c r="S5" s="194">
        <f ca="1">Cashflow!S34*3600*Cashflow!S31/1000000+R5</f>
        <v>94333.11507746602</v>
      </c>
      <c r="T5" s="194">
        <f ca="1">Cashflow!T34*3600*Cashflow!T31/1000000+S5</f>
        <v>105035.82046246127</v>
      </c>
      <c r="U5" s="194">
        <f ca="1">Cashflow!U34*3600*Cashflow!U31/1000000+T5</f>
        <v>116206.74469028421</v>
      </c>
      <c r="V5" s="194">
        <f ca="1">Cashflow!V34*3600*Cashflow!V31/1000000+U5</f>
        <v>126909.45007527946</v>
      </c>
      <c r="W5" s="194">
        <f ca="1">Cashflow!W34*3600*Cashflow!W31/1000000+V5</f>
        <v>138080.37430310238</v>
      </c>
      <c r="X5" s="194">
        <f ca="1">Cashflow!X34*3600*Cashflow!X31/1000000+W5</f>
        <v>148783.07968809761</v>
      </c>
      <c r="Y5" s="194">
        <f ca="1">Cashflow!Y34*3600*Cashflow!Y31/1000000+X5</f>
        <v>159954.00391592056</v>
      </c>
      <c r="Z5" s="194">
        <f ca="1">Cashflow!Z34*3600*Cashflow!Z31/1000000+Y5</f>
        <v>170656.7093009158</v>
      </c>
      <c r="AA5" s="194">
        <f ca="1">Cashflow!AA34*3600*Cashflow!AA31/1000000+Z5</f>
        <v>181827.63352873875</v>
      </c>
      <c r="AB5" s="194">
        <f ca="1">Cashflow!AB34*3600*Cashflow!AB31/1000000+AA5</f>
        <v>192530.33891373398</v>
      </c>
      <c r="AC5" s="194">
        <f ca="1">Cashflow!AC34*3600*Cashflow!AC31/1000000+AB5</f>
        <v>203701.26314155693</v>
      </c>
      <c r="AD5" s="194">
        <f ca="1">Cashflow!AD34*3600*Cashflow!AD31/1000000+AC5</f>
        <v>214403.96852655217</v>
      </c>
      <c r="AE5" s="194">
        <f ca="1">Cashflow!AE34*3600*Cashflow!AE31/1000000+AD5</f>
        <v>225574.89275437512</v>
      </c>
      <c r="AF5" s="194">
        <f ca="1">Cashflow!AF34*3600*Cashflow!AF31/1000000+AE5</f>
        <v>236277.59813937036</v>
      </c>
      <c r="AG5" s="194">
        <f ca="1">Cashflow!AG34*3600*Cashflow!AG31/1000000+AF5</f>
        <v>247448.52236719331</v>
      </c>
      <c r="AH5" s="911" t="s">
        <v>271</v>
      </c>
      <c r="AI5" s="667"/>
      <c r="AJ5" s="667"/>
    </row>
    <row r="6" spans="1:36">
      <c r="A6" s="670"/>
      <c r="B6" s="63" t="s">
        <v>1470</v>
      </c>
      <c r="C6" s="194">
        <f>Cashflow!C62</f>
        <v>0</v>
      </c>
      <c r="D6" s="194">
        <f>Cashflow!D62+C6</f>
        <v>0</v>
      </c>
      <c r="E6" s="194">
        <f>Cashflow!E62+D6</f>
        <v>0</v>
      </c>
      <c r="F6" s="194">
        <f>Cashflow!F62+E6</f>
        <v>0</v>
      </c>
      <c r="G6" s="194">
        <f>Cashflow!G62+F6</f>
        <v>0</v>
      </c>
      <c r="H6" s="194">
        <f>Cashflow!H62+G6</f>
        <v>0</v>
      </c>
      <c r="I6" s="194">
        <f>Cashflow!I62+H6</f>
        <v>0</v>
      </c>
      <c r="J6" s="194">
        <f>Cashflow!J62+I6</f>
        <v>0</v>
      </c>
      <c r="K6" s="194">
        <f ca="1">Cashflow!K62+J6</f>
        <v>443863.30889805593</v>
      </c>
      <c r="L6" s="194">
        <f ca="1">Cashflow!L62+K6</f>
        <v>1096527.9879162498</v>
      </c>
      <c r="M6" s="194">
        <f ca="1">Cashflow!M62+L6</f>
        <v>1785948.6590622158</v>
      </c>
      <c r="N6" s="194">
        <f ca="1">Cashflow!N62+M6</f>
        <v>2659073.0029784534</v>
      </c>
      <c r="O6" s="194">
        <f ca="1">Cashflow!O62+N6</f>
        <v>3412703.7162290048</v>
      </c>
      <c r="P6" s="194">
        <f ca="1">Cashflow!P62+O6</f>
        <v>4134746.7028706232</v>
      </c>
      <c r="Q6" s="194">
        <f ca="1">Cashflow!Q62+P6</f>
        <v>4888377.4161211746</v>
      </c>
      <c r="R6" s="194">
        <f ca="1">Cashflow!R62+Q6</f>
        <v>5610420.402762793</v>
      </c>
      <c r="S6" s="194">
        <f ca="1">Cashflow!S62+R6</f>
        <v>6364051.1160133444</v>
      </c>
      <c r="T6" s="194">
        <f ca="1">Cashflow!T62+S6</f>
        <v>7087364.9097587112</v>
      </c>
      <c r="U6" s="194">
        <f ca="1">Cashflow!U62+T6</f>
        <v>7843592.621466741</v>
      </c>
      <c r="V6" s="194">
        <f ca="1">Cashflow!V62+U6</f>
        <v>8569185.582498949</v>
      </c>
      <c r="W6" s="194">
        <f ca="1">Cashflow!W62+V6</f>
        <v>9327564.504644718</v>
      </c>
      <c r="X6" s="194">
        <f ca="1">Cashflow!X62+W6</f>
        <v>10054770.850140736</v>
      </c>
      <c r="Y6" s="194">
        <f ca="1">Cashflow!Y62+X6</f>
        <v>10813987.859936312</v>
      </c>
      <c r="Z6" s="194">
        <f ca="1">Cashflow!Z62+Y6</f>
        <v>11541471.887107613</v>
      </c>
      <c r="AA6" s="194">
        <f ca="1">Cashflow!AA62+Z6</f>
        <v>12300800.364882311</v>
      </c>
      <c r="AB6" s="194">
        <f ca="1">Cashflow!AB62+AA6</f>
        <v>12930822.127300249</v>
      </c>
      <c r="AC6" s="194">
        <f ca="1">Cashflow!AC62+AB6</f>
        <v>13588386.49393977</v>
      </c>
      <c r="AD6" s="194">
        <f ca="1">Cashflow!AD62+AC6</f>
        <v>14218216.499602623</v>
      </c>
      <c r="AE6" s="194">
        <f ca="1">Cashflow!AE62+AD6</f>
        <v>14875341.434530264</v>
      </c>
      <c r="AF6" s="194">
        <f ca="1">Cashflow!AF62+AE6</f>
        <v>15352982.858521879</v>
      </c>
      <c r="AG6" s="194">
        <f ca="1">Cashflow!AG62+AF6</f>
        <v>15851480.39226529</v>
      </c>
      <c r="AH6" s="911" t="s">
        <v>419</v>
      </c>
      <c r="AI6" s="667"/>
      <c r="AJ6" s="667"/>
    </row>
    <row r="7" spans="1:36">
      <c r="A7" s="670"/>
      <c r="B7" s="63" t="s">
        <v>610</v>
      </c>
      <c r="C7" s="194">
        <f>Cashflow!C75</f>
        <v>0</v>
      </c>
      <c r="D7" s="194">
        <f>Cashflow!D75+C7</f>
        <v>0</v>
      </c>
      <c r="E7" s="194">
        <f>Cashflow!E75+D7</f>
        <v>0</v>
      </c>
      <c r="F7" s="194">
        <f>Cashflow!F75+E7</f>
        <v>0</v>
      </c>
      <c r="G7" s="194">
        <f>Cashflow!G75+F7</f>
        <v>0</v>
      </c>
      <c r="H7" s="194">
        <f>Cashflow!H75+G7</f>
        <v>0</v>
      </c>
      <c r="I7" s="194">
        <f>Cashflow!I75+H7</f>
        <v>0</v>
      </c>
      <c r="J7" s="194">
        <f>Cashflow!J75+I7</f>
        <v>0</v>
      </c>
      <c r="K7" s="194">
        <f ca="1">Cashflow!K75+J7</f>
        <v>57.48054324572783</v>
      </c>
      <c r="L7" s="194">
        <f ca="1">Cashflow!L75+K7</f>
        <v>141.86311830827498</v>
      </c>
      <c r="M7" s="194">
        <f ca="1">Cashflow!M75+L7</f>
        <v>230.2264522687102</v>
      </c>
      <c r="N7" s="194">
        <f ca="1">Cashflow!N75+M7</f>
        <v>341.97814041698348</v>
      </c>
      <c r="O7" s="194">
        <f ca="1">Cashflow!O75+N7</f>
        <v>437.90792027206072</v>
      </c>
      <c r="P7" s="194">
        <f ca="1">Cashflow!P75+O7</f>
        <v>530.32261840188733</v>
      </c>
      <c r="Q7" s="194">
        <f ca="1">Cashflow!Q75+P7</f>
        <v>626.25239825696451</v>
      </c>
      <c r="R7" s="194">
        <f ca="1">Cashflow!R75+Q7</f>
        <v>718.66709638679106</v>
      </c>
      <c r="S7" s="194">
        <f ca="1">Cashflow!S75+R7</f>
        <v>814.59687624186824</v>
      </c>
      <c r="T7" s="194">
        <f ca="1">Cashflow!T75+S7</f>
        <v>907.18948736621962</v>
      </c>
      <c r="U7" s="194">
        <f ca="1">Cashflow!U75+T7</f>
        <v>1003.4828470053437</v>
      </c>
      <c r="V7" s="194">
        <f ca="1">Cashflow!V75+U7</f>
        <v>1096.3945415498529</v>
      </c>
      <c r="W7" s="194">
        <f ca="1">Cashflow!W75+V7</f>
        <v>1192.9890706502606</v>
      </c>
      <c r="X7" s="194">
        <f ca="1">Cashflow!X75+W7</f>
        <v>1286.1266390197031</v>
      </c>
      <c r="Y7" s="194">
        <f ca="1">Cashflow!Y75+X7</f>
        <v>1382.8385003910839</v>
      </c>
      <c r="Z7" s="194">
        <f ca="1">Cashflow!Z75+Y7</f>
        <v>1476.0149441950659</v>
      </c>
      <c r="AA7" s="194">
        <f ca="1">Cashflow!AA75+Z7</f>
        <v>1572.7424110835236</v>
      </c>
      <c r="AB7" s="194">
        <f ca="1">Cashflow!AB75+AA7</f>
        <v>1652.2741378220348</v>
      </c>
      <c r="AC7" s="194">
        <f ca="1">Cashflow!AC75+AB7</f>
        <v>1734.754629151568</v>
      </c>
      <c r="AD7" s="194">
        <f ca="1">Cashflow!AD75+AC7</f>
        <v>1814.2595099443674</v>
      </c>
      <c r="AE7" s="194">
        <f ca="1">Cashflow!AE75+AD7</f>
        <v>1896.678480834237</v>
      </c>
      <c r="AF7" s="194">
        <f ca="1">Cashflow!AF75+AE7</f>
        <v>1954.876960193063</v>
      </c>
      <c r="AG7" s="194">
        <f ca="1">Cashflow!AG75+AF7</f>
        <v>2015.0880949171406</v>
      </c>
      <c r="AH7" s="679" t="s">
        <v>279</v>
      </c>
      <c r="AI7" s="667"/>
      <c r="AJ7" s="667"/>
    </row>
    <row r="8" spans="1:36">
      <c r="A8" s="670"/>
      <c r="B8" s="64" t="s">
        <v>151</v>
      </c>
      <c r="C8" s="194">
        <f>Cashflow!C76</f>
        <v>0</v>
      </c>
      <c r="D8" s="194">
        <f>Cashflow!D76+C8</f>
        <v>0</v>
      </c>
      <c r="E8" s="194">
        <f>Cashflow!E76+D8</f>
        <v>0</v>
      </c>
      <c r="F8" s="194">
        <f>Cashflow!F76+E8</f>
        <v>0</v>
      </c>
      <c r="G8" s="194">
        <f>Cashflow!G76+F8</f>
        <v>0</v>
      </c>
      <c r="H8" s="194">
        <f>Cashflow!H76+G8</f>
        <v>0</v>
      </c>
      <c r="I8" s="194">
        <f>Cashflow!I76+H8</f>
        <v>0</v>
      </c>
      <c r="J8" s="194">
        <f>Cashflow!J76+I8</f>
        <v>0</v>
      </c>
      <c r="K8" s="194">
        <f>Cashflow!K76+J8</f>
        <v>2</v>
      </c>
      <c r="L8" s="194">
        <f ca="1">Cashflow!L76+K8</f>
        <v>4</v>
      </c>
      <c r="M8" s="194">
        <f ca="1">Cashflow!M76+L8</f>
        <v>6</v>
      </c>
      <c r="N8" s="194">
        <f ca="1">Cashflow!N76+M8</f>
        <v>8</v>
      </c>
      <c r="O8" s="194">
        <f ca="1">Cashflow!O76+N8</f>
        <v>10</v>
      </c>
      <c r="P8" s="194">
        <f ca="1">Cashflow!P76+O8</f>
        <v>12</v>
      </c>
      <c r="Q8" s="194">
        <f ca="1">Cashflow!Q76+P8</f>
        <v>14</v>
      </c>
      <c r="R8" s="194">
        <f ca="1">Cashflow!R76+Q8</f>
        <v>16</v>
      </c>
      <c r="S8" s="194">
        <f ca="1">Cashflow!S76+R8</f>
        <v>18</v>
      </c>
      <c r="T8" s="194">
        <f ca="1">Cashflow!T76+S8</f>
        <v>18</v>
      </c>
      <c r="U8" s="194">
        <f ca="1">Cashflow!U76+T8</f>
        <v>18</v>
      </c>
      <c r="V8" s="194">
        <f ca="1">Cashflow!V76+U8</f>
        <v>18</v>
      </c>
      <c r="W8" s="194">
        <f ca="1">Cashflow!W76+V8</f>
        <v>18</v>
      </c>
      <c r="X8" s="194">
        <f ca="1">Cashflow!X76+W8</f>
        <v>18</v>
      </c>
      <c r="Y8" s="194">
        <f ca="1">Cashflow!Y76+X8</f>
        <v>18</v>
      </c>
      <c r="Z8" s="194">
        <f ca="1">Cashflow!Z76+Y8</f>
        <v>18</v>
      </c>
      <c r="AA8" s="194">
        <f ca="1">Cashflow!AA76+Z8</f>
        <v>18</v>
      </c>
      <c r="AB8" s="194">
        <f ca="1">Cashflow!AB76+AA8</f>
        <v>18</v>
      </c>
      <c r="AC8" s="194">
        <f ca="1">Cashflow!AC76+AB8</f>
        <v>18</v>
      </c>
      <c r="AD8" s="194">
        <f ca="1">Cashflow!AD76+AC8</f>
        <v>18</v>
      </c>
      <c r="AE8" s="194">
        <f ca="1">Cashflow!AE76+AD8</f>
        <v>18</v>
      </c>
      <c r="AF8" s="194">
        <f ca="1">Cashflow!AF76+AE8</f>
        <v>18</v>
      </c>
      <c r="AG8" s="194">
        <f ca="1">Cashflow!AG76+AF8</f>
        <v>18</v>
      </c>
      <c r="AH8" s="679" t="s">
        <v>279</v>
      </c>
      <c r="AI8" s="667"/>
      <c r="AJ8" s="667"/>
    </row>
    <row r="9" spans="1:36" ht="13.8" thickBot="1">
      <c r="A9" s="670"/>
      <c r="B9" s="896" t="s">
        <v>1440</v>
      </c>
      <c r="C9" s="897">
        <f>Cashflow!C77</f>
        <v>0</v>
      </c>
      <c r="D9" s="897">
        <f>Cashflow!D77+C9</f>
        <v>0</v>
      </c>
      <c r="E9" s="897">
        <f>Cashflow!E77+D9</f>
        <v>0</v>
      </c>
      <c r="F9" s="897">
        <f>Cashflow!F77+E9</f>
        <v>0</v>
      </c>
      <c r="G9" s="897">
        <f>Cashflow!G77+F9</f>
        <v>0</v>
      </c>
      <c r="H9" s="897">
        <f>Cashflow!H77+G9</f>
        <v>0</v>
      </c>
      <c r="I9" s="897">
        <f>Cashflow!I77+H9</f>
        <v>0</v>
      </c>
      <c r="J9" s="897">
        <f>Cashflow!J77+I9</f>
        <v>0</v>
      </c>
      <c r="K9" s="897">
        <f>Cashflow!K77+J9</f>
        <v>1</v>
      </c>
      <c r="L9" s="897">
        <f ca="1">Cashflow!L77+K9</f>
        <v>2</v>
      </c>
      <c r="M9" s="897">
        <f ca="1">Cashflow!M77+L9</f>
        <v>3</v>
      </c>
      <c r="N9" s="897">
        <f ca="1">Cashflow!N77+M9</f>
        <v>4</v>
      </c>
      <c r="O9" s="897">
        <f ca="1">Cashflow!O77+N9</f>
        <v>5</v>
      </c>
      <c r="P9" s="897">
        <f ca="1">Cashflow!P77+O9</f>
        <v>5</v>
      </c>
      <c r="Q9" s="897">
        <f ca="1">Cashflow!Q77+P9</f>
        <v>5</v>
      </c>
      <c r="R9" s="897">
        <f ca="1">Cashflow!R77+Q9</f>
        <v>5</v>
      </c>
      <c r="S9" s="897">
        <f ca="1">Cashflow!S77+R9</f>
        <v>5</v>
      </c>
      <c r="T9" s="897">
        <f ca="1">Cashflow!T77+S9</f>
        <v>5</v>
      </c>
      <c r="U9" s="897">
        <f ca="1">Cashflow!U77+T9</f>
        <v>5</v>
      </c>
      <c r="V9" s="897">
        <f ca="1">Cashflow!V77+U9</f>
        <v>5</v>
      </c>
      <c r="W9" s="897">
        <f ca="1">Cashflow!W77+V9</f>
        <v>5</v>
      </c>
      <c r="X9" s="897">
        <f ca="1">Cashflow!X77+W9</f>
        <v>5</v>
      </c>
      <c r="Y9" s="897">
        <f ca="1">Cashflow!Y77+X9</f>
        <v>5</v>
      </c>
      <c r="Z9" s="897">
        <f ca="1">Cashflow!Z77+Y9</f>
        <v>5</v>
      </c>
      <c r="AA9" s="897">
        <f ca="1">Cashflow!AA77+Z9</f>
        <v>5</v>
      </c>
      <c r="AB9" s="897">
        <f ca="1">Cashflow!AB77+AA9</f>
        <v>5</v>
      </c>
      <c r="AC9" s="897">
        <f ca="1">Cashflow!AC77+AB9</f>
        <v>5</v>
      </c>
      <c r="AD9" s="897">
        <f ca="1">Cashflow!AD77+AC9</f>
        <v>5</v>
      </c>
      <c r="AE9" s="897">
        <f ca="1">Cashflow!AE77+AD9</f>
        <v>5</v>
      </c>
      <c r="AF9" s="897">
        <f ca="1">Cashflow!AF77+AE9</f>
        <v>5</v>
      </c>
      <c r="AG9" s="897">
        <f ca="1">Cashflow!AG77+AF9</f>
        <v>5</v>
      </c>
      <c r="AH9" s="679" t="s">
        <v>279</v>
      </c>
      <c r="AI9" s="667"/>
      <c r="AJ9" s="667"/>
    </row>
    <row r="10" spans="1:36" ht="13.8" thickTop="1">
      <c r="A10" s="670"/>
      <c r="B10" s="63" t="s">
        <v>609</v>
      </c>
      <c r="C10" s="194">
        <f>Cashflow!C78</f>
        <v>0</v>
      </c>
      <c r="D10" s="194">
        <f>Cashflow!D78+C10</f>
        <v>0</v>
      </c>
      <c r="E10" s="194">
        <f>Cashflow!E78+D10</f>
        <v>0</v>
      </c>
      <c r="F10" s="194">
        <f>Cashflow!F78+E10</f>
        <v>0</v>
      </c>
      <c r="G10" s="194">
        <f>Cashflow!G78+F10</f>
        <v>0</v>
      </c>
      <c r="H10" s="194">
        <f>Cashflow!H78+G10</f>
        <v>0</v>
      </c>
      <c r="I10" s="194">
        <f>Cashflow!I78+H10</f>
        <v>0</v>
      </c>
      <c r="J10" s="194">
        <f>Cashflow!J78+I10</f>
        <v>0</v>
      </c>
      <c r="K10" s="194">
        <f ca="1">Cashflow!K78+J10</f>
        <v>60.48054324572783</v>
      </c>
      <c r="L10" s="194">
        <f ca="1">Cashflow!L78+K10</f>
        <v>147.86311830827498</v>
      </c>
      <c r="M10" s="194">
        <f ca="1">Cashflow!M78+L10</f>
        <v>239.2264522687102</v>
      </c>
      <c r="N10" s="194">
        <f ca="1">Cashflow!N78+M10</f>
        <v>353.97814041698348</v>
      </c>
      <c r="O10" s="194">
        <f ca="1">Cashflow!O78+N10</f>
        <v>452.90792027206072</v>
      </c>
      <c r="P10" s="194">
        <f ca="1">Cashflow!P78+O10</f>
        <v>547.32261840188733</v>
      </c>
      <c r="Q10" s="194">
        <f ca="1">Cashflow!Q78+P10</f>
        <v>645.25239825696451</v>
      </c>
      <c r="R10" s="194">
        <f ca="1">Cashflow!R78+Q10</f>
        <v>739.66709638679106</v>
      </c>
      <c r="S10" s="194">
        <f ca="1">Cashflow!S78+R10</f>
        <v>837.59687624186824</v>
      </c>
      <c r="T10" s="194">
        <f ca="1">Cashflow!T78+S10</f>
        <v>930.18948736621962</v>
      </c>
      <c r="U10" s="194">
        <f ca="1">Cashflow!U78+T10</f>
        <v>1026.4828470053437</v>
      </c>
      <c r="V10" s="194">
        <f ca="1">Cashflow!V78+U10</f>
        <v>1119.3945415498529</v>
      </c>
      <c r="W10" s="194">
        <f ca="1">Cashflow!W78+V10</f>
        <v>1215.9890706502606</v>
      </c>
      <c r="X10" s="194">
        <f ca="1">Cashflow!X78+W10</f>
        <v>1309.1266390197031</v>
      </c>
      <c r="Y10" s="194">
        <f ca="1">Cashflow!Y78+X10</f>
        <v>1405.8385003910839</v>
      </c>
      <c r="Z10" s="194">
        <f ca="1">Cashflow!Z78+Y10</f>
        <v>1499.0149441950659</v>
      </c>
      <c r="AA10" s="194">
        <f ca="1">Cashflow!AA78+Z10</f>
        <v>1595.7424110835236</v>
      </c>
      <c r="AB10" s="194">
        <f ca="1">Cashflow!AB78+AA10</f>
        <v>1675.2741378220348</v>
      </c>
      <c r="AC10" s="194">
        <f ca="1">Cashflow!AC78+AB10</f>
        <v>1757.754629151568</v>
      </c>
      <c r="AD10" s="194">
        <f ca="1">Cashflow!AD78+AC10</f>
        <v>1837.2595099443674</v>
      </c>
      <c r="AE10" s="194">
        <f ca="1">Cashflow!AE78+AD10</f>
        <v>1919.678480834237</v>
      </c>
      <c r="AF10" s="194">
        <f ca="1">Cashflow!AF78+AE10</f>
        <v>1977.876960193063</v>
      </c>
      <c r="AG10" s="194">
        <f ca="1">Cashflow!AG78+AF10</f>
        <v>2038.0880949171406</v>
      </c>
      <c r="AH10" s="679" t="s">
        <v>279</v>
      </c>
      <c r="AI10" s="667"/>
      <c r="AJ10" s="667"/>
    </row>
    <row r="11" spans="1:36">
      <c r="A11" s="667"/>
      <c r="B11" s="395"/>
      <c r="C11" s="395"/>
      <c r="D11" s="395"/>
      <c r="E11" s="395"/>
      <c r="F11" s="395"/>
      <c r="G11" s="395"/>
      <c r="H11" s="395"/>
      <c r="I11" s="395"/>
      <c r="J11" s="395"/>
      <c r="K11" s="395"/>
      <c r="L11" s="395"/>
      <c r="M11" s="395"/>
      <c r="N11" s="395"/>
      <c r="O11" s="395"/>
      <c r="P11" s="395"/>
      <c r="Q11" s="395"/>
      <c r="R11" s="395"/>
      <c r="S11" s="395"/>
      <c r="T11" s="395"/>
      <c r="U11" s="395"/>
      <c r="V11" s="395"/>
      <c r="W11" s="395"/>
      <c r="X11" s="395"/>
      <c r="Y11" s="395"/>
      <c r="Z11" s="395"/>
      <c r="AA11" s="395"/>
      <c r="AB11" s="395"/>
      <c r="AC11" s="395"/>
      <c r="AD11" s="395"/>
      <c r="AE11" s="395"/>
      <c r="AF11" s="395"/>
      <c r="AG11" s="684"/>
      <c r="AH11" s="671"/>
      <c r="AI11" s="667"/>
      <c r="AJ11" s="667"/>
    </row>
    <row r="12" spans="1:36" ht="13.8" thickBot="1">
      <c r="A12" s="670"/>
      <c r="B12" s="195" t="s">
        <v>289</v>
      </c>
      <c r="C12" s="196">
        <f>Cashflow!C$30</f>
        <v>2017</v>
      </c>
      <c r="D12" s="196">
        <f>Cashflow!D$30</f>
        <v>2018</v>
      </c>
      <c r="E12" s="196">
        <f>Cashflow!E$30</f>
        <v>2019</v>
      </c>
      <c r="F12" s="196">
        <f>Cashflow!F$30</f>
        <v>2020</v>
      </c>
      <c r="G12" s="196">
        <f>Cashflow!G$30</f>
        <v>2021</v>
      </c>
      <c r="H12" s="196">
        <f>Cashflow!H$30</f>
        <v>2022</v>
      </c>
      <c r="I12" s="196">
        <f>Cashflow!I$30</f>
        <v>2023</v>
      </c>
      <c r="J12" s="196">
        <f>Cashflow!J$30</f>
        <v>2024</v>
      </c>
      <c r="K12" s="196">
        <f>Cashflow!K$30</f>
        <v>2025</v>
      </c>
      <c r="L12" s="196">
        <f>Cashflow!L$30</f>
        <v>2026</v>
      </c>
      <c r="M12" s="196">
        <f>Cashflow!M$30</f>
        <v>2027</v>
      </c>
      <c r="N12" s="196">
        <f>Cashflow!N$30</f>
        <v>2028</v>
      </c>
      <c r="O12" s="196">
        <f>Cashflow!O$30</f>
        <v>2029</v>
      </c>
      <c r="P12" s="196">
        <f>Cashflow!P$30</f>
        <v>2030</v>
      </c>
      <c r="Q12" s="196">
        <f>Cashflow!Q$30</f>
        <v>2031</v>
      </c>
      <c r="R12" s="196">
        <f>Cashflow!R$30</f>
        <v>2032</v>
      </c>
      <c r="S12" s="196">
        <f>Cashflow!S$30</f>
        <v>2033</v>
      </c>
      <c r="T12" s="196">
        <f>Cashflow!T$30</f>
        <v>2034</v>
      </c>
      <c r="U12" s="196">
        <f>Cashflow!U$30</f>
        <v>2035</v>
      </c>
      <c r="V12" s="196">
        <f>Cashflow!V$30</f>
        <v>2036</v>
      </c>
      <c r="W12" s="196">
        <f>Cashflow!W$30</f>
        <v>2037</v>
      </c>
      <c r="X12" s="196">
        <f>Cashflow!X$30</f>
        <v>2038</v>
      </c>
      <c r="Y12" s="196">
        <f>Cashflow!Y$30</f>
        <v>2039</v>
      </c>
      <c r="Z12" s="196">
        <f>Cashflow!Z$30</f>
        <v>2040</v>
      </c>
      <c r="AA12" s="196">
        <f>Cashflow!AA$30</f>
        <v>2041</v>
      </c>
      <c r="AB12" s="196">
        <f>Cashflow!AB$30</f>
        <v>2042</v>
      </c>
      <c r="AC12" s="196">
        <f>Cashflow!AC$30</f>
        <v>2043</v>
      </c>
      <c r="AD12" s="196">
        <f>Cashflow!AD$30</f>
        <v>2044</v>
      </c>
      <c r="AE12" s="196">
        <f>Cashflow!AE$30</f>
        <v>2045</v>
      </c>
      <c r="AF12" s="196">
        <f>Cashflow!AF$30</f>
        <v>2046</v>
      </c>
      <c r="AG12" s="196">
        <f>Cashflow!AG$30</f>
        <v>2047</v>
      </c>
      <c r="AH12" s="680"/>
      <c r="AI12" s="667"/>
      <c r="AJ12" s="667"/>
    </row>
    <row r="13" spans="1:36" ht="14.4" thickTop="1" thickBot="1">
      <c r="A13" s="670"/>
      <c r="B13" s="216" t="s">
        <v>153</v>
      </c>
      <c r="C13" s="202">
        <f>Cashflow!C81</f>
        <v>-15.5</v>
      </c>
      <c r="D13" s="202">
        <f>Cashflow!D81+C13</f>
        <v>-26.5</v>
      </c>
      <c r="E13" s="202">
        <f>Cashflow!E81+D13</f>
        <v>-31.5</v>
      </c>
      <c r="F13" s="202">
        <f>Cashflow!F81+E13</f>
        <v>-68.5</v>
      </c>
      <c r="G13" s="202">
        <f>Cashflow!G81+F13</f>
        <v>-199.5</v>
      </c>
      <c r="H13" s="202">
        <f>Cashflow!H81+G13</f>
        <v>-279.5</v>
      </c>
      <c r="I13" s="202">
        <f>Cashflow!I81+H13</f>
        <v>-335</v>
      </c>
      <c r="J13" s="202">
        <f>Cashflow!J81+I13</f>
        <v>-377.5</v>
      </c>
      <c r="K13" s="202">
        <f>Cashflow!K81+J13</f>
        <v>-416</v>
      </c>
      <c r="L13" s="202">
        <f ca="1">Cashflow!L81+K13</f>
        <v>-451</v>
      </c>
      <c r="M13" s="202">
        <f ca="1">Cashflow!M81+L13</f>
        <v>-473.5</v>
      </c>
      <c r="N13" s="202">
        <f ca="1">Cashflow!N81+M13</f>
        <v>-505.5</v>
      </c>
      <c r="O13" s="202">
        <f ca="1">Cashflow!O81+N13</f>
        <v>-505.5</v>
      </c>
      <c r="P13" s="202">
        <f ca="1">Cashflow!P81+O13</f>
        <v>-505.5</v>
      </c>
      <c r="Q13" s="202">
        <f ca="1">Cashflow!Q81+P13</f>
        <v>-505.5</v>
      </c>
      <c r="R13" s="202">
        <f ca="1">Cashflow!R81+Q13</f>
        <v>-505.5</v>
      </c>
      <c r="S13" s="202">
        <f ca="1">Cashflow!S81+R13</f>
        <v>-505.5</v>
      </c>
      <c r="T13" s="202">
        <f ca="1">Cashflow!T81+S13</f>
        <v>-505.5</v>
      </c>
      <c r="U13" s="202">
        <f ca="1">Cashflow!U81+T13</f>
        <v>-505.5</v>
      </c>
      <c r="V13" s="202">
        <f ca="1">Cashflow!V81+U13</f>
        <v>-505.5</v>
      </c>
      <c r="W13" s="202">
        <f ca="1">Cashflow!W81+V13</f>
        <v>-505.5</v>
      </c>
      <c r="X13" s="202">
        <f ca="1">Cashflow!X81+W13</f>
        <v>-520.5</v>
      </c>
      <c r="Y13" s="202">
        <f ca="1">Cashflow!Y81+X13</f>
        <v>-520.5</v>
      </c>
      <c r="Z13" s="202">
        <f ca="1">Cashflow!Z81+Y13</f>
        <v>-520.5</v>
      </c>
      <c r="AA13" s="202">
        <f ca="1">Cashflow!AA81+Z13</f>
        <v>-520.5</v>
      </c>
      <c r="AB13" s="202">
        <f ca="1">Cashflow!AB81+AA13</f>
        <v>-520.5</v>
      </c>
      <c r="AC13" s="202">
        <f ca="1">Cashflow!AC81+AB13</f>
        <v>-520.5</v>
      </c>
      <c r="AD13" s="202">
        <f ca="1">Cashflow!AD81+AC13</f>
        <v>-520.5</v>
      </c>
      <c r="AE13" s="202">
        <f ca="1">Cashflow!AE81+AD13</f>
        <v>-520.5</v>
      </c>
      <c r="AF13" s="202">
        <f ca="1">Cashflow!AF81+AE13</f>
        <v>-520.5</v>
      </c>
      <c r="AG13" s="202">
        <f ca="1">Cashflow!AG81+AF13</f>
        <v>-520.5</v>
      </c>
      <c r="AH13" s="679" t="s">
        <v>279</v>
      </c>
      <c r="AI13" s="667"/>
      <c r="AJ13" s="667"/>
    </row>
    <row r="14" spans="1:36" ht="13.8" thickTop="1">
      <c r="A14" s="670"/>
      <c r="B14" s="215" t="s">
        <v>608</v>
      </c>
      <c r="C14" s="197">
        <f>Cashflow!C82</f>
        <v>-1.0774999999999999</v>
      </c>
      <c r="D14" s="197">
        <f>Cashflow!D82+C14</f>
        <v>-2.21</v>
      </c>
      <c r="E14" s="197">
        <f>Cashflow!E82+D14</f>
        <v>-3.3674999999999997</v>
      </c>
      <c r="F14" s="197">
        <f>Cashflow!F82+E14</f>
        <v>-5.71</v>
      </c>
      <c r="G14" s="197">
        <f>Cashflow!G82+F14</f>
        <v>-8.7074999999999996</v>
      </c>
      <c r="H14" s="197">
        <f>Cashflow!H82+G14</f>
        <v>-12.105</v>
      </c>
      <c r="I14" s="197">
        <f>Cashflow!I82+H14</f>
        <v>-16.98</v>
      </c>
      <c r="J14" s="197">
        <f>Cashflow!J82+I14</f>
        <v>-22.467500000000001</v>
      </c>
      <c r="K14" s="197">
        <f>Cashflow!K82+J14</f>
        <v>-29.334395167095419</v>
      </c>
      <c r="L14" s="197">
        <f ca="1">Cashflow!L82+K14</f>
        <v>-37.240543762945848</v>
      </c>
      <c r="M14" s="197">
        <f ca="1">Cashflow!M82+L14</f>
        <v>-45.540916417229376</v>
      </c>
      <c r="N14" s="197">
        <f ca="1">Cashflow!N82+M14</f>
        <v>-54.809739743601007</v>
      </c>
      <c r="O14" s="197">
        <f ca="1">Cashflow!O82+N14</f>
        <v>-64.812878377774439</v>
      </c>
      <c r="P14" s="197">
        <f ca="1">Cashflow!P82+O14</f>
        <v>-75.745784185523718</v>
      </c>
      <c r="Q14" s="197">
        <f ca="1">Cashflow!Q82+P14</f>
        <v>-86.748922819697157</v>
      </c>
      <c r="R14" s="197">
        <f ca="1">Cashflow!R82+Q14</f>
        <v>-99.681828627446436</v>
      </c>
      <c r="S14" s="197">
        <f ca="1">Cashflow!S82+R14</f>
        <v>-110.68496726161987</v>
      </c>
      <c r="T14" s="197">
        <f ca="1">Cashflow!T82+S14</f>
        <v>-123.61787306936915</v>
      </c>
      <c r="U14" s="197">
        <f ca="1">Cashflow!U82+T14</f>
        <v>-134.62101170354259</v>
      </c>
      <c r="V14" s="197">
        <f ca="1">Cashflow!V82+U14</f>
        <v>-147.55391751129187</v>
      </c>
      <c r="W14" s="197">
        <f ca="1">Cashflow!W82+V14</f>
        <v>-157.55705614546531</v>
      </c>
      <c r="X14" s="197">
        <f ca="1">Cashflow!X82+W14</f>
        <v>-168.56496195321461</v>
      </c>
      <c r="Y14" s="197">
        <f ca="1">Cashflow!Y82+X14</f>
        <v>-179.64310058738806</v>
      </c>
      <c r="Z14" s="197">
        <f ca="1">Cashflow!Z82+Y14</f>
        <v>-192.65100639513736</v>
      </c>
      <c r="AA14" s="197">
        <f ca="1">Cashflow!AA82+Z14</f>
        <v>-203.72914502931081</v>
      </c>
      <c r="AB14" s="197">
        <f ca="1">Cashflow!AB82+AA14</f>
        <v>-216.73705083706011</v>
      </c>
      <c r="AC14" s="197">
        <f ca="1">Cashflow!AC82+AB14</f>
        <v>-227.81518947123354</v>
      </c>
      <c r="AD14" s="197">
        <f ca="1">Cashflow!AD82+AC14</f>
        <v>-240.82309527898283</v>
      </c>
      <c r="AE14" s="197">
        <f ca="1">Cashflow!AE82+AD14</f>
        <v>-250.90123391315626</v>
      </c>
      <c r="AF14" s="197">
        <f ca="1">Cashflow!AF82+AE14</f>
        <v>-261.90913972090556</v>
      </c>
      <c r="AG14" s="197">
        <f ca="1">Cashflow!AG82+AF14</f>
        <v>-272.98727835507901</v>
      </c>
      <c r="AH14" s="679" t="s">
        <v>279</v>
      </c>
      <c r="AI14" s="667"/>
      <c r="AJ14" s="667"/>
    </row>
    <row r="15" spans="1:36">
      <c r="A15" s="670"/>
      <c r="B15" s="205" t="s">
        <v>1349</v>
      </c>
      <c r="C15" s="65">
        <f>Cashflow!C83</f>
        <v>-1.0774999999999999</v>
      </c>
      <c r="D15" s="65">
        <f>Cashflow!D83+C15</f>
        <v>-2.21</v>
      </c>
      <c r="E15" s="65">
        <f>Cashflow!E83+D15</f>
        <v>-3.3674999999999997</v>
      </c>
      <c r="F15" s="65">
        <f>Cashflow!F83+E15</f>
        <v>-5.71</v>
      </c>
      <c r="G15" s="65">
        <f>Cashflow!G83+F15</f>
        <v>-8.7074999999999996</v>
      </c>
      <c r="H15" s="65">
        <f>Cashflow!H83+G15</f>
        <v>-12.105</v>
      </c>
      <c r="I15" s="65">
        <f>Cashflow!I83+H15</f>
        <v>-16.78</v>
      </c>
      <c r="J15" s="65">
        <f>Cashflow!J83+I15</f>
        <v>-21.6675</v>
      </c>
      <c r="K15" s="65">
        <f>Cashflow!K83+J15</f>
        <v>-26.747500000000002</v>
      </c>
      <c r="L15" s="65">
        <f ca="1">Cashflow!L83+K15</f>
        <v>-32.002500000000005</v>
      </c>
      <c r="M15" s="65">
        <f ca="1">Cashflow!M83+L15</f>
        <v>-37.370000000000005</v>
      </c>
      <c r="N15" s="65">
        <f ca="1">Cashflow!N83+M15</f>
        <v>-42.897500000000008</v>
      </c>
      <c r="O15" s="65">
        <f ca="1">Cashflow!O83+N15</f>
        <v>-48.425000000000011</v>
      </c>
      <c r="P15" s="65">
        <f ca="1">Cashflow!P83+O15</f>
        <v>-53.952500000000015</v>
      </c>
      <c r="Q15" s="65">
        <f ca="1">Cashflow!Q83+P15</f>
        <v>-59.480000000000018</v>
      </c>
      <c r="R15" s="65">
        <f ca="1">Cashflow!R83+Q15</f>
        <v>-65.007500000000022</v>
      </c>
      <c r="S15" s="65">
        <f ca="1">Cashflow!S83+R15</f>
        <v>-70.535000000000025</v>
      </c>
      <c r="T15" s="65">
        <f ca="1">Cashflow!T83+S15</f>
        <v>-76.062500000000028</v>
      </c>
      <c r="U15" s="65">
        <f ca="1">Cashflow!U83+T15</f>
        <v>-81.590000000000032</v>
      </c>
      <c r="V15" s="65">
        <f ca="1">Cashflow!V83+U15</f>
        <v>-87.117500000000035</v>
      </c>
      <c r="W15" s="65">
        <f ca="1">Cashflow!W83+V15</f>
        <v>-92.645000000000039</v>
      </c>
      <c r="X15" s="65">
        <f ca="1">Cashflow!X83+W15</f>
        <v>-98.247500000000045</v>
      </c>
      <c r="Y15" s="65">
        <f ca="1">Cashflow!Y83+X15</f>
        <v>-103.85000000000005</v>
      </c>
      <c r="Z15" s="65">
        <f ca="1">Cashflow!Z83+Y15</f>
        <v>-109.45250000000006</v>
      </c>
      <c r="AA15" s="65">
        <f ca="1">Cashflow!AA83+Z15</f>
        <v>-115.05500000000006</v>
      </c>
      <c r="AB15" s="65">
        <f ca="1">Cashflow!AB83+AA15</f>
        <v>-120.65750000000007</v>
      </c>
      <c r="AC15" s="65">
        <f ca="1">Cashflow!AC83+AB15</f>
        <v>-126.26000000000008</v>
      </c>
      <c r="AD15" s="65">
        <f ca="1">Cashflow!AD83+AC15</f>
        <v>-131.86250000000007</v>
      </c>
      <c r="AE15" s="65">
        <f ca="1">Cashflow!AE83+AD15</f>
        <v>-137.46500000000006</v>
      </c>
      <c r="AF15" s="65">
        <f ca="1">Cashflow!AF83+AE15</f>
        <v>-143.06750000000005</v>
      </c>
      <c r="AG15" s="65">
        <f ca="1">Cashflow!AG83+AF15</f>
        <v>-148.67000000000004</v>
      </c>
      <c r="AH15" s="679" t="s">
        <v>279</v>
      </c>
      <c r="AI15" s="667"/>
      <c r="AJ15" s="667"/>
    </row>
    <row r="16" spans="1:36">
      <c r="A16" s="670"/>
      <c r="B16" s="205" t="s">
        <v>1348</v>
      </c>
      <c r="C16" s="65">
        <f>Cashflow!C84</f>
        <v>-1</v>
      </c>
      <c r="D16" s="65">
        <f>Cashflow!D84+C16</f>
        <v>-2</v>
      </c>
      <c r="E16" s="65">
        <f>Cashflow!E84+D16</f>
        <v>-3</v>
      </c>
      <c r="F16" s="65">
        <f>Cashflow!F84+E16</f>
        <v>-5</v>
      </c>
      <c r="G16" s="65">
        <f>Cashflow!G84+F16</f>
        <v>-7</v>
      </c>
      <c r="H16" s="65">
        <f>Cashflow!H84+G16</f>
        <v>-9</v>
      </c>
      <c r="I16" s="65">
        <f>Cashflow!I84+H16</f>
        <v>-12</v>
      </c>
      <c r="J16" s="65">
        <f>Cashflow!J84+I16</f>
        <v>-15</v>
      </c>
      <c r="K16" s="65">
        <f>Cashflow!K84+J16</f>
        <v>-18</v>
      </c>
      <c r="L16" s="65">
        <f ca="1">Cashflow!L84+K16</f>
        <v>-21</v>
      </c>
      <c r="M16" s="65">
        <f ca="1">Cashflow!M84+L16</f>
        <v>-24</v>
      </c>
      <c r="N16" s="65">
        <f ca="1">Cashflow!N84+M16</f>
        <v>-27</v>
      </c>
      <c r="O16" s="65">
        <f ca="1">Cashflow!O84+N16</f>
        <v>-30</v>
      </c>
      <c r="P16" s="65">
        <f ca="1">Cashflow!P84+O16</f>
        <v>-33</v>
      </c>
      <c r="Q16" s="65">
        <f ca="1">Cashflow!Q84+P16</f>
        <v>-36</v>
      </c>
      <c r="R16" s="65">
        <f ca="1">Cashflow!R84+Q16</f>
        <v>-39</v>
      </c>
      <c r="S16" s="65">
        <f ca="1">Cashflow!S84+R16</f>
        <v>-42</v>
      </c>
      <c r="T16" s="65">
        <f ca="1">Cashflow!T84+S16</f>
        <v>-45</v>
      </c>
      <c r="U16" s="65">
        <f ca="1">Cashflow!U84+T16</f>
        <v>-48</v>
      </c>
      <c r="V16" s="65">
        <f ca="1">Cashflow!V84+U16</f>
        <v>-51</v>
      </c>
      <c r="W16" s="65">
        <f ca="1">Cashflow!W84+V16</f>
        <v>-54</v>
      </c>
      <c r="X16" s="65">
        <f ca="1">Cashflow!X84+W16</f>
        <v>-57</v>
      </c>
      <c r="Y16" s="65">
        <f ca="1">Cashflow!Y84+X16</f>
        <v>-60</v>
      </c>
      <c r="Z16" s="65">
        <f ca="1">Cashflow!Z84+Y16</f>
        <v>-63</v>
      </c>
      <c r="AA16" s="65">
        <f ca="1">Cashflow!AA84+Z16</f>
        <v>-66</v>
      </c>
      <c r="AB16" s="65">
        <f ca="1">Cashflow!AB84+AA16</f>
        <v>-69</v>
      </c>
      <c r="AC16" s="65">
        <f ca="1">Cashflow!AC84+AB16</f>
        <v>-72</v>
      </c>
      <c r="AD16" s="65">
        <f ca="1">Cashflow!AD84+AC16</f>
        <v>-75</v>
      </c>
      <c r="AE16" s="65">
        <f ca="1">Cashflow!AE84+AD16</f>
        <v>-78</v>
      </c>
      <c r="AF16" s="65">
        <f ca="1">Cashflow!AF84+AE16</f>
        <v>-81</v>
      </c>
      <c r="AG16" s="65">
        <f ca="1">Cashflow!AG84+AF16</f>
        <v>-84</v>
      </c>
      <c r="AH16" s="679" t="s">
        <v>279</v>
      </c>
      <c r="AI16" s="667"/>
      <c r="AJ16" s="667"/>
    </row>
    <row r="17" spans="1:36">
      <c r="A17" s="670"/>
      <c r="B17" s="71" t="s">
        <v>1347</v>
      </c>
      <c r="C17" s="65">
        <f>Cashflow!C85</f>
        <v>-7.7499999999999999E-2</v>
      </c>
      <c r="D17" s="65">
        <f>Cashflow!D85+C17</f>
        <v>-0.21000000000000002</v>
      </c>
      <c r="E17" s="65">
        <f>Cashflow!E85+D17</f>
        <v>-0.36750000000000005</v>
      </c>
      <c r="F17" s="65">
        <f>Cashflow!F85+E17</f>
        <v>-0.71000000000000008</v>
      </c>
      <c r="G17" s="65">
        <f>Cashflow!G85+F17</f>
        <v>-1.7075</v>
      </c>
      <c r="H17" s="65">
        <f>Cashflow!H85+G17</f>
        <v>-3.105</v>
      </c>
      <c r="I17" s="65">
        <f>Cashflow!I85+H17</f>
        <v>-4.78</v>
      </c>
      <c r="J17" s="65">
        <f>Cashflow!J85+I17</f>
        <v>-6.6675000000000004</v>
      </c>
      <c r="K17" s="65">
        <f>Cashflow!K85+J17</f>
        <v>-8.7475000000000005</v>
      </c>
      <c r="L17" s="65">
        <f ca="1">Cashflow!L85+K17</f>
        <v>-11.002500000000001</v>
      </c>
      <c r="M17" s="65">
        <f ca="1">Cashflow!M85+L17</f>
        <v>-13.370000000000001</v>
      </c>
      <c r="N17" s="65">
        <f ca="1">Cashflow!N85+M17</f>
        <v>-15.897500000000001</v>
      </c>
      <c r="O17" s="65">
        <f ca="1">Cashflow!O85+N17</f>
        <v>-18.425000000000001</v>
      </c>
      <c r="P17" s="65">
        <f ca="1">Cashflow!P85+O17</f>
        <v>-20.952500000000001</v>
      </c>
      <c r="Q17" s="65">
        <f ca="1">Cashflow!Q85+P17</f>
        <v>-23.48</v>
      </c>
      <c r="R17" s="65">
        <f ca="1">Cashflow!R85+Q17</f>
        <v>-26.0075</v>
      </c>
      <c r="S17" s="65">
        <f ca="1">Cashflow!S85+R17</f>
        <v>-28.535</v>
      </c>
      <c r="T17" s="65">
        <f ca="1">Cashflow!T85+S17</f>
        <v>-31.0625</v>
      </c>
      <c r="U17" s="65">
        <f ca="1">Cashflow!U85+T17</f>
        <v>-33.590000000000003</v>
      </c>
      <c r="V17" s="65">
        <f ca="1">Cashflow!V85+U17</f>
        <v>-36.117500000000007</v>
      </c>
      <c r="W17" s="65">
        <f ca="1">Cashflow!W85+V17</f>
        <v>-38.64500000000001</v>
      </c>
      <c r="X17" s="65">
        <f ca="1">Cashflow!X85+W17</f>
        <v>-41.247500000000009</v>
      </c>
      <c r="Y17" s="65">
        <f ca="1">Cashflow!Y85+X17</f>
        <v>-43.850000000000009</v>
      </c>
      <c r="Z17" s="65">
        <f ca="1">Cashflow!Z85+Y17</f>
        <v>-46.452500000000008</v>
      </c>
      <c r="AA17" s="65">
        <f ca="1">Cashflow!AA85+Z17</f>
        <v>-49.055000000000007</v>
      </c>
      <c r="AB17" s="65">
        <f ca="1">Cashflow!AB85+AA17</f>
        <v>-51.657500000000006</v>
      </c>
      <c r="AC17" s="65">
        <f ca="1">Cashflow!AC85+AB17</f>
        <v>-54.260000000000005</v>
      </c>
      <c r="AD17" s="65">
        <f ca="1">Cashflow!AD85+AC17</f>
        <v>-56.862500000000004</v>
      </c>
      <c r="AE17" s="65">
        <f ca="1">Cashflow!AE85+AD17</f>
        <v>-59.465000000000003</v>
      </c>
      <c r="AF17" s="65">
        <f ca="1">Cashflow!AF85+AE17</f>
        <v>-62.067500000000003</v>
      </c>
      <c r="AG17" s="65">
        <f ca="1">Cashflow!AG85+AF17</f>
        <v>-64.67</v>
      </c>
      <c r="AH17" s="679" t="s">
        <v>279</v>
      </c>
      <c r="AI17" s="667"/>
      <c r="AJ17" s="667"/>
    </row>
    <row r="18" spans="1:36">
      <c r="A18" s="670"/>
      <c r="B18" s="71" t="s">
        <v>1350</v>
      </c>
      <c r="C18" s="65">
        <f>Cashflow!C86</f>
        <v>0</v>
      </c>
      <c r="D18" s="65">
        <f>Cashflow!D86+C18</f>
        <v>0</v>
      </c>
      <c r="E18" s="65">
        <f>Cashflow!E86+D18</f>
        <v>0</v>
      </c>
      <c r="F18" s="65">
        <f>Cashflow!F86+E18</f>
        <v>0</v>
      </c>
      <c r="G18" s="65">
        <f>Cashflow!G86+F18</f>
        <v>0</v>
      </c>
      <c r="H18" s="65">
        <f>Cashflow!H86+G18</f>
        <v>0</v>
      </c>
      <c r="I18" s="65">
        <f>Cashflow!I86+H18</f>
        <v>0</v>
      </c>
      <c r="J18" s="65">
        <f>Cashflow!J86+I18</f>
        <v>0</v>
      </c>
      <c r="K18" s="65">
        <f>Cashflow!K86+J18</f>
        <v>-0.98689516709541847</v>
      </c>
      <c r="L18" s="65">
        <f ca="1">Cashflow!L86+K18</f>
        <v>-2.4380437629458447</v>
      </c>
      <c r="M18" s="65">
        <f ca="1">Cashflow!M86+L18</f>
        <v>-3.9709164172293754</v>
      </c>
      <c r="N18" s="65">
        <f ca="1">Cashflow!N86+M18</f>
        <v>-5.912239743601007</v>
      </c>
      <c r="O18" s="65">
        <f ca="1">Cashflow!O86+N18</f>
        <v>-7.5878783777744481</v>
      </c>
      <c r="P18" s="65">
        <f ca="1">Cashflow!P86+O18</f>
        <v>-9.1932841855237353</v>
      </c>
      <c r="Q18" s="65">
        <f ca="1">Cashflow!Q86+P18</f>
        <v>-10.868922819697175</v>
      </c>
      <c r="R18" s="65">
        <f ca="1">Cashflow!R86+Q18</f>
        <v>-12.474328627446463</v>
      </c>
      <c r="S18" s="65">
        <f ca="1">Cashflow!S86+R18</f>
        <v>-14.149967261619903</v>
      </c>
      <c r="T18" s="65">
        <f ca="1">Cashflow!T86+S18</f>
        <v>-15.75537306936919</v>
      </c>
      <c r="U18" s="65">
        <f ca="1">Cashflow!U86+T18</f>
        <v>-17.43101170354263</v>
      </c>
      <c r="V18" s="65">
        <f ca="1">Cashflow!V86+U18</f>
        <v>-19.036417511291916</v>
      </c>
      <c r="W18" s="65">
        <f ca="1">Cashflow!W86+V18</f>
        <v>-20.712056145465358</v>
      </c>
      <c r="X18" s="65">
        <f ca="1">Cashflow!X86+W18</f>
        <v>-22.317461953214643</v>
      </c>
      <c r="Y18" s="65">
        <f ca="1">Cashflow!Y86+X18</f>
        <v>-23.993100587388085</v>
      </c>
      <c r="Z18" s="65">
        <f ca="1">Cashflow!Z86+Y18</f>
        <v>-25.59850639513737</v>
      </c>
      <c r="AA18" s="65">
        <f ca="1">Cashflow!AA86+Z18</f>
        <v>-27.274145029310812</v>
      </c>
      <c r="AB18" s="65">
        <f ca="1">Cashflow!AB86+AA18</f>
        <v>-28.879550837060098</v>
      </c>
      <c r="AC18" s="65">
        <f ca="1">Cashflow!AC86+AB18</f>
        <v>-30.55518947123354</v>
      </c>
      <c r="AD18" s="65">
        <f ca="1">Cashflow!AD86+AC18</f>
        <v>-32.160595278982825</v>
      </c>
      <c r="AE18" s="65">
        <f ca="1">Cashflow!AE86+AD18</f>
        <v>-33.836233913156263</v>
      </c>
      <c r="AF18" s="65">
        <f ca="1">Cashflow!AF86+AE18</f>
        <v>-35.441639720905549</v>
      </c>
      <c r="AG18" s="65">
        <f ca="1">Cashflow!AG86+AF18</f>
        <v>-37.117278355078987</v>
      </c>
      <c r="AH18" s="679" t="s">
        <v>279</v>
      </c>
      <c r="AI18" s="667"/>
      <c r="AJ18" s="667"/>
    </row>
    <row r="19" spans="1:36" ht="13.8" thickBot="1">
      <c r="A19" s="670"/>
      <c r="B19" s="856" t="s">
        <v>1351</v>
      </c>
      <c r="C19" s="847">
        <f>Cashflow!C87</f>
        <v>0</v>
      </c>
      <c r="D19" s="847">
        <f>Cashflow!D87+C19</f>
        <v>0</v>
      </c>
      <c r="E19" s="847">
        <f>Cashflow!E87+D19</f>
        <v>0</v>
      </c>
      <c r="F19" s="847">
        <f>Cashflow!F87+E19</f>
        <v>0</v>
      </c>
      <c r="G19" s="847">
        <f>Cashflow!G87+F19</f>
        <v>0</v>
      </c>
      <c r="H19" s="847">
        <f>Cashflow!H87+G19</f>
        <v>0</v>
      </c>
      <c r="I19" s="847">
        <f>Cashflow!I87+H19</f>
        <v>-0.2</v>
      </c>
      <c r="J19" s="847">
        <f>Cashflow!J87+I19</f>
        <v>-0.8</v>
      </c>
      <c r="K19" s="847">
        <f>Cashflow!K87+J19</f>
        <v>-1.6</v>
      </c>
      <c r="L19" s="847">
        <f ca="1">Cashflow!L87+K19</f>
        <v>-2.8000000000000003</v>
      </c>
      <c r="M19" s="847">
        <f ca="1">Cashflow!M87+L19</f>
        <v>-4.2</v>
      </c>
      <c r="N19" s="847">
        <f ca="1">Cashflow!N87+M19</f>
        <v>-6</v>
      </c>
      <c r="O19" s="847">
        <f ca="1">Cashflow!O87+N19</f>
        <v>-8.8000000000000007</v>
      </c>
      <c r="P19" s="847">
        <f ca="1">Cashflow!P87+O19</f>
        <v>-12.600000000000001</v>
      </c>
      <c r="Q19" s="847">
        <f ca="1">Cashflow!Q87+P19</f>
        <v>-16.400000000000002</v>
      </c>
      <c r="R19" s="847">
        <f ca="1">Cashflow!R87+Q19</f>
        <v>-22.200000000000003</v>
      </c>
      <c r="S19" s="847">
        <f ca="1">Cashflow!S87+R19</f>
        <v>-26.000000000000004</v>
      </c>
      <c r="T19" s="847">
        <f ca="1">Cashflow!T87+S19</f>
        <v>-31.800000000000004</v>
      </c>
      <c r="U19" s="847">
        <f ca="1">Cashflow!U87+T19</f>
        <v>-35.6</v>
      </c>
      <c r="V19" s="847">
        <f ca="1">Cashflow!V87+U19</f>
        <v>-41.4</v>
      </c>
      <c r="W19" s="847">
        <f ca="1">Cashflow!W87+V19</f>
        <v>-44.199999999999996</v>
      </c>
      <c r="X19" s="847">
        <f ca="1">Cashflow!X87+W19</f>
        <v>-47.999999999999993</v>
      </c>
      <c r="Y19" s="847">
        <f ca="1">Cashflow!Y87+X19</f>
        <v>-51.79999999999999</v>
      </c>
      <c r="Z19" s="847">
        <f ca="1">Cashflow!Z87+Y19</f>
        <v>-57.599999999999987</v>
      </c>
      <c r="AA19" s="847">
        <f ca="1">Cashflow!AA87+Z19</f>
        <v>-61.399999999999984</v>
      </c>
      <c r="AB19" s="847">
        <f ca="1">Cashflow!AB87+AA19</f>
        <v>-67.199999999999989</v>
      </c>
      <c r="AC19" s="847">
        <f ca="1">Cashflow!AC87+AB19</f>
        <v>-70.999999999999986</v>
      </c>
      <c r="AD19" s="847">
        <f ca="1">Cashflow!AD87+AC19</f>
        <v>-76.799999999999983</v>
      </c>
      <c r="AE19" s="847">
        <f ca="1">Cashflow!AE87+AD19</f>
        <v>-79.59999999999998</v>
      </c>
      <c r="AF19" s="847">
        <f ca="1">Cashflow!AF87+AE19</f>
        <v>-83.399999999999977</v>
      </c>
      <c r="AG19" s="847">
        <f ca="1">Cashflow!AG87+AF19</f>
        <v>-87.199999999999974</v>
      </c>
      <c r="AH19" s="679" t="s">
        <v>279</v>
      </c>
      <c r="AI19" s="667"/>
      <c r="AJ19" s="667"/>
    </row>
    <row r="20" spans="1:36" ht="13.8" thickTop="1">
      <c r="A20" s="670"/>
      <c r="B20" s="63" t="s">
        <v>154</v>
      </c>
      <c r="C20" s="197">
        <f>Cashflow!C89</f>
        <v>-0.5</v>
      </c>
      <c r="D20" s="197">
        <f>Cashflow!D89+C20</f>
        <v>-1.5</v>
      </c>
      <c r="E20" s="197">
        <f>Cashflow!E89+D20</f>
        <v>-1.5</v>
      </c>
      <c r="F20" s="197">
        <f>Cashflow!F89+E20</f>
        <v>-1.5</v>
      </c>
      <c r="G20" s="197">
        <f>Cashflow!G89+F20</f>
        <v>-1.5</v>
      </c>
      <c r="H20" s="197">
        <f>Cashflow!H89+G20</f>
        <v>-1.5</v>
      </c>
      <c r="I20" s="197">
        <f>Cashflow!I89+H20</f>
        <v>-1.5</v>
      </c>
      <c r="J20" s="197">
        <f>Cashflow!J89+I20</f>
        <v>-1.5</v>
      </c>
      <c r="K20" s="197">
        <f ca="1">Cashflow!K89+J20</f>
        <v>-2.9370135811431961</v>
      </c>
      <c r="L20" s="197">
        <f ca="1">Cashflow!L89+K20</f>
        <v>-5.0465779577068748</v>
      </c>
      <c r="M20" s="197">
        <f ca="1">Cashflow!M89+L20</f>
        <v>-7.255661306717756</v>
      </c>
      <c r="N20" s="197">
        <f ca="1">Cashflow!N89+M20</f>
        <v>-10.049453510424588</v>
      </c>
      <c r="O20" s="197">
        <f ca="1">Cashflow!O89+N20</f>
        <v>-18.73618854597305</v>
      </c>
      <c r="P20" s="197">
        <f ca="1">Cashflow!P89+O20</f>
        <v>-36.280189641338026</v>
      </c>
      <c r="Q20" s="197">
        <f ca="1">Cashflow!Q89+P20</f>
        <v>-56.603943786940889</v>
      </c>
      <c r="R20" s="197">
        <f ca="1">Cashflow!R89+Q20</f>
        <v>-76.669335525505872</v>
      </c>
      <c r="S20" s="197">
        <f ca="1">Cashflow!S89+R20</f>
        <v>-99.004864647108747</v>
      </c>
      <c r="T20" s="197">
        <f ca="1">Cashflow!T89+S20</f>
        <v>-120.02727584796804</v>
      </c>
      <c r="U20" s="197">
        <f ca="1">Cashflow!U89+T20</f>
        <v>-142.99799606618382</v>
      </c>
      <c r="V20" s="197">
        <f ca="1">Cashflow!V89+U20</f>
        <v>-164.89605521398653</v>
      </c>
      <c r="W20" s="197">
        <f ca="1">Cashflow!W89+V20</f>
        <v>-188.74401769325527</v>
      </c>
      <c r="X20" s="197">
        <f ca="1">Cashflow!X89+W20</f>
        <v>-210.85487254291462</v>
      </c>
      <c r="Y20" s="197">
        <f ca="1">Cashflow!Y89+X20</f>
        <v>-234.08109976150098</v>
      </c>
      <c r="Z20" s="197">
        <f ca="1">Cashflow!Z89+Y20</f>
        <v>-255.97264535565873</v>
      </c>
      <c r="AA20" s="197">
        <f ca="1">Cashflow!AA89+Z20</f>
        <v>-279.41916409144125</v>
      </c>
      <c r="AB20" s="197">
        <f ca="1">Cashflow!AB89+AA20</f>
        <v>-297.73121249259452</v>
      </c>
      <c r="AC20" s="197">
        <f ca="1">Cashflow!AC89+AB20</f>
        <v>-317.39805294967277</v>
      </c>
      <c r="AD20" s="197">
        <f ca="1">Cashflow!AD89+AC20</f>
        <v>-335.81331071575528</v>
      </c>
      <c r="AE20" s="197">
        <f ca="1">Cashflow!AE89+AD20</f>
        <v>-355.80170665192605</v>
      </c>
      <c r="AF20" s="197">
        <f ca="1">Cashflow!AF89+AE20</f>
        <v>-368.92848290366589</v>
      </c>
      <c r="AG20" s="197">
        <f ca="1">Cashflow!AG89+AF20</f>
        <v>-382.81767359024383</v>
      </c>
      <c r="AH20" s="679" t="s">
        <v>279</v>
      </c>
      <c r="AI20" s="667"/>
      <c r="AJ20" s="667"/>
    </row>
    <row r="21" spans="1:36">
      <c r="A21" s="670"/>
      <c r="B21" s="205" t="s">
        <v>155</v>
      </c>
      <c r="C21" s="65">
        <f>Cashflow!C90</f>
        <v>0</v>
      </c>
      <c r="D21" s="65">
        <f>Cashflow!D90+C21</f>
        <v>0</v>
      </c>
      <c r="E21" s="65">
        <f>Cashflow!E90+D21</f>
        <v>0</v>
      </c>
      <c r="F21" s="65">
        <f>Cashflow!F90+E21</f>
        <v>0</v>
      </c>
      <c r="G21" s="65">
        <f>Cashflow!G90+F21</f>
        <v>0</v>
      </c>
      <c r="H21" s="65">
        <f>Cashflow!H90+G21</f>
        <v>0</v>
      </c>
      <c r="I21" s="65">
        <f>Cashflow!I90+H21</f>
        <v>0</v>
      </c>
      <c r="J21" s="65">
        <f>Cashflow!J90+I21</f>
        <v>0</v>
      </c>
      <c r="K21" s="65">
        <f ca="1">Cashflow!K90+J21</f>
        <v>-1.4370135811431959</v>
      </c>
      <c r="L21" s="65">
        <f ca="1">Cashflow!L90+K21</f>
        <v>-3.5465779577068748</v>
      </c>
      <c r="M21" s="65">
        <f ca="1">Cashflow!M90+L21</f>
        <v>-5.755661306717756</v>
      </c>
      <c r="N21" s="65">
        <f ca="1">Cashflow!N90+M21</f>
        <v>-8.5494535104245877</v>
      </c>
      <c r="O21" s="65">
        <f ca="1">Cashflow!O90+N21</f>
        <v>-10.947698006801518</v>
      </c>
      <c r="P21" s="65">
        <f ca="1">Cashflow!P90+O21</f>
        <v>-13.258065460047183</v>
      </c>
      <c r="Q21" s="65">
        <f ca="1">Cashflow!Q90+P21</f>
        <v>-15.656309956424113</v>
      </c>
      <c r="R21" s="65">
        <f ca="1">Cashflow!R90+Q21</f>
        <v>-17.966677409669778</v>
      </c>
      <c r="S21" s="65">
        <f ca="1">Cashflow!S90+R21</f>
        <v>-20.36492190604671</v>
      </c>
      <c r="T21" s="65">
        <f ca="1">Cashflow!T90+S21</f>
        <v>-22.679737184155496</v>
      </c>
      <c r="U21" s="65">
        <f ca="1">Cashflow!U90+T21</f>
        <v>-25.087071175133598</v>
      </c>
      <c r="V21" s="65">
        <f ca="1">Cashflow!V90+U21</f>
        <v>-27.409863538746329</v>
      </c>
      <c r="W21" s="65">
        <f ca="1">Cashflow!W90+V21</f>
        <v>-29.824726766256518</v>
      </c>
      <c r="X21" s="65">
        <f ca="1">Cashflow!X90+W21</f>
        <v>-32.153165975492577</v>
      </c>
      <c r="Y21" s="65">
        <f ca="1">Cashflow!Y90+X21</f>
        <v>-34.570962509777097</v>
      </c>
      <c r="Z21" s="65">
        <f ca="1">Cashflow!Z90+Y21</f>
        <v>-36.900373604876648</v>
      </c>
      <c r="AA21" s="65">
        <f ca="1">Cashflow!AA90+Z21</f>
        <v>-39.318560277088096</v>
      </c>
      <c r="AB21" s="65">
        <f ca="1">Cashflow!AB90+AA21</f>
        <v>-41.306853445550878</v>
      </c>
      <c r="AC21" s="65">
        <f ca="1">Cashflow!AC90+AB21</f>
        <v>-43.368865728789203</v>
      </c>
      <c r="AD21" s="65">
        <f ca="1">Cashflow!AD90+AC21</f>
        <v>-45.356487748609183</v>
      </c>
      <c r="AE21" s="65">
        <f ca="1">Cashflow!AE90+AD21</f>
        <v>-47.416962020855927</v>
      </c>
      <c r="AF21" s="65">
        <f ca="1">Cashflow!AF90+AE21</f>
        <v>-48.871924004826582</v>
      </c>
      <c r="AG21" s="65">
        <f ca="1">Cashflow!AG90+AF21</f>
        <v>-50.377202372928522</v>
      </c>
      <c r="AH21" s="679" t="s">
        <v>279</v>
      </c>
      <c r="AI21" s="667"/>
      <c r="AJ21" s="667"/>
    </row>
    <row r="22" spans="1:36">
      <c r="A22" s="670"/>
      <c r="B22" s="205" t="s">
        <v>156</v>
      </c>
      <c r="C22" s="65">
        <f>Cashflow!C91</f>
        <v>0</v>
      </c>
      <c r="D22" s="65">
        <f>Cashflow!D91+C22</f>
        <v>0</v>
      </c>
      <c r="E22" s="65">
        <f>Cashflow!E91+D22</f>
        <v>0</v>
      </c>
      <c r="F22" s="65">
        <f>Cashflow!F91+E22</f>
        <v>0</v>
      </c>
      <c r="G22" s="65">
        <f>Cashflow!G91+F22</f>
        <v>0</v>
      </c>
      <c r="H22" s="65">
        <f>Cashflow!H91+G22</f>
        <v>0</v>
      </c>
      <c r="I22" s="65">
        <f>Cashflow!I91+H22</f>
        <v>0</v>
      </c>
      <c r="J22" s="65">
        <f>Cashflow!J91+I22</f>
        <v>0</v>
      </c>
      <c r="K22" s="65">
        <f ca="1">Cashflow!K91+J22</f>
        <v>0</v>
      </c>
      <c r="L22" s="65">
        <f ca="1">Cashflow!L91+K22</f>
        <v>0</v>
      </c>
      <c r="M22" s="65">
        <f ca="1">Cashflow!M91+L22</f>
        <v>0</v>
      </c>
      <c r="N22" s="65">
        <f ca="1">Cashflow!N91+M22</f>
        <v>0</v>
      </c>
      <c r="O22" s="65">
        <f ca="1">Cashflow!O91+N22</f>
        <v>-6.2884905391715336</v>
      </c>
      <c r="P22" s="65">
        <f ca="1">Cashflow!P91+O22</f>
        <v>-21.522124181290849</v>
      </c>
      <c r="Q22" s="65">
        <f ca="1">Cashflow!Q91+P22</f>
        <v>-39.447633830516786</v>
      </c>
      <c r="R22" s="65">
        <f ca="1">Cashflow!R91+Q22</f>
        <v>-57.202658115836101</v>
      </c>
      <c r="S22" s="65">
        <f ca="1">Cashflow!S91+R22</f>
        <v>-77.139942741062043</v>
      </c>
      <c r="T22" s="65">
        <f ca="1">Cashflow!T91+S22</f>
        <v>-95.847538663812557</v>
      </c>
      <c r="U22" s="65">
        <f ca="1">Cashflow!U91+T22</f>
        <v>-116.41092489105023</v>
      </c>
      <c r="V22" s="65">
        <f ca="1">Cashflow!V91+U22</f>
        <v>-135.98619167524021</v>
      </c>
      <c r="W22" s="65">
        <f ca="1">Cashflow!W91+V22</f>
        <v>-157.41929092699874</v>
      </c>
      <c r="X22" s="65">
        <f ca="1">Cashflow!X91+W22</f>
        <v>-177.20170656742204</v>
      </c>
      <c r="Y22" s="65">
        <f ca="1">Cashflow!Y91+X22</f>
        <v>-198.01013725172388</v>
      </c>
      <c r="Z22" s="65">
        <f ca="1">Cashflow!Z91+Y22</f>
        <v>-217.57227175078208</v>
      </c>
      <c r="AA22" s="65">
        <f ca="1">Cashflow!AA91+Z22</f>
        <v>-238.60060381435315</v>
      </c>
      <c r="AB22" s="65">
        <f ca="1">Cashflow!AB91+AA22</f>
        <v>-254.92435904704365</v>
      </c>
      <c r="AC22" s="65">
        <f ca="1">Cashflow!AC91+AB22</f>
        <v>-272.52918722088356</v>
      </c>
      <c r="AD22" s="65">
        <f ca="1">Cashflow!AD91+AC22</f>
        <v>-288.95682296714608</v>
      </c>
      <c r="AE22" s="65">
        <f ca="1">Cashflow!AE91+AD22</f>
        <v>-306.88474463107013</v>
      </c>
      <c r="AF22" s="65">
        <f ca="1">Cashflow!AF91+AE22</f>
        <v>-318.55655889883934</v>
      </c>
      <c r="AG22" s="65">
        <f ca="1">Cashflow!AG91+AF22</f>
        <v>-330.94047121731535</v>
      </c>
      <c r="AH22" s="679" t="s">
        <v>279</v>
      </c>
      <c r="AI22" s="667"/>
      <c r="AJ22" s="667"/>
    </row>
    <row r="23" spans="1:36" ht="13.8" thickBot="1">
      <c r="A23" s="670"/>
      <c r="B23" s="217" t="s">
        <v>1233</v>
      </c>
      <c r="C23" s="214">
        <f>Cashflow!C92</f>
        <v>-0.5</v>
      </c>
      <c r="D23" s="214">
        <f>Cashflow!D92+C23</f>
        <v>-1.5</v>
      </c>
      <c r="E23" s="214">
        <f>Cashflow!E92+D23</f>
        <v>-1.5</v>
      </c>
      <c r="F23" s="214">
        <f>Cashflow!F92+E23</f>
        <v>-1.5</v>
      </c>
      <c r="G23" s="214">
        <f>Cashflow!G92+F23</f>
        <v>-1.5</v>
      </c>
      <c r="H23" s="214">
        <f>Cashflow!H92+G23</f>
        <v>-1.5</v>
      </c>
      <c r="I23" s="214">
        <f>Cashflow!I92+H23</f>
        <v>-1.5</v>
      </c>
      <c r="J23" s="214">
        <f>Cashflow!J92+I23</f>
        <v>-1.5</v>
      </c>
      <c r="K23" s="214">
        <f>Cashflow!K92+J23</f>
        <v>-1.5</v>
      </c>
      <c r="L23" s="214">
        <f ca="1">Cashflow!L92+K23</f>
        <v>-1.5</v>
      </c>
      <c r="M23" s="214">
        <f ca="1">Cashflow!M92+L23</f>
        <v>-1.5</v>
      </c>
      <c r="N23" s="214">
        <f ca="1">Cashflow!N92+M23</f>
        <v>-1.5</v>
      </c>
      <c r="O23" s="214">
        <f ca="1">Cashflow!O92+N23</f>
        <v>-1.5</v>
      </c>
      <c r="P23" s="214">
        <f ca="1">Cashflow!P92+O23</f>
        <v>-1.5</v>
      </c>
      <c r="Q23" s="214">
        <f ca="1">Cashflow!Q92+P23</f>
        <v>-1.5</v>
      </c>
      <c r="R23" s="214">
        <f ca="1">Cashflow!R92+Q23</f>
        <v>-1.5</v>
      </c>
      <c r="S23" s="214">
        <f ca="1">Cashflow!S92+R23</f>
        <v>-1.5</v>
      </c>
      <c r="T23" s="214">
        <f ca="1">Cashflow!T92+S23</f>
        <v>-1.5</v>
      </c>
      <c r="U23" s="214">
        <f ca="1">Cashflow!U92+T23</f>
        <v>-1.5</v>
      </c>
      <c r="V23" s="214">
        <f ca="1">Cashflow!V92+U23</f>
        <v>-1.5</v>
      </c>
      <c r="W23" s="214">
        <f ca="1">Cashflow!W92+V23</f>
        <v>-1.5</v>
      </c>
      <c r="X23" s="214">
        <f ca="1">Cashflow!X92+W23</f>
        <v>-1.5</v>
      </c>
      <c r="Y23" s="214">
        <f ca="1">Cashflow!Y92+X23</f>
        <v>-1.5</v>
      </c>
      <c r="Z23" s="214">
        <f ca="1">Cashflow!Z92+Y23</f>
        <v>-1.5</v>
      </c>
      <c r="AA23" s="214">
        <f ca="1">Cashflow!AA92+Z23</f>
        <v>-1.5</v>
      </c>
      <c r="AB23" s="214">
        <f ca="1">Cashflow!AB92+AA23</f>
        <v>-1.5</v>
      </c>
      <c r="AC23" s="214">
        <f ca="1">Cashflow!AC92+AB23</f>
        <v>-1.5</v>
      </c>
      <c r="AD23" s="214">
        <f ca="1">Cashflow!AD92+AC23</f>
        <v>-1.5</v>
      </c>
      <c r="AE23" s="214">
        <f ca="1">Cashflow!AE92+AD23</f>
        <v>-1.5</v>
      </c>
      <c r="AF23" s="214">
        <f ca="1">Cashflow!AF92+AE23</f>
        <v>-1.5</v>
      </c>
      <c r="AG23" s="214">
        <f ca="1">Cashflow!AG92+AF23</f>
        <v>-1.5</v>
      </c>
      <c r="AH23" s="679" t="s">
        <v>279</v>
      </c>
      <c r="AI23" s="667"/>
      <c r="AJ23" s="667"/>
    </row>
    <row r="24" spans="1:36" ht="13.8" thickTop="1">
      <c r="A24" s="670"/>
      <c r="B24" s="685" t="s">
        <v>152</v>
      </c>
      <c r="C24" s="686">
        <f>Cashflow!C87</f>
        <v>0</v>
      </c>
      <c r="D24" s="686">
        <f>Cashflow!D87+C24</f>
        <v>0</v>
      </c>
      <c r="E24" s="686">
        <f>Cashflow!E87+D24</f>
        <v>0</v>
      </c>
      <c r="F24" s="686">
        <f>Cashflow!F87+E24</f>
        <v>0</v>
      </c>
      <c r="G24" s="686">
        <f>Cashflow!G87+F24</f>
        <v>0</v>
      </c>
      <c r="H24" s="686">
        <f>Cashflow!H87+G24</f>
        <v>0</v>
      </c>
      <c r="I24" s="686">
        <f>Cashflow!I87+H24</f>
        <v>-0.2</v>
      </c>
      <c r="J24" s="686">
        <f>Cashflow!J87+I24</f>
        <v>-0.8</v>
      </c>
      <c r="K24" s="686">
        <f>Cashflow!K87+J24</f>
        <v>-1.6</v>
      </c>
      <c r="L24" s="686">
        <f ca="1">Cashflow!L87+K24</f>
        <v>-2.8000000000000003</v>
      </c>
      <c r="M24" s="686">
        <f ca="1">Cashflow!M87+L24</f>
        <v>-4.2</v>
      </c>
      <c r="N24" s="686">
        <f ca="1">Cashflow!N87+M24</f>
        <v>-6</v>
      </c>
      <c r="O24" s="686">
        <f ca="1">Cashflow!O87+N24</f>
        <v>-8.8000000000000007</v>
      </c>
      <c r="P24" s="686">
        <f ca="1">Cashflow!P87+O24</f>
        <v>-12.600000000000001</v>
      </c>
      <c r="Q24" s="686">
        <f ca="1">Cashflow!Q87+P24</f>
        <v>-16.400000000000002</v>
      </c>
      <c r="R24" s="686">
        <f ca="1">Cashflow!R87+Q24</f>
        <v>-22.200000000000003</v>
      </c>
      <c r="S24" s="686">
        <f ca="1">Cashflow!S87+R24</f>
        <v>-26.000000000000004</v>
      </c>
      <c r="T24" s="686">
        <f ca="1">Cashflow!T87+S24</f>
        <v>-31.800000000000004</v>
      </c>
      <c r="U24" s="686">
        <f ca="1">Cashflow!U87+T24</f>
        <v>-35.6</v>
      </c>
      <c r="V24" s="686">
        <f ca="1">Cashflow!V87+U24</f>
        <v>-41.4</v>
      </c>
      <c r="W24" s="686">
        <f ca="1">Cashflow!W87+V24</f>
        <v>-44.199999999999996</v>
      </c>
      <c r="X24" s="686">
        <f ca="1">Cashflow!X87+W24</f>
        <v>-47.999999999999993</v>
      </c>
      <c r="Y24" s="686">
        <f ca="1">Cashflow!Y87+X24</f>
        <v>-51.79999999999999</v>
      </c>
      <c r="Z24" s="686">
        <f ca="1">Cashflow!Z87+Y24</f>
        <v>-57.599999999999987</v>
      </c>
      <c r="AA24" s="686">
        <f ca="1">Cashflow!AA87+Z24</f>
        <v>-61.399999999999984</v>
      </c>
      <c r="AB24" s="686">
        <f ca="1">Cashflow!AB87+AA24</f>
        <v>-67.199999999999989</v>
      </c>
      <c r="AC24" s="686">
        <f ca="1">Cashflow!AC87+AB24</f>
        <v>-70.999999999999986</v>
      </c>
      <c r="AD24" s="686">
        <f ca="1">Cashflow!AD87+AC24</f>
        <v>-76.799999999999983</v>
      </c>
      <c r="AE24" s="686">
        <f ca="1">Cashflow!AE87+AD24</f>
        <v>-79.59999999999998</v>
      </c>
      <c r="AF24" s="686">
        <f ca="1">Cashflow!AF87+AE24</f>
        <v>-83.399999999999977</v>
      </c>
      <c r="AG24" s="686">
        <f ca="1">Cashflow!AG87+AF24</f>
        <v>-87.199999999999974</v>
      </c>
      <c r="AH24" s="687" t="s">
        <v>279</v>
      </c>
      <c r="AI24" s="667"/>
      <c r="AJ24" s="667"/>
    </row>
    <row r="25" spans="1:36">
      <c r="A25" s="670"/>
      <c r="B25" s="64" t="s">
        <v>1136</v>
      </c>
      <c r="C25" s="66">
        <f>Cashflow!C93</f>
        <v>-17.077500000000001</v>
      </c>
      <c r="D25" s="66">
        <f>Cashflow!D93+C25</f>
        <v>-30.21</v>
      </c>
      <c r="E25" s="66">
        <f>Cashflow!E93+D25</f>
        <v>-36.3675</v>
      </c>
      <c r="F25" s="66">
        <f>Cashflow!F93+E25</f>
        <v>-75.710000000000008</v>
      </c>
      <c r="G25" s="66">
        <f>Cashflow!G93+F25</f>
        <v>-209.70750000000001</v>
      </c>
      <c r="H25" s="66">
        <f>Cashflow!H93+G25</f>
        <v>-293.10500000000002</v>
      </c>
      <c r="I25" s="66">
        <f>Cashflow!I93+H25</f>
        <v>-353.48</v>
      </c>
      <c r="J25" s="66">
        <f>Cashflow!J93+I25</f>
        <v>-401.46750000000003</v>
      </c>
      <c r="K25" s="66">
        <f ca="1">Cashflow!K93+J25</f>
        <v>-448.27140874823863</v>
      </c>
      <c r="L25" s="66">
        <f ca="1">Cashflow!L93+K25</f>
        <v>-493.28712172065275</v>
      </c>
      <c r="M25" s="66">
        <f ca="1">Cashflow!M93+L25</f>
        <v>-526.29657772394717</v>
      </c>
      <c r="N25" s="66">
        <f ca="1">Cashflow!N93+M25</f>
        <v>-570.35919325402563</v>
      </c>
      <c r="O25" s="66">
        <f ca="1">Cashflow!O93+N25</f>
        <v>-589.04906692374755</v>
      </c>
      <c r="P25" s="66">
        <f ca="1">Cashflow!P93+O25</f>
        <v>-617.52597382686179</v>
      </c>
      <c r="Q25" s="66">
        <f ca="1">Cashflow!Q93+P25</f>
        <v>-648.85286660663814</v>
      </c>
      <c r="R25" s="66">
        <f ca="1">Cashflow!R93+Q25</f>
        <v>-681.85116415295238</v>
      </c>
      <c r="S25" s="66">
        <f ca="1">Cashflow!S93+R25</f>
        <v>-715.18983190872871</v>
      </c>
      <c r="T25" s="66">
        <f ca="1">Cashflow!T93+S25</f>
        <v>-749.14514891733734</v>
      </c>
      <c r="U25" s="66">
        <f ca="1">Cashflow!U93+T25</f>
        <v>-783.11900776972652</v>
      </c>
      <c r="V25" s="66">
        <f ca="1">Cashflow!V93+U25</f>
        <v>-817.94997272527849</v>
      </c>
      <c r="W25" s="66">
        <f ca="1">Cashflow!W93+V25</f>
        <v>-851.80107383872064</v>
      </c>
      <c r="X25" s="66">
        <f ca="1">Cashflow!X93+W25</f>
        <v>-899.91983449612928</v>
      </c>
      <c r="Y25" s="66">
        <f ca="1">Cashflow!Y93+X25</f>
        <v>-934.2242003488891</v>
      </c>
      <c r="Z25" s="66">
        <f ca="1">Cashflow!Z93+Y25</f>
        <v>-969.12365175079617</v>
      </c>
      <c r="AA25" s="66">
        <f ca="1">Cashflow!AA93+Z25</f>
        <v>-1003.6483091207522</v>
      </c>
      <c r="AB25" s="66">
        <f ca="1">Cashflow!AB93+AA25</f>
        <v>-1034.9682633296547</v>
      </c>
      <c r="AC25" s="66">
        <f ca="1">Cashflow!AC93+AB25</f>
        <v>-1065.7132424209065</v>
      </c>
      <c r="AD25" s="66">
        <f ca="1">Cashflow!AD93+AC25</f>
        <v>-1097.1364059947382</v>
      </c>
      <c r="AE25" s="66">
        <f ca="1">Cashflow!AE93+AD25</f>
        <v>-1127.2029405650824</v>
      </c>
      <c r="AF25" s="66">
        <f ca="1">Cashflow!AF93+AE25</f>
        <v>-1151.3376226245714</v>
      </c>
      <c r="AG25" s="66">
        <f ca="1">Cashflow!AG93+AF25</f>
        <v>-1176.3049519453227</v>
      </c>
      <c r="AH25" s="679" t="s">
        <v>279</v>
      </c>
      <c r="AI25" s="669"/>
      <c r="AJ25" s="667"/>
    </row>
    <row r="26" spans="1:36" ht="13.8" thickBot="1">
      <c r="A26" s="667"/>
      <c r="B26" s="689"/>
      <c r="C26" s="689"/>
      <c r="D26" s="689"/>
      <c r="E26" s="689"/>
      <c r="F26" s="689"/>
      <c r="G26" s="689"/>
      <c r="H26" s="689"/>
      <c r="I26" s="689"/>
      <c r="J26" s="689"/>
      <c r="K26" s="689"/>
      <c r="L26" s="689"/>
      <c r="M26" s="689"/>
      <c r="N26" s="689"/>
      <c r="O26" s="689"/>
      <c r="P26" s="689"/>
      <c r="Q26" s="689"/>
      <c r="R26" s="689"/>
      <c r="S26" s="689"/>
      <c r="T26" s="689"/>
      <c r="U26" s="689"/>
      <c r="V26" s="689"/>
      <c r="W26" s="689"/>
      <c r="X26" s="689"/>
      <c r="Y26" s="689"/>
      <c r="Z26" s="689"/>
      <c r="AA26" s="689"/>
      <c r="AB26" s="689"/>
      <c r="AC26" s="689"/>
      <c r="AD26" s="689"/>
      <c r="AE26" s="689"/>
      <c r="AF26" s="689"/>
      <c r="AG26" s="689"/>
      <c r="AH26" s="674"/>
      <c r="AI26" s="667"/>
      <c r="AJ26" s="667"/>
    </row>
    <row r="27" spans="1:36" ht="14.4" thickTop="1" thickBot="1">
      <c r="A27" s="670"/>
      <c r="B27" s="201" t="s">
        <v>157</v>
      </c>
      <c r="C27" s="691">
        <f>Cashflow!C96</f>
        <v>-17.077500000000001</v>
      </c>
      <c r="D27" s="691">
        <f>Cashflow!D96+C27</f>
        <v>-30.21</v>
      </c>
      <c r="E27" s="691">
        <f>Cashflow!E96+D27</f>
        <v>-36.3675</v>
      </c>
      <c r="F27" s="691">
        <f>Cashflow!F96+E27</f>
        <v>-75.710000000000008</v>
      </c>
      <c r="G27" s="691">
        <f>Cashflow!G96+F27</f>
        <v>-209.70750000000001</v>
      </c>
      <c r="H27" s="691">
        <f>Cashflow!H96+G27</f>
        <v>-293.10500000000002</v>
      </c>
      <c r="I27" s="691">
        <f>Cashflow!I96+H27</f>
        <v>-353.48</v>
      </c>
      <c r="J27" s="691">
        <f>Cashflow!J96+I27</f>
        <v>-401.46750000000003</v>
      </c>
      <c r="K27" s="691">
        <f ca="1">Cashflow!K96+J27</f>
        <v>-387.79086550251083</v>
      </c>
      <c r="L27" s="691">
        <f ca="1">Cashflow!L96+K27</f>
        <v>-345.42400341237777</v>
      </c>
      <c r="M27" s="691">
        <f ca="1">Cashflow!M96+L27</f>
        <v>-287.07012545523696</v>
      </c>
      <c r="N27" s="691">
        <f ca="1">Cashflow!N96+M27</f>
        <v>-216.38105283704215</v>
      </c>
      <c r="O27" s="691">
        <f ca="1">Cashflow!O96+N27</f>
        <v>-136.14114665168682</v>
      </c>
      <c r="P27" s="691">
        <f ca="1">Cashflow!P96+O27</f>
        <v>-70.203355424974532</v>
      </c>
      <c r="Q27" s="691">
        <f ca="1">Cashflow!Q96+P27</f>
        <v>-3.6004683496736334</v>
      </c>
      <c r="R27" s="691">
        <f ca="1">Cashflow!R96+Q27</f>
        <v>57.815932233838666</v>
      </c>
      <c r="S27" s="691">
        <f ca="1">Cashflow!S96+R27</f>
        <v>122.40704433313958</v>
      </c>
      <c r="T27" s="691">
        <f ca="1">Cashflow!T96+S27</f>
        <v>181.04433844888234</v>
      </c>
      <c r="U27" s="691">
        <f ca="1">Cashflow!U96+T27</f>
        <v>243.36383923561726</v>
      </c>
      <c r="V27" s="691">
        <f ca="1">Cashflow!V96+U27</f>
        <v>301.4445688245745</v>
      </c>
      <c r="W27" s="691">
        <f ca="1">Cashflow!W96+V27</f>
        <v>364.18799681153996</v>
      </c>
      <c r="X27" s="691">
        <f ca="1">Cashflow!X96+W27</f>
        <v>409.20680452357374</v>
      </c>
      <c r="Y27" s="691">
        <f ca="1">Cashflow!Y96+X27</f>
        <v>471.61430004219471</v>
      </c>
      <c r="Z27" s="691">
        <f ca="1">Cashflow!Z96+Y27</f>
        <v>529.89129244426977</v>
      </c>
      <c r="AA27" s="691">
        <f ca="1">Cashflow!AA96+Z27</f>
        <v>592.09410196277156</v>
      </c>
      <c r="AB27" s="691">
        <f ca="1">Cashflow!AB96+AA27</f>
        <v>640.30587449238033</v>
      </c>
      <c r="AC27" s="691">
        <f ca="1">Cashflow!AC96+AB27</f>
        <v>692.04138673066166</v>
      </c>
      <c r="AD27" s="691">
        <f ca="1">Cashflow!AD96+AC27</f>
        <v>740.12310394962924</v>
      </c>
      <c r="AE27" s="691">
        <f ca="1">Cashflow!AE96+AD27</f>
        <v>792.47554026915464</v>
      </c>
      <c r="AF27" s="691">
        <f ca="1">Cashflow!AF96+AE27</f>
        <v>826.53933756849153</v>
      </c>
      <c r="AG27" s="691">
        <f ca="1">Cashflow!AG96+AF27</f>
        <v>861.7831429718176</v>
      </c>
      <c r="AH27" s="679" t="s">
        <v>279</v>
      </c>
      <c r="AI27" s="667"/>
      <c r="AJ27" s="667"/>
    </row>
    <row r="28" spans="1:36" ht="13.8" thickTop="1">
      <c r="A28" s="667"/>
      <c r="B28" s="395"/>
      <c r="C28" s="395"/>
      <c r="D28" s="395"/>
      <c r="E28" s="395"/>
      <c r="F28" s="395"/>
      <c r="G28" s="395"/>
      <c r="H28" s="395"/>
      <c r="I28" s="395"/>
      <c r="J28" s="395"/>
      <c r="K28" s="395"/>
      <c r="L28" s="395"/>
      <c r="M28" s="395"/>
      <c r="N28" s="395"/>
      <c r="O28" s="395"/>
      <c r="P28" s="395"/>
      <c r="Q28" s="395"/>
      <c r="R28" s="395"/>
      <c r="S28" s="395"/>
      <c r="T28" s="395"/>
      <c r="U28" s="395"/>
      <c r="V28" s="395"/>
      <c r="W28" s="395"/>
      <c r="X28" s="395"/>
      <c r="Y28" s="395"/>
      <c r="Z28" s="395"/>
      <c r="AA28" s="395"/>
      <c r="AB28" s="395"/>
      <c r="AC28" s="395"/>
      <c r="AD28" s="395"/>
      <c r="AE28" s="395"/>
      <c r="AF28" s="395"/>
      <c r="AG28" s="684"/>
      <c r="AH28" s="667"/>
      <c r="AI28" s="667"/>
      <c r="AJ28" s="667"/>
    </row>
    <row r="29" spans="1:36" ht="13.8" thickBot="1">
      <c r="A29" s="672"/>
      <c r="B29" s="195" t="s">
        <v>158</v>
      </c>
      <c r="C29" s="196">
        <f>Cashflow!C$30</f>
        <v>2017</v>
      </c>
      <c r="D29" s="196">
        <f>Cashflow!D$30</f>
        <v>2018</v>
      </c>
      <c r="E29" s="196">
        <f>Cashflow!E$30</f>
        <v>2019</v>
      </c>
      <c r="F29" s="196">
        <f>Cashflow!F$30</f>
        <v>2020</v>
      </c>
      <c r="G29" s="196">
        <f>Cashflow!G$30</f>
        <v>2021</v>
      </c>
      <c r="H29" s="196">
        <f>Cashflow!H$30</f>
        <v>2022</v>
      </c>
      <c r="I29" s="196">
        <f>Cashflow!I$30</f>
        <v>2023</v>
      </c>
      <c r="J29" s="196">
        <f>Cashflow!J$30</f>
        <v>2024</v>
      </c>
      <c r="K29" s="196">
        <f>Cashflow!K$30</f>
        <v>2025</v>
      </c>
      <c r="L29" s="196">
        <f>Cashflow!L$30</f>
        <v>2026</v>
      </c>
      <c r="M29" s="196">
        <f>Cashflow!M$30</f>
        <v>2027</v>
      </c>
      <c r="N29" s="196">
        <f>Cashflow!N$30</f>
        <v>2028</v>
      </c>
      <c r="O29" s="196">
        <f>Cashflow!O$30</f>
        <v>2029</v>
      </c>
      <c r="P29" s="196">
        <f>Cashflow!P$30</f>
        <v>2030</v>
      </c>
      <c r="Q29" s="196">
        <f>Cashflow!Q$30</f>
        <v>2031</v>
      </c>
      <c r="R29" s="196">
        <f>Cashflow!R$30</f>
        <v>2032</v>
      </c>
      <c r="S29" s="196">
        <f>Cashflow!S$30</f>
        <v>2033</v>
      </c>
      <c r="T29" s="196">
        <f>Cashflow!T$30</f>
        <v>2034</v>
      </c>
      <c r="U29" s="196">
        <f>Cashflow!U$30</f>
        <v>2035</v>
      </c>
      <c r="V29" s="196">
        <f>Cashflow!V$30</f>
        <v>2036</v>
      </c>
      <c r="W29" s="196">
        <f>Cashflow!W$30</f>
        <v>2037</v>
      </c>
      <c r="X29" s="196">
        <f>Cashflow!X$30</f>
        <v>2038</v>
      </c>
      <c r="Y29" s="196">
        <f>Cashflow!Y$30</f>
        <v>2039</v>
      </c>
      <c r="Z29" s="196">
        <f>Cashflow!Z$30</f>
        <v>2040</v>
      </c>
      <c r="AA29" s="196">
        <f>Cashflow!AA$30</f>
        <v>2041</v>
      </c>
      <c r="AB29" s="196">
        <f>Cashflow!AB$30</f>
        <v>2042</v>
      </c>
      <c r="AC29" s="196">
        <f>Cashflow!AC$30</f>
        <v>2043</v>
      </c>
      <c r="AD29" s="196">
        <f>Cashflow!AD$30</f>
        <v>2044</v>
      </c>
      <c r="AE29" s="196">
        <f>Cashflow!AE$30</f>
        <v>2045</v>
      </c>
      <c r="AF29" s="196">
        <f>Cashflow!AF$30</f>
        <v>2046</v>
      </c>
      <c r="AG29" s="196">
        <f>Cashflow!AG$30</f>
        <v>2047</v>
      </c>
      <c r="AH29" s="669"/>
      <c r="AI29" s="667"/>
      <c r="AJ29" s="667"/>
    </row>
    <row r="30" spans="1:36" ht="13.8" thickTop="1">
      <c r="A30" s="670"/>
      <c r="B30" s="676" t="s">
        <v>159</v>
      </c>
      <c r="C30" s="678" t="str">
        <f t="shared" ref="C30:AG30" si="0">IF(AND(C27&lt;=0,D27&gt;0),HLOOKUP(0,$C$27:$AG$29,3,TRUE),"")</f>
        <v/>
      </c>
      <c r="D30" s="678" t="str">
        <f t="shared" si="0"/>
        <v/>
      </c>
      <c r="E30" s="678" t="str">
        <f t="shared" si="0"/>
        <v/>
      </c>
      <c r="F30" s="678" t="str">
        <f t="shared" si="0"/>
        <v/>
      </c>
      <c r="G30" s="678" t="str">
        <f t="shared" si="0"/>
        <v/>
      </c>
      <c r="H30" s="678" t="str">
        <f t="shared" si="0"/>
        <v/>
      </c>
      <c r="I30" s="678" t="str">
        <f t="shared" si="0"/>
        <v/>
      </c>
      <c r="J30" s="678" t="str">
        <f t="shared" ca="1" si="0"/>
        <v/>
      </c>
      <c r="K30" s="678" t="str">
        <f t="shared" ca="1" si="0"/>
        <v/>
      </c>
      <c r="L30" s="678" t="str">
        <f t="shared" ca="1" si="0"/>
        <v/>
      </c>
      <c r="M30" s="678" t="str">
        <f t="shared" ca="1" si="0"/>
        <v/>
      </c>
      <c r="N30" s="678" t="str">
        <f t="shared" ca="1" si="0"/>
        <v/>
      </c>
      <c r="O30" s="678" t="str">
        <f t="shared" ca="1" si="0"/>
        <v/>
      </c>
      <c r="P30" s="678" t="str">
        <f t="shared" ca="1" si="0"/>
        <v/>
      </c>
      <c r="Q30" s="678">
        <f t="shared" ca="1" si="0"/>
        <v>2031</v>
      </c>
      <c r="R30" s="678" t="str">
        <f t="shared" ca="1" si="0"/>
        <v/>
      </c>
      <c r="S30" s="678" t="str">
        <f t="shared" ca="1" si="0"/>
        <v/>
      </c>
      <c r="T30" s="678" t="str">
        <f t="shared" ca="1" si="0"/>
        <v/>
      </c>
      <c r="U30" s="678" t="str">
        <f t="shared" ca="1" si="0"/>
        <v/>
      </c>
      <c r="V30" s="678" t="str">
        <f t="shared" ca="1" si="0"/>
        <v/>
      </c>
      <c r="W30" s="678" t="str">
        <f t="shared" ca="1" si="0"/>
        <v/>
      </c>
      <c r="X30" s="678" t="str">
        <f t="shared" ca="1" si="0"/>
        <v/>
      </c>
      <c r="Y30" s="678" t="str">
        <f t="shared" ca="1" si="0"/>
        <v/>
      </c>
      <c r="Z30" s="678" t="str">
        <f t="shared" ca="1" si="0"/>
        <v/>
      </c>
      <c r="AA30" s="678" t="str">
        <f t="shared" ca="1" si="0"/>
        <v/>
      </c>
      <c r="AB30" s="678" t="str">
        <f t="shared" ca="1" si="0"/>
        <v/>
      </c>
      <c r="AC30" s="678" t="str">
        <f t="shared" ca="1" si="0"/>
        <v/>
      </c>
      <c r="AD30" s="678" t="str">
        <f t="shared" ca="1" si="0"/>
        <v/>
      </c>
      <c r="AE30" s="678" t="str">
        <f t="shared" ca="1" si="0"/>
        <v/>
      </c>
      <c r="AF30" s="678" t="str">
        <f t="shared" ca="1" si="0"/>
        <v/>
      </c>
      <c r="AG30" s="678" t="str">
        <f t="shared" ca="1" si="0"/>
        <v/>
      </c>
      <c r="AH30" s="669"/>
      <c r="AI30" s="667"/>
      <c r="AJ30" s="667"/>
    </row>
    <row r="31" spans="1:36">
      <c r="A31" s="670"/>
      <c r="B31" s="64" t="s">
        <v>160</v>
      </c>
      <c r="C31" s="198">
        <f ca="1">MIN(C30:AG30)+1</f>
        <v>2032</v>
      </c>
      <c r="D31" s="677"/>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67"/>
      <c r="AI31" s="667"/>
      <c r="AJ31" s="667"/>
    </row>
    <row r="32" spans="1:36">
      <c r="A32" s="667"/>
      <c r="B32" s="674"/>
      <c r="C32" s="674"/>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row>
    <row r="33" spans="1:36">
      <c r="A33" s="667"/>
      <c r="B33" s="667"/>
      <c r="C33" s="667"/>
      <c r="D33" s="667"/>
      <c r="E33" s="667"/>
      <c r="F33" s="667"/>
      <c r="G33" s="667"/>
      <c r="H33" s="667"/>
      <c r="I33" s="667"/>
      <c r="J33" s="667"/>
      <c r="K33" s="667"/>
      <c r="L33" s="667"/>
      <c r="M33" s="667"/>
      <c r="N33" s="667"/>
      <c r="O33" s="667"/>
      <c r="P33" s="667"/>
      <c r="Q33" s="667"/>
      <c r="R33" s="667"/>
      <c r="S33" s="667"/>
      <c r="T33" s="667"/>
      <c r="U33" s="667"/>
      <c r="V33" s="667"/>
      <c r="W33" s="667"/>
      <c r="X33" s="667"/>
      <c r="Y33" s="667"/>
      <c r="Z33" s="667"/>
      <c r="AA33" s="667"/>
      <c r="AB33" s="667"/>
      <c r="AC33" s="667"/>
      <c r="AD33" s="667"/>
      <c r="AE33" s="667"/>
      <c r="AF33" s="667"/>
      <c r="AG33" s="667"/>
      <c r="AH33" s="667"/>
      <c r="AI33" s="667"/>
      <c r="AJ33" s="667"/>
    </row>
    <row r="34" spans="1:36">
      <c r="A34" s="667"/>
      <c r="B34" s="667"/>
      <c r="C34" s="667"/>
      <c r="D34" s="667"/>
      <c r="E34" s="667"/>
      <c r="F34" s="667"/>
      <c r="G34" s="667"/>
      <c r="H34" s="667"/>
      <c r="I34" s="667"/>
      <c r="J34" s="667"/>
      <c r="K34" s="667"/>
      <c r="L34" s="667"/>
      <c r="M34" s="667"/>
      <c r="N34" s="667"/>
      <c r="O34" s="667"/>
      <c r="P34" s="667"/>
      <c r="Q34" s="667"/>
      <c r="R34" s="667"/>
      <c r="S34" s="667"/>
      <c r="T34" s="667"/>
      <c r="U34" s="667"/>
      <c r="V34" s="667"/>
      <c r="W34" s="667"/>
      <c r="X34" s="667"/>
      <c r="Y34" s="667"/>
      <c r="Z34" s="667"/>
      <c r="AA34" s="667"/>
      <c r="AB34" s="667"/>
      <c r="AC34" s="667"/>
      <c r="AD34" s="667"/>
      <c r="AE34" s="667"/>
      <c r="AF34" s="667"/>
      <c r="AG34" s="667"/>
      <c r="AH34" s="667"/>
      <c r="AI34" s="667"/>
      <c r="AJ34" s="667"/>
    </row>
    <row r="35" spans="1:36">
      <c r="A35" s="667"/>
      <c r="B35" s="667"/>
      <c r="C35" s="667"/>
      <c r="D35" s="667"/>
      <c r="E35" s="667"/>
      <c r="F35" s="667"/>
      <c r="G35" s="667"/>
      <c r="H35" s="667"/>
      <c r="I35" s="667"/>
      <c r="J35" s="667"/>
      <c r="K35" s="667"/>
      <c r="L35" s="667"/>
      <c r="M35" s="667"/>
      <c r="N35" s="667"/>
      <c r="O35" s="667"/>
      <c r="P35" s="667"/>
      <c r="Q35" s="667"/>
      <c r="R35" s="667"/>
      <c r="S35" s="667"/>
      <c r="T35" s="667"/>
      <c r="U35" s="667"/>
      <c r="V35" s="667"/>
      <c r="W35" s="667"/>
      <c r="X35" s="667"/>
      <c r="Y35" s="667"/>
      <c r="Z35" s="667"/>
      <c r="AA35" s="667"/>
      <c r="AB35" s="667"/>
      <c r="AC35" s="667"/>
      <c r="AD35" s="667"/>
      <c r="AE35" s="667"/>
      <c r="AF35" s="667"/>
      <c r="AG35" s="667"/>
      <c r="AH35" s="667"/>
      <c r="AI35" s="667"/>
      <c r="AJ35" s="667"/>
    </row>
    <row r="36" spans="1:36">
      <c r="A36" s="667"/>
      <c r="B36" s="667"/>
      <c r="C36" s="667"/>
      <c r="D36" s="667"/>
      <c r="E36" s="667"/>
      <c r="F36" s="667"/>
      <c r="G36" s="667"/>
      <c r="H36" s="667"/>
      <c r="I36" s="667"/>
      <c r="J36" s="667"/>
      <c r="K36" s="667"/>
      <c r="L36" s="667"/>
      <c r="M36" s="667"/>
      <c r="N36" s="667"/>
      <c r="O36" s="667"/>
      <c r="P36" s="667"/>
      <c r="Q36" s="667"/>
      <c r="R36" s="667"/>
      <c r="S36" s="667"/>
      <c r="T36" s="667"/>
      <c r="U36" s="667"/>
      <c r="V36" s="667"/>
      <c r="W36" s="667"/>
      <c r="X36" s="667"/>
      <c r="Y36" s="667"/>
      <c r="Z36" s="667"/>
      <c r="AA36" s="667"/>
      <c r="AB36" s="667"/>
      <c r="AC36" s="667"/>
      <c r="AD36" s="667"/>
      <c r="AE36" s="667"/>
      <c r="AF36" s="667"/>
      <c r="AG36" s="667"/>
      <c r="AH36" s="667"/>
      <c r="AI36" s="667"/>
      <c r="AJ36" s="667"/>
    </row>
    <row r="37" spans="1:36">
      <c r="A37" s="667"/>
      <c r="B37" s="667"/>
      <c r="C37" s="667"/>
      <c r="D37" s="667"/>
      <c r="E37" s="667"/>
      <c r="F37" s="667"/>
      <c r="G37" s="667"/>
      <c r="H37" s="667"/>
      <c r="I37" s="667"/>
      <c r="J37" s="667"/>
      <c r="K37" s="667"/>
      <c r="L37" s="667"/>
      <c r="M37" s="667"/>
      <c r="N37" s="667"/>
      <c r="O37" s="667"/>
      <c r="P37" s="667"/>
      <c r="Q37" s="667"/>
      <c r="R37" s="667"/>
      <c r="S37" s="667"/>
      <c r="T37" s="667"/>
      <c r="U37" s="667"/>
      <c r="V37" s="667"/>
      <c r="W37" s="667"/>
      <c r="X37" s="667"/>
      <c r="Y37" s="667"/>
      <c r="Z37" s="667"/>
      <c r="AA37" s="667"/>
      <c r="AB37" s="667"/>
      <c r="AC37" s="667"/>
      <c r="AD37" s="667"/>
      <c r="AE37" s="667"/>
      <c r="AF37" s="667"/>
      <c r="AG37" s="667"/>
      <c r="AH37" s="667"/>
      <c r="AI37" s="667"/>
      <c r="AJ37" s="667"/>
    </row>
    <row r="38" spans="1:36">
      <c r="A38" s="667"/>
      <c r="B38" s="667"/>
      <c r="C38" s="667"/>
      <c r="D38" s="667"/>
      <c r="E38" s="667"/>
      <c r="F38" s="667"/>
      <c r="G38" s="667"/>
      <c r="H38" s="667"/>
      <c r="I38" s="667"/>
      <c r="J38" s="667"/>
      <c r="K38" s="667"/>
      <c r="L38" s="667"/>
      <c r="M38" s="667"/>
      <c r="N38" s="667"/>
      <c r="O38" s="667"/>
      <c r="P38" s="667"/>
      <c r="Q38" s="667"/>
      <c r="R38" s="667"/>
      <c r="S38" s="667"/>
      <c r="T38" s="667"/>
      <c r="U38" s="667"/>
      <c r="V38" s="667"/>
      <c r="W38" s="667"/>
      <c r="X38" s="667"/>
      <c r="Y38" s="667"/>
      <c r="Z38" s="667"/>
      <c r="AA38" s="667"/>
      <c r="AB38" s="667"/>
      <c r="AC38" s="667"/>
      <c r="AD38" s="667"/>
      <c r="AE38" s="667"/>
      <c r="AF38" s="667"/>
      <c r="AG38" s="667"/>
      <c r="AH38" s="667"/>
      <c r="AI38" s="667"/>
      <c r="AJ38" s="667"/>
    </row>
    <row r="39" spans="1:36">
      <c r="A39" s="667"/>
      <c r="B39" s="667"/>
      <c r="C39" s="667"/>
      <c r="D39" s="667"/>
      <c r="E39" s="667"/>
      <c r="F39" s="667"/>
      <c r="G39" s="667"/>
      <c r="H39" s="667"/>
      <c r="I39" s="667"/>
      <c r="J39" s="667"/>
      <c r="K39" s="667"/>
      <c r="L39" s="667"/>
      <c r="M39" s="667"/>
      <c r="N39" s="667"/>
      <c r="O39" s="667"/>
      <c r="P39" s="667"/>
      <c r="Q39" s="667"/>
      <c r="R39" s="667"/>
      <c r="S39" s="667"/>
      <c r="T39" s="667"/>
      <c r="U39" s="667"/>
      <c r="V39" s="667"/>
      <c r="W39" s="667"/>
      <c r="X39" s="667"/>
      <c r="Y39" s="667"/>
      <c r="Z39" s="667"/>
      <c r="AA39" s="667"/>
      <c r="AB39" s="667"/>
      <c r="AC39" s="667"/>
      <c r="AD39" s="667"/>
      <c r="AE39" s="667"/>
      <c r="AF39" s="667"/>
      <c r="AG39" s="667"/>
      <c r="AH39" s="667"/>
      <c r="AI39" s="667"/>
      <c r="AJ39" s="667"/>
    </row>
    <row r="40" spans="1:36">
      <c r="A40" s="667"/>
      <c r="B40" s="667"/>
      <c r="C40" s="667"/>
      <c r="D40" s="667"/>
      <c r="E40" s="667"/>
      <c r="F40" s="667"/>
      <c r="G40" s="667"/>
      <c r="H40" s="667"/>
      <c r="I40" s="667"/>
      <c r="J40" s="667"/>
      <c r="K40" s="667"/>
      <c r="L40" s="667"/>
      <c r="M40" s="667"/>
      <c r="N40" s="667"/>
      <c r="O40" s="667"/>
      <c r="P40" s="667"/>
      <c r="Q40" s="667"/>
      <c r="R40" s="667"/>
      <c r="S40" s="667"/>
      <c r="T40" s="667"/>
      <c r="U40" s="667"/>
      <c r="V40" s="667"/>
      <c r="W40" s="667"/>
      <c r="X40" s="667"/>
      <c r="Y40" s="667"/>
      <c r="Z40" s="667"/>
      <c r="AA40" s="667"/>
      <c r="AB40" s="667"/>
      <c r="AC40" s="667"/>
      <c r="AD40" s="667"/>
      <c r="AE40" s="667"/>
      <c r="AF40" s="667"/>
      <c r="AG40" s="667"/>
      <c r="AH40" s="667"/>
      <c r="AI40" s="667"/>
      <c r="AJ40" s="667"/>
    </row>
    <row r="41" spans="1:36">
      <c r="A41" s="667"/>
      <c r="B41" s="667"/>
      <c r="C41" s="667"/>
      <c r="D41" s="667"/>
      <c r="E41" s="667"/>
      <c r="F41" s="667"/>
      <c r="G41" s="667"/>
      <c r="H41" s="667"/>
      <c r="I41" s="667"/>
      <c r="J41" s="667"/>
      <c r="K41" s="667"/>
      <c r="L41" s="667"/>
      <c r="M41" s="667"/>
      <c r="N41" s="667"/>
      <c r="O41" s="667"/>
      <c r="P41" s="667"/>
      <c r="Q41" s="667"/>
      <c r="R41" s="667"/>
      <c r="S41" s="667"/>
      <c r="T41" s="667"/>
      <c r="U41" s="667"/>
      <c r="V41" s="667"/>
      <c r="W41" s="667"/>
      <c r="X41" s="667"/>
      <c r="Y41" s="667"/>
      <c r="Z41" s="667"/>
      <c r="AA41" s="667"/>
      <c r="AB41" s="667"/>
      <c r="AC41" s="667"/>
      <c r="AD41" s="667"/>
      <c r="AE41" s="667"/>
      <c r="AF41" s="667"/>
      <c r="AG41" s="667"/>
      <c r="AH41" s="667"/>
      <c r="AI41" s="667"/>
      <c r="AJ41" s="667"/>
    </row>
    <row r="42" spans="1:36">
      <c r="A42" s="667"/>
      <c r="B42" s="667"/>
      <c r="C42" s="667"/>
      <c r="D42" s="667"/>
      <c r="E42" s="667"/>
      <c r="F42" s="667"/>
      <c r="G42" s="667"/>
      <c r="H42" s="667"/>
      <c r="I42" s="667"/>
      <c r="J42" s="667"/>
      <c r="K42" s="667"/>
      <c r="L42" s="667"/>
      <c r="M42" s="667"/>
      <c r="N42" s="667"/>
      <c r="O42" s="667"/>
      <c r="P42" s="667"/>
      <c r="Q42" s="667"/>
      <c r="R42" s="667"/>
      <c r="S42" s="667"/>
      <c r="T42" s="667"/>
      <c r="U42" s="667"/>
      <c r="V42" s="667"/>
      <c r="W42" s="667"/>
      <c r="X42" s="667"/>
      <c r="Y42" s="667"/>
      <c r="Z42" s="667"/>
      <c r="AA42" s="667"/>
      <c r="AB42" s="667"/>
      <c r="AC42" s="667"/>
      <c r="AD42" s="667"/>
      <c r="AE42" s="667"/>
      <c r="AF42" s="667"/>
      <c r="AG42" s="667"/>
      <c r="AH42" s="667"/>
      <c r="AI42" s="667"/>
      <c r="AJ42" s="667"/>
    </row>
    <row r="43" spans="1:36">
      <c r="A43" s="667"/>
      <c r="B43" s="667"/>
      <c r="C43" s="667"/>
      <c r="D43" s="667"/>
      <c r="E43" s="667"/>
      <c r="F43" s="667"/>
      <c r="G43" s="667"/>
      <c r="H43" s="667"/>
      <c r="I43" s="667"/>
      <c r="J43" s="667"/>
      <c r="K43" s="667"/>
      <c r="L43" s="667"/>
      <c r="M43" s="667"/>
      <c r="N43" s="667"/>
      <c r="O43" s="667"/>
      <c r="P43" s="667"/>
      <c r="Q43" s="667"/>
      <c r="R43" s="667"/>
      <c r="S43" s="667"/>
      <c r="T43" s="667"/>
      <c r="U43" s="667"/>
      <c r="V43" s="667"/>
      <c r="W43" s="667"/>
      <c r="X43" s="667"/>
      <c r="Y43" s="667"/>
      <c r="Z43" s="667"/>
      <c r="AA43" s="667"/>
      <c r="AB43" s="667"/>
      <c r="AC43" s="667"/>
      <c r="AD43" s="667"/>
      <c r="AE43" s="667"/>
      <c r="AF43" s="667"/>
      <c r="AG43" s="667"/>
      <c r="AH43" s="667"/>
      <c r="AI43" s="667"/>
      <c r="AJ43" s="667"/>
    </row>
    <row r="44" spans="1:36">
      <c r="A44" s="667"/>
      <c r="B44" s="667"/>
      <c r="C44" s="667"/>
      <c r="D44" s="667"/>
      <c r="E44" s="667"/>
      <c r="F44" s="667"/>
      <c r="G44" s="667"/>
      <c r="H44" s="667"/>
      <c r="I44" s="667"/>
      <c r="J44" s="667"/>
      <c r="K44" s="667"/>
      <c r="L44" s="667"/>
      <c r="M44" s="667"/>
      <c r="N44" s="667"/>
      <c r="O44" s="667"/>
      <c r="P44" s="667"/>
      <c r="Q44" s="667"/>
      <c r="R44" s="667"/>
      <c r="S44" s="667"/>
      <c r="T44" s="667"/>
      <c r="U44" s="667"/>
      <c r="V44" s="667"/>
      <c r="W44" s="667"/>
      <c r="X44" s="667"/>
      <c r="Y44" s="667"/>
      <c r="Z44" s="667"/>
      <c r="AA44" s="667"/>
      <c r="AB44" s="667"/>
      <c r="AC44" s="667"/>
      <c r="AD44" s="667"/>
      <c r="AE44" s="667"/>
      <c r="AF44" s="667"/>
      <c r="AG44" s="667"/>
      <c r="AH44" s="667"/>
      <c r="AI44" s="667"/>
      <c r="AJ44" s="667"/>
    </row>
    <row r="45" spans="1:36">
      <c r="A45" s="667"/>
      <c r="B45" s="667"/>
      <c r="C45" s="667"/>
      <c r="D45" s="667"/>
      <c r="E45" s="667"/>
      <c r="F45" s="667"/>
      <c r="G45" s="667"/>
      <c r="H45" s="667"/>
      <c r="I45" s="667"/>
      <c r="J45" s="667"/>
      <c r="K45" s="667"/>
      <c r="L45" s="667"/>
      <c r="M45" s="667"/>
      <c r="N45" s="667"/>
      <c r="O45" s="667"/>
      <c r="P45" s="667"/>
      <c r="Q45" s="667"/>
      <c r="R45" s="667"/>
      <c r="S45" s="667"/>
      <c r="T45" s="667"/>
      <c r="U45" s="667"/>
      <c r="V45" s="667"/>
      <c r="W45" s="667"/>
      <c r="X45" s="667"/>
      <c r="Y45" s="667"/>
      <c r="Z45" s="667"/>
      <c r="AA45" s="667"/>
      <c r="AB45" s="667"/>
      <c r="AC45" s="667"/>
      <c r="AD45" s="667"/>
      <c r="AE45" s="667"/>
      <c r="AF45" s="667"/>
      <c r="AG45" s="667"/>
      <c r="AH45" s="667"/>
      <c r="AI45" s="667"/>
      <c r="AJ45" s="667"/>
    </row>
    <row r="46" spans="1:36">
      <c r="A46" s="667"/>
      <c r="B46" s="667"/>
      <c r="C46" s="667"/>
      <c r="D46" s="667"/>
      <c r="E46" s="667"/>
      <c r="F46" s="667"/>
      <c r="G46" s="667"/>
      <c r="H46" s="667"/>
      <c r="I46" s="667"/>
      <c r="J46" s="667"/>
      <c r="K46" s="667"/>
      <c r="L46" s="667"/>
      <c r="M46" s="667"/>
      <c r="N46" s="667"/>
      <c r="O46" s="667"/>
      <c r="P46" s="667"/>
      <c r="Q46" s="667"/>
      <c r="R46" s="667"/>
      <c r="S46" s="667"/>
      <c r="T46" s="667"/>
      <c r="U46" s="667"/>
      <c r="V46" s="667"/>
      <c r="W46" s="667"/>
      <c r="X46" s="667"/>
      <c r="Y46" s="667"/>
      <c r="Z46" s="667"/>
      <c r="AA46" s="667"/>
      <c r="AB46" s="667"/>
      <c r="AC46" s="667"/>
      <c r="AD46" s="667"/>
      <c r="AE46" s="667"/>
      <c r="AF46" s="667"/>
      <c r="AG46" s="667"/>
      <c r="AH46" s="667"/>
      <c r="AI46" s="667"/>
      <c r="AJ46" s="667"/>
    </row>
    <row r="47" spans="1:36">
      <c r="A47" s="667"/>
      <c r="B47" s="667"/>
      <c r="C47" s="667"/>
      <c r="D47" s="667"/>
      <c r="E47" s="667"/>
      <c r="F47" s="667"/>
      <c r="G47" s="667"/>
      <c r="H47" s="667"/>
      <c r="I47" s="667"/>
      <c r="J47" s="667"/>
      <c r="K47" s="667"/>
      <c r="L47" s="667"/>
      <c r="M47" s="667"/>
      <c r="N47" s="667"/>
      <c r="O47" s="667"/>
      <c r="P47" s="667"/>
      <c r="Q47" s="667"/>
      <c r="R47" s="667"/>
      <c r="S47" s="667"/>
      <c r="T47" s="667"/>
      <c r="U47" s="667"/>
      <c r="V47" s="667"/>
      <c r="W47" s="667"/>
      <c r="X47" s="667"/>
      <c r="Y47" s="667"/>
      <c r="Z47" s="667"/>
      <c r="AA47" s="667"/>
      <c r="AB47" s="667"/>
      <c r="AC47" s="667"/>
      <c r="AD47" s="667"/>
      <c r="AE47" s="667"/>
      <c r="AF47" s="667"/>
      <c r="AG47" s="667"/>
      <c r="AH47" s="667"/>
      <c r="AI47" s="667"/>
      <c r="AJ47" s="667"/>
    </row>
    <row r="48" spans="1:36">
      <c r="A48" s="667"/>
      <c r="B48" s="667"/>
      <c r="C48" s="667"/>
      <c r="D48" s="667"/>
      <c r="E48" s="667"/>
      <c r="F48" s="667"/>
      <c r="G48" s="667"/>
      <c r="H48" s="667"/>
      <c r="I48" s="667"/>
      <c r="J48" s="667"/>
      <c r="K48" s="667"/>
      <c r="L48" s="667"/>
      <c r="M48" s="667"/>
      <c r="N48" s="667"/>
      <c r="O48" s="667"/>
      <c r="P48" s="667"/>
      <c r="Q48" s="667"/>
      <c r="R48" s="667"/>
      <c r="S48" s="667"/>
      <c r="T48" s="667"/>
      <c r="U48" s="667"/>
      <c r="V48" s="667"/>
      <c r="W48" s="667"/>
      <c r="X48" s="667"/>
      <c r="Y48" s="667"/>
      <c r="Z48" s="667"/>
      <c r="AA48" s="667"/>
      <c r="AB48" s="667"/>
      <c r="AC48" s="667"/>
      <c r="AD48" s="667"/>
      <c r="AE48" s="667"/>
      <c r="AF48" s="667"/>
      <c r="AG48" s="667"/>
      <c r="AH48" s="667"/>
      <c r="AI48" s="667"/>
      <c r="AJ48" s="667"/>
    </row>
    <row r="49" spans="1:36">
      <c r="A49" s="667"/>
      <c r="B49" s="667"/>
      <c r="C49" s="667"/>
      <c r="D49" s="667"/>
      <c r="E49" s="667"/>
      <c r="F49" s="667"/>
      <c r="G49" s="667"/>
      <c r="H49" s="667"/>
      <c r="I49" s="667"/>
      <c r="J49" s="667"/>
      <c r="K49" s="667"/>
      <c r="L49" s="667"/>
      <c r="M49" s="667"/>
      <c r="N49" s="667"/>
      <c r="O49" s="667"/>
      <c r="P49" s="667"/>
      <c r="Q49" s="667"/>
      <c r="R49" s="667"/>
      <c r="S49" s="667"/>
      <c r="T49" s="667"/>
      <c r="U49" s="667"/>
      <c r="V49" s="667"/>
      <c r="W49" s="667"/>
      <c r="X49" s="667"/>
      <c r="Y49" s="667"/>
      <c r="Z49" s="667"/>
      <c r="AA49" s="667"/>
      <c r="AB49" s="667"/>
      <c r="AC49" s="667"/>
      <c r="AD49" s="667"/>
      <c r="AE49" s="667"/>
      <c r="AF49" s="667"/>
      <c r="AG49" s="667"/>
      <c r="AH49" s="667"/>
      <c r="AI49" s="667"/>
      <c r="AJ49" s="667"/>
    </row>
    <row r="50" spans="1:36">
      <c r="A50" s="667"/>
      <c r="B50" s="667"/>
      <c r="C50" s="667"/>
      <c r="D50" s="667"/>
      <c r="E50" s="667"/>
      <c r="F50" s="667"/>
      <c r="G50" s="667"/>
      <c r="H50" s="667"/>
      <c r="I50" s="667"/>
      <c r="J50" s="667"/>
      <c r="K50" s="667"/>
      <c r="L50" s="667"/>
      <c r="M50" s="667"/>
      <c r="N50" s="667"/>
      <c r="O50" s="667"/>
      <c r="P50" s="667"/>
      <c r="Q50" s="667"/>
      <c r="R50" s="667"/>
      <c r="S50" s="667"/>
      <c r="T50" s="667"/>
      <c r="U50" s="667"/>
      <c r="V50" s="667"/>
      <c r="W50" s="667"/>
      <c r="X50" s="667"/>
      <c r="Y50" s="667"/>
      <c r="Z50" s="667"/>
      <c r="AA50" s="667"/>
      <c r="AB50" s="667"/>
      <c r="AC50" s="667"/>
      <c r="AD50" s="667"/>
      <c r="AE50" s="667"/>
      <c r="AF50" s="667"/>
      <c r="AG50" s="667"/>
      <c r="AH50" s="667"/>
      <c r="AI50" s="667"/>
      <c r="AJ50" s="667"/>
    </row>
    <row r="51" spans="1:36">
      <c r="A51" s="667"/>
      <c r="B51" s="667"/>
      <c r="C51" s="667"/>
      <c r="D51" s="667"/>
      <c r="E51" s="667"/>
      <c r="F51" s="667"/>
      <c r="G51" s="667"/>
      <c r="H51" s="667"/>
      <c r="I51" s="667"/>
      <c r="J51" s="667"/>
      <c r="K51" s="667"/>
      <c r="L51" s="667"/>
      <c r="M51" s="667"/>
      <c r="N51" s="667"/>
      <c r="O51" s="667"/>
      <c r="P51" s="667"/>
      <c r="Q51" s="667"/>
      <c r="R51" s="667"/>
      <c r="S51" s="667"/>
      <c r="T51" s="667"/>
      <c r="U51" s="667"/>
      <c r="V51" s="667"/>
      <c r="W51" s="667"/>
      <c r="X51" s="667"/>
      <c r="Y51" s="667"/>
      <c r="Z51" s="667"/>
      <c r="AA51" s="667"/>
      <c r="AB51" s="667"/>
      <c r="AC51" s="667"/>
      <c r="AD51" s="667"/>
      <c r="AE51" s="667"/>
      <c r="AF51" s="667"/>
      <c r="AG51" s="667"/>
      <c r="AH51" s="667"/>
      <c r="AI51" s="667"/>
      <c r="AJ51" s="667"/>
    </row>
    <row r="52" spans="1:36">
      <c r="A52" s="667"/>
      <c r="B52" s="667"/>
      <c r="C52" s="667"/>
      <c r="D52" s="667"/>
      <c r="E52" s="667"/>
      <c r="F52" s="667"/>
      <c r="G52" s="667"/>
      <c r="H52" s="667"/>
      <c r="I52" s="667"/>
      <c r="J52" s="667"/>
      <c r="K52" s="667"/>
      <c r="L52" s="667"/>
      <c r="M52" s="667"/>
      <c r="N52" s="667"/>
      <c r="O52" s="667"/>
      <c r="P52" s="667"/>
      <c r="Q52" s="667"/>
      <c r="R52" s="667"/>
      <c r="S52" s="667"/>
      <c r="T52" s="667"/>
      <c r="U52" s="667"/>
      <c r="V52" s="667"/>
      <c r="W52" s="667"/>
      <c r="X52" s="667"/>
      <c r="Y52" s="667"/>
      <c r="Z52" s="667"/>
      <c r="AA52" s="667"/>
      <c r="AB52" s="667"/>
      <c r="AC52" s="667"/>
      <c r="AD52" s="667"/>
      <c r="AE52" s="667"/>
      <c r="AF52" s="667"/>
      <c r="AG52" s="667"/>
      <c r="AH52" s="667"/>
      <c r="AI52" s="667"/>
      <c r="AJ52" s="667"/>
    </row>
    <row r="53" spans="1:36">
      <c r="A53" s="667"/>
      <c r="B53" s="667"/>
      <c r="C53" s="667"/>
      <c r="D53" s="667"/>
      <c r="E53" s="667"/>
      <c r="F53" s="667"/>
      <c r="G53" s="667"/>
      <c r="H53" s="667"/>
      <c r="I53" s="667"/>
      <c r="J53" s="667"/>
      <c r="K53" s="667"/>
      <c r="L53" s="667"/>
      <c r="M53" s="667"/>
      <c r="N53" s="667"/>
      <c r="O53" s="667"/>
      <c r="P53" s="667"/>
      <c r="Q53" s="667"/>
      <c r="R53" s="667"/>
      <c r="S53" s="667"/>
      <c r="T53" s="667"/>
      <c r="U53" s="667"/>
      <c r="V53" s="667"/>
      <c r="W53" s="667"/>
      <c r="X53" s="667"/>
      <c r="Y53" s="667"/>
      <c r="Z53" s="667"/>
      <c r="AA53" s="667"/>
      <c r="AB53" s="667"/>
      <c r="AC53" s="667"/>
      <c r="AD53" s="667"/>
      <c r="AE53" s="667"/>
      <c r="AF53" s="667"/>
      <c r="AG53" s="667"/>
      <c r="AH53" s="667"/>
      <c r="AI53" s="667"/>
      <c r="AJ53" s="667"/>
    </row>
  </sheetData>
  <conditionalFormatting sqref="C27:AG27 C30:AG30 C31 C24:AG25 C13:AG18 C20:AG21 C6:AF6 C7:AG10">
    <cfRule type="cellIs" dxfId="65" priority="7" operator="equal">
      <formula>0</formula>
    </cfRule>
  </conditionalFormatting>
  <conditionalFormatting sqref="C23:AG23">
    <cfRule type="cellIs" dxfId="64" priority="6" operator="equal">
      <formula>0</formula>
    </cfRule>
  </conditionalFormatting>
  <conditionalFormatting sqref="C22:AG22">
    <cfRule type="cellIs" dxfId="63" priority="5" operator="equal">
      <formula>0</formula>
    </cfRule>
  </conditionalFormatting>
  <conditionalFormatting sqref="C19:AG19">
    <cfRule type="cellIs" dxfId="62" priority="4" operator="equal">
      <formula>0</formula>
    </cfRule>
  </conditionalFormatting>
  <conditionalFormatting sqref="C5:AG5">
    <cfRule type="cellIs" dxfId="61" priority="2" operator="equal">
      <formula>0</formula>
    </cfRule>
  </conditionalFormatting>
  <conditionalFormatting sqref="AG6">
    <cfRule type="cellIs" dxfId="60" priority="1" operator="equal">
      <formula>0</formula>
    </cfRule>
  </conditionalFormatting>
  <pageMargins left="0.75" right="0.75" top="1" bottom="1" header="0.5" footer="0.5"/>
  <pageSetup paperSize="9" scale="70" orientation="landscape"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CCFFCC"/>
  </sheetPr>
  <dimension ref="A1:AJ54"/>
  <sheetViews>
    <sheetView workbookViewId="0"/>
  </sheetViews>
  <sheetFormatPr defaultRowHeight="13.2"/>
  <cols>
    <col min="1" max="1" width="4" style="60" customWidth="1"/>
    <col min="2" max="2" width="26.6640625" style="60" customWidth="1"/>
    <col min="3" max="33" width="10.33203125" style="60" customWidth="1"/>
    <col min="34" max="34" width="10.6640625" style="60" customWidth="1"/>
    <col min="35" max="256" width="9.33203125" style="60"/>
    <col min="257" max="257" width="4" style="60" customWidth="1"/>
    <col min="258" max="258" width="24.6640625" style="60" customWidth="1"/>
    <col min="259" max="512" width="9.33203125" style="60"/>
    <col min="513" max="513" width="4" style="60" customWidth="1"/>
    <col min="514" max="514" width="24.6640625" style="60" customWidth="1"/>
    <col min="515" max="768" width="9.33203125" style="60"/>
    <col min="769" max="769" width="4" style="60" customWidth="1"/>
    <col min="770" max="770" width="24.6640625" style="60" customWidth="1"/>
    <col min="771" max="1024" width="9.33203125" style="60"/>
    <col min="1025" max="1025" width="4" style="60" customWidth="1"/>
    <col min="1026" max="1026" width="24.6640625" style="60" customWidth="1"/>
    <col min="1027" max="1280" width="9.33203125" style="60"/>
    <col min="1281" max="1281" width="4" style="60" customWidth="1"/>
    <col min="1282" max="1282" width="24.6640625" style="60" customWidth="1"/>
    <col min="1283" max="1536" width="9.33203125" style="60"/>
    <col min="1537" max="1537" width="4" style="60" customWidth="1"/>
    <col min="1538" max="1538" width="24.6640625" style="60" customWidth="1"/>
    <col min="1539" max="1792" width="9.33203125" style="60"/>
    <col min="1793" max="1793" width="4" style="60" customWidth="1"/>
    <col min="1794" max="1794" width="24.6640625" style="60" customWidth="1"/>
    <col min="1795" max="2048" width="9.33203125" style="60"/>
    <col min="2049" max="2049" width="4" style="60" customWidth="1"/>
    <col min="2050" max="2050" width="24.6640625" style="60" customWidth="1"/>
    <col min="2051" max="2304" width="9.33203125" style="60"/>
    <col min="2305" max="2305" width="4" style="60" customWidth="1"/>
    <col min="2306" max="2306" width="24.6640625" style="60" customWidth="1"/>
    <col min="2307" max="2560" width="9.33203125" style="60"/>
    <col min="2561" max="2561" width="4" style="60" customWidth="1"/>
    <col min="2562" max="2562" width="24.6640625" style="60" customWidth="1"/>
    <col min="2563" max="2816" width="9.33203125" style="60"/>
    <col min="2817" max="2817" width="4" style="60" customWidth="1"/>
    <col min="2818" max="2818" width="24.6640625" style="60" customWidth="1"/>
    <col min="2819" max="3072" width="9.33203125" style="60"/>
    <col min="3073" max="3073" width="4" style="60" customWidth="1"/>
    <col min="3074" max="3074" width="24.6640625" style="60" customWidth="1"/>
    <col min="3075" max="3328" width="9.33203125" style="60"/>
    <col min="3329" max="3329" width="4" style="60" customWidth="1"/>
    <col min="3330" max="3330" width="24.6640625" style="60" customWidth="1"/>
    <col min="3331" max="3584" width="9.33203125" style="60"/>
    <col min="3585" max="3585" width="4" style="60" customWidth="1"/>
    <col min="3586" max="3586" width="24.6640625" style="60" customWidth="1"/>
    <col min="3587" max="3840" width="9.33203125" style="60"/>
    <col min="3841" max="3841" width="4" style="60" customWidth="1"/>
    <col min="3842" max="3842" width="24.6640625" style="60" customWidth="1"/>
    <col min="3843" max="4096" width="9.33203125" style="60"/>
    <col min="4097" max="4097" width="4" style="60" customWidth="1"/>
    <col min="4098" max="4098" width="24.6640625" style="60" customWidth="1"/>
    <col min="4099" max="4352" width="9.33203125" style="60"/>
    <col min="4353" max="4353" width="4" style="60" customWidth="1"/>
    <col min="4354" max="4354" width="24.6640625" style="60" customWidth="1"/>
    <col min="4355" max="4608" width="9.33203125" style="60"/>
    <col min="4609" max="4609" width="4" style="60" customWidth="1"/>
    <col min="4610" max="4610" width="24.6640625" style="60" customWidth="1"/>
    <col min="4611" max="4864" width="9.33203125" style="60"/>
    <col min="4865" max="4865" width="4" style="60" customWidth="1"/>
    <col min="4866" max="4866" width="24.6640625" style="60" customWidth="1"/>
    <col min="4867" max="5120" width="9.33203125" style="60"/>
    <col min="5121" max="5121" width="4" style="60" customWidth="1"/>
    <col min="5122" max="5122" width="24.6640625" style="60" customWidth="1"/>
    <col min="5123" max="5376" width="9.33203125" style="60"/>
    <col min="5377" max="5377" width="4" style="60" customWidth="1"/>
    <col min="5378" max="5378" width="24.6640625" style="60" customWidth="1"/>
    <col min="5379" max="5632" width="9.33203125" style="60"/>
    <col min="5633" max="5633" width="4" style="60" customWidth="1"/>
    <col min="5634" max="5634" width="24.6640625" style="60" customWidth="1"/>
    <col min="5635" max="5888" width="9.33203125" style="60"/>
    <col min="5889" max="5889" width="4" style="60" customWidth="1"/>
    <col min="5890" max="5890" width="24.6640625" style="60" customWidth="1"/>
    <col min="5891" max="6144" width="9.33203125" style="60"/>
    <col min="6145" max="6145" width="4" style="60" customWidth="1"/>
    <col min="6146" max="6146" width="24.6640625" style="60" customWidth="1"/>
    <col min="6147" max="6400" width="9.33203125" style="60"/>
    <col min="6401" max="6401" width="4" style="60" customWidth="1"/>
    <col min="6402" max="6402" width="24.6640625" style="60" customWidth="1"/>
    <col min="6403" max="6656" width="9.33203125" style="60"/>
    <col min="6657" max="6657" width="4" style="60" customWidth="1"/>
    <col min="6658" max="6658" width="24.6640625" style="60" customWidth="1"/>
    <col min="6659" max="6912" width="9.33203125" style="60"/>
    <col min="6913" max="6913" width="4" style="60" customWidth="1"/>
    <col min="6914" max="6914" width="24.6640625" style="60" customWidth="1"/>
    <col min="6915" max="7168" width="9.33203125" style="60"/>
    <col min="7169" max="7169" width="4" style="60" customWidth="1"/>
    <col min="7170" max="7170" width="24.6640625" style="60" customWidth="1"/>
    <col min="7171" max="7424" width="9.33203125" style="60"/>
    <col min="7425" max="7425" width="4" style="60" customWidth="1"/>
    <col min="7426" max="7426" width="24.6640625" style="60" customWidth="1"/>
    <col min="7427" max="7680" width="9.33203125" style="60"/>
    <col min="7681" max="7681" width="4" style="60" customWidth="1"/>
    <col min="7682" max="7682" width="24.6640625" style="60" customWidth="1"/>
    <col min="7683" max="7936" width="9.33203125" style="60"/>
    <col min="7937" max="7937" width="4" style="60" customWidth="1"/>
    <col min="7938" max="7938" width="24.6640625" style="60" customWidth="1"/>
    <col min="7939" max="8192" width="9.33203125" style="60"/>
    <col min="8193" max="8193" width="4" style="60" customWidth="1"/>
    <col min="8194" max="8194" width="24.6640625" style="60" customWidth="1"/>
    <col min="8195" max="8448" width="9.33203125" style="60"/>
    <col min="8449" max="8449" width="4" style="60" customWidth="1"/>
    <col min="8450" max="8450" width="24.6640625" style="60" customWidth="1"/>
    <col min="8451" max="8704" width="9.33203125" style="60"/>
    <col min="8705" max="8705" width="4" style="60" customWidth="1"/>
    <col min="8706" max="8706" width="24.6640625" style="60" customWidth="1"/>
    <col min="8707" max="8960" width="9.33203125" style="60"/>
    <col min="8961" max="8961" width="4" style="60" customWidth="1"/>
    <col min="8962" max="8962" width="24.6640625" style="60" customWidth="1"/>
    <col min="8963" max="9216" width="9.33203125" style="60"/>
    <col min="9217" max="9217" width="4" style="60" customWidth="1"/>
    <col min="9218" max="9218" width="24.6640625" style="60" customWidth="1"/>
    <col min="9219" max="9472" width="9.33203125" style="60"/>
    <col min="9473" max="9473" width="4" style="60" customWidth="1"/>
    <col min="9474" max="9474" width="24.6640625" style="60" customWidth="1"/>
    <col min="9475" max="9728" width="9.33203125" style="60"/>
    <col min="9729" max="9729" width="4" style="60" customWidth="1"/>
    <col min="9730" max="9730" width="24.6640625" style="60" customWidth="1"/>
    <col min="9731" max="9984" width="9.33203125" style="60"/>
    <col min="9985" max="9985" width="4" style="60" customWidth="1"/>
    <col min="9986" max="9986" width="24.6640625" style="60" customWidth="1"/>
    <col min="9987" max="10240" width="9.33203125" style="60"/>
    <col min="10241" max="10241" width="4" style="60" customWidth="1"/>
    <col min="10242" max="10242" width="24.6640625" style="60" customWidth="1"/>
    <col min="10243" max="10496" width="9.33203125" style="60"/>
    <col min="10497" max="10497" width="4" style="60" customWidth="1"/>
    <col min="10498" max="10498" width="24.6640625" style="60" customWidth="1"/>
    <col min="10499" max="10752" width="9.33203125" style="60"/>
    <col min="10753" max="10753" width="4" style="60" customWidth="1"/>
    <col min="10754" max="10754" width="24.6640625" style="60" customWidth="1"/>
    <col min="10755" max="11008" width="9.33203125" style="60"/>
    <col min="11009" max="11009" width="4" style="60" customWidth="1"/>
    <col min="11010" max="11010" width="24.6640625" style="60" customWidth="1"/>
    <col min="11011" max="11264" width="9.33203125" style="60"/>
    <col min="11265" max="11265" width="4" style="60" customWidth="1"/>
    <col min="11266" max="11266" width="24.6640625" style="60" customWidth="1"/>
    <col min="11267" max="11520" width="9.33203125" style="60"/>
    <col min="11521" max="11521" width="4" style="60" customWidth="1"/>
    <col min="11522" max="11522" width="24.6640625" style="60" customWidth="1"/>
    <col min="11523" max="11776" width="9.33203125" style="60"/>
    <col min="11777" max="11777" width="4" style="60" customWidth="1"/>
    <col min="11778" max="11778" width="24.6640625" style="60" customWidth="1"/>
    <col min="11779" max="12032" width="9.33203125" style="60"/>
    <col min="12033" max="12033" width="4" style="60" customWidth="1"/>
    <col min="12034" max="12034" width="24.6640625" style="60" customWidth="1"/>
    <col min="12035" max="12288" width="9.33203125" style="60"/>
    <col min="12289" max="12289" width="4" style="60" customWidth="1"/>
    <col min="12290" max="12290" width="24.6640625" style="60" customWidth="1"/>
    <col min="12291" max="12544" width="9.33203125" style="60"/>
    <col min="12545" max="12545" width="4" style="60" customWidth="1"/>
    <col min="12546" max="12546" width="24.6640625" style="60" customWidth="1"/>
    <col min="12547" max="12800" width="9.33203125" style="60"/>
    <col min="12801" max="12801" width="4" style="60" customWidth="1"/>
    <col min="12802" max="12802" width="24.6640625" style="60" customWidth="1"/>
    <col min="12803" max="13056" width="9.33203125" style="60"/>
    <col min="13057" max="13057" width="4" style="60" customWidth="1"/>
    <col min="13058" max="13058" width="24.6640625" style="60" customWidth="1"/>
    <col min="13059" max="13312" width="9.33203125" style="60"/>
    <col min="13313" max="13313" width="4" style="60" customWidth="1"/>
    <col min="13314" max="13314" width="24.6640625" style="60" customWidth="1"/>
    <col min="13315" max="13568" width="9.33203125" style="60"/>
    <col min="13569" max="13569" width="4" style="60" customWidth="1"/>
    <col min="13570" max="13570" width="24.6640625" style="60" customWidth="1"/>
    <col min="13571" max="13824" width="9.33203125" style="60"/>
    <col min="13825" max="13825" width="4" style="60" customWidth="1"/>
    <col min="13826" max="13826" width="24.6640625" style="60" customWidth="1"/>
    <col min="13827" max="14080" width="9.33203125" style="60"/>
    <col min="14081" max="14081" width="4" style="60" customWidth="1"/>
    <col min="14082" max="14082" width="24.6640625" style="60" customWidth="1"/>
    <col min="14083" max="14336" width="9.33203125" style="60"/>
    <col min="14337" max="14337" width="4" style="60" customWidth="1"/>
    <col min="14338" max="14338" width="24.6640625" style="60" customWidth="1"/>
    <col min="14339" max="14592" width="9.33203125" style="60"/>
    <col min="14593" max="14593" width="4" style="60" customWidth="1"/>
    <col min="14594" max="14594" width="24.6640625" style="60" customWidth="1"/>
    <col min="14595" max="14848" width="9.33203125" style="60"/>
    <col min="14849" max="14849" width="4" style="60" customWidth="1"/>
    <col min="14850" max="14850" width="24.6640625" style="60" customWidth="1"/>
    <col min="14851" max="15104" width="9.33203125" style="60"/>
    <col min="15105" max="15105" width="4" style="60" customWidth="1"/>
    <col min="15106" max="15106" width="24.6640625" style="60" customWidth="1"/>
    <col min="15107" max="15360" width="9.33203125" style="60"/>
    <col min="15361" max="15361" width="4" style="60" customWidth="1"/>
    <col min="15362" max="15362" width="24.6640625" style="60" customWidth="1"/>
    <col min="15363" max="15616" width="9.33203125" style="60"/>
    <col min="15617" max="15617" width="4" style="60" customWidth="1"/>
    <col min="15618" max="15618" width="24.6640625" style="60" customWidth="1"/>
    <col min="15619" max="15872" width="9.33203125" style="60"/>
    <col min="15873" max="15873" width="4" style="60" customWidth="1"/>
    <col min="15874" max="15874" width="24.6640625" style="60" customWidth="1"/>
    <col min="15875" max="16128" width="9.33203125" style="60"/>
    <col min="16129" max="16129" width="4" style="60" customWidth="1"/>
    <col min="16130" max="16130" width="24.6640625" style="60" customWidth="1"/>
    <col min="16131" max="16384" width="9.33203125" style="60"/>
  </cols>
  <sheetData>
    <row r="1" spans="1:36" ht="22.8">
      <c r="A1" s="326"/>
      <c r="B1" s="690" t="s">
        <v>171</v>
      </c>
      <c r="C1" s="326"/>
      <c r="D1" s="326"/>
      <c r="E1" s="326"/>
      <c r="F1" s="328"/>
      <c r="G1" s="326"/>
      <c r="H1" s="328"/>
      <c r="I1" s="326"/>
      <c r="J1" s="328"/>
      <c r="K1" s="326"/>
      <c r="L1" s="326"/>
      <c r="M1" s="328"/>
      <c r="N1" s="326"/>
      <c r="O1" s="326"/>
      <c r="P1" s="328"/>
      <c r="Q1" s="326"/>
      <c r="R1" s="328"/>
      <c r="S1" s="326"/>
      <c r="T1" s="328"/>
      <c r="U1" s="326"/>
      <c r="V1" s="328"/>
      <c r="W1" s="326"/>
      <c r="X1" s="328"/>
      <c r="Y1" s="326"/>
      <c r="Z1" s="328"/>
      <c r="AA1" s="326"/>
      <c r="AB1" s="328"/>
      <c r="AC1" s="326"/>
      <c r="AD1" s="326"/>
      <c r="AE1" s="328"/>
      <c r="AF1" s="326"/>
      <c r="AG1" s="328"/>
      <c r="AH1" s="326"/>
      <c r="AI1" s="328"/>
      <c r="AJ1" s="326"/>
    </row>
    <row r="2" spans="1:36">
      <c r="A2" s="326"/>
      <c r="B2" s="326"/>
      <c r="C2" s="326"/>
      <c r="D2" s="326"/>
      <c r="E2" s="326"/>
      <c r="F2" s="328"/>
      <c r="G2" s="326"/>
      <c r="H2" s="328"/>
      <c r="I2" s="326"/>
      <c r="J2" s="328"/>
      <c r="K2" s="326"/>
      <c r="L2" s="326"/>
      <c r="M2" s="328"/>
      <c r="N2" s="326"/>
      <c r="O2" s="326"/>
      <c r="P2" s="328"/>
      <c r="Q2" s="326"/>
      <c r="R2" s="328"/>
      <c r="S2" s="326"/>
      <c r="T2" s="328"/>
      <c r="U2" s="326"/>
      <c r="V2" s="328"/>
      <c r="W2" s="326"/>
      <c r="X2" s="328"/>
      <c r="Y2" s="326"/>
      <c r="Z2" s="328"/>
      <c r="AA2" s="326"/>
      <c r="AB2" s="328"/>
      <c r="AC2" s="326"/>
      <c r="AD2" s="326"/>
      <c r="AE2" s="328"/>
      <c r="AF2" s="326"/>
      <c r="AG2" s="328"/>
      <c r="AH2" s="326"/>
      <c r="AI2" s="328"/>
      <c r="AJ2" s="326"/>
    </row>
    <row r="3" spans="1:36">
      <c r="A3" s="326"/>
      <c r="B3" s="1050" t="s">
        <v>1621</v>
      </c>
      <c r="C3" s="519">
        <f>Cashflow!AA16</f>
        <v>0.12</v>
      </c>
      <c r="D3" s="143"/>
      <c r="E3" s="326"/>
      <c r="F3" s="328"/>
      <c r="G3" s="326"/>
      <c r="H3" s="328"/>
      <c r="I3" s="326"/>
      <c r="J3" s="328"/>
      <c r="K3" s="326"/>
      <c r="L3" s="326"/>
      <c r="M3" s="328"/>
      <c r="N3" s="326"/>
      <c r="O3" s="326"/>
      <c r="P3" s="328"/>
      <c r="Q3" s="326"/>
      <c r="R3" s="328"/>
      <c r="S3" s="326"/>
      <c r="T3" s="328"/>
      <c r="U3" s="326"/>
      <c r="V3" s="328"/>
      <c r="W3" s="326"/>
      <c r="X3" s="328"/>
      <c r="Y3" s="326"/>
      <c r="Z3" s="328"/>
      <c r="AA3" s="326"/>
      <c r="AB3" s="328"/>
      <c r="AC3" s="326"/>
      <c r="AD3" s="326"/>
      <c r="AE3" s="328"/>
      <c r="AF3" s="326"/>
      <c r="AG3" s="328"/>
      <c r="AH3" s="326"/>
      <c r="AI3" s="328"/>
      <c r="AJ3" s="326"/>
    </row>
    <row r="4" spans="1:36">
      <c r="A4" s="326"/>
      <c r="B4" s="1050" t="s">
        <v>1622</v>
      </c>
      <c r="C4" s="519">
        <f>'Project-definition'!AA17</f>
        <v>0</v>
      </c>
      <c r="D4" s="326"/>
      <c r="E4" s="326"/>
      <c r="F4" s="328"/>
      <c r="G4" s="326"/>
      <c r="H4" s="328"/>
      <c r="I4" s="326"/>
      <c r="J4" s="328"/>
      <c r="K4" s="326"/>
      <c r="L4" s="326"/>
      <c r="M4" s="328"/>
      <c r="N4" s="326"/>
      <c r="O4" s="326"/>
      <c r="P4" s="328"/>
      <c r="Q4" s="326"/>
      <c r="R4" s="328"/>
      <c r="S4" s="326"/>
      <c r="T4" s="328"/>
      <c r="U4" s="326"/>
      <c r="V4" s="328"/>
      <c r="W4" s="326"/>
      <c r="X4" s="328"/>
      <c r="Y4" s="326"/>
      <c r="Z4" s="328"/>
      <c r="AA4" s="326"/>
      <c r="AB4" s="328"/>
      <c r="AC4" s="326"/>
      <c r="AD4" s="326"/>
      <c r="AE4" s="328"/>
      <c r="AF4" s="326"/>
      <c r="AG4" s="328"/>
      <c r="AH4" s="326"/>
      <c r="AI4" s="328"/>
      <c r="AJ4" s="326"/>
    </row>
    <row r="5" spans="1:36">
      <c r="A5" s="326"/>
      <c r="B5" s="144" t="s">
        <v>267</v>
      </c>
      <c r="C5" s="682">
        <f>Cashflow!AA17</f>
        <v>2017</v>
      </c>
      <c r="D5" s="326" t="s">
        <v>268</v>
      </c>
      <c r="E5" s="326"/>
      <c r="F5" s="328"/>
      <c r="G5" s="326"/>
      <c r="H5" s="328"/>
      <c r="I5" s="326"/>
      <c r="J5" s="328"/>
      <c r="K5" s="326"/>
      <c r="L5" s="326"/>
      <c r="M5" s="328"/>
      <c r="N5" s="326"/>
      <c r="O5" s="326"/>
      <c r="P5" s="328"/>
      <c r="Q5" s="326"/>
      <c r="R5" s="328"/>
      <c r="S5" s="326"/>
      <c r="T5" s="328"/>
      <c r="U5" s="326"/>
      <c r="V5" s="328"/>
      <c r="W5" s="326"/>
      <c r="X5" s="328"/>
      <c r="Y5" s="326"/>
      <c r="Z5" s="328"/>
      <c r="AA5" s="326"/>
      <c r="AB5" s="328"/>
      <c r="AC5" s="326"/>
      <c r="AD5" s="326"/>
      <c r="AE5" s="328"/>
      <c r="AF5" s="326"/>
      <c r="AG5" s="328"/>
      <c r="AH5" s="326"/>
      <c r="AI5" s="328"/>
      <c r="AJ5" s="326"/>
    </row>
    <row r="6" spans="1:36">
      <c r="B6" s="692"/>
      <c r="C6" s="683"/>
      <c r="D6" s="328"/>
      <c r="E6" s="326"/>
      <c r="F6" s="328"/>
      <c r="G6" s="326"/>
      <c r="H6" s="328"/>
      <c r="I6" s="326"/>
      <c r="J6" s="328"/>
      <c r="K6" s="326"/>
      <c r="L6" s="326"/>
      <c r="M6" s="328"/>
      <c r="N6" s="326"/>
      <c r="O6" s="326"/>
      <c r="P6" s="328"/>
      <c r="Q6" s="326"/>
      <c r="R6" s="328"/>
      <c r="S6" s="326"/>
      <c r="T6" s="328"/>
      <c r="U6" s="326"/>
      <c r="V6" s="328"/>
      <c r="W6" s="326"/>
      <c r="X6" s="328"/>
      <c r="Y6" s="326"/>
      <c r="Z6" s="328"/>
      <c r="AA6" s="326"/>
      <c r="AB6" s="328"/>
      <c r="AC6" s="326"/>
      <c r="AD6" s="326"/>
      <c r="AE6" s="328"/>
      <c r="AF6" s="326"/>
      <c r="AG6" s="450"/>
      <c r="AH6" s="326"/>
      <c r="AI6" s="326"/>
      <c r="AJ6" s="326"/>
    </row>
    <row r="7" spans="1:36" ht="13.8" thickBot="1">
      <c r="A7" s="326"/>
      <c r="B7" s="195" t="s">
        <v>291</v>
      </c>
      <c r="C7" s="196">
        <f>Cashflow!C$30</f>
        <v>2017</v>
      </c>
      <c r="D7" s="196">
        <f>Cashflow!D$30</f>
        <v>2018</v>
      </c>
      <c r="E7" s="196">
        <f>Cashflow!E$30</f>
        <v>2019</v>
      </c>
      <c r="F7" s="196">
        <f>Cashflow!F$30</f>
        <v>2020</v>
      </c>
      <c r="G7" s="196">
        <f>Cashflow!G$30</f>
        <v>2021</v>
      </c>
      <c r="H7" s="196">
        <f>Cashflow!H$30</f>
        <v>2022</v>
      </c>
      <c r="I7" s="196">
        <f>Cashflow!I$30</f>
        <v>2023</v>
      </c>
      <c r="J7" s="196">
        <f>Cashflow!J$30</f>
        <v>2024</v>
      </c>
      <c r="K7" s="196">
        <f>Cashflow!K$30</f>
        <v>2025</v>
      </c>
      <c r="L7" s="196">
        <f>Cashflow!L$30</f>
        <v>2026</v>
      </c>
      <c r="M7" s="196">
        <f>Cashflow!M$30</f>
        <v>2027</v>
      </c>
      <c r="N7" s="196">
        <f>Cashflow!N$30</f>
        <v>2028</v>
      </c>
      <c r="O7" s="196">
        <f>Cashflow!O$30</f>
        <v>2029</v>
      </c>
      <c r="P7" s="196">
        <f>Cashflow!P$30</f>
        <v>2030</v>
      </c>
      <c r="Q7" s="196">
        <f>Cashflow!Q$30</f>
        <v>2031</v>
      </c>
      <c r="R7" s="196">
        <f>Cashflow!R$30</f>
        <v>2032</v>
      </c>
      <c r="S7" s="196">
        <f>Cashflow!S$30</f>
        <v>2033</v>
      </c>
      <c r="T7" s="196">
        <f>Cashflow!T$30</f>
        <v>2034</v>
      </c>
      <c r="U7" s="196">
        <f>Cashflow!U$30</f>
        <v>2035</v>
      </c>
      <c r="V7" s="196">
        <f>Cashflow!V$30</f>
        <v>2036</v>
      </c>
      <c r="W7" s="196">
        <f>Cashflow!W$30</f>
        <v>2037</v>
      </c>
      <c r="X7" s="196">
        <f>Cashflow!X$30</f>
        <v>2038</v>
      </c>
      <c r="Y7" s="196">
        <f>Cashflow!Y$30</f>
        <v>2039</v>
      </c>
      <c r="Z7" s="196">
        <f>Cashflow!Z$30</f>
        <v>2040</v>
      </c>
      <c r="AA7" s="196">
        <f>Cashflow!AA$30</f>
        <v>2041</v>
      </c>
      <c r="AB7" s="196">
        <f>Cashflow!AB$30</f>
        <v>2042</v>
      </c>
      <c r="AC7" s="196">
        <f>Cashflow!AC$30</f>
        <v>2043</v>
      </c>
      <c r="AD7" s="196">
        <f>Cashflow!AD$30</f>
        <v>2044</v>
      </c>
      <c r="AE7" s="196">
        <f>Cashflow!AE$30</f>
        <v>2045</v>
      </c>
      <c r="AF7" s="196">
        <f>Cashflow!AF$30</f>
        <v>2046</v>
      </c>
      <c r="AG7" s="196">
        <f>Cashflow!AG$30</f>
        <v>2047</v>
      </c>
      <c r="AH7" s="701" t="s">
        <v>129</v>
      </c>
      <c r="AI7" s="693"/>
      <c r="AJ7" s="667"/>
    </row>
    <row r="8" spans="1:36" ht="13.8" thickTop="1">
      <c r="B8" s="206" t="s">
        <v>269</v>
      </c>
      <c r="C8" s="194">
        <f>Cashflow!C34/(1+$C$3)^(C$7-$C$5)</f>
        <v>0</v>
      </c>
      <c r="D8" s="194">
        <f>Cashflow!D34/(1+$C$3)^(D$7-$C$5)</f>
        <v>0</v>
      </c>
      <c r="E8" s="194">
        <f>Cashflow!E34/(1+$C$3)^(E$7-$C$5)</f>
        <v>0</v>
      </c>
      <c r="F8" s="194">
        <f>Cashflow!F34/(1+$C$3)^(F$7-$C$5)</f>
        <v>0</v>
      </c>
      <c r="G8" s="194">
        <f>Cashflow!G34/(1+$C$3)^(G$7-$C$5)</f>
        <v>0</v>
      </c>
      <c r="H8" s="194">
        <f>Cashflow!H34/(1+$C$3)^(H$7-$C$5)</f>
        <v>0</v>
      </c>
      <c r="I8" s="194">
        <f>Cashflow!I34/(1+$C$3)^(I$7-$C$5)</f>
        <v>0</v>
      </c>
      <c r="J8" s="194">
        <f>Cashflow!J34/(1+$C$3)^(J$7-$C$5)</f>
        <v>0</v>
      </c>
      <c r="K8" s="194">
        <f>Cashflow!K34/(1+$C$3)^(K$7-$C$5)</f>
        <v>88.696272656087046</v>
      </c>
      <c r="L8" s="194">
        <f ca="1">Cashflow!L34/(1+$C$3)^(L$7-$C$5)</f>
        <v>116.44697486394973</v>
      </c>
      <c r="M8" s="194">
        <f ca="1">Cashflow!M34/(1+$C$3)^(M$7-$C$5)</f>
        <v>109.82580081823266</v>
      </c>
      <c r="N8" s="194">
        <f ca="1">Cashflow!N34/(1+$C$3)^(N$7-$C$5)</f>
        <v>124.18757658449026</v>
      </c>
      <c r="O8" s="194">
        <f ca="1">Cashflow!O34/(1+$C$3)^(O$7-$C$5)</f>
        <v>104.77133263404185</v>
      </c>
      <c r="P8" s="194">
        <f ca="1">Cashflow!P34/(1+$C$3)^(P$7-$C$5)</f>
        <v>99.001575721054081</v>
      </c>
      <c r="Q8" s="194">
        <f ca="1">Cashflow!Q34/(1+$C$3)^(Q$7-$C$5)</f>
        <v>83.523064918719555</v>
      </c>
      <c r="R8" s="194">
        <f ca="1">Cashflow!R34/(1+$C$3)^(R$7-$C$5)</f>
        <v>78.92345003272807</v>
      </c>
      <c r="S8" s="194">
        <f ca="1">Cashflow!S34/(1+$C$3)^(S$7-$C$5)</f>
        <v>66.584075987499645</v>
      </c>
      <c r="T8" s="194">
        <f ca="1">Cashflow!T34/(1+$C$3)^(T$7-$C$5)</f>
        <v>62.917291161294678</v>
      </c>
      <c r="U8" s="194">
        <f ca="1">Cashflow!U34/(1+$C$3)^(U$7-$C$5)</f>
        <v>53.080417719626624</v>
      </c>
      <c r="V8" s="194">
        <f ca="1">Cashflow!V34/(1+$C$3)^(V$7-$C$5)</f>
        <v>50.157279305879037</v>
      </c>
      <c r="W8" s="194">
        <f ca="1">Cashflow!W34/(1+$C$3)^(W$7-$C$5)</f>
        <v>42.315384023937028</v>
      </c>
      <c r="X8" s="194">
        <f ca="1">Cashflow!X34/(1+$C$3)^(X$7-$C$5)</f>
        <v>39.985075977263264</v>
      </c>
      <c r="Y8" s="194">
        <f ca="1">Cashflow!Y34/(1+$C$3)^(Y$7-$C$5)</f>
        <v>33.733565070102863</v>
      </c>
      <c r="Z8" s="194">
        <f ca="1">Cashflow!Z34/(1+$C$3)^(Z$7-$C$5)</f>
        <v>31.875857762486653</v>
      </c>
      <c r="AA8" s="194">
        <f ca="1">Cashflow!AA34/(1+$C$3)^(AA$7-$C$5)</f>
        <v>26.89219154185496</v>
      </c>
      <c r="AB8" s="194">
        <f ca="1">Cashflow!AB34/(1+$C$3)^(AB$7-$C$5)</f>
        <v>25.411238649941524</v>
      </c>
      <c r="AC8" s="194">
        <f ca="1">Cashflow!AC34/(1+$C$3)^(AC$7-$C$5)</f>
        <v>21.438290451096105</v>
      </c>
      <c r="AD8" s="194">
        <f ca="1">Cashflow!AD34/(1+$C$3)^(AD$7-$C$5)</f>
        <v>20.257683872721234</v>
      </c>
      <c r="AE8" s="194">
        <f ca="1">Cashflow!AE34/(1+$C$3)^(AE$7-$C$5)</f>
        <v>17.090473892774316</v>
      </c>
      <c r="AF8" s="194">
        <f ca="1">Cashflow!AF34/(1+$C$3)^(AF$7-$C$5)</f>
        <v>16.149301556697413</v>
      </c>
      <c r="AG8" s="194">
        <f ca="1">Cashflow!AG34/(1+$C$3)^(AG$7-$C$5)</f>
        <v>13.624421151765237</v>
      </c>
      <c r="AH8" s="703">
        <f ca="1">SUM(C8:AG8)*3600*24*365</f>
        <v>41844758774.627426</v>
      </c>
      <c r="AI8" s="694" t="s">
        <v>108</v>
      </c>
      <c r="AJ8" s="667"/>
    </row>
    <row r="9" spans="1:36">
      <c r="B9" s="206" t="s">
        <v>1445</v>
      </c>
      <c r="C9" s="194">
        <f>Cashflow!C62/(1+$C$3)^(C$7-$C$5)</f>
        <v>0</v>
      </c>
      <c r="D9" s="194">
        <f>Cashflow!D62/(1+$C$3)^(D$7-$C$5)</f>
        <v>0</v>
      </c>
      <c r="E9" s="194">
        <f>Cashflow!E62/(1+$C$3)^(E$7-$C$5)</f>
        <v>0</v>
      </c>
      <c r="F9" s="194">
        <f>Cashflow!F62/(1+$C$3)^(F$7-$C$5)</f>
        <v>0</v>
      </c>
      <c r="G9" s="194">
        <f>Cashflow!G62/(1+$C$3)^(G$7-$C$5)</f>
        <v>0</v>
      </c>
      <c r="H9" s="194">
        <f>Cashflow!H62/(1+$C$3)^(H$7-$C$5)</f>
        <v>0</v>
      </c>
      <c r="I9" s="194">
        <f>Cashflow!I62/(1+$C$3)^(I$7-$C$5)</f>
        <v>0</v>
      </c>
      <c r="J9" s="194">
        <f>Cashflow!J62/(1+$C$3)^(J$7-$C$5)</f>
        <v>0</v>
      </c>
      <c r="K9" s="194">
        <f ca="1">Cashflow!K62/(1+$C$3)^(K$7-$C$5)</f>
        <v>179268.94597935065</v>
      </c>
      <c r="L9" s="194">
        <f ca="1">Cashflow!L62/(1+$C$3)^(L$7-$C$5)</f>
        <v>235357.42620534549</v>
      </c>
      <c r="M9" s="194">
        <f ca="1">Cashflow!M62/(1+$C$3)^(M$7-$C$5)</f>
        <v>221975.00486139656</v>
      </c>
      <c r="N9" s="194">
        <f ca="1">Cashflow!N62/(1+$C$3)^(N$7-$C$5)</f>
        <v>251002.38478289192</v>
      </c>
      <c r="O9" s="194">
        <f ca="1">Cashflow!O62/(1+$C$3)^(O$7-$C$5)</f>
        <v>193438.23337008516</v>
      </c>
      <c r="P9" s="194">
        <f ca="1">Cashflow!P62/(1+$C$3)^(P$7-$C$5)</f>
        <v>165473.61670250323</v>
      </c>
      <c r="Q9" s="194">
        <f ca="1">Cashflow!Q62/(1+$C$3)^(Q$7-$C$5)</f>
        <v>154207.7753269173</v>
      </c>
      <c r="R9" s="194">
        <f ca="1">Cashflow!R62/(1+$C$3)^(R$7-$C$5)</f>
        <v>131914.55413145985</v>
      </c>
      <c r="S9" s="194">
        <f ca="1">Cashflow!S62/(1+$C$3)^(S$7-$C$5)</f>
        <v>122933.49436138179</v>
      </c>
      <c r="T9" s="194">
        <f ca="1">Cashflow!T62/(1+$C$3)^(T$7-$C$5)</f>
        <v>105346.56077654868</v>
      </c>
      <c r="U9" s="194">
        <f ca="1">Cashflow!U62/(1+$C$3)^(U$7-$C$5)</f>
        <v>98339.541665791912</v>
      </c>
      <c r="V9" s="194">
        <f ca="1">Cashflow!V62/(1+$C$3)^(V$7-$C$5)</f>
        <v>84246.260039790257</v>
      </c>
      <c r="W9" s="194">
        <f ca="1">Cashflow!W62/(1+$C$3)^(W$7-$C$5)</f>
        <v>78618.689564230997</v>
      </c>
      <c r="X9" s="194">
        <f ca="1">Cashflow!X62/(1+$C$3)^(X$7-$C$5)</f>
        <v>67309.936949751325</v>
      </c>
      <c r="Y9" s="194">
        <f ca="1">Cashflow!Y62/(1+$C$3)^(Y$7-$C$5)</f>
        <v>62743.599649027972</v>
      </c>
      <c r="Z9" s="194">
        <f ca="1">Cashflow!Z62/(1+$C$3)^(Z$7-$C$5)</f>
        <v>53679.559197852315</v>
      </c>
      <c r="AA9" s="194">
        <f ca="1">Cashflow!AA62/(1+$C$3)^(AA$7-$C$5)</f>
        <v>50026.157240636865</v>
      </c>
      <c r="AB9" s="194">
        <f ca="1">Cashflow!AB62/(1+$C$3)^(AB$7-$C$5)</f>
        <v>37059.963265301485</v>
      </c>
      <c r="AC9" s="194">
        <f ca="1">Cashflow!AC62/(1+$C$3)^(AC$7-$C$5)</f>
        <v>34535.812782745619</v>
      </c>
      <c r="AD9" s="194">
        <f ca="1">Cashflow!AD62/(1+$C$3)^(AD$7-$C$5)</f>
        <v>29534.983656659449</v>
      </c>
      <c r="AE9" s="194">
        <f ca="1">Cashflow!AE62/(1+$C$3)^(AE$7-$C$5)</f>
        <v>27513.339822665865</v>
      </c>
      <c r="AF9" s="194">
        <f ca="1">Cashflow!AF62/(1+$C$3)^(AF$7-$C$5)</f>
        <v>17855.800582913511</v>
      </c>
      <c r="AG9" s="194">
        <f ca="1">Cashflow!AG62/(1+$C$3)^(AG$7-$C$5)</f>
        <v>16638.812735613697</v>
      </c>
      <c r="AH9" s="703">
        <f ca="1">SUM(C9:AG9)</f>
        <v>2419020.4536508624</v>
      </c>
      <c r="AI9" s="694" t="s">
        <v>419</v>
      </c>
      <c r="AJ9" s="667"/>
    </row>
    <row r="10" spans="1:36">
      <c r="A10" s="326"/>
      <c r="B10" s="204" t="s">
        <v>177</v>
      </c>
      <c r="C10" s="61">
        <f>Cashflow!C74/((1+$C$3)^(C$7-$C$5))</f>
        <v>0</v>
      </c>
      <c r="D10" s="61">
        <f>Cashflow!D74/((1+$C$3)^(D$7-$C$5))</f>
        <v>0</v>
      </c>
      <c r="E10" s="61">
        <f>Cashflow!E74/((1+$C$3)^(E$7-$C$5))</f>
        <v>0</v>
      </c>
      <c r="F10" s="61">
        <f>Cashflow!F74/((1+$C$3)^(F$7-$C$5))</f>
        <v>0</v>
      </c>
      <c r="G10" s="61">
        <f>Cashflow!G74/((1+$C$3)^(G$7-$C$5))</f>
        <v>0</v>
      </c>
      <c r="H10" s="61">
        <f>Cashflow!H74/((1+$C$3)^(H$7-$C$5))</f>
        <v>0</v>
      </c>
      <c r="I10" s="61">
        <f>Cashflow!I74/((1+$C$3)^(I$7-$C$5))</f>
        <v>0</v>
      </c>
      <c r="J10" s="61">
        <f>Cashflow!J74/((1+$C$3)^(J$7-$C$5))</f>
        <v>0</v>
      </c>
      <c r="K10" s="61">
        <f>Cashflow!K74/((1+$C$3)^(K$7-$C$5))</f>
        <v>56.543651917111674</v>
      </c>
      <c r="L10" s="61">
        <f ca="1">Cashflow!L74/((1+$C$3)^(L$7-$C$5))</f>
        <v>50.485403497421139</v>
      </c>
      <c r="M10" s="61">
        <f ca="1">Cashflow!M74/((1+$C$3)^(M$7-$C$5))</f>
        <v>45.076253122697437</v>
      </c>
      <c r="N10" s="61">
        <f ca="1">Cashflow!N74/((1+$C$3)^(N$7-$C$5))</f>
        <v>40.246654573836992</v>
      </c>
      <c r="O10" s="61">
        <f ca="1">Cashflow!O74/((1+$C$3)^(O$7-$C$5))</f>
        <v>35.934513012354465</v>
      </c>
      <c r="P10" s="61">
        <f ca="1">Cashflow!P74/((1+$C$3)^(P$7-$C$5))</f>
        <v>32.084386618173625</v>
      </c>
      <c r="Q10" s="61">
        <f ca="1">Cashflow!Q74/((1+$C$3)^(Q$7-$C$5))</f>
        <v>28.646773766226445</v>
      </c>
      <c r="R10" s="61">
        <f ca="1">Cashflow!R74/((1+$C$3)^(R$7-$C$5))</f>
        <v>25.577476576987898</v>
      </c>
      <c r="S10" s="61">
        <f ca="1">Cashflow!S74/((1+$C$3)^(S$7-$C$5))</f>
        <v>22.837032658024906</v>
      </c>
      <c r="T10" s="61">
        <f ca="1">Cashflow!T74/((1+$C$3)^(T$7-$C$5))</f>
        <v>20.39020773037938</v>
      </c>
      <c r="U10" s="61">
        <f ca="1">Cashflow!U74/((1+$C$3)^(U$7-$C$5))</f>
        <v>18.205542616410156</v>
      </c>
      <c r="V10" s="61">
        <f ca="1">Cashflow!V74/((1+$C$3)^(V$7-$C$5))</f>
        <v>16.254948764651925</v>
      </c>
      <c r="W10" s="61">
        <f ca="1">Cashflow!W74/((1+$C$3)^(W$7-$C$5))</f>
        <v>14.513347111296362</v>
      </c>
      <c r="X10" s="61">
        <f ca="1">Cashflow!X74/((1+$C$3)^(X$7-$C$5))</f>
        <v>12.958345635086037</v>
      </c>
      <c r="Y10" s="61">
        <f ca="1">Cashflow!Y74/((1+$C$3)^(Y$7-$C$5))</f>
        <v>11.569951459898245</v>
      </c>
      <c r="Z10" s="61">
        <f ca="1">Cashflow!Z74/((1+$C$3)^(Z$7-$C$5))</f>
        <v>10.330313803480577</v>
      </c>
      <c r="AA10" s="61">
        <f ca="1">Cashflow!AA74/((1+$C$3)^(AA$7-$C$5))</f>
        <v>9.2234944673933708</v>
      </c>
      <c r="AB10" s="61">
        <f ca="1">Cashflow!AB74/((1+$C$3)^(AB$7-$C$5))</f>
        <v>8.2352629173155094</v>
      </c>
      <c r="AC10" s="61">
        <f ca="1">Cashflow!AC74/((1+$C$3)^(AC$7-$C$5))</f>
        <v>7.3529133190317051</v>
      </c>
      <c r="AD10" s="61">
        <f ca="1">Cashflow!AD74/((1+$C$3)^(AD$7-$C$5))</f>
        <v>6.565101177706878</v>
      </c>
      <c r="AE10" s="61">
        <f ca="1">Cashflow!AE74/((1+$C$3)^(AE$7-$C$5))</f>
        <v>5.8616974800954269</v>
      </c>
      <c r="AF10" s="61">
        <f ca="1">Cashflow!AF74/((1+$C$3)^(AF$7-$C$5))</f>
        <v>5.2336584643709161</v>
      </c>
      <c r="AG10" s="61">
        <f ca="1">Cashflow!AG74/((1+$C$3)^(AG$7-$C$5))</f>
        <v>4.6729093431883175</v>
      </c>
      <c r="AH10" s="704">
        <f ca="1">AVERAGE(C10:AG10)</f>
        <v>15.767736775262565</v>
      </c>
      <c r="AI10" s="694" t="s">
        <v>394</v>
      </c>
      <c r="AJ10" s="667"/>
    </row>
    <row r="11" spans="1:36">
      <c r="A11" s="326"/>
      <c r="B11" s="515" t="s">
        <v>613</v>
      </c>
      <c r="C11" s="61">
        <f>Cashflow!C75/(1+$C$3)^(C$7-$C$5)</f>
        <v>0</v>
      </c>
      <c r="D11" s="61">
        <f>Cashflow!D75/(1+$C$3)^(D$7-$C$5)</f>
        <v>0</v>
      </c>
      <c r="E11" s="61">
        <f>Cashflow!E75/(1+$C$3)^(E$7-$C$5)</f>
        <v>0</v>
      </c>
      <c r="F11" s="61">
        <f>Cashflow!F75/(1+$C$3)^(F$7-$C$5)</f>
        <v>0</v>
      </c>
      <c r="G11" s="61">
        <f>Cashflow!G75/(1+$C$3)^(G$7-$C$5)</f>
        <v>0</v>
      </c>
      <c r="H11" s="61">
        <f>Cashflow!H75/(1+$C$3)^(H$7-$C$5)</f>
        <v>0</v>
      </c>
      <c r="I11" s="61">
        <f>Cashflow!I75/(1+$C$3)^(I$7-$C$5)</f>
        <v>0</v>
      </c>
      <c r="J11" s="61">
        <f>Cashflow!J75/(1+$C$3)^(J$7-$C$5)</f>
        <v>0</v>
      </c>
      <c r="K11" s="61">
        <f ca="1">Cashflow!K75/(1+$C$3)^(K$7-$C$5)</f>
        <v>23.215427352092281</v>
      </c>
      <c r="L11" s="61">
        <f ca="1">Cashflow!L75/(1+$C$3)^(L$7-$C$5)</f>
        <v>30.429202501315139</v>
      </c>
      <c r="M11" s="61">
        <f ca="1">Cashflow!M75/(1+$C$3)^(M$7-$C$5)</f>
        <v>28.4506286311859</v>
      </c>
      <c r="N11" s="61">
        <f ca="1">Cashflow!N75/(1+$C$3)^(N$7-$C$5)</f>
        <v>32.125939935333626</v>
      </c>
      <c r="O11" s="61">
        <f ca="1">Cashflow!O75/(1+$C$3)^(O$7-$C$5)</f>
        <v>24.622785160532654</v>
      </c>
      <c r="P11" s="61">
        <f ca="1">Cashflow!P75/(1+$C$3)^(P$7-$C$5)</f>
        <v>21.179063599994016</v>
      </c>
      <c r="Q11" s="61">
        <f ca="1">Cashflow!Q75/(1+$C$3)^(Q$7-$C$5)</f>
        <v>19.629133578230739</v>
      </c>
      <c r="R11" s="61">
        <f ca="1">Cashflow!R75/(1+$C$3)^(R$7-$C$5)</f>
        <v>16.883819834178901</v>
      </c>
      <c r="S11" s="61">
        <f ca="1">Cashflow!S75/(1+$C$3)^(S$7-$C$5)</f>
        <v>15.648225110196703</v>
      </c>
      <c r="T11" s="61">
        <f ca="1">Cashflow!T75/(1+$C$3)^(T$7-$C$5)</f>
        <v>13.485589822312576</v>
      </c>
      <c r="U11" s="61">
        <f ca="1">Cashflow!U75/(1+$C$3)^(U$7-$C$5)</f>
        <v>12.521949018481315</v>
      </c>
      <c r="V11" s="61">
        <f ca="1">Cashflow!V75/(1+$C$3)^(V$7-$C$5)</f>
        <v>10.787677388985625</v>
      </c>
      <c r="W11" s="61">
        <f ca="1">Cashflow!W75/(1+$C$3)^(W$7-$C$5)</f>
        <v>10.013642356331665</v>
      </c>
      <c r="X11" s="61">
        <f ca="1">Cashflow!X75/(1+$C$3)^(X$7-$C$5)</f>
        <v>8.6207771610192268</v>
      </c>
      <c r="Y11" s="61">
        <f ca="1">Cashflow!Y75/(1+$C$3)^(Y$7-$C$5)</f>
        <v>7.9925110118805973</v>
      </c>
      <c r="Z11" s="61">
        <f ca="1">Cashflow!Z75/(1+$C$3)^(Z$7-$C$5)</f>
        <v>6.8752993113393446</v>
      </c>
      <c r="AA11" s="61">
        <f ca="1">Cashflow!AA75/(1+$C$3)^(AA$7-$C$5)</f>
        <v>6.3726089692190415</v>
      </c>
      <c r="AB11" s="61">
        <f ca="1">Cashflow!AB75/(1+$C$3)^(AB$7-$C$5)</f>
        <v>4.6783191425695199</v>
      </c>
      <c r="AC11" s="61">
        <f ca="1">Cashflow!AC75/(1+$C$3)^(AC$7-$C$5)</f>
        <v>4.3319421661228761</v>
      </c>
      <c r="AD11" s="61">
        <f ca="1">Cashflow!AD75/(1+$C$3)^(AD$7-$C$5)</f>
        <v>3.7282684751875141</v>
      </c>
      <c r="AE11" s="61">
        <f ca="1">Cashflow!AE75/(1+$C$3)^(AE$7-$C$5)</f>
        <v>3.4508219569800516</v>
      </c>
      <c r="AF11" s="61">
        <f ca="1">Cashflow!AF75/(1+$C$3)^(AF$7-$C$5)</f>
        <v>2.175649743641686</v>
      </c>
      <c r="AG11" s="61">
        <f ca="1">Cashflow!AG75/(1+$C$3)^(AG$7-$C$5)</f>
        <v>2.0097226715436594</v>
      </c>
      <c r="AH11" s="704">
        <f ca="1">SUM(C11:AG11)</f>
        <v>309.2290048986747</v>
      </c>
      <c r="AI11" s="693" t="s">
        <v>279</v>
      </c>
      <c r="AJ11" s="667"/>
    </row>
    <row r="12" spans="1:36">
      <c r="B12" s="64" t="s">
        <v>1441</v>
      </c>
      <c r="C12" s="61">
        <f>Cashflow!C76/(1+$C$3)^(C$7-$C$5)</f>
        <v>0</v>
      </c>
      <c r="D12" s="61">
        <f>Cashflow!D76/(1+$C$3)^(D$7-$C$5)</f>
        <v>0</v>
      </c>
      <c r="E12" s="61">
        <f>Cashflow!E76/(1+$C$3)^(E$7-$C$5)</f>
        <v>0</v>
      </c>
      <c r="F12" s="61">
        <f>Cashflow!F76/(1+$C$3)^(F$7-$C$5)</f>
        <v>0</v>
      </c>
      <c r="G12" s="61">
        <f>Cashflow!G76/(1+$C$3)^(G$7-$C$5)</f>
        <v>0</v>
      </c>
      <c r="H12" s="61">
        <f>Cashflow!H76/(1+$C$3)^(H$7-$C$5)</f>
        <v>0</v>
      </c>
      <c r="I12" s="61">
        <f>Cashflow!I76/(1+$C$3)^(I$7-$C$5)</f>
        <v>0</v>
      </c>
      <c r="J12" s="61">
        <f>Cashflow!J76/(1+$C$3)^(J$7-$C$5)</f>
        <v>0</v>
      </c>
      <c r="K12" s="61">
        <f>Cashflow!K76/(1+$C$3)^(K$7-$C$5)</f>
        <v>0.80776645595873819</v>
      </c>
      <c r="L12" s="61">
        <f ca="1">Cashflow!L76/(1+$C$3)^(L$7-$C$5)</f>
        <v>0.72122004996315914</v>
      </c>
      <c r="M12" s="61">
        <f ca="1">Cashflow!M76/(1+$C$3)^(M$7-$C$5)</f>
        <v>0.64394647318139198</v>
      </c>
      <c r="N12" s="61">
        <f ca="1">Cashflow!N76/(1+$C$3)^(N$7-$C$5)</f>
        <v>0.57495220819767134</v>
      </c>
      <c r="O12" s="61">
        <f ca="1">Cashflow!O76/(1+$C$3)^(O$7-$C$5)</f>
        <v>0.51335018589077808</v>
      </c>
      <c r="P12" s="61">
        <f ca="1">Cashflow!P76/(1+$C$3)^(P$7-$C$5)</f>
        <v>0.45834838025962316</v>
      </c>
      <c r="Q12" s="61">
        <f ca="1">Cashflow!Q76/(1+$C$3)^(Q$7-$C$5)</f>
        <v>0.40923962523180635</v>
      </c>
      <c r="R12" s="61">
        <f ca="1">Cashflow!R76/(1+$C$3)^(R$7-$C$5)</f>
        <v>0.36539252252839854</v>
      </c>
      <c r="S12" s="61">
        <f ca="1">Cashflow!S76/(1+$C$3)^(S$7-$C$5)</f>
        <v>0.32624332368607006</v>
      </c>
      <c r="T12" s="61">
        <f ca="1">Cashflow!T76/(1+$C$3)^(T$7-$C$5)</f>
        <v>0</v>
      </c>
      <c r="U12" s="61">
        <f ca="1">Cashflow!U76/(1+$C$3)^(U$7-$C$5)</f>
        <v>0</v>
      </c>
      <c r="V12" s="61">
        <f ca="1">Cashflow!V76/(1+$C$3)^(V$7-$C$5)</f>
        <v>0</v>
      </c>
      <c r="W12" s="61">
        <f ca="1">Cashflow!W76/(1+$C$3)^(W$7-$C$5)</f>
        <v>0</v>
      </c>
      <c r="X12" s="61">
        <f ca="1">Cashflow!X76/(1+$C$3)^(X$7-$C$5)</f>
        <v>0</v>
      </c>
      <c r="Y12" s="61">
        <f ca="1">Cashflow!Y76/(1+$C$3)^(Y$7-$C$5)</f>
        <v>0</v>
      </c>
      <c r="Z12" s="61">
        <f ca="1">Cashflow!Z76/(1+$C$3)^(Z$7-$C$5)</f>
        <v>0</v>
      </c>
      <c r="AA12" s="61">
        <f ca="1">Cashflow!AA76/(1+$C$3)^(AA$7-$C$5)</f>
        <v>0</v>
      </c>
      <c r="AB12" s="61">
        <f ca="1">Cashflow!AB76/(1+$C$3)^(AB$7-$C$5)</f>
        <v>0</v>
      </c>
      <c r="AC12" s="61">
        <f ca="1">Cashflow!AC76/(1+$C$3)^(AC$7-$C$5)</f>
        <v>0</v>
      </c>
      <c r="AD12" s="61">
        <f ca="1">Cashflow!AD76/(1+$C$3)^(AD$7-$C$5)</f>
        <v>0</v>
      </c>
      <c r="AE12" s="61">
        <f ca="1">Cashflow!AE76/(1+$C$3)^(AE$7-$C$5)</f>
        <v>0</v>
      </c>
      <c r="AF12" s="61">
        <f ca="1">Cashflow!AF76/(1+$C$3)^(AF$7-$C$5)</f>
        <v>0</v>
      </c>
      <c r="AG12" s="61">
        <f ca="1">Cashflow!AG76/(1+$C$3)^(AG$7-$C$5)</f>
        <v>0</v>
      </c>
      <c r="AH12" s="704">
        <f ca="1">SUM(C12:AG12)</f>
        <v>4.820459224897637</v>
      </c>
      <c r="AI12" s="693" t="s">
        <v>279</v>
      </c>
      <c r="AJ12" s="667"/>
    </row>
    <row r="13" spans="1:36" ht="13.8" thickBot="1">
      <c r="A13" s="326"/>
      <c r="B13" s="896" t="s">
        <v>1442</v>
      </c>
      <c r="C13" s="897">
        <f>Cashflow!C77/(1+$C$3)^(C$7-$C$5)</f>
        <v>0</v>
      </c>
      <c r="D13" s="897">
        <f>Cashflow!D77/(1+$C$3)^(D$7-$C$5)</f>
        <v>0</v>
      </c>
      <c r="E13" s="897">
        <f>Cashflow!E77/(1+$C$3)^(E$7-$C$5)</f>
        <v>0</v>
      </c>
      <c r="F13" s="897">
        <f>Cashflow!F77/(1+$C$3)^(F$7-$C$5)</f>
        <v>0</v>
      </c>
      <c r="G13" s="897">
        <f>Cashflow!G77/(1+$C$3)^(G$7-$C$5)</f>
        <v>0</v>
      </c>
      <c r="H13" s="897">
        <f>Cashflow!H77/(1+$C$3)^(H$7-$C$5)</f>
        <v>0</v>
      </c>
      <c r="I13" s="897">
        <f>Cashflow!I77/(1+$C$3)^(I$7-$C$5)</f>
        <v>0</v>
      </c>
      <c r="J13" s="897">
        <f>Cashflow!J77/(1+$C$3)^(J$7-$C$5)</f>
        <v>0</v>
      </c>
      <c r="K13" s="897">
        <f>Cashflow!K77/(1+$C$3)^(K$7-$C$5)</f>
        <v>0.4038832279793691</v>
      </c>
      <c r="L13" s="897">
        <f ca="1">Cashflow!L77/(1+$C$3)^(L$7-$C$5)</f>
        <v>0.36061002498157957</v>
      </c>
      <c r="M13" s="897">
        <f ca="1">Cashflow!M77/(1+$C$3)^(M$7-$C$5)</f>
        <v>0.32197323659069599</v>
      </c>
      <c r="N13" s="897">
        <f ca="1">Cashflow!N77/(1+$C$3)^(N$7-$C$5)</f>
        <v>0.28747610409883567</v>
      </c>
      <c r="O13" s="897">
        <f ca="1">Cashflow!O77/(1+$C$3)^(O$7-$C$5)</f>
        <v>0.25667509294538904</v>
      </c>
      <c r="P13" s="897">
        <f ca="1">Cashflow!P77/(1+$C$3)^(P$7-$C$5)</f>
        <v>0</v>
      </c>
      <c r="Q13" s="897">
        <f ca="1">Cashflow!Q77/(1+$C$3)^(Q$7-$C$5)</f>
        <v>0</v>
      </c>
      <c r="R13" s="897">
        <f ca="1">Cashflow!R77/(1+$C$3)^(R$7-$C$5)</f>
        <v>0</v>
      </c>
      <c r="S13" s="897">
        <f ca="1">Cashflow!S77/(1+$C$3)^(S$7-$C$5)</f>
        <v>0</v>
      </c>
      <c r="T13" s="897">
        <f ca="1">Cashflow!T77/(1+$C$3)^(T$7-$C$5)</f>
        <v>0</v>
      </c>
      <c r="U13" s="897">
        <f ca="1">Cashflow!U77/(1+$C$3)^(U$7-$C$5)</f>
        <v>0</v>
      </c>
      <c r="V13" s="897">
        <f ca="1">Cashflow!V77/(1+$C$3)^(V$7-$C$5)</f>
        <v>0</v>
      </c>
      <c r="W13" s="897">
        <f ca="1">Cashflow!W77/(1+$C$3)^(W$7-$C$5)</f>
        <v>0</v>
      </c>
      <c r="X13" s="897">
        <f ca="1">Cashflow!X77/(1+$C$3)^(X$7-$C$5)</f>
        <v>0</v>
      </c>
      <c r="Y13" s="897">
        <f ca="1">Cashflow!Y77/(1+$C$3)^(Y$7-$C$5)</f>
        <v>0</v>
      </c>
      <c r="Z13" s="897">
        <f ca="1">Cashflow!Z77/(1+$C$3)^(Z$7-$C$5)</f>
        <v>0</v>
      </c>
      <c r="AA13" s="897">
        <f ca="1">Cashflow!AA77/(1+$C$3)^(AA$7-$C$5)</f>
        <v>0</v>
      </c>
      <c r="AB13" s="897">
        <f ca="1">Cashflow!AB77/(1+$C$3)^(AB$7-$C$5)</f>
        <v>0</v>
      </c>
      <c r="AC13" s="897">
        <f ca="1">Cashflow!AC77/(1+$C$3)^(AC$7-$C$5)</f>
        <v>0</v>
      </c>
      <c r="AD13" s="897">
        <f ca="1">Cashflow!AD77/(1+$C$3)^(AD$7-$C$5)</f>
        <v>0</v>
      </c>
      <c r="AE13" s="897">
        <f ca="1">Cashflow!AE77/(1+$C$3)^(AE$7-$C$5)</f>
        <v>0</v>
      </c>
      <c r="AF13" s="897">
        <f ca="1">Cashflow!AF77/(1+$C$3)^(AF$7-$C$5)</f>
        <v>0</v>
      </c>
      <c r="AG13" s="897">
        <f ca="1">Cashflow!AG77/(1+$C$3)^(AG$7-$C$5)</f>
        <v>0</v>
      </c>
      <c r="AH13" s="704">
        <f ca="1">SUM(C13:AG13)</f>
        <v>1.6306176865958695</v>
      </c>
      <c r="AI13" s="693" t="s">
        <v>279</v>
      </c>
      <c r="AJ13" s="667"/>
    </row>
    <row r="14" spans="1:36" ht="13.8" thickTop="1">
      <c r="B14" s="63" t="s">
        <v>173</v>
      </c>
      <c r="C14" s="194">
        <f>Cashflow!C78/(1+$C$3)^(C$7-$C$5)</f>
        <v>0</v>
      </c>
      <c r="D14" s="194">
        <f>Cashflow!D78/(1+$C$3)^(D$7-$C$5)</f>
        <v>0</v>
      </c>
      <c r="E14" s="194">
        <f>Cashflow!E78/(1+$C$3)^(E$7-$C$5)</f>
        <v>0</v>
      </c>
      <c r="F14" s="194">
        <f>Cashflow!F78/(1+$C$3)^(F$7-$C$5)</f>
        <v>0</v>
      </c>
      <c r="G14" s="194">
        <f>Cashflow!G78/(1+$C$3)^(G$7-$C$5)</f>
        <v>0</v>
      </c>
      <c r="H14" s="194">
        <f>Cashflow!H78/(1+$C$3)^(H$7-$C$5)</f>
        <v>0</v>
      </c>
      <c r="I14" s="194">
        <f>Cashflow!I78/(1+$C$3)^(I$7-$C$5)</f>
        <v>0</v>
      </c>
      <c r="J14" s="194">
        <f>Cashflow!J78/(1+$C$3)^(J$7-$C$5)</f>
        <v>0</v>
      </c>
      <c r="K14" s="194">
        <f ca="1">Cashflow!K78/(1+$C$3)^(K$7-$C$5)</f>
        <v>24.427077036030386</v>
      </c>
      <c r="L14" s="194">
        <f ca="1">Cashflow!L78/(1+$C$3)^(L$7-$C$5)</f>
        <v>31.511032576259879</v>
      </c>
      <c r="M14" s="194">
        <f ca="1">Cashflow!M78/(1+$C$3)^(M$7-$C$5)</f>
        <v>29.416548340957988</v>
      </c>
      <c r="N14" s="194">
        <f ca="1">Cashflow!N78/(1+$C$3)^(N$7-$C$5)</f>
        <v>32.988368247630135</v>
      </c>
      <c r="O14" s="194">
        <f ca="1">Cashflow!O78/(1+$C$3)^(O$7-$C$5)</f>
        <v>25.392810439368823</v>
      </c>
      <c r="P14" s="194">
        <f ca="1">Cashflow!P78/(1+$C$3)^(P$7-$C$5)</f>
        <v>21.637411980253638</v>
      </c>
      <c r="Q14" s="194">
        <f ca="1">Cashflow!Q78/(1+$C$3)^(Q$7-$C$5)</f>
        <v>20.038373203462548</v>
      </c>
      <c r="R14" s="194">
        <f ca="1">Cashflow!R78/(1+$C$3)^(R$7-$C$5)</f>
        <v>17.2492123567073</v>
      </c>
      <c r="S14" s="194">
        <f ca="1">Cashflow!S78/(1+$C$3)^(S$7-$C$5)</f>
        <v>15.974468433882773</v>
      </c>
      <c r="T14" s="194">
        <f ca="1">Cashflow!T78/(1+$C$3)^(T$7-$C$5)</f>
        <v>13.485589822312576</v>
      </c>
      <c r="U14" s="194">
        <f ca="1">Cashflow!U78/(1+$C$3)^(U$7-$C$5)</f>
        <v>12.521949018481315</v>
      </c>
      <c r="V14" s="194">
        <f ca="1">Cashflow!V78/(1+$C$3)^(V$7-$C$5)</f>
        <v>10.787677388985625</v>
      </c>
      <c r="W14" s="194">
        <f ca="1">Cashflow!W78/(1+$C$3)^(W$7-$C$5)</f>
        <v>10.013642356331665</v>
      </c>
      <c r="X14" s="194">
        <f ca="1">Cashflow!X78/(1+$C$3)^(X$7-$C$5)</f>
        <v>8.6207771610192268</v>
      </c>
      <c r="Y14" s="194">
        <f ca="1">Cashflow!Y78/(1+$C$3)^(Y$7-$C$5)</f>
        <v>7.9925110118805973</v>
      </c>
      <c r="Z14" s="194">
        <f ca="1">Cashflow!Z78/(1+$C$3)^(Z$7-$C$5)</f>
        <v>6.8752993113393446</v>
      </c>
      <c r="AA14" s="194">
        <f ca="1">Cashflow!AA78/(1+$C$3)^(AA$7-$C$5)</f>
        <v>6.3726089692190415</v>
      </c>
      <c r="AB14" s="194">
        <f ca="1">Cashflow!AB78/(1+$C$3)^(AB$7-$C$5)</f>
        <v>4.6783191425695199</v>
      </c>
      <c r="AC14" s="194">
        <f ca="1">Cashflow!AC78/(1+$C$3)^(AC$7-$C$5)</f>
        <v>4.3319421661228761</v>
      </c>
      <c r="AD14" s="194">
        <f ca="1">Cashflow!AD78/(1+$C$3)^(AD$7-$C$5)</f>
        <v>3.7282684751875141</v>
      </c>
      <c r="AE14" s="194">
        <f ca="1">Cashflow!AE78/(1+$C$3)^(AE$7-$C$5)</f>
        <v>3.4508219569800516</v>
      </c>
      <c r="AF14" s="194">
        <f ca="1">Cashflow!AF78/(1+$C$3)^(AF$7-$C$5)</f>
        <v>2.175649743641686</v>
      </c>
      <c r="AG14" s="194">
        <f ca="1">Cashflow!AG78/(1+$C$3)^(AG$7-$C$5)</f>
        <v>2.0097226715436594</v>
      </c>
      <c r="AH14" s="704">
        <f ca="1">SUM(C14:AG14)</f>
        <v>315.68008181016819</v>
      </c>
      <c r="AI14" s="693" t="s">
        <v>279</v>
      </c>
      <c r="AJ14" s="667"/>
    </row>
    <row r="15" spans="1:36">
      <c r="A15" s="670"/>
      <c r="B15" s="395"/>
      <c r="C15" s="395"/>
      <c r="D15" s="395"/>
      <c r="E15" s="395"/>
      <c r="F15" s="395"/>
      <c r="G15" s="395"/>
      <c r="H15" s="395"/>
      <c r="I15" s="395"/>
      <c r="J15" s="395"/>
      <c r="K15" s="395"/>
      <c r="L15" s="395"/>
      <c r="M15" s="395"/>
      <c r="N15" s="395"/>
      <c r="O15" s="395"/>
      <c r="P15" s="395"/>
      <c r="Q15" s="395"/>
      <c r="R15" s="395"/>
      <c r="S15" s="395"/>
      <c r="T15" s="395"/>
      <c r="U15" s="395"/>
      <c r="V15" s="395"/>
      <c r="W15" s="395"/>
      <c r="X15" s="395"/>
      <c r="Y15" s="395"/>
      <c r="Z15" s="395"/>
      <c r="AA15" s="395"/>
      <c r="AB15" s="395"/>
      <c r="AC15" s="395"/>
      <c r="AD15" s="395"/>
      <c r="AE15" s="395"/>
      <c r="AF15" s="395"/>
      <c r="AG15" s="395"/>
      <c r="AH15" s="667"/>
      <c r="AI15" s="693"/>
      <c r="AJ15" s="667"/>
    </row>
    <row r="16" spans="1:36" ht="13.8" thickBot="1">
      <c r="A16" s="326"/>
      <c r="B16" s="195" t="s">
        <v>226</v>
      </c>
      <c r="C16" s="196">
        <f>Cashflow!C$30</f>
        <v>2017</v>
      </c>
      <c r="D16" s="196">
        <f>Cashflow!D$30</f>
        <v>2018</v>
      </c>
      <c r="E16" s="196">
        <f>Cashflow!E$30</f>
        <v>2019</v>
      </c>
      <c r="F16" s="196">
        <f>Cashflow!F$30</f>
        <v>2020</v>
      </c>
      <c r="G16" s="196">
        <f>Cashflow!G$30</f>
        <v>2021</v>
      </c>
      <c r="H16" s="196">
        <f>Cashflow!H$30</f>
        <v>2022</v>
      </c>
      <c r="I16" s="196">
        <f>Cashflow!I$30</f>
        <v>2023</v>
      </c>
      <c r="J16" s="196">
        <f>Cashflow!J$30</f>
        <v>2024</v>
      </c>
      <c r="K16" s="196">
        <f>Cashflow!K$30</f>
        <v>2025</v>
      </c>
      <c r="L16" s="196">
        <f>Cashflow!L$30</f>
        <v>2026</v>
      </c>
      <c r="M16" s="196">
        <f>Cashflow!M$30</f>
        <v>2027</v>
      </c>
      <c r="N16" s="196">
        <f>Cashflow!N$30</f>
        <v>2028</v>
      </c>
      <c r="O16" s="196">
        <f>Cashflow!O$30</f>
        <v>2029</v>
      </c>
      <c r="P16" s="196">
        <f>Cashflow!P$30</f>
        <v>2030</v>
      </c>
      <c r="Q16" s="196">
        <f>Cashflow!Q$30</f>
        <v>2031</v>
      </c>
      <c r="R16" s="196">
        <f>Cashflow!R$30</f>
        <v>2032</v>
      </c>
      <c r="S16" s="196">
        <f>Cashflow!S$30</f>
        <v>2033</v>
      </c>
      <c r="T16" s="196">
        <f>Cashflow!T$30</f>
        <v>2034</v>
      </c>
      <c r="U16" s="196">
        <f>Cashflow!U$30</f>
        <v>2035</v>
      </c>
      <c r="V16" s="196">
        <f>Cashflow!V$30</f>
        <v>2036</v>
      </c>
      <c r="W16" s="196">
        <f>Cashflow!W$30</f>
        <v>2037</v>
      </c>
      <c r="X16" s="196">
        <f>Cashflow!X$30</f>
        <v>2038</v>
      </c>
      <c r="Y16" s="196">
        <f>Cashflow!Y$30</f>
        <v>2039</v>
      </c>
      <c r="Z16" s="196">
        <f>Cashflow!Z$30</f>
        <v>2040</v>
      </c>
      <c r="AA16" s="196">
        <f>Cashflow!AA$30</f>
        <v>2041</v>
      </c>
      <c r="AB16" s="196">
        <f>Cashflow!AB$30</f>
        <v>2042</v>
      </c>
      <c r="AC16" s="196">
        <f>Cashflow!AC$30</f>
        <v>2043</v>
      </c>
      <c r="AD16" s="196">
        <f>Cashflow!AD$30</f>
        <v>2044</v>
      </c>
      <c r="AE16" s="196">
        <f>Cashflow!AE$30</f>
        <v>2045</v>
      </c>
      <c r="AF16" s="196">
        <f>Cashflow!AF$30</f>
        <v>2046</v>
      </c>
      <c r="AG16" s="196">
        <f>Cashflow!AG$30</f>
        <v>2047</v>
      </c>
      <c r="AH16" s="701" t="s">
        <v>129</v>
      </c>
      <c r="AI16" s="693"/>
      <c r="AJ16" s="667"/>
    </row>
    <row r="17" spans="1:36" ht="14.4" thickTop="1" thickBot="1">
      <c r="A17" s="326"/>
      <c r="B17" s="216" t="s">
        <v>174</v>
      </c>
      <c r="C17" s="218">
        <f>Cashflow!C81/(1+$C$3)^(C$7-$C$5)</f>
        <v>-15.5</v>
      </c>
      <c r="D17" s="218">
        <f>Cashflow!D81/(1+$C$3)^(D$7-$C$5)</f>
        <v>-9.8214285714285712</v>
      </c>
      <c r="E17" s="218">
        <f>Cashflow!E81/(1+$C$3)^(E$7-$C$5)</f>
        <v>-3.9859693877551017</v>
      </c>
      <c r="F17" s="218">
        <f>Cashflow!F81/(1+$C$3)^(F$7-$C$5)</f>
        <v>-26.335869169096203</v>
      </c>
      <c r="G17" s="218">
        <f>Cashflow!G81/(1+$C$3)^(G$7-$C$5)</f>
        <v>-83.252868271032881</v>
      </c>
      <c r="H17" s="218">
        <f>Cashflow!H81/(1+$C$3)^(H$7-$C$5)</f>
        <v>-45.394148457487937</v>
      </c>
      <c r="I17" s="218">
        <f>Cashflow!I81/(1+$C$3)^(I$7-$C$5)</f>
        <v>-28.118027225341297</v>
      </c>
      <c r="J17" s="218">
        <f>Cashflow!J81/(1+$C$3)^(J$7-$C$5)</f>
        <v>-19.224841651817972</v>
      </c>
      <c r="K17" s="218">
        <f>Cashflow!K81/(1+$C$3)^(K$7-$C$5)</f>
        <v>-15.549504277205711</v>
      </c>
      <c r="L17" s="218">
        <f ca="1">Cashflow!L81/(1+$C$3)^(L$7-$C$5)</f>
        <v>-12.621350874355285</v>
      </c>
      <c r="M17" s="218">
        <f ca="1">Cashflow!M81/(1+$C$3)^(M$7-$C$5)</f>
        <v>-7.2443978232906598</v>
      </c>
      <c r="N17" s="218">
        <f ca="1">Cashflow!N81/(1+$C$3)^(N$7-$C$5)</f>
        <v>-9.1992353311627415</v>
      </c>
      <c r="O17" s="218">
        <f ca="1">Cashflow!O81/(1+$C$3)^(O$7-$C$5)</f>
        <v>0</v>
      </c>
      <c r="P17" s="218">
        <f ca="1">Cashflow!P81/(1+$C$3)^(P$7-$C$5)</f>
        <v>0</v>
      </c>
      <c r="Q17" s="218">
        <f ca="1">Cashflow!Q81/(1+$C$3)^(Q$7-$C$5)</f>
        <v>0</v>
      </c>
      <c r="R17" s="218">
        <f ca="1">Cashflow!R81/(1+$C$3)^(R$7-$C$5)</f>
        <v>0</v>
      </c>
      <c r="S17" s="218">
        <f ca="1">Cashflow!S81/(1+$C$3)^(S$7-$C$5)</f>
        <v>0</v>
      </c>
      <c r="T17" s="218">
        <f ca="1">Cashflow!T81/(1+$C$3)^(T$7-$C$5)</f>
        <v>0</v>
      </c>
      <c r="U17" s="218">
        <f ca="1">Cashflow!U81/(1+$C$3)^(U$7-$C$5)</f>
        <v>0</v>
      </c>
      <c r="V17" s="218">
        <f ca="1">Cashflow!V81/(1+$C$3)^(V$7-$C$5)</f>
        <v>0</v>
      </c>
      <c r="W17" s="218">
        <f ca="1">Cashflow!W81/(1+$C$3)^(W$7-$C$5)</f>
        <v>0</v>
      </c>
      <c r="X17" s="218">
        <f ca="1">Cashflow!X81/(1+$C$3)^(X$7-$C$5)</f>
        <v>-1.3883941751877897</v>
      </c>
      <c r="Y17" s="218">
        <f ca="1">Cashflow!Y81/(1+$C$3)^(Y$7-$C$5)</f>
        <v>0</v>
      </c>
      <c r="Z17" s="218">
        <f ca="1">Cashflow!Z81/(1+$C$3)^(Z$7-$C$5)</f>
        <v>0</v>
      </c>
      <c r="AA17" s="218">
        <f ca="1">Cashflow!AA81/(1+$C$3)^(AA$7-$C$5)</f>
        <v>0</v>
      </c>
      <c r="AB17" s="218">
        <f ca="1">Cashflow!AB81/(1+$C$3)^(AB$7-$C$5)</f>
        <v>0</v>
      </c>
      <c r="AC17" s="218">
        <f ca="1">Cashflow!AC81/(1+$C$3)^(AC$7-$C$5)</f>
        <v>0</v>
      </c>
      <c r="AD17" s="218">
        <f ca="1">Cashflow!AD81/(1+$C$3)^(AD$7-$C$5)</f>
        <v>0</v>
      </c>
      <c r="AE17" s="218">
        <f ca="1">Cashflow!AE81/(1+$C$3)^(AE$7-$C$5)</f>
        <v>0</v>
      </c>
      <c r="AF17" s="218">
        <f ca="1">Cashflow!AF81/(1+$C$3)^(AF$7-$C$5)</f>
        <v>0</v>
      </c>
      <c r="AG17" s="202">
        <f ca="1">Cashflow!AG81/(1+$C$3)^(AG$7-$C$5)</f>
        <v>0</v>
      </c>
      <c r="AH17" s="700">
        <f ca="1">SUM(C17:AG17)</f>
        <v>-277.63603521516217</v>
      </c>
      <c r="AI17" s="693" t="s">
        <v>279</v>
      </c>
      <c r="AJ17" s="667"/>
    </row>
    <row r="18" spans="1:36" ht="13.8" thickTop="1">
      <c r="A18" s="326"/>
      <c r="B18" s="63" t="s">
        <v>175</v>
      </c>
      <c r="C18" s="74">
        <f>Cashflow!C82/(1+$C$3)^(C$7-$C$5)</f>
        <v>-1.0774999999999999</v>
      </c>
      <c r="D18" s="74">
        <f>Cashflow!D82/(1+$C$3)^(D$7-$C$5)</f>
        <v>-1.0111607142857142</v>
      </c>
      <c r="E18" s="74">
        <f>Cashflow!E82/(1+$C$3)^(E$7-$C$5)</f>
        <v>-0.92275191326530592</v>
      </c>
      <c r="F18" s="74">
        <f>Cashflow!F82/(1+$C$3)^(F$7-$C$5)</f>
        <v>-1.6673452305029151</v>
      </c>
      <c r="G18" s="74">
        <f>Cashflow!G82/(1+$C$3)^(G$7-$C$5)</f>
        <v>-1.9049654400184814</v>
      </c>
      <c r="H18" s="74">
        <f>Cashflow!H82/(1+$C$3)^(H$7-$C$5)</f>
        <v>-1.927832742303941</v>
      </c>
      <c r="I18" s="74">
        <f>Cashflow!I82/(1+$C$3)^(I$7-$C$5)</f>
        <v>-2.4698267157394382</v>
      </c>
      <c r="J18" s="74">
        <f>Cashflow!J82/(1+$C$3)^(J$7-$C$5)</f>
        <v>-2.4822663191612033</v>
      </c>
      <c r="K18" s="74">
        <f>Cashflow!K82/(1+$C$3)^(K$7-$C$5)</f>
        <v>-2.7734237862824269</v>
      </c>
      <c r="L18" s="74">
        <f ca="1">Cashflow!L82/(1+$C$3)^(L$7-$C$5)</f>
        <v>-2.8510364426577026</v>
      </c>
      <c r="M18" s="74">
        <f ca="1">Cashflow!M82/(1+$C$3)^(M$7-$C$5)</f>
        <v>-2.6724978484085744</v>
      </c>
      <c r="N18" s="74">
        <f ca="1">Cashflow!N82/(1+$C$3)^(N$7-$C$5)</f>
        <v>-2.6645652194457274</v>
      </c>
      <c r="O18" s="74">
        <f ca="1">Cashflow!O82/(1+$C$3)^(O$7-$C$5)</f>
        <v>-2.5675565386720791</v>
      </c>
      <c r="P18" s="74">
        <f ca="1">Cashflow!P82/(1+$C$3)^(P$7-$C$5)</f>
        <v>-2.5055398342564561</v>
      </c>
      <c r="Q18" s="74">
        <f ca="1">Cashflow!Q82/(1+$C$3)^(Q$7-$C$5)</f>
        <v>-2.2514601655113737</v>
      </c>
      <c r="R18" s="74">
        <f ca="1">Cashflow!R82/(1+$C$3)^(R$7-$C$5)</f>
        <v>-2.362793538357844</v>
      </c>
      <c r="S18" s="74">
        <f ca="1">Cashflow!S82/(1+$C$3)^(S$7-$C$5)</f>
        <v>-1.7948502594956741</v>
      </c>
      <c r="T18" s="74">
        <f ca="1">Cashflow!T82/(1+$C$3)^(T$7-$C$5)</f>
        <v>-1.8836045426959847</v>
      </c>
      <c r="U18" s="74">
        <f ca="1">Cashflow!U82/(1+$C$3)^(U$7-$C$5)</f>
        <v>-1.4308436379908114</v>
      </c>
      <c r="V18" s="74">
        <f ca="1">Cashflow!V82/(1+$C$3)^(V$7-$C$5)</f>
        <v>-1.5015980091645282</v>
      </c>
      <c r="W18" s="74">
        <f ca="1">Cashflow!W82/(1+$C$3)^(W$7-$C$5)</f>
        <v>-1.0369930228584152</v>
      </c>
      <c r="X18" s="74">
        <f ca="1">Cashflow!X82/(1+$C$3)^(X$7-$C$5)</f>
        <v>-1.01888748696633</v>
      </c>
      <c r="Y18" s="74">
        <f ca="1">Cashflow!Y82/(1+$C$3)^(Y$7-$C$5)</f>
        <v>-0.91552518759578694</v>
      </c>
      <c r="Z18" s="74">
        <f ca="1">Cashflow!Z82/(1+$C$3)^(Z$7-$C$5)</f>
        <v>-0.95982677800119731</v>
      </c>
      <c r="AA18" s="74">
        <f ca="1">Cashflow!AA82/(1+$C$3)^(AA$7-$C$5)</f>
        <v>-0.72985107429511076</v>
      </c>
      <c r="AB18" s="74">
        <f ca="1">Cashflow!AB82/(1+$C$3)^(AB$7-$C$5)</f>
        <v>-0.76516803093207675</v>
      </c>
      <c r="AC18" s="74">
        <f ca="1">Cashflow!AC82/(1+$C$3)^(AC$7-$C$5)</f>
        <v>-0.58183280795209702</v>
      </c>
      <c r="AD18" s="74">
        <f ca="1">Cashflow!AD82/(1+$C$3)^(AD$7-$C$5)</f>
        <v>-0.60998726955682125</v>
      </c>
      <c r="AE18" s="74">
        <f ca="1">Cashflow!AE82/(1+$C$3)^(AE$7-$C$5)</f>
        <v>-0.42196428454276308</v>
      </c>
      <c r="AF18" s="74">
        <f ca="1">Cashflow!AF82/(1+$C$3)^(AF$7-$C$5)</f>
        <v>-0.41151156718374876</v>
      </c>
      <c r="AG18" s="197">
        <f ca="1">Cashflow!AG82/(1+$C$3)^(AG$7-$C$5)</f>
        <v>-0.3697652680626039</v>
      </c>
      <c r="AH18" s="700">
        <f ca="1">SUM(C18:AG18)</f>
        <v>-48.544731676163131</v>
      </c>
      <c r="AI18" s="693" t="s">
        <v>279</v>
      </c>
      <c r="AJ18" s="667"/>
    </row>
    <row r="19" spans="1:36">
      <c r="A19" s="326"/>
      <c r="B19" s="205" t="s">
        <v>418</v>
      </c>
      <c r="C19" s="74">
        <f>Cashflow!C83/(1+$C$3)^(C$7-$C$5)</f>
        <v>-1.0774999999999999</v>
      </c>
      <c r="D19" s="74">
        <f>Cashflow!D83/(1+$C$3)^(D$7-$C$5)</f>
        <v>-1.0111607142857142</v>
      </c>
      <c r="E19" s="74">
        <f>Cashflow!E83/(1+$C$3)^(E$7-$C$5)</f>
        <v>-0.92275191326530592</v>
      </c>
      <c r="F19" s="74">
        <f>Cashflow!F83/(1+$C$3)^(F$7-$C$5)</f>
        <v>-1.6673452305029151</v>
      </c>
      <c r="G19" s="74">
        <f>Cashflow!G83/(1+$C$3)^(G$7-$C$5)</f>
        <v>-1.9049654400184814</v>
      </c>
      <c r="H19" s="74">
        <f>Cashflow!H83/(1+$C$3)^(H$7-$C$5)</f>
        <v>-1.927832742303941</v>
      </c>
      <c r="I19" s="74">
        <f>Cashflow!I83/(1+$C$3)^(I$7-$C$5)</f>
        <v>-2.368500491503974</v>
      </c>
      <c r="J19" s="74">
        <f>Cashflow!J83/(1+$C$3)^(J$7-$C$5)</f>
        <v>-2.2108567899590668</v>
      </c>
      <c r="K19" s="74">
        <f>Cashflow!K83/(1+$C$3)^(K$7-$C$5)</f>
        <v>-2.0517267981351952</v>
      </c>
      <c r="L19" s="74">
        <f ca="1">Cashflow!L83/(1+$C$3)^(L$7-$C$5)</f>
        <v>-1.8950056812782006</v>
      </c>
      <c r="M19" s="74">
        <f ca="1">Cashflow!M83/(1+$C$3)^(M$7-$C$5)</f>
        <v>-1.7281913474005608</v>
      </c>
      <c r="N19" s="74">
        <f ca="1">Cashflow!N83/(1+$C$3)^(N$7-$C$5)</f>
        <v>-1.5890241654063142</v>
      </c>
      <c r="O19" s="74">
        <f ca="1">Cashflow!O83/(1+$C$3)^(O$7-$C$5)</f>
        <v>-1.4187715762556377</v>
      </c>
      <c r="P19" s="74">
        <f ca="1">Cashflow!P83/(1+$C$3)^(P$7-$C$5)</f>
        <v>-1.2667603359425335</v>
      </c>
      <c r="Q19" s="74">
        <f ca="1">Cashflow!Q83/(1+$C$3)^(Q$7-$C$5)</f>
        <v>-1.1310360142344047</v>
      </c>
      <c r="R19" s="74">
        <f ca="1">Cashflow!R83/(1+$C$3)^(R$7-$C$5)</f>
        <v>-1.0098535841378615</v>
      </c>
      <c r="S19" s="74">
        <f ca="1">Cashflow!S83/(1+$C$3)^(S$7-$C$5)</f>
        <v>-0.90165498583737613</v>
      </c>
      <c r="T19" s="74">
        <f ca="1">Cashflow!T83/(1+$C$3)^(T$7-$C$5)</f>
        <v>-0.80504909449765727</v>
      </c>
      <c r="U19" s="74">
        <f ca="1">Cashflow!U83/(1+$C$3)^(U$7-$C$5)</f>
        <v>-0.71879383437290822</v>
      </c>
      <c r="V19" s="74">
        <f ca="1">Cashflow!V83/(1+$C$3)^(V$7-$C$5)</f>
        <v>-0.64178020926152513</v>
      </c>
      <c r="W19" s="74">
        <f ca="1">Cashflow!W83/(1+$C$3)^(W$7-$C$5)</f>
        <v>-0.57301804398350453</v>
      </c>
      <c r="X19" s="74">
        <f ca="1">Cashflow!X83/(1+$C$3)^(X$7-$C$5)</f>
        <v>-0.51856522443263942</v>
      </c>
      <c r="Y19" s="74">
        <f ca="1">Cashflow!Y83/(1+$C$3)^(Y$7-$C$5)</f>
        <v>-0.46300466467199941</v>
      </c>
      <c r="Z19" s="74">
        <f ca="1">Cashflow!Z83/(1+$C$3)^(Z$7-$C$5)</f>
        <v>-0.41339702202857093</v>
      </c>
      <c r="AA19" s="74">
        <f ca="1">Cashflow!AA83/(1+$C$3)^(AA$7-$C$5)</f>
        <v>-0.36910448395408119</v>
      </c>
      <c r="AB19" s="74">
        <f ca="1">Cashflow!AB83/(1+$C$3)^(AB$7-$C$5)</f>
        <v>-0.32955757495900101</v>
      </c>
      <c r="AC19" s="74">
        <f ca="1">Cashflow!AC83/(1+$C$3)^(AC$7-$C$5)</f>
        <v>-0.2942478347848223</v>
      </c>
      <c r="AD19" s="74">
        <f ca="1">Cashflow!AD83/(1+$C$3)^(AD$7-$C$5)</f>
        <v>-0.26272128105787701</v>
      </c>
      <c r="AE19" s="74">
        <f ca="1">Cashflow!AE83/(1+$C$3)^(AE$7-$C$5)</f>
        <v>-0.2345725723731045</v>
      </c>
      <c r="AF19" s="74">
        <f ca="1">Cashflow!AF83/(1+$C$3)^(AF$7-$C$5)</f>
        <v>-0.20943979676170041</v>
      </c>
      <c r="AG19" s="197">
        <f ca="1">Cashflow!AG83/(1+$C$3)^(AG$7-$C$5)</f>
        <v>-0.18699981853723249</v>
      </c>
      <c r="AH19" s="700">
        <f ca="1">SUM(C19:AG19)</f>
        <v>-32.103189266144106</v>
      </c>
      <c r="AI19" s="693" t="s">
        <v>279</v>
      </c>
      <c r="AJ19" s="667"/>
    </row>
    <row r="20" spans="1:36">
      <c r="A20" s="326"/>
      <c r="B20" s="205" t="s">
        <v>132</v>
      </c>
      <c r="C20" s="74">
        <f>Cashflow!C84/(1+$C$3)^(C$7-$C$5)</f>
        <v>-1</v>
      </c>
      <c r="D20" s="74">
        <f>Cashflow!D84/(1+$C$3)^(D$7-$C$5)</f>
        <v>-0.89285714285714279</v>
      </c>
      <c r="E20" s="74">
        <f>Cashflow!E84/(1+$C$3)^(E$7-$C$5)</f>
        <v>-0.79719387755102034</v>
      </c>
      <c r="F20" s="74">
        <f>Cashflow!F84/(1+$C$3)^(F$7-$C$5)</f>
        <v>-1.4235604956268217</v>
      </c>
      <c r="G20" s="74">
        <f>Cashflow!G84/(1+$C$3)^(G$7-$C$5)</f>
        <v>-1.2710361568096624</v>
      </c>
      <c r="H20" s="74">
        <f>Cashflow!H84/(1+$C$3)^(H$7-$C$5)</f>
        <v>-1.1348537114371984</v>
      </c>
      <c r="I20" s="74">
        <f>Cashflow!I84/(1+$C$3)^(I$7-$C$5)</f>
        <v>-1.519893363531962</v>
      </c>
      <c r="J20" s="74">
        <f>Cashflow!J84/(1+$C$3)^(J$7-$C$5)</f>
        <v>-1.3570476460106804</v>
      </c>
      <c r="K20" s="74">
        <f>Cashflow!K84/(1+$C$3)^(K$7-$C$5)</f>
        <v>-1.2116496839381075</v>
      </c>
      <c r="L20" s="74">
        <f ca="1">Cashflow!L84/(1+$C$3)^(L$7-$C$5)</f>
        <v>-1.0818300749447387</v>
      </c>
      <c r="M20" s="74">
        <f ca="1">Cashflow!M84/(1+$C$3)^(M$7-$C$5)</f>
        <v>-0.96591970977208796</v>
      </c>
      <c r="N20" s="74">
        <f ca="1">Cashflow!N84/(1+$C$3)^(N$7-$C$5)</f>
        <v>-0.86242831229650707</v>
      </c>
      <c r="O20" s="74">
        <f ca="1">Cashflow!O84/(1+$C$3)^(O$7-$C$5)</f>
        <v>-0.770025278836167</v>
      </c>
      <c r="P20" s="74">
        <f ca="1">Cashflow!P84/(1+$C$3)^(P$7-$C$5)</f>
        <v>-0.68752257038943476</v>
      </c>
      <c r="Q20" s="74">
        <f ca="1">Cashflow!Q84/(1+$C$3)^(Q$7-$C$5)</f>
        <v>-0.61385943784770958</v>
      </c>
      <c r="R20" s="74">
        <f ca="1">Cashflow!R84/(1+$C$3)^(R$7-$C$5)</f>
        <v>-0.54808878379259784</v>
      </c>
      <c r="S20" s="74">
        <f ca="1">Cashflow!S84/(1+$C$3)^(S$7-$C$5)</f>
        <v>-0.48936498552910512</v>
      </c>
      <c r="T20" s="74">
        <f ca="1">Cashflow!T84/(1+$C$3)^(T$7-$C$5)</f>
        <v>-0.43693302279384383</v>
      </c>
      <c r="U20" s="74">
        <f ca="1">Cashflow!U84/(1+$C$3)^(U$7-$C$5)</f>
        <v>-0.39011877035164622</v>
      </c>
      <c r="V20" s="74">
        <f ca="1">Cashflow!V84/(1+$C$3)^(V$7-$C$5)</f>
        <v>-0.34832033067111268</v>
      </c>
      <c r="W20" s="74">
        <f ca="1">Cashflow!W84/(1+$C$3)^(W$7-$C$5)</f>
        <v>-0.31100029524206491</v>
      </c>
      <c r="X20" s="74">
        <f ca="1">Cashflow!X84/(1+$C$3)^(X$7-$C$5)</f>
        <v>-0.27767883503755791</v>
      </c>
      <c r="Y20" s="74">
        <f ca="1">Cashflow!Y84/(1+$C$3)^(Y$7-$C$5)</f>
        <v>-0.24792753128353384</v>
      </c>
      <c r="Z20" s="74">
        <f ca="1">Cashflow!Z84/(1+$C$3)^(Z$7-$C$5)</f>
        <v>-0.22136386721744095</v>
      </c>
      <c r="AA20" s="74">
        <f ca="1">Cashflow!AA84/(1+$C$3)^(AA$7-$C$5)</f>
        <v>-0.19764631001557226</v>
      </c>
      <c r="AB20" s="74">
        <f ca="1">Cashflow!AB84/(1+$C$3)^(AB$7-$C$5)</f>
        <v>-0.1764699196567609</v>
      </c>
      <c r="AC20" s="74">
        <f ca="1">Cashflow!AC84/(1+$C$3)^(AC$7-$C$5)</f>
        <v>-0.15756242826496511</v>
      </c>
      <c r="AD20" s="74">
        <f ca="1">Cashflow!AD84/(1+$C$3)^(AD$7-$C$5)</f>
        <v>-0.14068073952229024</v>
      </c>
      <c r="AE20" s="74">
        <f ca="1">Cashflow!AE84/(1+$C$3)^(AE$7-$C$5)</f>
        <v>-0.125607803144902</v>
      </c>
      <c r="AF20" s="74">
        <f ca="1">Cashflow!AF84/(1+$C$3)^(AF$7-$C$5)</f>
        <v>-0.11214982423651963</v>
      </c>
      <c r="AG20" s="197">
        <f ca="1">Cashflow!AG84/(1+$C$3)^(AG$7-$C$5)</f>
        <v>-0.10013377163974967</v>
      </c>
      <c r="AH20" s="700">
        <f ca="1">SUM(C20:AG20)</f>
        <v>-19.870724680248902</v>
      </c>
      <c r="AI20" s="693" t="s">
        <v>279</v>
      </c>
      <c r="AJ20" s="667"/>
    </row>
    <row r="21" spans="1:36">
      <c r="A21" s="326"/>
      <c r="B21" s="71" t="s">
        <v>1344</v>
      </c>
      <c r="C21" s="74">
        <f>Cashflow!C85/(1+$C$3)^(C$7-$C$5)</f>
        <v>-7.7499999999999999E-2</v>
      </c>
      <c r="D21" s="74">
        <f>Cashflow!D85/(1+$C$3)^(D$7-$C$5)</f>
        <v>-0.11830357142857142</v>
      </c>
      <c r="E21" s="74">
        <f>Cashflow!E85/(1+$C$3)^(E$7-$C$5)</f>
        <v>-0.1255580357142857</v>
      </c>
      <c r="F21" s="74">
        <f>Cashflow!F85/(1+$C$3)^(F$7-$C$5)</f>
        <v>-0.24378473487609326</v>
      </c>
      <c r="G21" s="74">
        <f>Cashflow!G85/(1+$C$3)^(G$7-$C$5)</f>
        <v>-0.63392928320881914</v>
      </c>
      <c r="H21" s="74">
        <f>Cashflow!H85/(1+$C$3)^(H$7-$C$5)</f>
        <v>-0.79297903086674237</v>
      </c>
      <c r="I21" s="74">
        <f>Cashflow!I85/(1+$C$3)^(I$7-$C$5)</f>
        <v>-0.8486071279720121</v>
      </c>
      <c r="J21" s="74">
        <f>Cashflow!J85/(1+$C$3)^(J$7-$C$5)</f>
        <v>-0.85380914394838636</v>
      </c>
      <c r="K21" s="74">
        <f>Cashflow!K85/(1+$C$3)^(K$7-$C$5)</f>
        <v>-0.84007711419708775</v>
      </c>
      <c r="L21" s="74">
        <f ca="1">Cashflow!L85/(1+$C$3)^(L$7-$C$5)</f>
        <v>-0.81317560633346186</v>
      </c>
      <c r="M21" s="74">
        <f ca="1">Cashflow!M85/(1+$C$3)^(M$7-$C$5)</f>
        <v>-0.76227163762847283</v>
      </c>
      <c r="N21" s="74">
        <f ca="1">Cashflow!N85/(1+$C$3)^(N$7-$C$5)</f>
        <v>-0.72659585310980712</v>
      </c>
      <c r="O21" s="74">
        <f ca="1">Cashflow!O85/(1+$C$3)^(O$7-$C$5)</f>
        <v>-0.64874629741947065</v>
      </c>
      <c r="P21" s="74">
        <f ca="1">Cashflow!P85/(1+$C$3)^(P$7-$C$5)</f>
        <v>-0.57923776555309869</v>
      </c>
      <c r="Q21" s="74">
        <f ca="1">Cashflow!Q85/(1+$C$3)^(Q$7-$C$5)</f>
        <v>-0.51717657638669523</v>
      </c>
      <c r="R21" s="74">
        <f ca="1">Cashflow!R85/(1+$C$3)^(R$7-$C$5)</f>
        <v>-0.46176480034526368</v>
      </c>
      <c r="S21" s="74">
        <f ca="1">Cashflow!S85/(1+$C$3)^(S$7-$C$5)</f>
        <v>-0.41229000030827107</v>
      </c>
      <c r="T21" s="74">
        <f ca="1">Cashflow!T85/(1+$C$3)^(T$7-$C$5)</f>
        <v>-0.36811607170381339</v>
      </c>
      <c r="U21" s="74">
        <f ca="1">Cashflow!U85/(1+$C$3)^(U$7-$C$5)</f>
        <v>-0.32867506402126195</v>
      </c>
      <c r="V21" s="74">
        <f ca="1">Cashflow!V85/(1+$C$3)^(V$7-$C$5)</f>
        <v>-0.29345987859041239</v>
      </c>
      <c r="W21" s="74">
        <f ca="1">Cashflow!W85/(1+$C$3)^(W$7-$C$5)</f>
        <v>-0.26201774874143968</v>
      </c>
      <c r="X21" s="74">
        <f ca="1">Cashflow!X85/(1+$C$3)^(X$7-$C$5)</f>
        <v>-0.2408863893950815</v>
      </c>
      <c r="Y21" s="74">
        <f ca="1">Cashflow!Y85/(1+$C$3)^(Y$7-$C$5)</f>
        <v>-0.2150771333884656</v>
      </c>
      <c r="Z21" s="74">
        <f ca="1">Cashflow!Z85/(1+$C$3)^(Z$7-$C$5)</f>
        <v>-0.19203315481113001</v>
      </c>
      <c r="AA21" s="74">
        <f ca="1">Cashflow!AA85/(1+$C$3)^(AA$7-$C$5)</f>
        <v>-0.17145817393850893</v>
      </c>
      <c r="AB21" s="74">
        <f ca="1">Cashflow!AB85/(1+$C$3)^(AB$7-$C$5)</f>
        <v>-0.15308765530224008</v>
      </c>
      <c r="AC21" s="74">
        <f ca="1">Cashflow!AC85/(1+$C$3)^(AC$7-$C$5)</f>
        <v>-0.13668540651985722</v>
      </c>
      <c r="AD21" s="74">
        <f ca="1">Cashflow!AD85/(1+$C$3)^(AD$7-$C$5)</f>
        <v>-0.12204054153558679</v>
      </c>
      <c r="AE21" s="74">
        <f ca="1">Cashflow!AE85/(1+$C$3)^(AE$7-$C$5)</f>
        <v>-0.10896476922820249</v>
      </c>
      <c r="AF21" s="74">
        <f ca="1">Cashflow!AF85/(1+$C$3)^(AF$7-$C$5)</f>
        <v>-9.7289972525180776E-2</v>
      </c>
      <c r="AG21" s="197">
        <f ca="1">Cashflow!AG85/(1+$C$3)^(AG$7-$C$5)</f>
        <v>-8.686604689748284E-2</v>
      </c>
      <c r="AH21" s="700">
        <f ca="1">SUM(C21:AG21)</f>
        <v>-12.232464585895203</v>
      </c>
      <c r="AI21" s="693" t="s">
        <v>279</v>
      </c>
      <c r="AJ21" s="667"/>
    </row>
    <row r="22" spans="1:36">
      <c r="A22" s="326"/>
      <c r="B22" s="71" t="s">
        <v>133</v>
      </c>
      <c r="C22" s="688">
        <f>Cashflow!C86/(1+$C$3)^(C$7-$C$5)</f>
        <v>0</v>
      </c>
      <c r="D22" s="688">
        <f>Cashflow!D86/(1+$C$3)^(D$7-$C$5)</f>
        <v>0</v>
      </c>
      <c r="E22" s="688">
        <f>Cashflow!E86/(1+$C$3)^(E$7-$C$5)</f>
        <v>0</v>
      </c>
      <c r="F22" s="688">
        <f>Cashflow!F86/(1+$C$3)^(F$7-$C$5)</f>
        <v>0</v>
      </c>
      <c r="G22" s="688">
        <f>Cashflow!G86/(1+$C$3)^(G$7-$C$5)</f>
        <v>0</v>
      </c>
      <c r="H22" s="688">
        <f>Cashflow!H86/(1+$C$3)^(H$7-$C$5)</f>
        <v>0</v>
      </c>
      <c r="I22" s="688">
        <f>Cashflow!I86/(1+$C$3)^(I$7-$C$5)</f>
        <v>0</v>
      </c>
      <c r="J22" s="688">
        <f>Cashflow!J86/(1+$C$3)^(J$7-$C$5)</f>
        <v>0</v>
      </c>
      <c r="K22" s="688">
        <f>Cashflow!K86/(1+$C$3)^(K$7-$C$5)</f>
        <v>-0.3985904057637365</v>
      </c>
      <c r="L22" s="688">
        <f ca="1">Cashflow!L86/(1+$C$3)^(L$7-$C$5)</f>
        <v>-0.52329873140160643</v>
      </c>
      <c r="M22" s="688">
        <f ca="1">Cashflow!M86/(1+$C$3)^(M$7-$C$5)</f>
        <v>-0.49354396978103932</v>
      </c>
      <c r="N22" s="688">
        <f ca="1">Cashflow!N86/(1+$C$3)^(N$7-$C$5)</f>
        <v>-0.558084066661509</v>
      </c>
      <c r="O22" s="688">
        <f ca="1">Cashflow!O86/(1+$C$3)^(O$7-$C$5)</f>
        <v>-0.43009470216935258</v>
      </c>
      <c r="P22" s="688">
        <f ca="1">Cashflow!P86/(1+$C$3)^(P$7-$C$5)</f>
        <v>-0.36791757582063883</v>
      </c>
      <c r="Q22" s="688">
        <f ca="1">Cashflow!Q86/(1+$C$3)^(Q$7-$C$5)</f>
        <v>-0.34286886333653732</v>
      </c>
      <c r="R22" s="688">
        <f ca="1">Cashflow!R86/(1+$C$3)^(R$7-$C$5)</f>
        <v>-0.29330163888762661</v>
      </c>
      <c r="S22" s="688">
        <f ca="1">Cashflow!S86/(1+$C$3)^(S$7-$C$5)</f>
        <v>-0.27333295865476509</v>
      </c>
      <c r="T22" s="688">
        <f ca="1">Cashflow!T86/(1+$C$3)^(T$7-$C$5)</f>
        <v>-0.23381827079689615</v>
      </c>
      <c r="U22" s="688">
        <f ca="1">Cashflow!U86/(1+$C$3)^(U$7-$C$5)</f>
        <v>-0.21789936117248487</v>
      </c>
      <c r="V22" s="688">
        <f ca="1">Cashflow!V86/(1+$C$3)^(V$7-$C$5)</f>
        <v>-0.18639849393885213</v>
      </c>
      <c r="W22" s="688">
        <f ca="1">Cashflow!W86/(1+$C$3)^(W$7-$C$5)</f>
        <v>-0.17370803664898346</v>
      </c>
      <c r="X22" s="688">
        <f ca="1">Cashflow!X86/(1+$C$3)^(X$7-$C$5)</f>
        <v>-0.1485957381527839</v>
      </c>
      <c r="Y22" s="688">
        <f ca="1">Cashflow!Y86/(1+$C$3)^(Y$7-$C$5)</f>
        <v>-0.13847898329797786</v>
      </c>
      <c r="Z22" s="688">
        <f ca="1">Cashflow!Z86/(1+$C$3)^(Z$7-$C$5)</f>
        <v>-0.1184596126855739</v>
      </c>
      <c r="AA22" s="688">
        <f ca="1">Cashflow!AA86/(1+$C$3)^(AA$7-$C$5)</f>
        <v>-0.11039459765463797</v>
      </c>
      <c r="AB22" s="688">
        <f ca="1">Cashflow!AB86/(1+$C$3)^(AB$7-$C$5)</f>
        <v>-9.4435277970004672E-2</v>
      </c>
      <c r="AC22" s="688">
        <f ca="1">Cashflow!AC86/(1+$C$3)^(AC$7-$C$5)</f>
        <v>-8.8005897364985597E-2</v>
      </c>
      <c r="AD22" s="688">
        <f ca="1">Cashflow!AD86/(1+$C$3)^(AD$7-$C$5)</f>
        <v>-7.5283225422516462E-2</v>
      </c>
      <c r="AE22" s="688">
        <f ca="1">Cashflow!AE86/(1+$C$3)^(AE$7-$C$5)</f>
        <v>-7.0157762567749998E-2</v>
      </c>
      <c r="AF22" s="688">
        <f ca="1">Cashflow!AF86/(1+$C$3)^(AF$7-$C$5)</f>
        <v>-6.0015326389123456E-2</v>
      </c>
      <c r="AG22" s="702">
        <f ca="1">Cashflow!AG86/(1+$C$3)^(AG$7-$C$5)</f>
        <v>-5.5929338781688445E-2</v>
      </c>
      <c r="AH22" s="700">
        <f t="shared" ref="AH22:AH30" ca="1" si="0">SUM(C22:AG22)</f>
        <v>-5.4526128353210739</v>
      </c>
      <c r="AI22" s="693" t="s">
        <v>279</v>
      </c>
      <c r="AJ22" s="667"/>
    </row>
    <row r="23" spans="1:36" ht="13.8" thickBot="1">
      <c r="A23" s="326"/>
      <c r="B23" s="57" t="s">
        <v>1352</v>
      </c>
      <c r="C23" s="857">
        <f>Cashflow!C87/(1+$C$3)^(C$7-$C$5)</f>
        <v>0</v>
      </c>
      <c r="D23" s="857">
        <f>Cashflow!D87/(1+$C$3)^(D$7-$C$5)</f>
        <v>0</v>
      </c>
      <c r="E23" s="857">
        <f>Cashflow!E87/(1+$C$3)^(E$7-$C$5)</f>
        <v>0</v>
      </c>
      <c r="F23" s="857">
        <f>Cashflow!F87/(1+$C$3)^(F$7-$C$5)</f>
        <v>0</v>
      </c>
      <c r="G23" s="857">
        <f>Cashflow!G87/(1+$C$3)^(G$7-$C$5)</f>
        <v>0</v>
      </c>
      <c r="H23" s="857">
        <f>Cashflow!H87/(1+$C$3)^(H$7-$C$5)</f>
        <v>0</v>
      </c>
      <c r="I23" s="857">
        <f>Cashflow!I87/(1+$C$3)^(I$7-$C$5)</f>
        <v>-0.10132622423546414</v>
      </c>
      <c r="J23" s="857">
        <f>Cashflow!J87/(1+$C$3)^(J$7-$C$5)</f>
        <v>-0.27140952920213612</v>
      </c>
      <c r="K23" s="857">
        <f>Cashflow!K87/(1+$C$3)^(K$7-$C$5)</f>
        <v>-0.32310658238349532</v>
      </c>
      <c r="L23" s="857">
        <f ca="1">Cashflow!L87/(1+$C$3)^(L$7-$C$5)</f>
        <v>-0.43273202997789556</v>
      </c>
      <c r="M23" s="857">
        <f ca="1">Cashflow!M87/(1+$C$3)^(M$7-$C$5)</f>
        <v>-0.45076253122697446</v>
      </c>
      <c r="N23" s="857">
        <f ca="1">Cashflow!N87/(1+$C$3)^(N$7-$C$5)</f>
        <v>-0.51745698737790424</v>
      </c>
      <c r="O23" s="857">
        <f ca="1">Cashflow!O87/(1+$C$3)^(O$7-$C$5)</f>
        <v>-0.71869026024708915</v>
      </c>
      <c r="P23" s="857">
        <f ca="1">Cashflow!P87/(1+$C$3)^(P$7-$C$5)</f>
        <v>-0.87086192249328398</v>
      </c>
      <c r="Q23" s="857">
        <f ca="1">Cashflow!Q87/(1+$C$3)^(Q$7-$C$5)</f>
        <v>-0.77755528794043205</v>
      </c>
      <c r="R23" s="857">
        <f ca="1">Cashflow!R87/(1+$C$3)^(R$7-$C$5)</f>
        <v>-1.0596383153323559</v>
      </c>
      <c r="S23" s="857">
        <f ca="1">Cashflow!S87/(1+$C$3)^(S$7-$C$5)</f>
        <v>-0.61986231500353317</v>
      </c>
      <c r="T23" s="857">
        <f ca="1">Cashflow!T87/(1+$C$3)^(T$7-$C$5)</f>
        <v>-0.84473717740143139</v>
      </c>
      <c r="U23" s="857">
        <f ca="1">Cashflow!U87/(1+$C$3)^(U$7-$C$5)</f>
        <v>-0.49415044244541856</v>
      </c>
      <c r="V23" s="857">
        <f ca="1">Cashflow!V87/(1+$C$3)^(V$7-$C$5)</f>
        <v>-0.67341930596415112</v>
      </c>
      <c r="W23" s="857">
        <f ca="1">Cashflow!W87/(1+$C$3)^(W$7-$C$5)</f>
        <v>-0.29026694222592725</v>
      </c>
      <c r="X23" s="857">
        <f ca="1">Cashflow!X87/(1+$C$3)^(X$7-$C$5)</f>
        <v>-0.35172652438090668</v>
      </c>
      <c r="Y23" s="857">
        <f ca="1">Cashflow!Y87/(1+$C$3)^(Y$7-$C$5)</f>
        <v>-0.3140415396258095</v>
      </c>
      <c r="Z23" s="857">
        <f ca="1">Cashflow!Z87/(1+$C$3)^(Z$7-$C$5)</f>
        <v>-0.42797014328705246</v>
      </c>
      <c r="AA23" s="857">
        <f ca="1">Cashflow!AA87/(1+$C$3)^(AA$7-$C$5)</f>
        <v>-0.25035199268639152</v>
      </c>
      <c r="AB23" s="857">
        <f ca="1">Cashflow!AB87/(1+$C$3)^(AB$7-$C$5)</f>
        <v>-0.34117517800307107</v>
      </c>
      <c r="AC23" s="857">
        <f ca="1">Cashflow!AC87/(1+$C$3)^(AC$7-$C$5)</f>
        <v>-0.19957907580228912</v>
      </c>
      <c r="AD23" s="857">
        <f ca="1">Cashflow!AD87/(1+$C$3)^(AD$7-$C$5)</f>
        <v>-0.27198276307642777</v>
      </c>
      <c r="AE23" s="857">
        <f ca="1">Cashflow!AE87/(1+$C$3)^(AE$7-$C$5)</f>
        <v>-0.11723394960190853</v>
      </c>
      <c r="AF23" s="857">
        <f ca="1">Cashflow!AF87/(1+$C$3)^(AF$7-$C$5)</f>
        <v>-0.14205644403292486</v>
      </c>
      <c r="AG23" s="214">
        <f ca="1">Cashflow!AG87/(1+$C$3)^(AG$7-$C$5)</f>
        <v>-0.12683611074368289</v>
      </c>
      <c r="AH23" s="700">
        <f ca="1">SUM(C23:AG23)</f>
        <v>-10.988929574697957</v>
      </c>
      <c r="AI23" s="693" t="s">
        <v>279</v>
      </c>
      <c r="AJ23" s="667"/>
    </row>
    <row r="24" spans="1:36" ht="13.8" thickTop="1">
      <c r="A24" s="326"/>
      <c r="B24" s="63" t="str">
        <f>"Total Govt take, PV "&amp;TEXT(C3, "#,##%")</f>
        <v>Total Govt take, PV 12%</v>
      </c>
      <c r="C24" s="197">
        <f>SUM(C25:C27)</f>
        <v>-0.5</v>
      </c>
      <c r="D24" s="197">
        <f t="shared" ref="D24:AG24" si="1">SUM(D25:D27)</f>
        <v>-0.89285714285714279</v>
      </c>
      <c r="E24" s="197">
        <f t="shared" si="1"/>
        <v>0</v>
      </c>
      <c r="F24" s="197">
        <f t="shared" si="1"/>
        <v>0</v>
      </c>
      <c r="G24" s="197">
        <f t="shared" si="1"/>
        <v>0</v>
      </c>
      <c r="H24" s="197">
        <f t="shared" si="1"/>
        <v>0</v>
      </c>
      <c r="I24" s="197">
        <f t="shared" si="1"/>
        <v>0</v>
      </c>
      <c r="J24" s="197">
        <f t="shared" si="1"/>
        <v>0</v>
      </c>
      <c r="K24" s="197">
        <f t="shared" ca="1" si="1"/>
        <v>-0.58038568380230704</v>
      </c>
      <c r="L24" s="197">
        <f t="shared" ca="1" si="1"/>
        <v>-0.76073006253287845</v>
      </c>
      <c r="M24" s="197">
        <f t="shared" ca="1" si="1"/>
        <v>-0.71126571577964759</v>
      </c>
      <c r="N24" s="197">
        <f t="shared" ca="1" si="1"/>
        <v>-0.80314849838334068</v>
      </c>
      <c r="O24" s="197">
        <f t="shared" ca="1" si="1"/>
        <v>-2.2296685226413695</v>
      </c>
      <c r="P24" s="197">
        <f t="shared" ca="1" si="1"/>
        <v>-4.020632242666796</v>
      </c>
      <c r="Q24" s="197">
        <f t="shared" ca="1" si="1"/>
        <v>-4.1586427649249442</v>
      </c>
      <c r="R24" s="197">
        <f t="shared" ca="1" si="1"/>
        <v>-3.6658720514373733</v>
      </c>
      <c r="S24" s="197">
        <f t="shared" ca="1" si="1"/>
        <v>-3.6434086284593659</v>
      </c>
      <c r="T24" s="197">
        <f t="shared" ca="1" si="1"/>
        <v>-3.0617952241355377</v>
      </c>
      <c r="U24" s="197">
        <f t="shared" ca="1" si="1"/>
        <v>-2.9871030418740125</v>
      </c>
      <c r="V24" s="197">
        <f t="shared" ca="1" si="1"/>
        <v>-2.5425130678060759</v>
      </c>
      <c r="W24" s="197">
        <f t="shared" ca="1" si="1"/>
        <v>-2.4722411239914206</v>
      </c>
      <c r="X24" s="197">
        <f t="shared" ca="1" si="1"/>
        <v>-2.0465721387793154</v>
      </c>
      <c r="Y24" s="197">
        <f t="shared" ca="1" si="1"/>
        <v>-1.9194737251115106</v>
      </c>
      <c r="Z24" s="197">
        <f t="shared" ca="1" si="1"/>
        <v>-1.6153323973632299</v>
      </c>
      <c r="AA24" s="197">
        <f t="shared" ca="1" si="1"/>
        <v>-1.5447059702794654</v>
      </c>
      <c r="AB24" s="197">
        <f t="shared" ca="1" si="1"/>
        <v>-1.0771752367007463</v>
      </c>
      <c r="AC24" s="197">
        <f t="shared" ca="1" si="1"/>
        <v>-1.0329183795723007</v>
      </c>
      <c r="AD24" s="197">
        <f t="shared" ca="1" si="1"/>
        <v>-0.86355736034202824</v>
      </c>
      <c r="AE24" s="197">
        <f t="shared" ca="1" si="1"/>
        <v>-0.83689950064429997</v>
      </c>
      <c r="AF24" s="197">
        <f t="shared" ca="1" si="1"/>
        <v>-0.49072188314158116</v>
      </c>
      <c r="AG24" s="197">
        <f t="shared" ca="1" si="1"/>
        <v>-0.4635923494902448</v>
      </c>
      <c r="AH24" s="700">
        <f t="shared" ca="1" si="0"/>
        <v>-44.921212712716937</v>
      </c>
      <c r="AI24" s="693" t="s">
        <v>279</v>
      </c>
      <c r="AJ24" s="667"/>
    </row>
    <row r="25" spans="1:36">
      <c r="A25" s="326"/>
      <c r="B25" s="205" t="s">
        <v>134</v>
      </c>
      <c r="C25" s="848">
        <f>Cashflow!C90/(1+$C$3)^(C$7-$C$5)</f>
        <v>0</v>
      </c>
      <c r="D25" s="848">
        <f>Cashflow!D90/(1+$C$3)^(D$7-$C$5)</f>
        <v>0</v>
      </c>
      <c r="E25" s="848">
        <f>Cashflow!E90/(1+$C$3)^(E$7-$C$5)</f>
        <v>0</v>
      </c>
      <c r="F25" s="848">
        <f>Cashflow!F90/(1+$C$3)^(F$7-$C$5)</f>
        <v>0</v>
      </c>
      <c r="G25" s="848">
        <f>Cashflow!G90/(1+$C$3)^(G$7-$C$5)</f>
        <v>0</v>
      </c>
      <c r="H25" s="848">
        <f>Cashflow!H90/(1+$C$3)^(H$7-$C$5)</f>
        <v>0</v>
      </c>
      <c r="I25" s="848">
        <f>Cashflow!I90/(1+$C$3)^(I$7-$C$5)</f>
        <v>0</v>
      </c>
      <c r="J25" s="848">
        <f>Cashflow!J90/(1+$C$3)^(J$7-$C$5)</f>
        <v>0</v>
      </c>
      <c r="K25" s="848">
        <f ca="1">Cashflow!K90/(1+$C$3)^(K$7-$C$5)</f>
        <v>-0.58038568380230704</v>
      </c>
      <c r="L25" s="848">
        <f ca="1">Cashflow!L90/(1+$C$3)^(L$7-$C$5)</f>
        <v>-0.76073006253287845</v>
      </c>
      <c r="M25" s="848">
        <f ca="1">Cashflow!M90/(1+$C$3)^(M$7-$C$5)</f>
        <v>-0.71126571577964759</v>
      </c>
      <c r="N25" s="848">
        <f ca="1">Cashflow!N90/(1+$C$3)^(N$7-$C$5)</f>
        <v>-0.80314849838334068</v>
      </c>
      <c r="O25" s="848">
        <f ca="1">Cashflow!O90/(1+$C$3)^(O$7-$C$5)</f>
        <v>-0.61556962901331636</v>
      </c>
      <c r="P25" s="848">
        <f ca="1">Cashflow!P90/(1+$C$3)^(P$7-$C$5)</f>
        <v>-0.52947658999985037</v>
      </c>
      <c r="Q25" s="848">
        <f ca="1">Cashflow!Q90/(1+$C$3)^(Q$7-$C$5)</f>
        <v>-0.49072833945576855</v>
      </c>
      <c r="R25" s="848">
        <f ca="1">Cashflow!R90/(1+$C$3)^(R$7-$C$5)</f>
        <v>-0.42209549585447254</v>
      </c>
      <c r="S25" s="848">
        <f ca="1">Cashflow!S90/(1+$C$3)^(S$7-$C$5)</f>
        <v>-0.39120562775491757</v>
      </c>
      <c r="T25" s="848">
        <f ca="1">Cashflow!T90/(1+$C$3)^(T$7-$C$5)</f>
        <v>-0.3371397455578144</v>
      </c>
      <c r="U25" s="848">
        <f ca="1">Cashflow!U90/(1+$C$3)^(U$7-$C$5)</f>
        <v>-0.31304872546203294</v>
      </c>
      <c r="V25" s="848">
        <f ca="1">Cashflow!V90/(1+$C$3)^(V$7-$C$5)</f>
        <v>-0.26969193472464065</v>
      </c>
      <c r="W25" s="848">
        <f ca="1">Cashflow!W90/(1+$C$3)^(W$7-$C$5)</f>
        <v>-0.25034105890829167</v>
      </c>
      <c r="X25" s="848">
        <f ca="1">Cashflow!X90/(1+$C$3)^(X$7-$C$5)</f>
        <v>-0.21551942902548066</v>
      </c>
      <c r="Y25" s="848">
        <f ca="1">Cashflow!Y90/(1+$C$3)^(Y$7-$C$5)</f>
        <v>-0.19981277529701494</v>
      </c>
      <c r="Z25" s="848">
        <f ca="1">Cashflow!Z90/(1+$C$3)^(Z$7-$C$5)</f>
        <v>-0.17188248278348361</v>
      </c>
      <c r="AA25" s="848">
        <f ca="1">Cashflow!AA90/(1+$C$3)^(AA$7-$C$5)</f>
        <v>-0.15931522423047603</v>
      </c>
      <c r="AB25" s="848">
        <f ca="1">Cashflow!AB90/(1+$C$3)^(AB$7-$C$5)</f>
        <v>-0.11695797856423801</v>
      </c>
      <c r="AC25" s="848">
        <f ca="1">Cashflow!AC90/(1+$C$3)^(AC$7-$C$5)</f>
        <v>-0.10829855415307189</v>
      </c>
      <c r="AD25" s="848">
        <f ca="1">Cashflow!AD90/(1+$C$3)^(AD$7-$C$5)</f>
        <v>-9.3206711879687848E-2</v>
      </c>
      <c r="AE25" s="848">
        <f ca="1">Cashflow!AE90/(1+$C$3)^(AE$7-$C$5)</f>
        <v>-8.6270548924501297E-2</v>
      </c>
      <c r="AF25" s="848">
        <f ca="1">Cashflow!AF90/(1+$C$3)^(AF$7-$C$5)</f>
        <v>-5.4391243591042159E-2</v>
      </c>
      <c r="AG25" s="65">
        <f ca="1">Cashflow!AG90/(1+$C$3)^(AG$7-$C$5)</f>
        <v>-5.024306678859148E-2</v>
      </c>
      <c r="AH25" s="700">
        <f t="shared" ca="1" si="0"/>
        <v>-7.7307251224668665</v>
      </c>
      <c r="AI25" s="693" t="s">
        <v>279</v>
      </c>
      <c r="AJ25" s="667"/>
    </row>
    <row r="26" spans="1:36">
      <c r="A26" s="326"/>
      <c r="B26" s="205" t="s">
        <v>135</v>
      </c>
      <c r="C26" s="848">
        <f>Cashflow!C91/(1+$C$3)^(C$7-$C$5)</f>
        <v>0</v>
      </c>
      <c r="D26" s="848">
        <f>Cashflow!D91/(1+$C$3)^(D$7-$C$5)</f>
        <v>0</v>
      </c>
      <c r="E26" s="848">
        <f>Cashflow!E91/(1+$C$3)^(E$7-$C$5)</f>
        <v>0</v>
      </c>
      <c r="F26" s="848">
        <f>Cashflow!F91/(1+$C$3)^(F$7-$C$5)</f>
        <v>0</v>
      </c>
      <c r="G26" s="848">
        <f>Cashflow!G91/(1+$C$3)^(G$7-$C$5)</f>
        <v>0</v>
      </c>
      <c r="H26" s="848">
        <f>Cashflow!H91/(1+$C$3)^(H$7-$C$5)</f>
        <v>0</v>
      </c>
      <c r="I26" s="848">
        <f>Cashflow!I91/(1+$C$3)^(I$7-$C$5)</f>
        <v>0</v>
      </c>
      <c r="J26" s="848">
        <f>Cashflow!J91/(1+$C$3)^(J$7-$C$5)</f>
        <v>0</v>
      </c>
      <c r="K26" s="848">
        <f ca="1">Cashflow!K91/(1+$C$3)^(K$7-$C$5)</f>
        <v>0</v>
      </c>
      <c r="L26" s="848">
        <f ca="1">Cashflow!L91/(1+$C$3)^(L$7-$C$5)</f>
        <v>0</v>
      </c>
      <c r="M26" s="848">
        <f ca="1">Cashflow!M91/(1+$C$3)^(M$7-$C$5)</f>
        <v>0</v>
      </c>
      <c r="N26" s="848">
        <f ca="1">Cashflow!N91/(1+$C$3)^(N$7-$C$5)</f>
        <v>0</v>
      </c>
      <c r="O26" s="848">
        <f ca="1">Cashflow!O91/(1+$C$3)^(O$7-$C$5)</f>
        <v>-1.6140988936280529</v>
      </c>
      <c r="P26" s="848">
        <f ca="1">Cashflow!P91/(1+$C$3)^(P$7-$C$5)</f>
        <v>-3.4911556526669458</v>
      </c>
      <c r="Q26" s="848">
        <f ca="1">Cashflow!Q91/(1+$C$3)^(Q$7-$C$5)</f>
        <v>-3.6679144254691756</v>
      </c>
      <c r="R26" s="848">
        <f ca="1">Cashflow!R91/(1+$C$3)^(R$7-$C$5)</f>
        <v>-3.2437765555829006</v>
      </c>
      <c r="S26" s="848">
        <f ca="1">Cashflow!S91/(1+$C$3)^(S$7-$C$5)</f>
        <v>-3.2522030007044482</v>
      </c>
      <c r="T26" s="848">
        <f ca="1">Cashflow!T91/(1+$C$3)^(T$7-$C$5)</f>
        <v>-2.7246554785777235</v>
      </c>
      <c r="U26" s="848">
        <f ca="1">Cashflow!U91/(1+$C$3)^(U$7-$C$5)</f>
        <v>-2.6740543164119797</v>
      </c>
      <c r="V26" s="848">
        <f ca="1">Cashflow!V91/(1+$C$3)^(V$7-$C$5)</f>
        <v>-2.2728211330814352</v>
      </c>
      <c r="W26" s="848">
        <f ca="1">Cashflow!W91/(1+$C$3)^(W$7-$C$5)</f>
        <v>-2.2219000650831289</v>
      </c>
      <c r="X26" s="848">
        <f ca="1">Cashflow!X91/(1+$C$3)^(X$7-$C$5)</f>
        <v>-1.8310527097538347</v>
      </c>
      <c r="Y26" s="848">
        <f ca="1">Cashflow!Y91/(1+$C$3)^(Y$7-$C$5)</f>
        <v>-1.7196609498144957</v>
      </c>
      <c r="Z26" s="848">
        <f ca="1">Cashflow!Z91/(1+$C$3)^(Z$7-$C$5)</f>
        <v>-1.4434499145797464</v>
      </c>
      <c r="AA26" s="848">
        <f ca="1">Cashflow!AA91/(1+$C$3)^(AA$7-$C$5)</f>
        <v>-1.3853907460489894</v>
      </c>
      <c r="AB26" s="848">
        <f ca="1">Cashflow!AB91/(1+$C$3)^(AB$7-$C$5)</f>
        <v>-0.96021725813650838</v>
      </c>
      <c r="AC26" s="848">
        <f ca="1">Cashflow!AC91/(1+$C$3)^(AC$7-$C$5)</f>
        <v>-0.92461982541922871</v>
      </c>
      <c r="AD26" s="848">
        <f ca="1">Cashflow!AD91/(1+$C$3)^(AD$7-$C$5)</f>
        <v>-0.77035064846234036</v>
      </c>
      <c r="AE26" s="848">
        <f ca="1">Cashflow!AE91/(1+$C$3)^(AE$7-$C$5)</f>
        <v>-0.75062895171979871</v>
      </c>
      <c r="AF26" s="848">
        <f ca="1">Cashflow!AF91/(1+$C$3)^(AF$7-$C$5)</f>
        <v>-0.43633063955053902</v>
      </c>
      <c r="AG26" s="65">
        <f ca="1">Cashflow!AG91/(1+$C$3)^(AG$7-$C$5)</f>
        <v>-0.41334928270165333</v>
      </c>
      <c r="AH26" s="700">
        <f t="shared" ca="1" si="0"/>
        <v>-35.797630447392926</v>
      </c>
      <c r="AI26" s="693" t="s">
        <v>279</v>
      </c>
      <c r="AJ26" s="667"/>
    </row>
    <row r="27" spans="1:36" ht="13.8" thickBot="1">
      <c r="B27" s="217" t="s">
        <v>1623</v>
      </c>
      <c r="C27" s="214">
        <f>Cashflow!C92/(1+$C$3)^(C$7-$C$5)</f>
        <v>-0.5</v>
      </c>
      <c r="D27" s="214">
        <f>Cashflow!D92/(1+$C$3)^(D$7-$C$5)</f>
        <v>-0.89285714285714279</v>
      </c>
      <c r="E27" s="214">
        <f>Cashflow!E92/(1+$C$3)^(E$7-$C$5)</f>
        <v>0</v>
      </c>
      <c r="F27" s="214">
        <f>Cashflow!F92/(1+$C$3)^(F$7-$C$5)</f>
        <v>0</v>
      </c>
      <c r="G27" s="214">
        <f>Cashflow!G92/(1+$C$3)^(G$7-$C$5)</f>
        <v>0</v>
      </c>
      <c r="H27" s="214">
        <f>Cashflow!H92/(1+$C$3)^(H$7-$C$5)</f>
        <v>0</v>
      </c>
      <c r="I27" s="214">
        <f>Cashflow!I92/(1+$C$3)^(I$7-$C$5)</f>
        <v>0</v>
      </c>
      <c r="J27" s="214">
        <f>Cashflow!J92/(1+$C$3)^(J$7-$C$5)</f>
        <v>0</v>
      </c>
      <c r="K27" s="214">
        <f>Cashflow!K92/(1+$C$3)^(K$7-$C$5)</f>
        <v>0</v>
      </c>
      <c r="L27" s="214">
        <f ca="1">Cashflow!L92/(1+$C$3)^(L$7-$C$5)</f>
        <v>0</v>
      </c>
      <c r="M27" s="214">
        <f ca="1">Cashflow!M92/(1+$C$3)^(M$7-$C$5)</f>
        <v>0</v>
      </c>
      <c r="N27" s="214">
        <f ca="1">Cashflow!N92/(1+$C$3)^(N$7-$C$5)</f>
        <v>0</v>
      </c>
      <c r="O27" s="214">
        <f ca="1">Cashflow!O92/(1+$C$3)^(O$7-$C$5)</f>
        <v>0</v>
      </c>
      <c r="P27" s="214">
        <f ca="1">Cashflow!P92/(1+$C$3)^(P$7-$C$5)</f>
        <v>0</v>
      </c>
      <c r="Q27" s="214">
        <f ca="1">Cashflow!Q92/(1+$C$3)^(Q$7-$C$5)</f>
        <v>0</v>
      </c>
      <c r="R27" s="214">
        <f ca="1">Cashflow!R92/(1+$C$3)^(R$7-$C$5)</f>
        <v>0</v>
      </c>
      <c r="S27" s="214">
        <f ca="1">Cashflow!S92/(1+$C$3)^(S$7-$C$5)</f>
        <v>0</v>
      </c>
      <c r="T27" s="214">
        <f ca="1">Cashflow!T92/(1+$C$3)^(T$7-$C$5)</f>
        <v>0</v>
      </c>
      <c r="U27" s="214">
        <f ca="1">Cashflow!U92/(1+$C$3)^(U$7-$C$5)</f>
        <v>0</v>
      </c>
      <c r="V27" s="214">
        <f ca="1">Cashflow!V92/(1+$C$3)^(V$7-$C$5)</f>
        <v>0</v>
      </c>
      <c r="W27" s="214">
        <f ca="1">Cashflow!W92/(1+$C$3)^(W$7-$C$5)</f>
        <v>0</v>
      </c>
      <c r="X27" s="214">
        <f ca="1">Cashflow!X92/(1+$C$3)^(X$7-$C$5)</f>
        <v>0</v>
      </c>
      <c r="Y27" s="214">
        <f ca="1">Cashflow!Y92/(1+$C$3)^(Y$7-$C$5)</f>
        <v>0</v>
      </c>
      <c r="Z27" s="214">
        <f ca="1">Cashflow!Z92/(1+$C$3)^(Z$7-$C$5)</f>
        <v>0</v>
      </c>
      <c r="AA27" s="214">
        <f ca="1">Cashflow!AA92/(1+$C$3)^(AA$7-$C$5)</f>
        <v>0</v>
      </c>
      <c r="AB27" s="214">
        <f ca="1">Cashflow!AB92/(1+$C$3)^(AB$7-$C$5)</f>
        <v>0</v>
      </c>
      <c r="AC27" s="214">
        <f ca="1">Cashflow!AC92/(1+$C$3)^(AC$7-$C$5)</f>
        <v>0</v>
      </c>
      <c r="AD27" s="214">
        <f ca="1">Cashflow!AD92/(1+$C$3)^(AD$7-$C$5)</f>
        <v>0</v>
      </c>
      <c r="AE27" s="214">
        <f ca="1">Cashflow!AE92/(1+$C$3)^(AE$7-$C$5)</f>
        <v>0</v>
      </c>
      <c r="AF27" s="214">
        <f ca="1">Cashflow!AF92/(1+$C$3)^(AF$7-$C$5)</f>
        <v>0</v>
      </c>
      <c r="AG27" s="214">
        <f ca="1">Cashflow!AG92/(1+$C$3)^(AG$7-$C$5)</f>
        <v>0</v>
      </c>
      <c r="AH27" s="700">
        <f ca="1">SUM(C27:AG27)</f>
        <v>-1.3928571428571428</v>
      </c>
      <c r="AI27" s="693" t="s">
        <v>279</v>
      </c>
      <c r="AJ27" s="667"/>
    </row>
    <row r="28" spans="1:36" ht="14.4" thickTop="1" thickBot="1">
      <c r="B28" s="1052" t="str">
        <f>"Total Govt take, PV "&amp;TEXT(C4, "#,##%")</f>
        <v>Total Govt take, PV %</v>
      </c>
      <c r="C28" s="846">
        <f>Cashflow!C89/(1+$C$4)^(C$7-$C$5)</f>
        <v>-0.5</v>
      </c>
      <c r="D28" s="846">
        <f>Cashflow!D89/(1+$C$4)^(D$7-$C$5)</f>
        <v>-1</v>
      </c>
      <c r="E28" s="846">
        <f>Cashflow!E89/(1+$C$4)^(E$7-$C$5)</f>
        <v>0</v>
      </c>
      <c r="F28" s="846">
        <f>Cashflow!F89/(1+$C$4)^(F$7-$C$5)</f>
        <v>0</v>
      </c>
      <c r="G28" s="846">
        <f>Cashflow!G89/(1+$C$4)^(G$7-$C$5)</f>
        <v>0</v>
      </c>
      <c r="H28" s="846">
        <f>Cashflow!H89/(1+$C$4)^(H$7-$C$5)</f>
        <v>0</v>
      </c>
      <c r="I28" s="846">
        <f>Cashflow!I89/(1+$C$4)^(I$7-$C$5)</f>
        <v>0</v>
      </c>
      <c r="J28" s="846">
        <f>Cashflow!J89/(1+$C$4)^(J$7-$C$5)</f>
        <v>0</v>
      </c>
      <c r="K28" s="846">
        <f ca="1">Cashflow!K89/(1+$C$4)^(K$7-$C$5)</f>
        <v>-1.4370135811431959</v>
      </c>
      <c r="L28" s="846">
        <f ca="1">Cashflow!L89/(1+$C$4)^(L$7-$C$5)</f>
        <v>-2.1095643765636787</v>
      </c>
      <c r="M28" s="846">
        <f ca="1">Cashflow!M89/(1+$C$4)^(M$7-$C$5)</f>
        <v>-2.2090833490108812</v>
      </c>
      <c r="N28" s="846">
        <f ca="1">Cashflow!N89/(1+$C$4)^(N$7-$C$5)</f>
        <v>-2.7937922037068317</v>
      </c>
      <c r="O28" s="846">
        <f ca="1">Cashflow!O89/(1+$C$4)^(O$7-$C$5)</f>
        <v>-8.6867350355484643</v>
      </c>
      <c r="P28" s="846">
        <f ca="1">Cashflow!P89/(1+$C$4)^(P$7-$C$5)</f>
        <v>-17.54400109536498</v>
      </c>
      <c r="Q28" s="846">
        <f ca="1">Cashflow!Q89/(1+$C$4)^(Q$7-$C$5)</f>
        <v>-20.323754145602866</v>
      </c>
      <c r="R28" s="846">
        <f ca="1">Cashflow!R89/(1+$C$4)^(R$7-$C$5)</f>
        <v>-20.06539173856498</v>
      </c>
      <c r="S28" s="846">
        <f ca="1">Cashflow!S89/(1+$C$4)^(S$7-$C$5)</f>
        <v>-22.335529121602875</v>
      </c>
      <c r="T28" s="846">
        <f ca="1">Cashflow!T89/(1+$C$4)^(T$7-$C$5)</f>
        <v>-21.022411200859299</v>
      </c>
      <c r="U28" s="846">
        <f ca="1">Cashflow!U89/(1+$C$4)^(U$7-$C$5)</f>
        <v>-22.970720218215774</v>
      </c>
      <c r="V28" s="846">
        <f ca="1">Cashflow!V89/(1+$C$4)^(V$7-$C$5)</f>
        <v>-21.898059147802719</v>
      </c>
      <c r="W28" s="846">
        <f ca="1">Cashflow!W89/(1+$C$4)^(W$7-$C$5)</f>
        <v>-23.84796247926873</v>
      </c>
      <c r="X28" s="846">
        <f ca="1">Cashflow!X89/(1+$C$4)^(X$7-$C$5)</f>
        <v>-22.110854849659347</v>
      </c>
      <c r="Y28" s="846">
        <f ca="1">Cashflow!Y89/(1+$C$4)^(Y$7-$C$5)</f>
        <v>-23.226227218586349</v>
      </c>
      <c r="Z28" s="846">
        <f ca="1">Cashflow!Z89/(1+$C$4)^(Z$7-$C$5)</f>
        <v>-21.891545594157748</v>
      </c>
      <c r="AA28" s="846">
        <f ca="1">Cashflow!AA89/(1+$C$4)^(AA$7-$C$5)</f>
        <v>-23.446518735782526</v>
      </c>
      <c r="AB28" s="846">
        <f ca="1">Cashflow!AB89/(1+$C$4)^(AB$7-$C$5)</f>
        <v>-18.312048401153294</v>
      </c>
      <c r="AC28" s="846">
        <f ca="1">Cashflow!AC89/(1+$C$4)^(AC$7-$C$5)</f>
        <v>-19.66684045707823</v>
      </c>
      <c r="AD28" s="846">
        <f ca="1">Cashflow!AD89/(1+$C$4)^(AD$7-$C$5)</f>
        <v>-18.415257766082501</v>
      </c>
      <c r="AE28" s="846">
        <f ca="1">Cashflow!AE89/(1+$C$4)^(AE$7-$C$5)</f>
        <v>-19.988395936170789</v>
      </c>
      <c r="AF28" s="846">
        <f ca="1">Cashflow!AF89/(1+$C$4)^(AF$7-$C$5)</f>
        <v>-13.126776251739845</v>
      </c>
      <c r="AG28" s="846">
        <f ca="1">Cashflow!AG89/(1+$C$4)^(AG$7-$C$5)</f>
        <v>-13.889190686577951</v>
      </c>
      <c r="AH28" s="700">
        <f ca="1">SUM(C28:AG28)</f>
        <v>-382.81767359024383</v>
      </c>
      <c r="AI28" s="693" t="s">
        <v>279</v>
      </c>
      <c r="AJ28" s="667"/>
    </row>
    <row r="29" spans="1:36" ht="13.8" thickTop="1">
      <c r="A29" s="326"/>
      <c r="B29" s="63" t="s">
        <v>172</v>
      </c>
      <c r="C29" s="74">
        <f>Cashflow!C87/(1+$C$3)^(C$7-$C$5)</f>
        <v>0</v>
      </c>
      <c r="D29" s="74">
        <f>Cashflow!D87/(1+$C$3)^(D$7-$C$5)</f>
        <v>0</v>
      </c>
      <c r="E29" s="74">
        <f>Cashflow!E87/(1+$C$3)^(E$7-$C$5)</f>
        <v>0</v>
      </c>
      <c r="F29" s="74">
        <f>Cashflow!F87/(1+$C$3)^(F$7-$C$5)</f>
        <v>0</v>
      </c>
      <c r="G29" s="74">
        <f>Cashflow!G87/(1+$C$3)^(G$7-$C$5)</f>
        <v>0</v>
      </c>
      <c r="H29" s="74">
        <f>Cashflow!H87/(1+$C$3)^(H$7-$C$5)</f>
        <v>0</v>
      </c>
      <c r="I29" s="74">
        <f>Cashflow!I87/(1+$C$3)^(I$7-$C$5)</f>
        <v>-0.10132622423546414</v>
      </c>
      <c r="J29" s="74">
        <f>Cashflow!J87/(1+$C$3)^(J$7-$C$5)</f>
        <v>-0.27140952920213612</v>
      </c>
      <c r="K29" s="74">
        <f>Cashflow!K87/(1+$C$3)^(K$7-$C$5)</f>
        <v>-0.32310658238349532</v>
      </c>
      <c r="L29" s="74">
        <f ca="1">Cashflow!L87/(1+$C$3)^(L$7-$C$5)</f>
        <v>-0.43273202997789556</v>
      </c>
      <c r="M29" s="74">
        <f ca="1">Cashflow!M87/(1+$C$3)^(M$7-$C$5)</f>
        <v>-0.45076253122697446</v>
      </c>
      <c r="N29" s="74">
        <f ca="1">Cashflow!N87/(1+$C$3)^(N$7-$C$5)</f>
        <v>-0.51745698737790424</v>
      </c>
      <c r="O29" s="74">
        <f ca="1">Cashflow!O87/(1+$C$3)^(O$7-$C$5)</f>
        <v>-0.71869026024708915</v>
      </c>
      <c r="P29" s="74">
        <f ca="1">Cashflow!P87/(1+$C$3)^(P$7-$C$5)</f>
        <v>-0.87086192249328398</v>
      </c>
      <c r="Q29" s="74">
        <f ca="1">Cashflow!Q87/(1+$C$3)^(Q$7-$C$5)</f>
        <v>-0.77755528794043205</v>
      </c>
      <c r="R29" s="74">
        <f ca="1">Cashflow!R87/(1+$C$3)^(R$7-$C$5)</f>
        <v>-1.0596383153323559</v>
      </c>
      <c r="S29" s="74">
        <f ca="1">Cashflow!S87/(1+$C$3)^(S$7-$C$5)</f>
        <v>-0.61986231500353317</v>
      </c>
      <c r="T29" s="74">
        <f ca="1">Cashflow!T87/(1+$C$3)^(T$7-$C$5)</f>
        <v>-0.84473717740143139</v>
      </c>
      <c r="U29" s="74">
        <f ca="1">Cashflow!U87/(1+$C$3)^(U$7-$C$5)</f>
        <v>-0.49415044244541856</v>
      </c>
      <c r="V29" s="74">
        <f ca="1">Cashflow!V87/(1+$C$3)^(V$7-$C$5)</f>
        <v>-0.67341930596415112</v>
      </c>
      <c r="W29" s="74">
        <f ca="1">Cashflow!W87/(1+$C$3)^(W$7-$C$5)</f>
        <v>-0.29026694222592725</v>
      </c>
      <c r="X29" s="74">
        <f ca="1">Cashflow!X87/(1+$C$3)^(X$7-$C$5)</f>
        <v>-0.35172652438090668</v>
      </c>
      <c r="Y29" s="74">
        <f ca="1">Cashflow!Y87/(1+$C$3)^(Y$7-$C$5)</f>
        <v>-0.3140415396258095</v>
      </c>
      <c r="Z29" s="74">
        <f ca="1">Cashflow!Z87/(1+$C$3)^(Z$7-$C$5)</f>
        <v>-0.42797014328705246</v>
      </c>
      <c r="AA29" s="74">
        <f ca="1">Cashflow!AA87/(1+$C$3)^(AA$7-$C$5)</f>
        <v>-0.25035199268639152</v>
      </c>
      <c r="AB29" s="74">
        <f ca="1">Cashflow!AB87/(1+$C$3)^(AB$7-$C$5)</f>
        <v>-0.34117517800307107</v>
      </c>
      <c r="AC29" s="74">
        <f ca="1">Cashflow!AC87/(1+$C$3)^(AC$7-$C$5)</f>
        <v>-0.19957907580228912</v>
      </c>
      <c r="AD29" s="74">
        <f ca="1">Cashflow!AD87/(1+$C$3)^(AD$7-$C$5)</f>
        <v>-0.27198276307642777</v>
      </c>
      <c r="AE29" s="74">
        <f ca="1">Cashflow!AE87/(1+$C$3)^(AE$7-$C$5)</f>
        <v>-0.11723394960190853</v>
      </c>
      <c r="AF29" s="74">
        <f ca="1">Cashflow!AF87/(1+$C$3)^(AF$7-$C$5)</f>
        <v>-0.14205644403292486</v>
      </c>
      <c r="AG29" s="197">
        <f ca="1">Cashflow!AG87/(1+$C$3)^(AG$7-$C$5)</f>
        <v>-0.12683611074368289</v>
      </c>
      <c r="AH29" s="700">
        <f t="shared" ca="1" si="0"/>
        <v>-10.988929574697957</v>
      </c>
      <c r="AI29" s="693" t="s">
        <v>279</v>
      </c>
      <c r="AJ29" s="667"/>
    </row>
    <row r="30" spans="1:36">
      <c r="A30" s="326"/>
      <c r="B30" s="64" t="s">
        <v>176</v>
      </c>
      <c r="C30" s="74">
        <f>Cashflow!C93/(1+$C$3)^(C$7-$C$5)</f>
        <v>-17.077500000000001</v>
      </c>
      <c r="D30" s="74">
        <f>Cashflow!D93/(1+$C$3)^(D$7-$C$5)</f>
        <v>-11.725446428571427</v>
      </c>
      <c r="E30" s="74">
        <f>Cashflow!E93/(1+$C$3)^(E$7-$C$5)</f>
        <v>-4.9087213010204076</v>
      </c>
      <c r="F30" s="74">
        <f>Cashflow!F93/(1+$C$3)^(F$7-$C$5)</f>
        <v>-28.00321439959912</v>
      </c>
      <c r="G30" s="74">
        <f>Cashflow!G93/(1+$C$3)^(G$7-$C$5)</f>
        <v>-85.157833711051367</v>
      </c>
      <c r="H30" s="74">
        <f>Cashflow!H93/(1+$C$3)^(H$7-$C$5)</f>
        <v>-47.321981199791878</v>
      </c>
      <c r="I30" s="74">
        <f>Cashflow!I93/(1+$C$3)^(I$7-$C$5)</f>
        <v>-30.587853941080734</v>
      </c>
      <c r="J30" s="74">
        <f>Cashflow!J93/(1+$C$3)^(J$7-$C$5)</f>
        <v>-21.707107970979173</v>
      </c>
      <c r="K30" s="74">
        <f ca="1">Cashflow!K93/(1+$C$3)^(K$7-$C$5)</f>
        <v>-18.903313747290447</v>
      </c>
      <c r="L30" s="74">
        <f ca="1">Cashflow!L93/(1+$C$3)^(L$7-$C$5)</f>
        <v>-16.233117379545867</v>
      </c>
      <c r="M30" s="74">
        <f ca="1">Cashflow!M93/(1+$C$3)^(M$7-$C$5)</f>
        <v>-10.628161387478881</v>
      </c>
      <c r="N30" s="74">
        <f ca="1">Cashflow!N93/(1+$C$3)^(N$7-$C$5)</f>
        <v>-12.666949048991809</v>
      </c>
      <c r="O30" s="74">
        <f ca="1">Cashflow!O93/(1+$C$3)^(O$7-$C$5)</f>
        <v>-4.7972250613134486</v>
      </c>
      <c r="P30" s="74">
        <f ca="1">Cashflow!P93/(1+$C$3)^(P$7-$C$5)</f>
        <v>-6.5261720769232525</v>
      </c>
      <c r="Q30" s="74">
        <f ca="1">Cashflow!Q93/(1+$C$3)^(Q$7-$C$5)</f>
        <v>-6.4101029304363175</v>
      </c>
      <c r="R30" s="74">
        <f ca="1">Cashflow!R93/(1+$C$3)^(R$7-$C$5)</f>
        <v>-6.0286655897952164</v>
      </c>
      <c r="S30" s="74">
        <f ca="1">Cashflow!S93/(1+$C$3)^(S$7-$C$5)</f>
        <v>-5.4382588879550395</v>
      </c>
      <c r="T30" s="74">
        <f ca="1">Cashflow!T93/(1+$C$3)^(T$7-$C$5)</f>
        <v>-4.9453997668315228</v>
      </c>
      <c r="U30" s="74">
        <f ca="1">Cashflow!U93/(1+$C$3)^(U$7-$C$5)</f>
        <v>-4.4179466798648237</v>
      </c>
      <c r="V30" s="74">
        <f ca="1">Cashflow!V93/(1+$C$3)^(V$7-$C$5)</f>
        <v>-4.0441110769706041</v>
      </c>
      <c r="W30" s="74">
        <f ca="1">Cashflow!W93/(1+$C$3)^(W$7-$C$5)</f>
        <v>-3.5092341468498356</v>
      </c>
      <c r="X30" s="74">
        <f ca="1">Cashflow!X93/(1+$C$3)^(X$7-$C$5)</f>
        <v>-4.4538538009334347</v>
      </c>
      <c r="Y30" s="74">
        <f ca="1">Cashflow!Y93/(1+$C$3)^(Y$7-$C$5)</f>
        <v>-2.8349989127072974</v>
      </c>
      <c r="Z30" s="74">
        <f ca="1">Cashflow!Z93/(1+$C$3)^(Z$7-$C$5)</f>
        <v>-2.5751591753644272</v>
      </c>
      <c r="AA30" s="74">
        <f ca="1">Cashflow!AA93/(1+$C$3)^(AA$7-$C$5)</f>
        <v>-2.2745570445745762</v>
      </c>
      <c r="AB30" s="74">
        <f ca="1">Cashflow!AB93/(1+$C$3)^(AB$7-$C$5)</f>
        <v>-1.8423432676328231</v>
      </c>
      <c r="AC30" s="74">
        <f ca="1">Cashflow!AC93/(1+$C$3)^(AC$7-$C$5)</f>
        <v>-1.6147511875243978</v>
      </c>
      <c r="AD30" s="74">
        <f ca="1">Cashflow!AD93/(1+$C$3)^(AD$7-$C$5)</f>
        <v>-1.4735446298988495</v>
      </c>
      <c r="AE30" s="74">
        <f ca="1">Cashflow!AE93/(1+$C$3)^(AE$7-$C$5)</f>
        <v>-1.258863785187063</v>
      </c>
      <c r="AF30" s="74">
        <f ca="1">Cashflow!AF93/(1+$C$3)^(AF$7-$C$5)</f>
        <v>-0.90223345032532987</v>
      </c>
      <c r="AG30" s="197">
        <f ca="1">Cashflow!AG93/(1+$C$3)^(AG$7-$C$5)</f>
        <v>-0.83335761755284876</v>
      </c>
      <c r="AH30" s="700">
        <f t="shared" ca="1" si="0"/>
        <v>-371.10197960404236</v>
      </c>
      <c r="AI30" s="693" t="s">
        <v>279</v>
      </c>
      <c r="AJ30" s="667"/>
    </row>
    <row r="31" spans="1:36" ht="13.8" thickBot="1">
      <c r="A31" s="326"/>
      <c r="B31" s="199"/>
      <c r="C31" s="326"/>
      <c r="D31" s="326"/>
      <c r="E31" s="199"/>
      <c r="F31" s="326"/>
      <c r="G31" s="326"/>
      <c r="H31" s="326"/>
      <c r="I31" s="326"/>
      <c r="J31" s="326"/>
      <c r="K31" s="199"/>
      <c r="L31" s="326"/>
      <c r="M31" s="326"/>
      <c r="N31" s="199"/>
      <c r="O31" s="326"/>
      <c r="P31" s="326"/>
      <c r="Q31" s="326"/>
      <c r="R31" s="326"/>
      <c r="S31" s="326"/>
      <c r="T31" s="199"/>
      <c r="U31" s="326"/>
      <c r="V31" s="326"/>
      <c r="W31" s="199"/>
      <c r="X31" s="326"/>
      <c r="Y31" s="326"/>
      <c r="Z31" s="326"/>
      <c r="AA31" s="326"/>
      <c r="AB31" s="199"/>
      <c r="AC31" s="326"/>
      <c r="AD31" s="326"/>
      <c r="AE31" s="199"/>
      <c r="AF31" s="326"/>
      <c r="AG31" s="329"/>
      <c r="AH31" s="326"/>
      <c r="AI31" s="326"/>
      <c r="AJ31" s="326"/>
    </row>
    <row r="32" spans="1:36" ht="14.4" thickTop="1" thickBot="1">
      <c r="A32" s="326"/>
      <c r="B32" s="201" t="str">
        <f>"Net cash flow, PV "&amp;TEXT(C3, "#,##%")</f>
        <v>Net cash flow, PV 12%</v>
      </c>
      <c r="C32" s="202">
        <f t="shared" ref="C32:AG32" si="2">C14+C30</f>
        <v>-17.077500000000001</v>
      </c>
      <c r="D32" s="202">
        <f t="shared" si="2"/>
        <v>-11.725446428571427</v>
      </c>
      <c r="E32" s="202">
        <f t="shared" si="2"/>
        <v>-4.9087213010204076</v>
      </c>
      <c r="F32" s="202">
        <f t="shared" si="2"/>
        <v>-28.00321439959912</v>
      </c>
      <c r="G32" s="202">
        <f t="shared" si="2"/>
        <v>-85.157833711051367</v>
      </c>
      <c r="H32" s="202">
        <f t="shared" si="2"/>
        <v>-47.321981199791878</v>
      </c>
      <c r="I32" s="202">
        <f t="shared" si="2"/>
        <v>-30.587853941080734</v>
      </c>
      <c r="J32" s="202">
        <f t="shared" si="2"/>
        <v>-21.707107970979173</v>
      </c>
      <c r="K32" s="202">
        <f t="shared" ca="1" si="2"/>
        <v>5.5237632887399393</v>
      </c>
      <c r="L32" s="202">
        <f t="shared" ca="1" si="2"/>
        <v>15.277915196714012</v>
      </c>
      <c r="M32" s="202">
        <f t="shared" ca="1" si="2"/>
        <v>18.788386953479105</v>
      </c>
      <c r="N32" s="202">
        <f t="shared" ca="1" si="2"/>
        <v>20.321419198638324</v>
      </c>
      <c r="O32" s="202">
        <f t="shared" ca="1" si="2"/>
        <v>20.595585378055375</v>
      </c>
      <c r="P32" s="202">
        <f t="shared" ca="1" si="2"/>
        <v>15.111239903330386</v>
      </c>
      <c r="Q32" s="202">
        <f t="shared" ca="1" si="2"/>
        <v>13.628270273026232</v>
      </c>
      <c r="R32" s="202">
        <f t="shared" ca="1" si="2"/>
        <v>11.220546766912083</v>
      </c>
      <c r="S32" s="202">
        <f t="shared" ca="1" si="2"/>
        <v>10.536209545927733</v>
      </c>
      <c r="T32" s="202">
        <f t="shared" ca="1" si="2"/>
        <v>8.5401900554810535</v>
      </c>
      <c r="U32" s="202">
        <f t="shared" ca="1" si="2"/>
        <v>8.1040023386164926</v>
      </c>
      <c r="V32" s="202">
        <f t="shared" ca="1" si="2"/>
        <v>6.7435663120150204</v>
      </c>
      <c r="W32" s="202">
        <f t="shared" ca="1" si="2"/>
        <v>6.5044082094818299</v>
      </c>
      <c r="X32" s="202">
        <f t="shared" ca="1" si="2"/>
        <v>4.166923360085792</v>
      </c>
      <c r="Y32" s="202">
        <f t="shared" ca="1" si="2"/>
        <v>5.1575120991732994</v>
      </c>
      <c r="Z32" s="202">
        <f t="shared" ca="1" si="2"/>
        <v>4.3001401359749174</v>
      </c>
      <c r="AA32" s="202">
        <f t="shared" ca="1" si="2"/>
        <v>4.0980519246444658</v>
      </c>
      <c r="AB32" s="202">
        <f t="shared" ca="1" si="2"/>
        <v>2.8359758749366968</v>
      </c>
      <c r="AC32" s="202">
        <f t="shared" ca="1" si="2"/>
        <v>2.7171909785984782</v>
      </c>
      <c r="AD32" s="202">
        <f t="shared" ca="1" si="2"/>
        <v>2.2547238452886647</v>
      </c>
      <c r="AE32" s="202">
        <f t="shared" ca="1" si="2"/>
        <v>2.1919581717929884</v>
      </c>
      <c r="AF32" s="202">
        <f t="shared" ca="1" si="2"/>
        <v>1.2734162933163562</v>
      </c>
      <c r="AG32" s="202">
        <f t="shared" ca="1" si="2"/>
        <v>1.1763650539908106</v>
      </c>
      <c r="AH32" s="700">
        <f ca="1">SUM(C32:AG32)</f>
        <v>-55.421897793874066</v>
      </c>
      <c r="AI32" s="693" t="s">
        <v>279</v>
      </c>
      <c r="AJ32" s="667"/>
    </row>
    <row r="33" spans="1:36" ht="13.8" thickTop="1">
      <c r="B33" s="696"/>
      <c r="C33" s="697"/>
      <c r="D33" s="697"/>
      <c r="E33" s="697"/>
      <c r="F33" s="697"/>
      <c r="G33" s="697"/>
      <c r="H33" s="697"/>
      <c r="I33" s="697"/>
      <c r="J33" s="697"/>
      <c r="K33" s="697"/>
      <c r="L33" s="697"/>
      <c r="M33" s="697"/>
      <c r="N33" s="697"/>
      <c r="O33" s="697"/>
      <c r="P33" s="697"/>
      <c r="Q33" s="697"/>
      <c r="R33" s="697"/>
      <c r="S33" s="698"/>
      <c r="T33" s="697"/>
      <c r="U33" s="697"/>
      <c r="V33" s="697"/>
      <c r="W33" s="698"/>
      <c r="X33" s="697"/>
      <c r="Y33" s="697"/>
      <c r="Z33" s="697"/>
      <c r="AA33" s="697"/>
      <c r="AB33" s="697"/>
      <c r="AC33" s="697"/>
      <c r="AD33" s="697"/>
      <c r="AE33" s="697"/>
      <c r="AF33" s="697"/>
      <c r="AG33" s="697"/>
      <c r="AH33" s="667"/>
      <c r="AI33" s="693"/>
      <c r="AJ33" s="667"/>
    </row>
    <row r="34" spans="1:36" ht="13.8" thickBot="1">
      <c r="A34" s="326"/>
      <c r="B34" s="699"/>
      <c r="C34" s="196">
        <f>Cashflow!C$30</f>
        <v>2017</v>
      </c>
      <c r="D34" s="196">
        <f>Cashflow!D$30</f>
        <v>2018</v>
      </c>
      <c r="E34" s="196">
        <f>Cashflow!E$30</f>
        <v>2019</v>
      </c>
      <c r="F34" s="196">
        <f>Cashflow!F$30</f>
        <v>2020</v>
      </c>
      <c r="G34" s="196">
        <f>Cashflow!G$30</f>
        <v>2021</v>
      </c>
      <c r="H34" s="196">
        <f>Cashflow!H$30</f>
        <v>2022</v>
      </c>
      <c r="I34" s="196">
        <f>Cashflow!I$30</f>
        <v>2023</v>
      </c>
      <c r="J34" s="196">
        <f>Cashflow!J$30</f>
        <v>2024</v>
      </c>
      <c r="K34" s="196">
        <f>Cashflow!K$30</f>
        <v>2025</v>
      </c>
      <c r="L34" s="196">
        <f>Cashflow!L$30</f>
        <v>2026</v>
      </c>
      <c r="M34" s="196">
        <f>Cashflow!M$30</f>
        <v>2027</v>
      </c>
      <c r="N34" s="196">
        <f>Cashflow!N$30</f>
        <v>2028</v>
      </c>
      <c r="O34" s="196">
        <f>Cashflow!O$30</f>
        <v>2029</v>
      </c>
      <c r="P34" s="196">
        <f>Cashflow!P$30</f>
        <v>2030</v>
      </c>
      <c r="Q34" s="196">
        <f>Cashflow!Q$30</f>
        <v>2031</v>
      </c>
      <c r="R34" s="196">
        <f>Cashflow!R$30</f>
        <v>2032</v>
      </c>
      <c r="S34" s="196">
        <f>Cashflow!S$30</f>
        <v>2033</v>
      </c>
      <c r="T34" s="196">
        <f>Cashflow!T$30</f>
        <v>2034</v>
      </c>
      <c r="U34" s="196">
        <f>Cashflow!U$30</f>
        <v>2035</v>
      </c>
      <c r="V34" s="196">
        <f>Cashflow!V$30</f>
        <v>2036</v>
      </c>
      <c r="W34" s="196">
        <f>Cashflow!W$30</f>
        <v>2037</v>
      </c>
      <c r="X34" s="196">
        <f>Cashflow!X$30</f>
        <v>2038</v>
      </c>
      <c r="Y34" s="196">
        <f>Cashflow!Y$30</f>
        <v>2039</v>
      </c>
      <c r="Z34" s="196">
        <f>Cashflow!Z$30</f>
        <v>2040</v>
      </c>
      <c r="AA34" s="196">
        <f>Cashflow!AA$30</f>
        <v>2041</v>
      </c>
      <c r="AB34" s="196">
        <f>Cashflow!AB$30</f>
        <v>2042</v>
      </c>
      <c r="AC34" s="196">
        <f>Cashflow!AC$30</f>
        <v>2043</v>
      </c>
      <c r="AD34" s="196">
        <f>Cashflow!AD$30</f>
        <v>2044</v>
      </c>
      <c r="AE34" s="196">
        <f>Cashflow!AE$30</f>
        <v>2045</v>
      </c>
      <c r="AF34" s="196">
        <f>Cashflow!AF$30</f>
        <v>2046</v>
      </c>
      <c r="AG34" s="196">
        <f>Cashflow!AG$30</f>
        <v>2047</v>
      </c>
      <c r="AH34" s="669"/>
      <c r="AI34" s="693"/>
      <c r="AJ34" s="667"/>
    </row>
    <row r="35" spans="1:36" ht="13.8" thickTop="1">
      <c r="A35" s="326"/>
      <c r="B35" s="200" t="str">
        <f>"Discount factor, PV "&amp;TEXT(C3, "#,##%")</f>
        <v>Discount factor, PV 12%</v>
      </c>
      <c r="C35" s="203">
        <f>1/(1+$C$3)^(C$7-$C$5)</f>
        <v>1</v>
      </c>
      <c r="D35" s="203">
        <f t="shared" ref="D35:AG35" si="3">1/(1+$C$3)^(D$7-$C$5)</f>
        <v>0.89285714285714279</v>
      </c>
      <c r="E35" s="203">
        <f t="shared" si="3"/>
        <v>0.79719387755102034</v>
      </c>
      <c r="F35" s="203">
        <f t="shared" si="3"/>
        <v>0.71178024781341087</v>
      </c>
      <c r="G35" s="203">
        <f t="shared" si="3"/>
        <v>0.63551807840483121</v>
      </c>
      <c r="H35" s="203">
        <f t="shared" si="3"/>
        <v>0.56742685571859919</v>
      </c>
      <c r="I35" s="203">
        <f t="shared" si="3"/>
        <v>0.50663112117732068</v>
      </c>
      <c r="J35" s="203">
        <f t="shared" si="3"/>
        <v>0.45234921533689343</v>
      </c>
      <c r="K35" s="203">
        <f t="shared" si="3"/>
        <v>0.4038832279793691</v>
      </c>
      <c r="L35" s="203">
        <f t="shared" si="3"/>
        <v>0.36061002498157957</v>
      </c>
      <c r="M35" s="203">
        <f t="shared" si="3"/>
        <v>0.32197323659069599</v>
      </c>
      <c r="N35" s="203">
        <f t="shared" si="3"/>
        <v>0.28747610409883567</v>
      </c>
      <c r="O35" s="203">
        <f t="shared" si="3"/>
        <v>0.25667509294538904</v>
      </c>
      <c r="P35" s="203">
        <f t="shared" si="3"/>
        <v>0.22917419012981158</v>
      </c>
      <c r="Q35" s="203">
        <f t="shared" si="3"/>
        <v>0.20461981261590317</v>
      </c>
      <c r="R35" s="203">
        <f t="shared" si="3"/>
        <v>0.18269626126419927</v>
      </c>
      <c r="S35" s="203">
        <f t="shared" si="3"/>
        <v>0.16312166184303503</v>
      </c>
      <c r="T35" s="203">
        <f t="shared" si="3"/>
        <v>0.14564434093128129</v>
      </c>
      <c r="U35" s="203">
        <f t="shared" si="3"/>
        <v>0.13003959011721541</v>
      </c>
      <c r="V35" s="203">
        <f t="shared" si="3"/>
        <v>0.1161067768903709</v>
      </c>
      <c r="W35" s="203">
        <f t="shared" si="3"/>
        <v>0.1036667650806883</v>
      </c>
      <c r="X35" s="203">
        <f t="shared" si="3"/>
        <v>9.2559611679185971E-2</v>
      </c>
      <c r="Y35" s="203">
        <f t="shared" si="3"/>
        <v>8.2642510427844609E-2</v>
      </c>
      <c r="Z35" s="203">
        <f t="shared" si="3"/>
        <v>7.3787955739146982E-2</v>
      </c>
      <c r="AA35" s="203">
        <f t="shared" si="3"/>
        <v>6.5882103338524081E-2</v>
      </c>
      <c r="AB35" s="203">
        <f t="shared" si="3"/>
        <v>5.8823306552253637E-2</v>
      </c>
      <c r="AC35" s="203">
        <f t="shared" si="3"/>
        <v>5.2520809421655032E-2</v>
      </c>
      <c r="AD35" s="203">
        <f t="shared" si="3"/>
        <v>4.6893579840763415E-2</v>
      </c>
      <c r="AE35" s="203">
        <f t="shared" si="3"/>
        <v>4.1869267714967337E-2</v>
      </c>
      <c r="AF35" s="203">
        <f t="shared" si="3"/>
        <v>3.7383274745506546E-2</v>
      </c>
      <c r="AG35" s="203">
        <f t="shared" si="3"/>
        <v>3.3377923879916553E-2</v>
      </c>
      <c r="AH35" s="669"/>
      <c r="AI35" s="667"/>
      <c r="AJ35" s="667"/>
    </row>
    <row r="36" spans="1:36">
      <c r="A36" s="328"/>
      <c r="B36" s="200" t="str">
        <f>"Discount factor, PV "&amp;TEXT(C4, "#,##%")</f>
        <v>Discount factor, PV %</v>
      </c>
      <c r="C36" s="203">
        <f>1/(1+$C$4)^(C$7-$C$5)</f>
        <v>1</v>
      </c>
      <c r="D36" s="203">
        <f t="shared" ref="D36:AG36" si="4">1/(1+$C$4)^(D$7-$C$5)</f>
        <v>1</v>
      </c>
      <c r="E36" s="203">
        <f t="shared" si="4"/>
        <v>1</v>
      </c>
      <c r="F36" s="203">
        <f t="shared" si="4"/>
        <v>1</v>
      </c>
      <c r="G36" s="203">
        <f t="shared" si="4"/>
        <v>1</v>
      </c>
      <c r="H36" s="203">
        <f t="shared" si="4"/>
        <v>1</v>
      </c>
      <c r="I36" s="203">
        <f t="shared" si="4"/>
        <v>1</v>
      </c>
      <c r="J36" s="203">
        <f t="shared" si="4"/>
        <v>1</v>
      </c>
      <c r="K36" s="203">
        <f t="shared" si="4"/>
        <v>1</v>
      </c>
      <c r="L36" s="203">
        <f t="shared" si="4"/>
        <v>1</v>
      </c>
      <c r="M36" s="203">
        <f t="shared" si="4"/>
        <v>1</v>
      </c>
      <c r="N36" s="203">
        <f t="shared" si="4"/>
        <v>1</v>
      </c>
      <c r="O36" s="203">
        <f t="shared" si="4"/>
        <v>1</v>
      </c>
      <c r="P36" s="203">
        <f t="shared" si="4"/>
        <v>1</v>
      </c>
      <c r="Q36" s="203">
        <f t="shared" si="4"/>
        <v>1</v>
      </c>
      <c r="R36" s="203">
        <f t="shared" si="4"/>
        <v>1</v>
      </c>
      <c r="S36" s="203">
        <f t="shared" si="4"/>
        <v>1</v>
      </c>
      <c r="T36" s="203">
        <f t="shared" si="4"/>
        <v>1</v>
      </c>
      <c r="U36" s="203">
        <f t="shared" si="4"/>
        <v>1</v>
      </c>
      <c r="V36" s="203">
        <f t="shared" si="4"/>
        <v>1</v>
      </c>
      <c r="W36" s="203">
        <f t="shared" si="4"/>
        <v>1</v>
      </c>
      <c r="X36" s="203">
        <f t="shared" si="4"/>
        <v>1</v>
      </c>
      <c r="Y36" s="203">
        <f t="shared" si="4"/>
        <v>1</v>
      </c>
      <c r="Z36" s="203">
        <f t="shared" si="4"/>
        <v>1</v>
      </c>
      <c r="AA36" s="203">
        <f t="shared" si="4"/>
        <v>1</v>
      </c>
      <c r="AB36" s="203">
        <f t="shared" si="4"/>
        <v>1</v>
      </c>
      <c r="AC36" s="203">
        <f t="shared" si="4"/>
        <v>1</v>
      </c>
      <c r="AD36" s="203">
        <f t="shared" si="4"/>
        <v>1</v>
      </c>
      <c r="AE36" s="203">
        <f t="shared" si="4"/>
        <v>1</v>
      </c>
      <c r="AF36" s="203">
        <f t="shared" si="4"/>
        <v>1</v>
      </c>
      <c r="AG36" s="203">
        <f t="shared" si="4"/>
        <v>1</v>
      </c>
      <c r="AH36" s="667"/>
      <c r="AI36" s="667"/>
      <c r="AJ36" s="667"/>
    </row>
    <row r="37" spans="1:36">
      <c r="A37" s="667"/>
      <c r="B37" s="667"/>
      <c r="C37" s="667"/>
      <c r="D37" s="667"/>
      <c r="E37" s="667"/>
      <c r="F37" s="667"/>
      <c r="G37" s="667"/>
      <c r="H37" s="667"/>
      <c r="I37" s="667"/>
      <c r="J37" s="667"/>
      <c r="K37" s="667"/>
      <c r="L37" s="667"/>
      <c r="M37" s="667"/>
      <c r="N37" s="667"/>
      <c r="O37" s="667"/>
      <c r="P37" s="667"/>
      <c r="Q37" s="667"/>
      <c r="R37" s="667"/>
      <c r="S37" s="667"/>
      <c r="T37" s="667"/>
      <c r="U37" s="667"/>
      <c r="V37" s="667"/>
      <c r="W37" s="667"/>
      <c r="X37" s="667"/>
      <c r="Y37" s="667"/>
      <c r="Z37" s="667"/>
      <c r="AA37" s="667"/>
      <c r="AB37" s="667"/>
      <c r="AC37" s="667"/>
      <c r="AD37" s="667"/>
      <c r="AE37" s="667"/>
      <c r="AF37" s="667"/>
      <c r="AG37" s="667"/>
      <c r="AH37" s="667"/>
      <c r="AI37" s="667"/>
      <c r="AJ37" s="667"/>
    </row>
    <row r="38" spans="1:36">
      <c r="A38" s="326"/>
      <c r="B38" s="667"/>
      <c r="C38" s="667"/>
      <c r="D38" s="667"/>
      <c r="E38" s="667"/>
      <c r="F38" s="667"/>
      <c r="G38" s="667"/>
      <c r="H38" s="667"/>
      <c r="I38" s="667"/>
      <c r="J38" s="667"/>
      <c r="K38" s="667"/>
      <c r="L38" s="667"/>
      <c r="M38" s="667"/>
      <c r="N38" s="667"/>
      <c r="O38" s="667"/>
      <c r="P38" s="667"/>
      <c r="Q38" s="667"/>
      <c r="R38" s="667"/>
      <c r="S38" s="667"/>
      <c r="T38" s="667"/>
      <c r="U38" s="667"/>
      <c r="V38" s="667"/>
      <c r="W38" s="667"/>
      <c r="X38" s="667"/>
      <c r="Y38" s="667"/>
      <c r="Z38" s="667"/>
      <c r="AA38" s="667"/>
      <c r="AB38" s="667"/>
      <c r="AC38" s="667"/>
      <c r="AD38" s="667"/>
      <c r="AE38" s="667"/>
      <c r="AF38" s="667"/>
      <c r="AG38" s="667"/>
      <c r="AH38" s="667"/>
      <c r="AI38" s="667"/>
      <c r="AJ38" s="667"/>
    </row>
    <row r="39" spans="1:36">
      <c r="A39" s="326"/>
      <c r="B39" s="667"/>
      <c r="C39" s="667"/>
      <c r="D39" s="695"/>
      <c r="E39" s="667"/>
      <c r="F39" s="667"/>
      <c r="G39" s="667"/>
      <c r="H39" s="667"/>
      <c r="I39" s="667"/>
      <c r="J39" s="667"/>
      <c r="K39" s="667"/>
      <c r="L39" s="667"/>
      <c r="M39" s="667"/>
      <c r="N39" s="667"/>
      <c r="O39" s="667"/>
      <c r="P39" s="667"/>
      <c r="Q39" s="667"/>
      <c r="R39" s="667"/>
      <c r="S39" s="667"/>
      <c r="T39" s="667"/>
      <c r="U39" s="667"/>
      <c r="V39" s="667"/>
      <c r="W39" s="667"/>
      <c r="X39" s="667"/>
      <c r="Y39" s="667"/>
      <c r="Z39" s="667"/>
      <c r="AA39" s="667"/>
      <c r="AB39" s="667"/>
      <c r="AC39" s="667"/>
      <c r="AD39" s="667"/>
      <c r="AE39" s="667"/>
      <c r="AF39" s="667"/>
      <c r="AG39" s="667"/>
      <c r="AH39" s="667"/>
      <c r="AI39" s="667"/>
      <c r="AJ39" s="667"/>
    </row>
    <row r="40" spans="1:36">
      <c r="A40" s="667"/>
      <c r="B40" s="667"/>
      <c r="C40" s="667"/>
      <c r="D40" s="667"/>
      <c r="E40" s="667"/>
      <c r="F40" s="667"/>
      <c r="G40" s="667"/>
      <c r="H40" s="667"/>
      <c r="I40" s="667"/>
      <c r="J40" s="667"/>
      <c r="K40" s="667"/>
      <c r="L40" s="667"/>
      <c r="M40" s="667"/>
      <c r="N40" s="667"/>
      <c r="O40" s="667"/>
      <c r="P40" s="667"/>
      <c r="Q40" s="667"/>
      <c r="R40" s="667"/>
      <c r="S40" s="667"/>
      <c r="T40" s="667"/>
      <c r="U40" s="667"/>
      <c r="V40" s="667"/>
      <c r="W40" s="667"/>
      <c r="X40" s="667"/>
      <c r="Y40" s="667"/>
      <c r="Z40" s="667"/>
      <c r="AA40" s="667"/>
      <c r="AB40" s="667"/>
      <c r="AC40" s="667"/>
      <c r="AD40" s="667"/>
      <c r="AE40" s="667"/>
      <c r="AF40" s="667"/>
      <c r="AG40" s="667"/>
      <c r="AH40" s="667"/>
      <c r="AI40" s="667"/>
      <c r="AJ40" s="667"/>
    </row>
    <row r="41" spans="1:36">
      <c r="A41" s="326"/>
      <c r="B41" s="667"/>
      <c r="C41" s="667"/>
      <c r="D41" s="667"/>
      <c r="E41" s="667"/>
      <c r="F41" s="667"/>
      <c r="G41" s="667"/>
      <c r="H41" s="667"/>
      <c r="I41" s="667"/>
      <c r="J41" s="667"/>
      <c r="K41" s="667"/>
      <c r="L41" s="667"/>
      <c r="M41" s="667"/>
      <c r="N41" s="667"/>
      <c r="O41" s="667"/>
      <c r="P41" s="667"/>
      <c r="Q41" s="667"/>
      <c r="R41" s="667"/>
      <c r="S41" s="667"/>
      <c r="T41" s="667"/>
      <c r="U41" s="667"/>
      <c r="V41" s="667"/>
      <c r="W41" s="667"/>
      <c r="X41" s="667"/>
      <c r="Y41" s="667"/>
      <c r="Z41" s="667"/>
      <c r="AA41" s="667"/>
      <c r="AB41" s="667"/>
      <c r="AC41" s="667"/>
      <c r="AD41" s="667"/>
      <c r="AE41" s="667"/>
      <c r="AF41" s="667"/>
      <c r="AG41" s="667"/>
      <c r="AH41" s="667"/>
      <c r="AI41" s="667"/>
      <c r="AJ41" s="667"/>
    </row>
    <row r="42" spans="1:36">
      <c r="A42" s="667"/>
      <c r="B42" s="667"/>
      <c r="C42" s="667"/>
      <c r="D42" s="667"/>
      <c r="E42" s="667"/>
      <c r="F42" s="667"/>
      <c r="G42" s="667"/>
      <c r="H42" s="667"/>
      <c r="I42" s="667"/>
      <c r="J42" s="667"/>
      <c r="K42" s="667"/>
      <c r="L42" s="667"/>
      <c r="M42" s="667"/>
      <c r="N42" s="667"/>
      <c r="O42" s="667"/>
      <c r="P42" s="667"/>
      <c r="Q42" s="667"/>
      <c r="R42" s="667"/>
      <c r="S42" s="667"/>
      <c r="T42" s="667"/>
      <c r="U42" s="667"/>
      <c r="V42" s="667"/>
      <c r="W42" s="667"/>
      <c r="X42" s="667"/>
      <c r="Y42" s="667"/>
      <c r="Z42" s="667"/>
      <c r="AA42" s="667"/>
      <c r="AB42" s="667"/>
      <c r="AC42" s="667"/>
      <c r="AD42" s="667"/>
      <c r="AE42" s="667"/>
      <c r="AF42" s="667"/>
      <c r="AG42" s="667"/>
      <c r="AH42" s="667"/>
      <c r="AI42" s="667"/>
      <c r="AJ42" s="667"/>
    </row>
    <row r="43" spans="1:36">
      <c r="A43" s="326"/>
      <c r="B43" s="667"/>
      <c r="C43" s="667"/>
      <c r="D43" s="667"/>
      <c r="E43" s="667"/>
      <c r="F43" s="667"/>
      <c r="G43" s="667"/>
      <c r="H43" s="667"/>
      <c r="I43" s="667"/>
      <c r="J43" s="667"/>
      <c r="K43" s="667"/>
      <c r="L43" s="667"/>
      <c r="M43" s="667"/>
      <c r="N43" s="667"/>
      <c r="O43" s="667"/>
      <c r="P43" s="667"/>
      <c r="Q43" s="667"/>
      <c r="R43" s="667"/>
      <c r="S43" s="667"/>
      <c r="T43" s="667"/>
      <c r="U43" s="667"/>
      <c r="V43" s="667"/>
      <c r="W43" s="667"/>
      <c r="X43" s="667"/>
      <c r="Y43" s="667"/>
      <c r="Z43" s="667"/>
      <c r="AA43" s="667"/>
      <c r="AB43" s="667"/>
      <c r="AC43" s="667"/>
      <c r="AD43" s="667"/>
      <c r="AE43" s="667"/>
      <c r="AF43" s="667"/>
      <c r="AG43" s="667"/>
      <c r="AH43" s="667"/>
      <c r="AI43" s="667"/>
      <c r="AJ43" s="667"/>
    </row>
    <row r="44" spans="1:36">
      <c r="A44" s="326"/>
      <c r="B44" s="667"/>
      <c r="C44" s="667"/>
      <c r="D44" s="667"/>
      <c r="E44" s="667"/>
      <c r="F44" s="667"/>
      <c r="G44" s="667"/>
      <c r="H44" s="667"/>
      <c r="I44" s="667"/>
      <c r="J44" s="667"/>
      <c r="K44" s="667"/>
      <c r="L44" s="667"/>
      <c r="M44" s="667"/>
      <c r="N44" s="667"/>
      <c r="O44" s="667"/>
      <c r="P44" s="667"/>
      <c r="Q44" s="667"/>
      <c r="R44" s="667"/>
      <c r="S44" s="667"/>
      <c r="T44" s="667"/>
      <c r="U44" s="667"/>
      <c r="V44" s="667"/>
      <c r="W44" s="667"/>
      <c r="X44" s="667"/>
      <c r="Y44" s="667"/>
      <c r="Z44" s="667"/>
      <c r="AA44" s="667"/>
      <c r="AB44" s="667"/>
      <c r="AC44" s="667"/>
      <c r="AD44" s="667"/>
      <c r="AE44" s="667"/>
      <c r="AF44" s="667"/>
      <c r="AG44" s="667"/>
      <c r="AH44" s="667"/>
      <c r="AI44" s="667"/>
      <c r="AJ44" s="667"/>
    </row>
    <row r="45" spans="1:36">
      <c r="A45" s="326"/>
      <c r="B45" s="667"/>
      <c r="C45" s="667"/>
      <c r="D45" s="667"/>
      <c r="E45" s="667"/>
      <c r="F45" s="667"/>
      <c r="G45" s="667"/>
      <c r="H45" s="667"/>
      <c r="I45" s="667"/>
      <c r="J45" s="667"/>
      <c r="K45" s="667"/>
      <c r="L45" s="667"/>
      <c r="M45" s="667"/>
      <c r="N45" s="667"/>
      <c r="O45" s="667"/>
      <c r="P45" s="667"/>
      <c r="Q45" s="667"/>
      <c r="R45" s="667"/>
      <c r="S45" s="667"/>
      <c r="T45" s="667"/>
      <c r="U45" s="667"/>
      <c r="V45" s="667"/>
      <c r="W45" s="667"/>
      <c r="X45" s="667"/>
      <c r="Y45" s="667"/>
      <c r="Z45" s="667"/>
      <c r="AA45" s="667"/>
      <c r="AB45" s="667"/>
      <c r="AC45" s="667"/>
      <c r="AD45" s="667"/>
      <c r="AE45" s="667"/>
      <c r="AF45" s="667"/>
      <c r="AG45" s="667"/>
      <c r="AH45" s="667"/>
      <c r="AI45" s="667"/>
      <c r="AJ45" s="667"/>
    </row>
    <row r="46" spans="1:36">
      <c r="A46" s="667"/>
      <c r="B46" s="667"/>
      <c r="C46" s="667"/>
      <c r="D46" s="667"/>
      <c r="E46" s="667"/>
      <c r="F46" s="667"/>
      <c r="G46" s="667"/>
      <c r="H46" s="667"/>
      <c r="I46" s="667"/>
      <c r="J46" s="667"/>
      <c r="K46" s="667"/>
      <c r="L46" s="667"/>
      <c r="M46" s="667"/>
      <c r="N46" s="667"/>
      <c r="O46" s="667"/>
      <c r="P46" s="667"/>
      <c r="Q46" s="667"/>
      <c r="R46" s="667"/>
      <c r="S46" s="667"/>
      <c r="T46" s="667"/>
      <c r="U46" s="667"/>
      <c r="V46" s="667"/>
      <c r="W46" s="667"/>
      <c r="X46" s="667"/>
      <c r="Y46" s="667"/>
      <c r="Z46" s="667"/>
      <c r="AA46" s="667"/>
      <c r="AB46" s="667"/>
      <c r="AC46" s="667"/>
      <c r="AD46" s="667"/>
      <c r="AE46" s="667"/>
      <c r="AF46" s="667"/>
      <c r="AG46" s="667"/>
      <c r="AH46" s="667"/>
      <c r="AI46" s="667"/>
      <c r="AJ46" s="667"/>
    </row>
    <row r="47" spans="1:36">
      <c r="A47" s="326"/>
      <c r="B47" s="667"/>
      <c r="C47" s="667"/>
      <c r="D47" s="667"/>
      <c r="E47" s="667"/>
      <c r="F47" s="667"/>
      <c r="G47" s="667"/>
      <c r="H47" s="667"/>
      <c r="I47" s="667"/>
      <c r="J47" s="667"/>
      <c r="K47" s="667"/>
      <c r="L47" s="667"/>
      <c r="M47" s="667"/>
      <c r="N47" s="667"/>
      <c r="O47" s="667"/>
      <c r="P47" s="667"/>
      <c r="Q47" s="667"/>
      <c r="R47" s="667"/>
      <c r="S47" s="667"/>
      <c r="T47" s="667"/>
      <c r="U47" s="667"/>
      <c r="V47" s="667"/>
      <c r="W47" s="667"/>
      <c r="X47" s="667"/>
      <c r="Y47" s="667"/>
      <c r="Z47" s="667"/>
      <c r="AA47" s="667"/>
      <c r="AB47" s="667"/>
      <c r="AC47" s="667"/>
      <c r="AD47" s="667"/>
      <c r="AE47" s="667"/>
      <c r="AF47" s="667"/>
      <c r="AG47" s="667"/>
      <c r="AH47" s="667"/>
      <c r="AI47" s="667"/>
      <c r="AJ47" s="667"/>
    </row>
    <row r="48" spans="1:36">
      <c r="A48" s="326"/>
      <c r="B48" s="667"/>
      <c r="C48" s="667"/>
      <c r="D48" s="667"/>
      <c r="E48" s="667"/>
      <c r="F48" s="667"/>
      <c r="G48" s="667"/>
      <c r="H48" s="667"/>
      <c r="I48" s="667"/>
      <c r="J48" s="667"/>
      <c r="K48" s="667"/>
      <c r="L48" s="667"/>
      <c r="M48" s="667"/>
      <c r="N48" s="667"/>
      <c r="O48" s="667"/>
      <c r="P48" s="667"/>
      <c r="Q48" s="667"/>
      <c r="R48" s="667"/>
      <c r="S48" s="667"/>
      <c r="T48" s="667"/>
      <c r="U48" s="667"/>
      <c r="V48" s="667"/>
      <c r="W48" s="667"/>
      <c r="X48" s="667"/>
      <c r="Y48" s="667"/>
      <c r="Z48" s="667"/>
      <c r="AA48" s="667"/>
      <c r="AB48" s="667"/>
      <c r="AC48" s="667"/>
      <c r="AD48" s="667"/>
      <c r="AE48" s="667"/>
      <c r="AF48" s="667"/>
      <c r="AG48" s="667"/>
      <c r="AH48" s="667"/>
      <c r="AI48" s="667"/>
      <c r="AJ48" s="667"/>
    </row>
    <row r="49" spans="1:36">
      <c r="A49" s="326"/>
      <c r="B49" s="667"/>
      <c r="C49" s="667"/>
      <c r="D49" s="667"/>
      <c r="E49" s="667"/>
      <c r="F49" s="667"/>
      <c r="G49" s="667"/>
      <c r="H49" s="667"/>
      <c r="I49" s="667"/>
      <c r="J49" s="667"/>
      <c r="K49" s="667"/>
      <c r="L49" s="667"/>
      <c r="M49" s="667"/>
      <c r="N49" s="667"/>
      <c r="O49" s="667"/>
      <c r="P49" s="667"/>
      <c r="Q49" s="667"/>
      <c r="R49" s="667"/>
      <c r="S49" s="667"/>
      <c r="T49" s="667"/>
      <c r="U49" s="667"/>
      <c r="V49" s="667"/>
      <c r="W49" s="667"/>
      <c r="X49" s="667"/>
      <c r="Y49" s="667"/>
      <c r="Z49" s="667"/>
      <c r="AA49" s="667"/>
      <c r="AB49" s="667"/>
      <c r="AC49" s="667"/>
      <c r="AD49" s="667"/>
      <c r="AE49" s="667"/>
      <c r="AF49" s="667"/>
      <c r="AG49" s="667"/>
      <c r="AH49" s="667"/>
      <c r="AI49" s="667"/>
      <c r="AJ49" s="667"/>
    </row>
    <row r="50" spans="1:36">
      <c r="A50" s="326"/>
      <c r="B50" s="667"/>
      <c r="C50" s="667"/>
      <c r="D50" s="667"/>
      <c r="E50" s="667"/>
      <c r="F50" s="667"/>
      <c r="G50" s="667"/>
      <c r="H50" s="667"/>
      <c r="I50" s="667"/>
      <c r="J50" s="667"/>
      <c r="K50" s="667"/>
      <c r="L50" s="667"/>
      <c r="M50" s="667"/>
      <c r="N50" s="667"/>
      <c r="O50" s="667"/>
      <c r="P50" s="667"/>
      <c r="Q50" s="667"/>
      <c r="R50" s="667"/>
      <c r="S50" s="667"/>
      <c r="T50" s="667"/>
      <c r="U50" s="667"/>
      <c r="V50" s="667"/>
      <c r="W50" s="667"/>
      <c r="X50" s="667"/>
      <c r="Y50" s="667"/>
      <c r="Z50" s="667"/>
      <c r="AA50" s="667"/>
      <c r="AB50" s="667"/>
      <c r="AC50" s="667"/>
      <c r="AD50" s="667"/>
      <c r="AE50" s="667"/>
      <c r="AF50" s="667"/>
      <c r="AG50" s="667"/>
      <c r="AH50" s="667"/>
      <c r="AI50" s="667"/>
      <c r="AJ50" s="667"/>
    </row>
    <row r="51" spans="1:36">
      <c r="A51" s="326"/>
      <c r="B51" s="667"/>
      <c r="C51" s="667"/>
      <c r="D51" s="667"/>
      <c r="E51" s="667"/>
      <c r="F51" s="667"/>
      <c r="G51" s="667"/>
      <c r="H51" s="667"/>
      <c r="I51" s="667"/>
      <c r="J51" s="667"/>
      <c r="K51" s="667"/>
      <c r="L51" s="667"/>
      <c r="M51" s="667"/>
      <c r="N51" s="667"/>
      <c r="O51" s="667"/>
      <c r="P51" s="667"/>
      <c r="Q51" s="667"/>
      <c r="R51" s="667"/>
      <c r="S51" s="667"/>
      <c r="T51" s="667"/>
      <c r="U51" s="667"/>
      <c r="V51" s="667"/>
      <c r="W51" s="667"/>
      <c r="X51" s="667"/>
      <c r="Y51" s="667"/>
      <c r="Z51" s="667"/>
      <c r="AA51" s="667"/>
      <c r="AB51" s="667"/>
      <c r="AC51" s="667"/>
      <c r="AD51" s="667"/>
      <c r="AE51" s="667"/>
      <c r="AF51" s="667"/>
      <c r="AG51" s="667"/>
      <c r="AH51" s="667"/>
      <c r="AI51" s="667"/>
      <c r="AJ51" s="667"/>
    </row>
    <row r="52" spans="1:36">
      <c r="A52" s="326"/>
      <c r="B52" s="667"/>
      <c r="C52" s="667"/>
      <c r="D52" s="667"/>
      <c r="E52" s="667"/>
      <c r="F52" s="667"/>
      <c r="G52" s="667"/>
      <c r="H52" s="667"/>
      <c r="I52" s="667"/>
      <c r="J52" s="667"/>
      <c r="K52" s="667"/>
      <c r="L52" s="667"/>
      <c r="M52" s="667"/>
      <c r="N52" s="667"/>
      <c r="O52" s="667"/>
      <c r="P52" s="667"/>
      <c r="Q52" s="667"/>
      <c r="R52" s="667"/>
      <c r="S52" s="667"/>
      <c r="T52" s="667"/>
      <c r="U52" s="667"/>
      <c r="V52" s="667"/>
      <c r="W52" s="667"/>
      <c r="X52" s="667"/>
      <c r="Y52" s="667"/>
      <c r="Z52" s="667"/>
      <c r="AA52" s="667"/>
      <c r="AB52" s="667"/>
      <c r="AC52" s="667"/>
      <c r="AD52" s="667"/>
      <c r="AE52" s="667"/>
      <c r="AF52" s="667"/>
      <c r="AG52" s="667"/>
      <c r="AH52" s="667"/>
      <c r="AI52" s="667"/>
      <c r="AJ52" s="667"/>
    </row>
    <row r="53" spans="1:36">
      <c r="A53" s="326"/>
      <c r="B53" s="667"/>
      <c r="C53" s="667"/>
      <c r="D53" s="667"/>
      <c r="E53" s="667"/>
      <c r="F53" s="667"/>
      <c r="G53" s="667"/>
      <c r="H53" s="667"/>
      <c r="I53" s="667"/>
      <c r="J53" s="667"/>
      <c r="K53" s="667"/>
      <c r="L53" s="667"/>
      <c r="M53" s="667"/>
      <c r="N53" s="667"/>
      <c r="O53" s="667"/>
      <c r="P53" s="667"/>
      <c r="Q53" s="667"/>
      <c r="R53" s="667"/>
      <c r="S53" s="667"/>
      <c r="T53" s="667"/>
      <c r="U53" s="667"/>
      <c r="V53" s="667"/>
      <c r="W53" s="667"/>
      <c r="X53" s="667"/>
      <c r="Y53" s="667"/>
      <c r="Z53" s="667"/>
      <c r="AA53" s="667"/>
      <c r="AB53" s="667"/>
      <c r="AC53" s="667"/>
      <c r="AD53" s="667"/>
      <c r="AE53" s="667"/>
      <c r="AF53" s="667"/>
      <c r="AG53" s="667"/>
      <c r="AH53" s="667"/>
      <c r="AI53" s="667"/>
      <c r="AJ53" s="667"/>
    </row>
    <row r="54" spans="1:36">
      <c r="A54" s="667"/>
      <c r="B54" s="667"/>
      <c r="C54" s="667"/>
      <c r="D54" s="667"/>
      <c r="E54" s="667"/>
      <c r="F54" s="667"/>
      <c r="G54" s="667"/>
      <c r="H54" s="667"/>
      <c r="I54" s="667"/>
      <c r="J54" s="667"/>
      <c r="K54" s="667"/>
      <c r="L54" s="667"/>
      <c r="M54" s="667"/>
      <c r="N54" s="667"/>
      <c r="O54" s="667"/>
      <c r="P54" s="667"/>
      <c r="Q54" s="667"/>
      <c r="R54" s="667"/>
      <c r="S54" s="667"/>
      <c r="T54" s="667"/>
      <c r="U54" s="667"/>
      <c r="V54" s="667"/>
      <c r="W54" s="667"/>
      <c r="X54" s="667"/>
      <c r="Y54" s="667"/>
      <c r="Z54" s="667"/>
      <c r="AA54" s="667"/>
      <c r="AB54" s="667"/>
      <c r="AC54" s="667"/>
      <c r="AD54" s="667"/>
      <c r="AE54" s="667"/>
      <c r="AF54" s="667"/>
      <c r="AG54" s="667"/>
      <c r="AH54" s="667"/>
      <c r="AI54" s="667"/>
      <c r="AJ54" s="667"/>
    </row>
  </sheetData>
  <conditionalFormatting sqref="C3:C5">
    <cfRule type="cellIs" dxfId="59" priority="9" stopIfTrue="1" operator="equal">
      <formula>0</formula>
    </cfRule>
  </conditionalFormatting>
  <conditionalFormatting sqref="C17:AG20 C32:AG32 C35:AG35 C8:AG14 C29:AG30 C22:AG22 C3:C5 C24:AG25">
    <cfRule type="cellIs" dxfId="58" priority="8" operator="equal">
      <formula>0</formula>
    </cfRule>
  </conditionalFormatting>
  <conditionalFormatting sqref="C26:AG26">
    <cfRule type="cellIs" dxfId="57" priority="5" operator="equal">
      <formula>0</formula>
    </cfRule>
  </conditionalFormatting>
  <conditionalFormatting sqref="C27:AG28">
    <cfRule type="cellIs" dxfId="56" priority="4" operator="equal">
      <formula>0</formula>
    </cfRule>
  </conditionalFormatting>
  <conditionalFormatting sqref="C21:AG21">
    <cfRule type="cellIs" dxfId="55" priority="3" operator="equal">
      <formula>0</formula>
    </cfRule>
  </conditionalFormatting>
  <conditionalFormatting sqref="C23:AG23">
    <cfRule type="cellIs" dxfId="54" priority="2" operator="equal">
      <formula>0</formula>
    </cfRule>
  </conditionalFormatting>
  <conditionalFormatting sqref="C36:AG36">
    <cfRule type="cellIs" dxfId="53" priority="1" operator="equal">
      <formula>0</formula>
    </cfRule>
  </conditionalFormatting>
  <pageMargins left="0.75" right="0.75" top="1" bottom="1" header="0.5" footer="0.5"/>
  <pageSetup paperSize="9" scale="70"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99"/>
  </sheetPr>
  <dimension ref="A1:BA83"/>
  <sheetViews>
    <sheetView topLeftCell="B1" zoomScale="80" zoomScaleNormal="80" workbookViewId="0">
      <pane xSplit="2" ySplit="1" topLeftCell="K2" activePane="bottomRight" state="frozen"/>
      <selection activeCell="F24" sqref="F24"/>
      <selection pane="topRight" activeCell="F24" sqref="F24"/>
      <selection pane="bottomLeft" activeCell="F24" sqref="F24"/>
      <selection pane="bottomRight" activeCell="N27" sqref="N27"/>
    </sheetView>
  </sheetViews>
  <sheetFormatPr defaultColWidth="9.33203125" defaultRowHeight="13.2"/>
  <cols>
    <col min="1" max="1" width="2.5546875" style="356" customWidth="1"/>
    <col min="2" max="2" width="42" style="356" customWidth="1"/>
    <col min="3" max="4" width="11.44140625" style="356" customWidth="1"/>
    <col min="5" max="5" width="12" style="356" customWidth="1"/>
    <col min="6" max="7" width="12.5546875" style="356" customWidth="1"/>
    <col min="8" max="8" width="12.6640625" style="356" customWidth="1"/>
    <col min="9" max="12" width="11.44140625" style="356" customWidth="1"/>
    <col min="13" max="16" width="15" style="356" customWidth="1"/>
    <col min="17" max="17" width="12.6640625" style="356" customWidth="1"/>
    <col min="18" max="18" width="11.44140625" style="356" customWidth="1"/>
    <col min="19" max="20" width="12.6640625" style="356" customWidth="1"/>
    <col min="21" max="21" width="14.5546875" style="356" customWidth="1"/>
    <col min="22" max="22" width="12" style="356" customWidth="1"/>
    <col min="23" max="23" width="11.44140625" style="356" customWidth="1"/>
    <col min="24" max="25" width="13.33203125" style="356" customWidth="1"/>
    <col min="26" max="26" width="16.33203125" style="356" customWidth="1"/>
    <col min="27" max="27" width="12.33203125" style="356" customWidth="1"/>
    <col min="28" max="28" width="11.44140625" style="356" customWidth="1"/>
    <col min="29" max="29" width="11.6640625" style="356" customWidth="1"/>
    <col min="30" max="31" width="12.33203125" style="356" customWidth="1"/>
    <col min="32" max="32" width="15" style="356" customWidth="1"/>
    <col min="33" max="33" width="11.44140625" style="356" customWidth="1"/>
    <col min="34" max="16384" width="9.33203125" style="356"/>
  </cols>
  <sheetData>
    <row r="1" spans="1:53" ht="22.8">
      <c r="B1" s="357" t="str">
        <f>"INPUT SHEET '"&amp;B9&amp;"' geothermal field - geological, technical, planning and economic input variables"</f>
        <v>INPUT SHEET 'Hotrock exploration' geothermal field - geological, technical, planning and economic input variables</v>
      </c>
      <c r="J1" s="358"/>
      <c r="K1" s="358"/>
      <c r="L1" s="359"/>
      <c r="M1" s="358"/>
      <c r="N1" s="358"/>
    </row>
    <row r="2" spans="1:53" ht="17.399999999999999">
      <c r="C2" s="360"/>
      <c r="E2" s="507" t="s">
        <v>568</v>
      </c>
      <c r="L2" s="359" t="s">
        <v>299</v>
      </c>
      <c r="M2" s="358"/>
      <c r="N2" s="358"/>
      <c r="O2" s="362"/>
    </row>
    <row r="3" spans="1:53" ht="15.6">
      <c r="J3" s="361" t="s">
        <v>322</v>
      </c>
      <c r="K3" s="402"/>
      <c r="S3" s="363" t="str">
        <f>IF(AA18&lt;&gt;$V$5, "Warning: discounting ref. year not same as first year of evaluation! Is this really what you want?","")</f>
        <v/>
      </c>
      <c r="W3" s="364"/>
      <c r="AR3" s="362"/>
    </row>
    <row r="4" spans="1:53" ht="13.8" thickBot="1">
      <c r="E4" s="365" t="s">
        <v>580</v>
      </c>
      <c r="F4" s="358"/>
      <c r="G4" s="358"/>
      <c r="H4" s="358"/>
      <c r="I4" s="366"/>
      <c r="J4" s="367" t="s">
        <v>315</v>
      </c>
      <c r="K4" s="402"/>
      <c r="M4" s="365" t="s">
        <v>83</v>
      </c>
      <c r="N4" s="368"/>
      <c r="O4" s="368"/>
      <c r="P4" s="368"/>
      <c r="Q4" s="368"/>
      <c r="R4" s="368"/>
      <c r="S4" s="365" t="s">
        <v>82</v>
      </c>
      <c r="T4" s="368"/>
      <c r="U4" s="368"/>
      <c r="V4" s="368"/>
      <c r="W4" s="368"/>
      <c r="X4" s="369" t="s">
        <v>81</v>
      </c>
      <c r="Y4" s="368"/>
      <c r="Z4" s="358"/>
      <c r="AA4" s="358"/>
      <c r="AC4" s="369" t="s">
        <v>522</v>
      </c>
      <c r="AD4" s="368"/>
      <c r="AE4" s="358"/>
      <c r="AF4" s="358"/>
      <c r="AG4" s="358"/>
      <c r="AX4" s="365"/>
      <c r="AY4" s="368"/>
      <c r="AZ4" s="368"/>
      <c r="BA4" s="368"/>
    </row>
    <row r="5" spans="1:53">
      <c r="A5" s="364"/>
      <c r="D5" s="364"/>
      <c r="E5" s="476" t="str">
        <f>"Total area of reservoir"&amp;" ("&amp;J5&amp;")"</f>
        <v>Total area of reservoir (km2)</v>
      </c>
      <c r="F5" s="474"/>
      <c r="G5" s="463"/>
      <c r="H5" s="463"/>
      <c r="I5" s="1000">
        <v>24</v>
      </c>
      <c r="J5" s="487" t="s">
        <v>4</v>
      </c>
      <c r="K5" s="936"/>
      <c r="L5" s="364"/>
      <c r="M5" s="371" t="s">
        <v>840</v>
      </c>
      <c r="N5" s="372"/>
      <c r="O5" s="372"/>
      <c r="P5" s="372"/>
      <c r="Q5" s="489" t="s">
        <v>511</v>
      </c>
      <c r="R5" s="401"/>
      <c r="S5" s="371" t="s">
        <v>86</v>
      </c>
      <c r="T5" s="372"/>
      <c r="U5" s="372"/>
      <c r="V5" s="1020">
        <v>2017</v>
      </c>
      <c r="W5" s="368"/>
      <c r="X5" s="373" t="s">
        <v>148</v>
      </c>
      <c r="Y5" s="374"/>
      <c r="Z5" s="823"/>
      <c r="AA5" s="1024">
        <v>0.15</v>
      </c>
      <c r="AB5" s="419" t="str">
        <f>IF(AA5&lt;0,"&lt; 0!!","")</f>
        <v/>
      </c>
      <c r="AC5" s="484" t="s">
        <v>555</v>
      </c>
      <c r="AD5" s="452"/>
      <c r="AE5" s="452"/>
      <c r="AF5" s="372"/>
      <c r="AG5" s="1025">
        <v>5</v>
      </c>
      <c r="AH5" s="362"/>
    </row>
    <row r="6" spans="1:53">
      <c r="A6" s="364"/>
      <c r="D6" s="364"/>
      <c r="E6" s="464" t="s">
        <v>302</v>
      </c>
      <c r="F6" s="465"/>
      <c r="G6" s="465"/>
      <c r="H6" s="465"/>
      <c r="I6" s="1009">
        <v>1500</v>
      </c>
      <c r="J6" s="477"/>
      <c r="K6" s="936"/>
      <c r="L6" s="364"/>
      <c r="M6" s="378"/>
      <c r="P6" s="608" t="str">
        <f>IF(Q5="Fraction","Loadtime per year, as a fraction","Loadtime per year, in hours")</f>
        <v>Loadtime per year, as a fraction</v>
      </c>
      <c r="Q6" s="1003">
        <v>0.95</v>
      </c>
      <c r="R6" s="379" t="str">
        <f>IF(Q6&lt;0,"&lt; 0!!",IF($Q$5="Fraction",IF($Q$6&gt;1,"&gt; 1!!",""),IF(Q6&gt;8760,"&gt; 8760 hrs!!","")))</f>
        <v/>
      </c>
      <c r="S6" s="376" t="s">
        <v>163</v>
      </c>
      <c r="T6" s="377"/>
      <c r="U6" s="377"/>
      <c r="V6" s="1006">
        <v>2025</v>
      </c>
      <c r="W6" s="419" t="str">
        <f>IF(V6&lt;0,"&lt; 0 !!","")</f>
        <v/>
      </c>
      <c r="X6" s="380" t="s">
        <v>162</v>
      </c>
      <c r="Y6" s="381"/>
      <c r="Z6" s="621"/>
      <c r="AA6" s="657">
        <v>2.5000000000000001E-2</v>
      </c>
      <c r="AB6" s="375"/>
      <c r="AC6" s="378"/>
      <c r="AD6" s="358"/>
      <c r="AE6" s="358"/>
      <c r="AF6" s="611" t="s">
        <v>554</v>
      </c>
      <c r="AG6" s="533">
        <v>2</v>
      </c>
      <c r="AH6" s="387" t="str">
        <f>IF(AG6&lt;0,"&lt; 0 !!","")</f>
        <v/>
      </c>
    </row>
    <row r="7" spans="1:53">
      <c r="A7" s="364"/>
      <c r="D7" s="364"/>
      <c r="E7" s="464" t="s">
        <v>556</v>
      </c>
      <c r="F7" s="465"/>
      <c r="G7" s="465"/>
      <c r="H7" s="465"/>
      <c r="I7" s="1053">
        <v>0.1</v>
      </c>
      <c r="J7" s="477"/>
      <c r="K7" s="936"/>
      <c r="L7" s="364"/>
      <c r="M7" s="386" t="s">
        <v>1634</v>
      </c>
      <c r="N7" s="426"/>
      <c r="O7" s="426"/>
      <c r="P7" s="426"/>
      <c r="Q7" s="490" t="s">
        <v>1761</v>
      </c>
      <c r="R7" s="401"/>
      <c r="S7" s="376" t="s">
        <v>1848</v>
      </c>
      <c r="T7" s="377"/>
      <c r="U7" s="377"/>
      <c r="V7" s="1019">
        <v>4</v>
      </c>
      <c r="W7" s="368"/>
      <c r="X7" s="378"/>
      <c r="Y7" s="381"/>
      <c r="Z7" s="824" t="s">
        <v>771</v>
      </c>
      <c r="AA7" s="493" t="s">
        <v>772</v>
      </c>
      <c r="AB7" s="375"/>
      <c r="AC7" s="376" t="s">
        <v>585</v>
      </c>
      <c r="AD7" s="377"/>
      <c r="AE7" s="377"/>
      <c r="AF7" s="377"/>
      <c r="AG7" s="1019">
        <v>3</v>
      </c>
      <c r="AH7" s="362"/>
    </row>
    <row r="8" spans="1:53">
      <c r="A8" s="364"/>
      <c r="B8" s="553" t="s">
        <v>484</v>
      </c>
      <c r="C8" s="358"/>
      <c r="D8" s="364"/>
      <c r="E8" s="464" t="s">
        <v>451</v>
      </c>
      <c r="F8" s="465"/>
      <c r="G8" s="465"/>
      <c r="H8" s="465"/>
      <c r="I8" s="1010">
        <v>3000</v>
      </c>
      <c r="J8" s="477"/>
      <c r="K8" s="936"/>
      <c r="L8" s="364"/>
      <c r="M8" s="376" t="s">
        <v>96</v>
      </c>
      <c r="N8" s="377"/>
      <c r="O8" s="377"/>
      <c r="P8" s="377"/>
      <c r="Q8" s="494">
        <v>1</v>
      </c>
      <c r="R8" s="361" t="str">
        <f>IF(Q8&lt;0,"&lt; 0!!","")</f>
        <v/>
      </c>
      <c r="S8" s="376" t="s">
        <v>473</v>
      </c>
      <c r="T8" s="377"/>
      <c r="U8" s="377"/>
      <c r="V8" s="1019">
        <v>6</v>
      </c>
      <c r="W8" s="368"/>
      <c r="X8" s="380" t="s">
        <v>559</v>
      </c>
      <c r="Y8" s="381"/>
      <c r="Z8" s="824"/>
      <c r="AA8" s="492">
        <v>0.25</v>
      </c>
      <c r="AB8" s="375"/>
      <c r="AC8" s="376" t="s">
        <v>1694</v>
      </c>
      <c r="AD8" s="377"/>
      <c r="AE8" s="377"/>
      <c r="AF8" s="377"/>
      <c r="AG8" s="1019">
        <v>1</v>
      </c>
      <c r="AH8" s="387" t="str">
        <f>IF(AG8&lt;0,"&lt; 0 !!","")</f>
        <v/>
      </c>
    </row>
    <row r="9" spans="1:53">
      <c r="A9" s="364"/>
      <c r="B9" s="1197" t="s">
        <v>1539</v>
      </c>
      <c r="C9" s="1198"/>
      <c r="D9" s="375"/>
      <c r="E9" s="466" t="s">
        <v>1139</v>
      </c>
      <c r="F9" s="467"/>
      <c r="G9" s="467"/>
      <c r="H9" s="467"/>
      <c r="I9" s="1011">
        <v>0.85</v>
      </c>
      <c r="J9" s="479"/>
      <c r="K9" s="936"/>
      <c r="L9" s="364"/>
      <c r="M9" s="378" t="s">
        <v>1633</v>
      </c>
      <c r="P9" s="364"/>
      <c r="Q9" s="1015">
        <v>300</v>
      </c>
      <c r="R9" s="361" t="str">
        <f>IF(Q9&gt;I6,"&gt; formation !!","")</f>
        <v/>
      </c>
      <c r="S9" s="466" t="s">
        <v>474</v>
      </c>
      <c r="T9" s="467"/>
      <c r="U9" s="467"/>
      <c r="V9" s="554">
        <v>30</v>
      </c>
      <c r="W9" s="368"/>
      <c r="X9" s="380" t="s">
        <v>839</v>
      </c>
      <c r="Y9" s="381"/>
      <c r="Z9" s="824"/>
      <c r="AA9" s="491" t="s">
        <v>454</v>
      </c>
      <c r="AB9" s="375"/>
      <c r="AC9" s="380" t="s">
        <v>836</v>
      </c>
      <c r="AD9" s="390"/>
      <c r="AE9" s="534"/>
      <c r="AF9" s="534"/>
      <c r="AG9" s="535" t="s">
        <v>395</v>
      </c>
      <c r="AH9" s="362"/>
    </row>
    <row r="10" spans="1:53" ht="14.4">
      <c r="A10" s="364"/>
      <c r="B10" s="1122" t="s">
        <v>1638</v>
      </c>
      <c r="C10" s="1169">
        <v>3</v>
      </c>
      <c r="D10" s="375"/>
      <c r="E10" s="464" t="str">
        <f>"Reservoir permeability"&amp;" ("&amp;J10&amp;")"</f>
        <v>Reservoir permeability (mD)</v>
      </c>
      <c r="F10" s="465"/>
      <c r="G10" s="465"/>
      <c r="H10" s="465"/>
      <c r="I10" s="1009">
        <v>10</v>
      </c>
      <c r="J10" s="488" t="s">
        <v>80</v>
      </c>
      <c r="K10" s="936"/>
      <c r="L10" s="364"/>
      <c r="M10" s="378" t="s">
        <v>1548</v>
      </c>
      <c r="P10" s="364"/>
      <c r="Q10" s="1016">
        <v>1000</v>
      </c>
      <c r="R10" s="361"/>
      <c r="S10" s="466" t="s">
        <v>649</v>
      </c>
      <c r="T10" s="467"/>
      <c r="U10" s="467"/>
      <c r="V10" s="1021">
        <v>8</v>
      </c>
      <c r="W10" s="368"/>
      <c r="X10" s="378"/>
      <c r="Y10" s="381"/>
      <c r="Z10" s="824" t="s">
        <v>1143</v>
      </c>
      <c r="AA10" s="1019">
        <v>10</v>
      </c>
      <c r="AB10" s="375"/>
      <c r="AC10" s="378"/>
      <c r="AD10" s="395"/>
      <c r="AF10" s="826" t="s">
        <v>1145</v>
      </c>
      <c r="AG10" s="493">
        <v>100</v>
      </c>
      <c r="AH10" s="418" t="str">
        <f>IF(AND(AG9="Value",AG10&lt;0), "&lt; 0 !!", "")</f>
        <v/>
      </c>
    </row>
    <row r="11" spans="1:53" ht="13.8" thickBot="1">
      <c r="A11" s="391"/>
      <c r="B11" s="408" t="s">
        <v>1637</v>
      </c>
      <c r="C11" s="1054" t="str">
        <f>IF(I11-I25&lt;100,"1 (non-e grade)",IF(AND(I11-I25&gt;=100,I11-I25&lt;150),"2 (VLT)",IF(AND(I11-I25&gt;=150,I11-I25&lt;190),"3 (LT)",IF(AND(I11-I25&gt;=190,I11-I25&lt;230),"4 (Mod T)",IF(AND(I11-I25&gt;=230,I11-I25&lt;240),"7 (Steam-fld)", IF(AND(I11-I25&gt;=240,I11-I25&lt;300),"5 (HT)",IF(I11-I25&gt;=300,"6 (UHT)","N/A")))))))</f>
        <v>5 (HT)</v>
      </c>
      <c r="D11" s="364"/>
      <c r="E11" s="466" t="s">
        <v>1102</v>
      </c>
      <c r="F11" s="467"/>
      <c r="G11" s="467"/>
      <c r="H11" s="467"/>
      <c r="I11" s="1009">
        <v>295</v>
      </c>
      <c r="J11" s="481"/>
      <c r="K11" s="936"/>
      <c r="L11" s="364"/>
      <c r="M11" s="378" t="s">
        <v>1491</v>
      </c>
      <c r="P11" s="377"/>
      <c r="Q11" s="493" t="s">
        <v>258</v>
      </c>
      <c r="R11" s="401"/>
      <c r="S11" s="505" t="s">
        <v>1898</v>
      </c>
      <c r="T11" s="506"/>
      <c r="U11" s="614"/>
      <c r="V11" s="1022">
        <v>6</v>
      </c>
      <c r="W11" s="387"/>
      <c r="X11" s="378"/>
      <c r="Y11" s="381"/>
      <c r="Z11" s="824" t="s">
        <v>1144</v>
      </c>
      <c r="AA11" s="492">
        <v>0.1</v>
      </c>
      <c r="AB11" s="393"/>
      <c r="AC11" s="397"/>
      <c r="AD11" s="400"/>
      <c r="AE11" s="398"/>
      <c r="AF11" s="612" t="s">
        <v>1146</v>
      </c>
      <c r="AG11" s="498">
        <v>0.12</v>
      </c>
      <c r="AH11" s="418" t="str">
        <f>IF(AND(AG9="Percent",AG11&lt;0), "&lt; 0 !!", "")</f>
        <v/>
      </c>
    </row>
    <row r="12" spans="1:53">
      <c r="A12" s="391"/>
      <c r="D12" s="368"/>
      <c r="E12" s="466" t="str">
        <f>"Reservoir pressure"&amp;" ("&amp;J12&amp;")"</f>
        <v>Reservoir pressure (Pa)</v>
      </c>
      <c r="F12" s="467"/>
      <c r="G12" s="467"/>
      <c r="H12" s="467"/>
      <c r="I12" s="1001">
        <v>25000000</v>
      </c>
      <c r="J12" s="488" t="s">
        <v>317</v>
      </c>
      <c r="K12" s="387" t="str">
        <f>IF(I12&lt;I13,"&lt; FBHP!!","")</f>
        <v/>
      </c>
      <c r="L12" s="364"/>
      <c r="M12" s="394"/>
      <c r="O12" s="377"/>
      <c r="P12" s="609" t="s">
        <v>1489</v>
      </c>
      <c r="Q12" s="607">
        <v>0.6</v>
      </c>
      <c r="R12" s="361" t="str">
        <f>IF(Q11="van Wees",IF(Q12&lt;0,"&lt; 0!!",IF(Q12&gt;1,"&gt; 100%!!","")),"")</f>
        <v/>
      </c>
      <c r="S12" s="390"/>
      <c r="T12" s="390"/>
      <c r="U12" s="390"/>
      <c r="V12" s="390"/>
      <c r="W12" s="364"/>
      <c r="X12" s="380" t="s">
        <v>93</v>
      </c>
      <c r="Y12" s="381"/>
      <c r="Z12" s="824"/>
      <c r="AA12" s="494">
        <v>1</v>
      </c>
      <c r="AB12" s="470"/>
      <c r="AC12" s="470"/>
      <c r="AD12" s="471"/>
      <c r="AE12" s="471"/>
      <c r="AF12" s="471"/>
      <c r="AG12" s="483"/>
    </row>
    <row r="13" spans="1:53" ht="13.8" thickBot="1">
      <c r="A13" s="364"/>
      <c r="B13" s="365" t="s">
        <v>84</v>
      </c>
      <c r="D13" s="368"/>
      <c r="E13" s="466" t="str">
        <f>"Flowing bottomhole pressure, production well"&amp;" ("&amp;J13&amp;")"</f>
        <v>Flowing bottomhole pressure, production well (Pa)</v>
      </c>
      <c r="I13" s="1001">
        <v>18000000</v>
      </c>
      <c r="J13" s="488" t="s">
        <v>317</v>
      </c>
      <c r="K13" s="387" t="str">
        <f>IF(I13&gt;I12,"&gt; Res. pressure!!","")</f>
        <v/>
      </c>
      <c r="L13" s="364"/>
      <c r="M13" s="378"/>
      <c r="O13" s="377"/>
      <c r="P13" s="609" t="s">
        <v>624</v>
      </c>
      <c r="Q13" s="607">
        <v>0.25</v>
      </c>
      <c r="R13" s="361" t="str">
        <f>IF(Q11="User-defined",IF(Q13&lt;0,"&lt; 0!!",IF(Q13&gt;1,"&gt; 100%!!","")),"")</f>
        <v/>
      </c>
      <c r="S13" s="365" t="s">
        <v>90</v>
      </c>
      <c r="T13" s="368"/>
      <c r="U13" s="1192" t="s">
        <v>1635</v>
      </c>
      <c r="V13" s="368"/>
      <c r="W13" s="364"/>
      <c r="X13" s="380" t="s">
        <v>94</v>
      </c>
      <c r="Y13" s="381"/>
      <c r="Z13" s="824"/>
      <c r="AA13" s="494">
        <v>1</v>
      </c>
      <c r="AB13" s="470"/>
      <c r="AC13" s="369" t="s">
        <v>757</v>
      </c>
      <c r="AD13" s="368"/>
      <c r="AE13" s="358"/>
      <c r="AF13" s="358"/>
      <c r="AG13" s="358"/>
    </row>
    <row r="14" spans="1:53">
      <c r="A14" s="364"/>
      <c r="B14" s="370" t="s">
        <v>87</v>
      </c>
      <c r="C14" s="485"/>
      <c r="D14" s="368"/>
      <c r="E14" s="466" t="str">
        <f>"ΔP from bottomhole to tubing head, prod. well"&amp;" ("&amp;J14&amp;")"</f>
        <v>ΔP from bottomhole to tubing head, prod. well (Pa)</v>
      </c>
      <c r="I14" s="1001">
        <v>14500000</v>
      </c>
      <c r="J14" s="488" t="s">
        <v>317</v>
      </c>
      <c r="K14" s="387" t="str">
        <f>IF(I14&lt;0,"Should be positive!!","")</f>
        <v/>
      </c>
      <c r="L14" s="364"/>
      <c r="M14" s="378"/>
      <c r="O14" s="377"/>
      <c r="P14" s="609" t="s">
        <v>625</v>
      </c>
      <c r="Q14" s="583">
        <f>Cashflow!Q14</f>
        <v>0.13949999999999999</v>
      </c>
      <c r="R14" s="402"/>
      <c r="S14" s="461" t="s">
        <v>324</v>
      </c>
      <c r="T14" s="462"/>
      <c r="U14" s="463"/>
      <c r="V14" s="1018">
        <v>3000</v>
      </c>
      <c r="X14" s="378" t="s">
        <v>838</v>
      </c>
      <c r="Z14" s="824"/>
      <c r="AA14" s="491" t="s">
        <v>511</v>
      </c>
      <c r="AB14" s="375"/>
      <c r="AC14" s="484" t="s">
        <v>755</v>
      </c>
      <c r="AD14" s="452"/>
      <c r="AE14" s="452"/>
      <c r="AF14" s="372"/>
      <c r="AG14" s="1026">
        <v>10</v>
      </c>
    </row>
    <row r="15" spans="1:53">
      <c r="A15" s="364"/>
      <c r="B15" s="370" t="s">
        <v>583</v>
      </c>
      <c r="C15" s="385"/>
      <c r="D15" s="377"/>
      <c r="E15" s="466" t="str">
        <f>"ΔP from flashing chamber, if not a gas at tubing head"&amp;" ("&amp;J15&amp;")"</f>
        <v>ΔP from flashing chamber, if not a gas at tubing head (Pa)</v>
      </c>
      <c r="I15" s="486">
        <v>1000000</v>
      </c>
      <c r="J15" s="488" t="s">
        <v>317</v>
      </c>
      <c r="K15" s="387" t="str">
        <f>IF(I15&lt;0,"Should be positive!!","")</f>
        <v/>
      </c>
      <c r="L15" s="364"/>
      <c r="M15" s="584" t="s">
        <v>708</v>
      </c>
      <c r="O15" s="390"/>
      <c r="P15" s="390"/>
      <c r="Q15" s="1004">
        <v>100000000</v>
      </c>
      <c r="R15" s="402"/>
      <c r="S15" s="464" t="s">
        <v>1371</v>
      </c>
      <c r="T15" s="465"/>
      <c r="U15" s="465"/>
      <c r="V15" s="1023">
        <v>2000</v>
      </c>
      <c r="W15" s="419" t="str">
        <f>IF(V15&gt;V14,"&gt; depth!!","")</f>
        <v/>
      </c>
      <c r="X15" s="378"/>
      <c r="Z15" s="824" t="str">
        <f>IF(AA14="Fraction","O&amp;M yearly costs (fraction of capex)",IF($AA$14="Constant","O&amp;M yearly costs ($ MM)","Define O&amp;M in the time series below"))</f>
        <v>O&amp;M yearly costs (fraction of capex)</v>
      </c>
      <c r="AA15" s="1164">
        <v>5.0000000000000001E-3</v>
      </c>
      <c r="AB15" s="419" t="str">
        <f>IF(AA15&lt;0,"&lt; 0!!","")</f>
        <v/>
      </c>
      <c r="AC15" s="376" t="s">
        <v>1618</v>
      </c>
      <c r="AD15" s="358"/>
      <c r="AE15" s="358"/>
      <c r="AF15" s="358"/>
      <c r="AG15" s="496" t="s">
        <v>1895</v>
      </c>
    </row>
    <row r="16" spans="1:53">
      <c r="A16" s="364"/>
      <c r="B16" s="370" t="s">
        <v>540</v>
      </c>
      <c r="C16" s="1034"/>
      <c r="D16" s="377"/>
      <c r="E16" s="466" t="str">
        <f>"Pressure after turbine"&amp;" ("&amp;J16&amp;")"</f>
        <v>Pressure after turbine (Pa)</v>
      </c>
      <c r="I16" s="486">
        <v>500000</v>
      </c>
      <c r="J16" s="488" t="s">
        <v>317</v>
      </c>
      <c r="K16" s="387" t="str">
        <f>IF(I16&gt;I13-I14,"&gt; FTHP!!","")</f>
        <v/>
      </c>
      <c r="L16" s="930"/>
      <c r="M16" s="584" t="s">
        <v>1757</v>
      </c>
      <c r="O16" s="390"/>
      <c r="P16" s="390"/>
      <c r="Q16" s="1166">
        <v>0.4</v>
      </c>
      <c r="R16" s="934"/>
      <c r="S16" s="464" t="s">
        <v>640</v>
      </c>
      <c r="T16" s="465"/>
      <c r="U16" s="465"/>
      <c r="V16" s="1007">
        <v>6</v>
      </c>
      <c r="W16" s="419" t="str">
        <f t="shared" ref="W16:W22" si="0">IF(V16&lt;0,"&lt; 0 !!","")</f>
        <v/>
      </c>
      <c r="X16" s="380" t="s">
        <v>1617</v>
      </c>
      <c r="Y16" s="381"/>
      <c r="Z16" s="824"/>
      <c r="AA16" s="492">
        <v>0.12</v>
      </c>
      <c r="AB16" s="375"/>
      <c r="AC16" s="376"/>
      <c r="AD16" s="358"/>
      <c r="AE16" s="358"/>
      <c r="AF16" s="613" t="s">
        <v>1122</v>
      </c>
      <c r="AG16" s="1027">
        <v>15</v>
      </c>
    </row>
    <row r="17" spans="1:53" ht="13.8" thickBot="1">
      <c r="A17" s="364"/>
      <c r="B17" s="370" t="s">
        <v>584</v>
      </c>
      <c r="C17" s="62"/>
      <c r="D17" s="368"/>
      <c r="E17" s="466" t="str">
        <f>"Reinjection pressure at injector wellhead"&amp;" ("&amp;J17&amp;")"</f>
        <v>Reinjection pressure at injector wellhead (Pa)</v>
      </c>
      <c r="H17" s="358"/>
      <c r="I17" s="486">
        <v>13200000</v>
      </c>
      <c r="J17" s="488" t="s">
        <v>317</v>
      </c>
      <c r="K17" s="364"/>
      <c r="L17" s="364"/>
      <c r="M17" s="397" t="s">
        <v>1097</v>
      </c>
      <c r="N17" s="398"/>
      <c r="O17" s="398"/>
      <c r="P17" s="398"/>
      <c r="Q17" s="719">
        <v>0.86</v>
      </c>
      <c r="R17" s="361" t="str">
        <f>IF(Q17&lt;0,"&lt; 0!!",IF(Q17&gt;1,"&gt; 100%!!",""))</f>
        <v/>
      </c>
      <c r="S17" s="464" t="s">
        <v>1140</v>
      </c>
      <c r="T17" s="467"/>
      <c r="U17" s="465"/>
      <c r="V17" s="1007">
        <v>4.5</v>
      </c>
      <c r="W17" s="419" t="str">
        <f t="shared" si="0"/>
        <v/>
      </c>
      <c r="X17" s="380" t="s">
        <v>1693</v>
      </c>
      <c r="Y17" s="381"/>
      <c r="Z17" s="824"/>
      <c r="AA17" s="492">
        <v>0</v>
      </c>
      <c r="AB17" s="375"/>
      <c r="AC17" s="399"/>
      <c r="AD17" s="400"/>
      <c r="AE17" s="398"/>
      <c r="AF17" s="612" t="s">
        <v>1123</v>
      </c>
      <c r="AG17" s="602">
        <v>100000</v>
      </c>
    </row>
    <row r="18" spans="1:53">
      <c r="B18" s="370" t="s">
        <v>582</v>
      </c>
      <c r="C18" s="512"/>
      <c r="D18" s="368"/>
      <c r="E18" s="466" t="str">
        <f>"Wellbore diameter"&amp;" ("&amp;J18&amp;")"</f>
        <v>Wellbore diameter (m)</v>
      </c>
      <c r="F18" s="467"/>
      <c r="G18" s="467"/>
      <c r="H18" s="467"/>
      <c r="I18" s="816">
        <v>0.26</v>
      </c>
      <c r="J18" s="488" t="s">
        <v>5</v>
      </c>
      <c r="K18" s="387" t="str">
        <f>IF(I18&lt;I19,"&lt; tubing!!","")</f>
        <v/>
      </c>
      <c r="R18" s="402"/>
      <c r="S18" s="464" t="s">
        <v>1142</v>
      </c>
      <c r="T18" s="467"/>
      <c r="U18" s="465"/>
      <c r="V18" s="1007">
        <v>4</v>
      </c>
      <c r="W18" s="419" t="str">
        <f t="shared" si="0"/>
        <v/>
      </c>
      <c r="X18" s="380" t="s">
        <v>228</v>
      </c>
      <c r="Y18" s="381"/>
      <c r="Z18" s="824"/>
      <c r="AA18" s="1016">
        <v>2017</v>
      </c>
      <c r="AB18" s="362"/>
    </row>
    <row r="19" spans="1:53" ht="13.8" thickBot="1">
      <c r="B19" s="370" t="s">
        <v>91</v>
      </c>
      <c r="C19" s="389"/>
      <c r="D19" s="368"/>
      <c r="E19" s="466" t="str">
        <f>"Tubing inner diameter"&amp;" ("&amp;J19&amp;")"</f>
        <v>Tubing inner diameter (m)</v>
      </c>
      <c r="I19" s="816">
        <v>0.15</v>
      </c>
      <c r="J19" s="488" t="s">
        <v>5</v>
      </c>
      <c r="K19" s="387" t="str">
        <f>IF(I19&gt;=I18,"&gt;= wellbore!!","")</f>
        <v/>
      </c>
      <c r="L19" s="364"/>
      <c r="M19" s="365" t="s">
        <v>1482</v>
      </c>
      <c r="N19" s="396"/>
      <c r="O19" s="396"/>
      <c r="P19" s="1193" t="s">
        <v>1635</v>
      </c>
      <c r="Q19" s="396"/>
      <c r="R19" s="934"/>
      <c r="S19" s="464" t="s">
        <v>1141</v>
      </c>
      <c r="T19" s="467"/>
      <c r="U19" s="465"/>
      <c r="V19" s="1007">
        <v>8</v>
      </c>
      <c r="W19" s="419" t="str">
        <f t="shared" si="0"/>
        <v/>
      </c>
      <c r="X19" s="376" t="s">
        <v>837</v>
      </c>
      <c r="Y19" s="396"/>
      <c r="Z19" s="825"/>
      <c r="AA19" s="495" t="s">
        <v>417</v>
      </c>
      <c r="AB19" s="362"/>
    </row>
    <row r="20" spans="1:53" ht="15.6">
      <c r="B20" s="370" t="s">
        <v>537</v>
      </c>
      <c r="C20" s="392"/>
      <c r="D20" s="368"/>
      <c r="E20" s="466" t="s">
        <v>998</v>
      </c>
      <c r="F20" s="467"/>
      <c r="G20" s="467"/>
      <c r="H20" s="467"/>
      <c r="I20" s="1012">
        <v>4.5699999999999998E-2</v>
      </c>
      <c r="J20" s="478"/>
      <c r="K20" s="937"/>
      <c r="L20" s="364"/>
      <c r="M20" s="476" t="s">
        <v>841</v>
      </c>
      <c r="N20" s="474"/>
      <c r="O20" s="452"/>
      <c r="P20" s="474"/>
      <c r="Q20" s="489" t="s">
        <v>842</v>
      </c>
      <c r="R20" s="934"/>
      <c r="S20" s="466" t="s">
        <v>184</v>
      </c>
      <c r="T20" s="467"/>
      <c r="U20" s="467"/>
      <c r="V20" s="1007">
        <v>1.5</v>
      </c>
      <c r="W20" s="419" t="str">
        <f t="shared" si="0"/>
        <v/>
      </c>
      <c r="X20" s="376" t="s">
        <v>1692</v>
      </c>
      <c r="AA20" s="1019">
        <v>65</v>
      </c>
      <c r="AB20" s="362"/>
      <c r="AL20" s="368"/>
    </row>
    <row r="21" spans="1:53">
      <c r="B21" s="370" t="s">
        <v>1847</v>
      </c>
      <c r="C21" s="1033"/>
      <c r="D21" s="368"/>
      <c r="E21" s="466" t="s">
        <v>1681</v>
      </c>
      <c r="F21" s="467"/>
      <c r="G21" s="467"/>
      <c r="H21" s="467"/>
      <c r="I21" s="1002">
        <v>0</v>
      </c>
      <c r="J21" s="478"/>
      <c r="K21" s="938"/>
      <c r="L21" s="364"/>
      <c r="M21" s="466"/>
      <c r="P21" s="610" t="s">
        <v>1149</v>
      </c>
      <c r="Q21" s="1005">
        <v>0.48</v>
      </c>
      <c r="R21" s="361" t="str">
        <f>IF(Q21&lt;0,"&lt; 0!!",IF(Q21&gt;1,"&gt; 100%!!",""))</f>
        <v/>
      </c>
      <c r="S21" s="466" t="s">
        <v>92</v>
      </c>
      <c r="T21" s="467"/>
      <c r="U21" s="467"/>
      <c r="V21" s="1007">
        <v>1</v>
      </c>
      <c r="W21" s="387" t="str">
        <f t="shared" si="0"/>
        <v/>
      </c>
      <c r="X21" s="376" t="s">
        <v>566</v>
      </c>
      <c r="Y21" s="377"/>
      <c r="Z21" s="609"/>
      <c r="AA21" s="1019">
        <v>50</v>
      </c>
      <c r="AB21" s="362"/>
      <c r="AL21" s="368"/>
      <c r="AS21" s="368"/>
      <c r="AT21" s="368"/>
      <c r="AU21" s="368"/>
      <c r="AV21" s="368"/>
      <c r="AW21" s="368"/>
    </row>
    <row r="22" spans="1:53" ht="13.8" thickBot="1">
      <c r="A22" s="358"/>
      <c r="B22" s="511" t="s">
        <v>85</v>
      </c>
      <c r="C22" s="368"/>
      <c r="D22" s="368"/>
      <c r="E22" s="466" t="s">
        <v>1682</v>
      </c>
      <c r="H22" s="610"/>
      <c r="I22" s="1002">
        <v>0</v>
      </c>
      <c r="J22" s="478"/>
      <c r="K22" s="937"/>
      <c r="L22" s="366"/>
      <c r="M22" s="394"/>
      <c r="O22" s="377"/>
      <c r="P22" s="609" t="s">
        <v>1150</v>
      </c>
      <c r="Q22" s="1017">
        <v>7.0000000000000007E-2</v>
      </c>
      <c r="R22" s="402"/>
      <c r="S22" s="468" t="s">
        <v>95</v>
      </c>
      <c r="T22" s="469"/>
      <c r="U22" s="469"/>
      <c r="V22" s="1008">
        <v>0.1</v>
      </c>
      <c r="W22" s="387" t="str">
        <f t="shared" si="0"/>
        <v/>
      </c>
      <c r="X22" s="376" t="s">
        <v>1148</v>
      </c>
      <c r="Y22" s="377"/>
      <c r="Z22" s="609"/>
      <c r="AA22" s="496" t="s">
        <v>1147</v>
      </c>
      <c r="AB22" s="366"/>
      <c r="AC22" s="366"/>
      <c r="AD22" s="366"/>
      <c r="AE22" s="366"/>
      <c r="AF22" s="366"/>
      <c r="AG22" s="366"/>
      <c r="AH22" s="366"/>
      <c r="AI22" s="390"/>
      <c r="AJ22" s="390"/>
      <c r="AK22" s="390"/>
      <c r="AL22" s="368"/>
      <c r="AS22" s="368"/>
      <c r="AT22" s="368"/>
      <c r="AU22" s="368"/>
      <c r="AV22" s="368"/>
      <c r="AW22" s="368"/>
      <c r="AX22" s="368"/>
      <c r="AY22" s="368"/>
      <c r="AZ22" s="368"/>
      <c r="BA22" s="368"/>
    </row>
    <row r="23" spans="1:53" ht="13.8" thickBot="1">
      <c r="A23" s="358"/>
      <c r="B23" s="553"/>
      <c r="C23" s="358"/>
      <c r="D23" s="368"/>
      <c r="E23" s="466" t="s">
        <v>639</v>
      </c>
      <c r="F23" s="467"/>
      <c r="G23" s="467"/>
      <c r="H23" s="467"/>
      <c r="I23" s="1002">
        <v>1.5</v>
      </c>
      <c r="J23" s="478"/>
      <c r="K23" s="938"/>
      <c r="L23" s="366"/>
      <c r="M23" s="397" t="s">
        <v>1483</v>
      </c>
      <c r="N23" s="398"/>
      <c r="O23" s="398"/>
      <c r="P23" s="398"/>
      <c r="Q23" s="924" t="s">
        <v>1147</v>
      </c>
      <c r="R23" s="401"/>
      <c r="S23" s="390"/>
      <c r="T23" s="390"/>
      <c r="U23" s="390"/>
      <c r="V23" s="390"/>
      <c r="X23" s="397"/>
      <c r="Y23" s="400"/>
      <c r="Z23" s="612" t="str">
        <f>IF(AA22="Fixed", "Fixed e-sales/MWh tariff ($/MWh)", "Define e-sales/MWh tariff in time series below")</f>
        <v>Fixed e-sales/MWh tariff ($/MWh)</v>
      </c>
      <c r="AA23" s="497">
        <v>140</v>
      </c>
      <c r="AB23" s="366"/>
      <c r="AC23" s="366"/>
      <c r="AD23" s="366"/>
      <c r="AE23" s="366"/>
      <c r="AF23" s="366"/>
      <c r="AG23" s="366"/>
      <c r="AH23" s="366"/>
      <c r="AI23" s="390"/>
      <c r="AJ23" s="390"/>
      <c r="AK23" s="390"/>
      <c r="AL23" s="368"/>
      <c r="AS23" s="368"/>
      <c r="AT23" s="368"/>
      <c r="AU23" s="368"/>
      <c r="AV23" s="368"/>
      <c r="AW23" s="368"/>
      <c r="AX23" s="368"/>
      <c r="AY23" s="368"/>
      <c r="AZ23" s="368"/>
      <c r="BA23" s="368"/>
    </row>
    <row r="24" spans="1:53" ht="13.8" thickBot="1">
      <c r="A24" s="358"/>
      <c r="B24" s="553"/>
      <c r="C24" s="358"/>
      <c r="D24" s="368"/>
      <c r="E24" s="466" t="s">
        <v>1138</v>
      </c>
      <c r="H24" s="610"/>
      <c r="I24" s="1002">
        <v>2</v>
      </c>
      <c r="J24" s="478"/>
      <c r="K24" s="937"/>
      <c r="L24" s="358"/>
      <c r="M24" s="396"/>
      <c r="N24" s="396"/>
      <c r="O24" s="396"/>
      <c r="P24" s="396"/>
      <c r="Q24" s="396"/>
      <c r="R24" s="401"/>
      <c r="S24" s="923" t="s">
        <v>615</v>
      </c>
      <c r="U24" s="1192" t="s">
        <v>1635</v>
      </c>
      <c r="X24" s="366"/>
      <c r="Y24" s="366"/>
      <c r="Z24" s="615"/>
      <c r="AA24" s="366"/>
      <c r="AB24" s="366"/>
      <c r="AC24" s="366"/>
      <c r="AD24" s="366"/>
      <c r="AE24" s="366"/>
      <c r="AF24" s="366"/>
      <c r="AG24" s="366"/>
      <c r="AH24" s="366"/>
      <c r="AI24" s="390"/>
      <c r="AJ24" s="390"/>
      <c r="AK24" s="390"/>
      <c r="AL24" s="368"/>
      <c r="AS24" s="368"/>
      <c r="AT24" s="368"/>
      <c r="AU24" s="368"/>
      <c r="AV24" s="368"/>
      <c r="AW24" s="368"/>
    </row>
    <row r="25" spans="1:53">
      <c r="A25" s="358"/>
      <c r="B25" s="358"/>
      <c r="C25" s="358"/>
      <c r="D25" s="368"/>
      <c r="E25" s="832" t="s">
        <v>1183</v>
      </c>
      <c r="F25" s="465"/>
      <c r="G25" s="465"/>
      <c r="H25" s="465"/>
      <c r="I25" s="1010">
        <v>15</v>
      </c>
      <c r="J25" s="478"/>
      <c r="K25" s="387" t="str">
        <f>IF(I25&lt;0,"Should be positive!!","")</f>
        <v/>
      </c>
      <c r="L25" s="358"/>
      <c r="M25" s="358"/>
      <c r="N25" s="358"/>
      <c r="O25" s="358"/>
      <c r="P25" s="358"/>
      <c r="Q25" s="358"/>
      <c r="R25" s="402"/>
      <c r="S25" s="472" t="s">
        <v>523</v>
      </c>
      <c r="T25" s="474"/>
      <c r="U25" s="473"/>
      <c r="V25" s="475">
        <f>(0.2*$V$14^2+700*$V$14+250000)*10^-6</f>
        <v>4.1499999999999995</v>
      </c>
      <c r="X25" s="358"/>
      <c r="Y25" s="358"/>
      <c r="Z25" s="358"/>
      <c r="AA25" s="358"/>
      <c r="AB25" s="358"/>
      <c r="AC25" s="358"/>
      <c r="AD25" s="358"/>
      <c r="AE25" s="358"/>
      <c r="AF25" s="358"/>
      <c r="AG25" s="358"/>
      <c r="AH25" s="358"/>
      <c r="AI25" s="390"/>
      <c r="AJ25" s="390"/>
      <c r="AK25" s="390"/>
      <c r="AL25" s="368"/>
      <c r="AS25" s="368"/>
      <c r="AT25" s="368"/>
      <c r="AU25" s="368"/>
      <c r="AV25" s="368"/>
      <c r="AW25" s="368"/>
      <c r="AX25" s="368"/>
      <c r="AY25" s="368"/>
      <c r="AZ25" s="368"/>
      <c r="BA25" s="368"/>
    </row>
    <row r="26" spans="1:53" ht="13.8" thickBot="1">
      <c r="A26" s="358"/>
      <c r="B26" s="358"/>
      <c r="C26" s="358"/>
      <c r="D26" s="358"/>
      <c r="E26" s="832" t="s">
        <v>1364</v>
      </c>
      <c r="F26" s="465"/>
      <c r="G26" s="465"/>
      <c r="H26" s="465"/>
      <c r="I26" s="1013">
        <v>180</v>
      </c>
      <c r="J26" s="478"/>
      <c r="K26" s="387" t="str">
        <f>IF(I26&gt;(I11-I25),"&gt; FTHT !!","")</f>
        <v/>
      </c>
      <c r="M26" s="358"/>
      <c r="N26" s="358"/>
      <c r="O26" s="358"/>
      <c r="P26" s="358"/>
      <c r="Q26" s="358"/>
      <c r="R26" s="402"/>
      <c r="S26" s="382" t="s">
        <v>524</v>
      </c>
      <c r="T26" s="388"/>
      <c r="U26" s="383"/>
      <c r="V26" s="384">
        <f>(240785+210*$V$14*3.28084+0.019069*($V$14*3.28084)^2)/10^6</f>
        <v>4.1550273878541777</v>
      </c>
      <c r="W26" s="375"/>
      <c r="X26" s="358"/>
      <c r="Y26" s="358"/>
      <c r="Z26" s="358"/>
      <c r="AA26" s="358"/>
      <c r="AB26" s="358"/>
      <c r="AC26" s="358"/>
      <c r="AD26" s="358"/>
      <c r="AE26" s="358"/>
      <c r="AF26" s="358"/>
      <c r="AG26" s="358"/>
      <c r="AH26" s="358"/>
      <c r="AI26" s="483"/>
      <c r="AJ26" s="390"/>
      <c r="AK26" s="390"/>
      <c r="AL26" s="368"/>
      <c r="AS26" s="368"/>
      <c r="AT26" s="368"/>
      <c r="AU26" s="368"/>
      <c r="AV26" s="368"/>
      <c r="AW26" s="368"/>
      <c r="AX26" s="368"/>
      <c r="AY26" s="368"/>
      <c r="AZ26" s="368"/>
      <c r="BA26" s="368"/>
    </row>
    <row r="27" spans="1:53" ht="13.8" thickBot="1">
      <c r="A27" s="358"/>
      <c r="B27" s="358"/>
      <c r="C27" s="358"/>
      <c r="D27" s="358"/>
      <c r="E27" s="468" t="s">
        <v>1103</v>
      </c>
      <c r="F27" s="469"/>
      <c r="G27" s="469"/>
      <c r="H27" s="469"/>
      <c r="I27" s="1014">
        <v>10</v>
      </c>
      <c r="J27" s="480"/>
      <c r="K27" s="938"/>
      <c r="L27" s="358"/>
      <c r="M27" s="358"/>
      <c r="N27" s="358"/>
      <c r="O27" s="358"/>
      <c r="P27" s="358"/>
      <c r="Q27" s="358"/>
      <c r="R27" s="935"/>
      <c r="W27" s="375"/>
      <c r="X27" s="358"/>
      <c r="Y27" s="358"/>
      <c r="Z27" s="358"/>
      <c r="AA27" s="358"/>
      <c r="AB27" s="358"/>
      <c r="AC27" s="358"/>
      <c r="AD27" s="358"/>
      <c r="AE27" s="358"/>
      <c r="AF27" s="358"/>
      <c r="AG27" s="358"/>
      <c r="AH27" s="620"/>
      <c r="AI27" s="483"/>
      <c r="AJ27" s="390"/>
      <c r="AK27" s="390"/>
      <c r="AL27" s="368"/>
      <c r="AS27" s="368"/>
      <c r="AT27" s="368"/>
      <c r="AU27" s="368"/>
      <c r="AV27" s="368"/>
      <c r="AW27" s="368"/>
      <c r="AX27" s="368"/>
      <c r="AY27" s="368"/>
      <c r="AZ27" s="368"/>
      <c r="BA27" s="368"/>
    </row>
    <row r="28" spans="1:53" ht="13.8" thickBot="1">
      <c r="A28" s="358"/>
      <c r="B28" s="358"/>
      <c r="C28" s="358"/>
      <c r="D28" s="358"/>
      <c r="L28" s="358"/>
      <c r="M28" s="358"/>
      <c r="N28" s="358"/>
      <c r="O28" s="358"/>
      <c r="P28" s="358"/>
      <c r="Q28" s="358"/>
      <c r="R28" s="358"/>
      <c r="S28" s="358"/>
      <c r="T28" s="358"/>
      <c r="U28" s="358"/>
      <c r="V28" s="358"/>
      <c r="W28" s="358"/>
      <c r="X28" s="358"/>
      <c r="Y28" s="358"/>
      <c r="Z28" s="358"/>
      <c r="AA28" s="358"/>
      <c r="AB28" s="358"/>
      <c r="AC28" s="358"/>
      <c r="AD28" s="358"/>
      <c r="AE28" s="358"/>
      <c r="AF28" s="358"/>
      <c r="AG28" s="358"/>
      <c r="AH28" s="620"/>
      <c r="AI28" s="483"/>
      <c r="AJ28" s="390"/>
      <c r="AK28" s="390"/>
      <c r="AL28" s="368"/>
      <c r="AS28" s="368"/>
      <c r="AT28" s="368"/>
      <c r="AU28" s="368"/>
      <c r="AV28" s="368"/>
      <c r="AW28" s="368"/>
      <c r="AX28" s="368"/>
      <c r="AY28" s="368"/>
      <c r="AZ28" s="368"/>
      <c r="BA28" s="368"/>
    </row>
    <row r="29" spans="1:53" ht="13.8" thickBot="1">
      <c r="B29" s="509"/>
      <c r="C29" s="510"/>
      <c r="D29" s="510"/>
      <c r="E29" s="510"/>
      <c r="F29" s="510"/>
      <c r="G29" s="510"/>
      <c r="H29" s="510"/>
      <c r="I29" s="510"/>
      <c r="J29" s="510"/>
      <c r="K29" s="510"/>
      <c r="L29" s="510"/>
      <c r="M29" s="510"/>
      <c r="N29" s="510"/>
      <c r="O29" s="510"/>
      <c r="P29" s="510"/>
      <c r="Q29" s="510"/>
      <c r="R29" s="510"/>
      <c r="S29" s="510"/>
      <c r="T29" s="510"/>
      <c r="U29" s="510"/>
      <c r="V29" s="510"/>
      <c r="W29" s="510"/>
      <c r="X29" s="510"/>
      <c r="Y29" s="510"/>
      <c r="Z29" s="510"/>
      <c r="AA29" s="510"/>
      <c r="AB29" s="510"/>
      <c r="AC29" s="510"/>
      <c r="AD29" s="510"/>
      <c r="AE29" s="510"/>
      <c r="AF29" s="510"/>
      <c r="AG29" s="539"/>
      <c r="AH29" s="362" t="s">
        <v>246</v>
      </c>
      <c r="AI29" s="483"/>
      <c r="AJ29" s="390"/>
      <c r="AK29" s="390"/>
      <c r="AL29" s="368"/>
      <c r="AS29" s="368"/>
      <c r="AT29" s="368"/>
      <c r="AU29" s="368"/>
      <c r="AV29" s="368"/>
      <c r="AW29" s="368"/>
      <c r="AX29" s="368"/>
      <c r="AY29" s="368"/>
      <c r="AZ29" s="368"/>
      <c r="BA29" s="368"/>
    </row>
    <row r="30" spans="1:53" ht="17.399999999999999">
      <c r="A30" s="390"/>
      <c r="B30" s="508" t="s">
        <v>567</v>
      </c>
      <c r="C30" s="387" t="str">
        <f>IF(C32&lt;$V$6,IF(COUNTA(C34:C35),"&lt; 1st yr prod!",""),"")</f>
        <v/>
      </c>
      <c r="D30" s="387" t="str">
        <f t="shared" ref="D30:AG30" si="1">IF(D32&lt;$V$6,IF(COUNTA(D34:D35),"&lt;1st yr prod!",""),"")</f>
        <v/>
      </c>
      <c r="E30" s="387" t="str">
        <f t="shared" si="1"/>
        <v/>
      </c>
      <c r="F30" s="387" t="str">
        <f t="shared" si="1"/>
        <v/>
      </c>
      <c r="G30" s="387" t="str">
        <f t="shared" si="1"/>
        <v/>
      </c>
      <c r="H30" s="387" t="str">
        <f t="shared" si="1"/>
        <v/>
      </c>
      <c r="I30" s="387" t="str">
        <f t="shared" si="1"/>
        <v/>
      </c>
      <c r="J30" s="387" t="str">
        <f t="shared" si="1"/>
        <v/>
      </c>
      <c r="K30" s="387" t="str">
        <f t="shared" si="1"/>
        <v/>
      </c>
      <c r="L30" s="387" t="str">
        <f t="shared" si="1"/>
        <v/>
      </c>
      <c r="M30" s="387" t="str">
        <f t="shared" si="1"/>
        <v/>
      </c>
      <c r="N30" s="387" t="str">
        <f t="shared" si="1"/>
        <v/>
      </c>
      <c r="O30" s="387" t="str">
        <f t="shared" si="1"/>
        <v/>
      </c>
      <c r="P30" s="387" t="str">
        <f t="shared" si="1"/>
        <v/>
      </c>
      <c r="Q30" s="387" t="str">
        <f t="shared" si="1"/>
        <v/>
      </c>
      <c r="R30" s="387" t="str">
        <f t="shared" si="1"/>
        <v/>
      </c>
      <c r="S30" s="387" t="str">
        <f t="shared" si="1"/>
        <v/>
      </c>
      <c r="T30" s="387" t="str">
        <f t="shared" si="1"/>
        <v/>
      </c>
      <c r="U30" s="387" t="str">
        <f t="shared" si="1"/>
        <v/>
      </c>
      <c r="V30" s="387" t="str">
        <f t="shared" si="1"/>
        <v/>
      </c>
      <c r="W30" s="387" t="str">
        <f t="shared" si="1"/>
        <v/>
      </c>
      <c r="X30" s="387" t="str">
        <f t="shared" si="1"/>
        <v/>
      </c>
      <c r="Y30" s="387" t="str">
        <f t="shared" si="1"/>
        <v/>
      </c>
      <c r="Z30" s="387" t="str">
        <f t="shared" si="1"/>
        <v/>
      </c>
      <c r="AA30" s="387" t="str">
        <f t="shared" si="1"/>
        <v/>
      </c>
      <c r="AB30" s="387" t="str">
        <f t="shared" si="1"/>
        <v/>
      </c>
      <c r="AC30" s="387" t="str">
        <f t="shared" si="1"/>
        <v/>
      </c>
      <c r="AD30" s="387" t="str">
        <f t="shared" si="1"/>
        <v/>
      </c>
      <c r="AE30" s="387" t="str">
        <f t="shared" si="1"/>
        <v/>
      </c>
      <c r="AF30" s="387" t="str">
        <f t="shared" si="1"/>
        <v/>
      </c>
      <c r="AG30" s="387" t="str">
        <f t="shared" si="1"/>
        <v/>
      </c>
      <c r="AH30" s="356" t="s">
        <v>246</v>
      </c>
    </row>
    <row r="31" spans="1:53">
      <c r="A31" s="401" t="s">
        <v>97</v>
      </c>
      <c r="B31" s="402" t="s">
        <v>98</v>
      </c>
      <c r="C31" s="402" t="s">
        <v>99</v>
      </c>
      <c r="D31" s="402" t="s">
        <v>100</v>
      </c>
      <c r="E31" s="402" t="s">
        <v>101</v>
      </c>
      <c r="F31" s="402" t="s">
        <v>102</v>
      </c>
      <c r="G31" s="402" t="s">
        <v>103</v>
      </c>
      <c r="H31" s="402" t="s">
        <v>104</v>
      </c>
      <c r="I31" s="402" t="s">
        <v>105</v>
      </c>
      <c r="J31" s="402" t="s">
        <v>106</v>
      </c>
      <c r="K31" s="402" t="s">
        <v>107</v>
      </c>
      <c r="L31" s="402" t="s">
        <v>108</v>
      </c>
      <c r="M31" s="402" t="s">
        <v>109</v>
      </c>
      <c r="N31" s="402" t="s">
        <v>88</v>
      </c>
      <c r="O31" s="402" t="s">
        <v>110</v>
      </c>
      <c r="P31" s="402" t="s">
        <v>111</v>
      </c>
      <c r="Q31" s="402" t="s">
        <v>112</v>
      </c>
      <c r="R31" s="402" t="s">
        <v>113</v>
      </c>
      <c r="S31" s="402" t="s">
        <v>114</v>
      </c>
      <c r="T31" s="402" t="s">
        <v>115</v>
      </c>
      <c r="U31" s="402" t="s">
        <v>116</v>
      </c>
      <c r="V31" s="402" t="s">
        <v>117</v>
      </c>
      <c r="W31" s="402" t="s">
        <v>118</v>
      </c>
      <c r="X31" s="402" t="s">
        <v>119</v>
      </c>
      <c r="Y31" s="402" t="s">
        <v>120</v>
      </c>
      <c r="Z31" s="402" t="s">
        <v>121</v>
      </c>
      <c r="AA31" s="402" t="s">
        <v>122</v>
      </c>
      <c r="AB31" s="402" t="s">
        <v>123</v>
      </c>
      <c r="AC31" s="402" t="s">
        <v>124</v>
      </c>
      <c r="AD31" s="402" t="s">
        <v>125</v>
      </c>
      <c r="AE31" s="402" t="s">
        <v>126</v>
      </c>
      <c r="AF31" s="402" t="s">
        <v>127</v>
      </c>
      <c r="AG31" s="402" t="s">
        <v>128</v>
      </c>
      <c r="AH31" s="356" t="s">
        <v>246</v>
      </c>
    </row>
    <row r="32" spans="1:53" ht="13.8" thickBot="1">
      <c r="B32" s="403" t="s">
        <v>209</v>
      </c>
      <c r="C32" s="404">
        <f>$V$5</f>
        <v>2017</v>
      </c>
      <c r="D32" s="404">
        <f t="shared" ref="D32:AG32" si="2">C32+1</f>
        <v>2018</v>
      </c>
      <c r="E32" s="404">
        <f t="shared" si="2"/>
        <v>2019</v>
      </c>
      <c r="F32" s="404">
        <f t="shared" si="2"/>
        <v>2020</v>
      </c>
      <c r="G32" s="404">
        <f t="shared" si="2"/>
        <v>2021</v>
      </c>
      <c r="H32" s="404">
        <f t="shared" si="2"/>
        <v>2022</v>
      </c>
      <c r="I32" s="404">
        <f t="shared" si="2"/>
        <v>2023</v>
      </c>
      <c r="J32" s="404">
        <f t="shared" si="2"/>
        <v>2024</v>
      </c>
      <c r="K32" s="404">
        <f t="shared" si="2"/>
        <v>2025</v>
      </c>
      <c r="L32" s="404">
        <f t="shared" si="2"/>
        <v>2026</v>
      </c>
      <c r="M32" s="404">
        <f t="shared" si="2"/>
        <v>2027</v>
      </c>
      <c r="N32" s="404">
        <f t="shared" si="2"/>
        <v>2028</v>
      </c>
      <c r="O32" s="404">
        <f t="shared" si="2"/>
        <v>2029</v>
      </c>
      <c r="P32" s="404">
        <f t="shared" si="2"/>
        <v>2030</v>
      </c>
      <c r="Q32" s="404">
        <f t="shared" si="2"/>
        <v>2031</v>
      </c>
      <c r="R32" s="404">
        <f t="shared" si="2"/>
        <v>2032</v>
      </c>
      <c r="S32" s="404">
        <f t="shared" si="2"/>
        <v>2033</v>
      </c>
      <c r="T32" s="404">
        <f t="shared" si="2"/>
        <v>2034</v>
      </c>
      <c r="U32" s="404">
        <f t="shared" si="2"/>
        <v>2035</v>
      </c>
      <c r="V32" s="404">
        <f t="shared" si="2"/>
        <v>2036</v>
      </c>
      <c r="W32" s="404">
        <f t="shared" si="2"/>
        <v>2037</v>
      </c>
      <c r="X32" s="404">
        <f t="shared" si="2"/>
        <v>2038</v>
      </c>
      <c r="Y32" s="404">
        <f t="shared" si="2"/>
        <v>2039</v>
      </c>
      <c r="Z32" s="404">
        <f t="shared" si="2"/>
        <v>2040</v>
      </c>
      <c r="AA32" s="404">
        <f t="shared" si="2"/>
        <v>2041</v>
      </c>
      <c r="AB32" s="404">
        <f t="shared" si="2"/>
        <v>2042</v>
      </c>
      <c r="AC32" s="404">
        <f t="shared" si="2"/>
        <v>2043</v>
      </c>
      <c r="AD32" s="404">
        <f t="shared" si="2"/>
        <v>2044</v>
      </c>
      <c r="AE32" s="404">
        <f t="shared" si="2"/>
        <v>2045</v>
      </c>
      <c r="AF32" s="404">
        <f t="shared" si="2"/>
        <v>2046</v>
      </c>
      <c r="AG32" s="404">
        <f t="shared" si="2"/>
        <v>2047</v>
      </c>
      <c r="AH32" s="356" t="s">
        <v>246</v>
      </c>
    </row>
    <row r="33" spans="1:34" ht="13.8" thickTop="1">
      <c r="B33" s="405" t="str">
        <f>IF(AA22="Fixed","Define electricity sales per MWh tariff above","Electricity sales per MWh tariff ($ / MWh)")</f>
        <v>Define electricity sales per MWh tariff above</v>
      </c>
      <c r="C33" s="499">
        <v>60</v>
      </c>
      <c r="D33" s="499">
        <v>60</v>
      </c>
      <c r="E33" s="499">
        <v>60</v>
      </c>
      <c r="F33" s="499">
        <v>60</v>
      </c>
      <c r="G33" s="499">
        <v>60</v>
      </c>
      <c r="H33" s="499">
        <v>60</v>
      </c>
      <c r="I33" s="499">
        <v>70</v>
      </c>
      <c r="J33" s="499">
        <v>70</v>
      </c>
      <c r="K33" s="499">
        <v>70</v>
      </c>
      <c r="L33" s="499">
        <v>70</v>
      </c>
      <c r="M33" s="499">
        <v>70</v>
      </c>
      <c r="N33" s="499">
        <v>70</v>
      </c>
      <c r="O33" s="499">
        <v>70</v>
      </c>
      <c r="P33" s="499">
        <v>70</v>
      </c>
      <c r="Q33" s="499">
        <v>80</v>
      </c>
      <c r="R33" s="499">
        <v>80</v>
      </c>
      <c r="S33" s="499">
        <v>80</v>
      </c>
      <c r="T33" s="499">
        <v>80</v>
      </c>
      <c r="U33" s="499">
        <v>80</v>
      </c>
      <c r="V33" s="499">
        <v>80</v>
      </c>
      <c r="W33" s="499">
        <v>80</v>
      </c>
      <c r="X33" s="499">
        <v>80</v>
      </c>
      <c r="Y33" s="499">
        <v>80</v>
      </c>
      <c r="Z33" s="499">
        <v>80</v>
      </c>
      <c r="AA33" s="499">
        <v>80</v>
      </c>
      <c r="AB33" s="499">
        <v>80</v>
      </c>
      <c r="AC33" s="499">
        <v>80</v>
      </c>
      <c r="AD33" s="499">
        <v>80</v>
      </c>
      <c r="AE33" s="499">
        <v>80</v>
      </c>
      <c r="AF33" s="499">
        <v>80</v>
      </c>
      <c r="AG33" s="499">
        <v>80</v>
      </c>
      <c r="AH33" s="356" t="s">
        <v>246</v>
      </c>
    </row>
    <row r="34" spans="1:34">
      <c r="B34" s="64" t="s">
        <v>292</v>
      </c>
      <c r="C34" s="499"/>
      <c r="D34" s="499"/>
      <c r="E34" s="499"/>
      <c r="F34" s="499"/>
      <c r="G34" s="499"/>
      <c r="H34" s="499"/>
      <c r="I34" s="499"/>
      <c r="J34" s="499"/>
      <c r="K34" s="499">
        <v>2</v>
      </c>
      <c r="L34" s="499">
        <v>2</v>
      </c>
      <c r="M34" s="499">
        <v>2</v>
      </c>
      <c r="N34" s="499">
        <v>2</v>
      </c>
      <c r="O34" s="499">
        <v>2</v>
      </c>
      <c r="P34" s="499">
        <v>2</v>
      </c>
      <c r="Q34" s="499">
        <v>2</v>
      </c>
      <c r="R34" s="499">
        <v>2</v>
      </c>
      <c r="S34" s="499">
        <v>2</v>
      </c>
      <c r="T34" s="499"/>
      <c r="U34" s="499"/>
      <c r="V34" s="499"/>
      <c r="W34" s="499"/>
      <c r="X34" s="499"/>
      <c r="Y34" s="499"/>
      <c r="Z34" s="499"/>
      <c r="AA34" s="499"/>
      <c r="AB34" s="499"/>
      <c r="AC34" s="499"/>
      <c r="AD34" s="499"/>
      <c r="AE34" s="499"/>
      <c r="AF34" s="499"/>
      <c r="AG34" s="499"/>
      <c r="AH34" s="356" t="s">
        <v>246</v>
      </c>
    </row>
    <row r="35" spans="1:34">
      <c r="B35" s="63" t="s">
        <v>293</v>
      </c>
      <c r="C35" s="499"/>
      <c r="D35" s="499"/>
      <c r="E35" s="499"/>
      <c r="F35" s="499"/>
      <c r="G35" s="499"/>
      <c r="H35" s="499"/>
      <c r="I35" s="499"/>
      <c r="J35" s="499"/>
      <c r="K35" s="499">
        <v>1</v>
      </c>
      <c r="L35" s="499">
        <v>1</v>
      </c>
      <c r="M35" s="499">
        <v>1</v>
      </c>
      <c r="N35" s="499">
        <v>1</v>
      </c>
      <c r="O35" s="499">
        <v>1</v>
      </c>
      <c r="P35" s="499"/>
      <c r="Q35" s="499"/>
      <c r="R35" s="499"/>
      <c r="S35" s="499"/>
      <c r="T35" s="499"/>
      <c r="U35" s="499"/>
      <c r="V35" s="499"/>
      <c r="W35" s="499"/>
      <c r="X35" s="499"/>
      <c r="Y35" s="499"/>
      <c r="Z35" s="499"/>
      <c r="AA35" s="499"/>
      <c r="AB35" s="499"/>
      <c r="AC35" s="499"/>
      <c r="AD35" s="499"/>
      <c r="AE35" s="499"/>
      <c r="AF35" s="499"/>
      <c r="AG35" s="499"/>
      <c r="AH35" s="356" t="s">
        <v>246</v>
      </c>
    </row>
    <row r="36" spans="1:34">
      <c r="A36" s="364"/>
      <c r="AH36" s="356" t="s">
        <v>246</v>
      </c>
    </row>
    <row r="37" spans="1:34" ht="13.8" thickBot="1">
      <c r="A37" s="364"/>
      <c r="B37" s="403" t="s">
        <v>226</v>
      </c>
      <c r="C37" s="404">
        <f t="shared" ref="C37:AG37" si="3">C$32</f>
        <v>2017</v>
      </c>
      <c r="D37" s="404">
        <f t="shared" si="3"/>
        <v>2018</v>
      </c>
      <c r="E37" s="404">
        <f t="shared" si="3"/>
        <v>2019</v>
      </c>
      <c r="F37" s="404">
        <f t="shared" si="3"/>
        <v>2020</v>
      </c>
      <c r="G37" s="404">
        <f t="shared" si="3"/>
        <v>2021</v>
      </c>
      <c r="H37" s="404">
        <f t="shared" si="3"/>
        <v>2022</v>
      </c>
      <c r="I37" s="404">
        <f t="shared" si="3"/>
        <v>2023</v>
      </c>
      <c r="J37" s="404">
        <f t="shared" si="3"/>
        <v>2024</v>
      </c>
      <c r="K37" s="404">
        <f t="shared" si="3"/>
        <v>2025</v>
      </c>
      <c r="L37" s="404">
        <f t="shared" si="3"/>
        <v>2026</v>
      </c>
      <c r="M37" s="404">
        <f t="shared" si="3"/>
        <v>2027</v>
      </c>
      <c r="N37" s="404">
        <f t="shared" si="3"/>
        <v>2028</v>
      </c>
      <c r="O37" s="404">
        <f t="shared" si="3"/>
        <v>2029</v>
      </c>
      <c r="P37" s="404">
        <f t="shared" si="3"/>
        <v>2030</v>
      </c>
      <c r="Q37" s="404">
        <f t="shared" si="3"/>
        <v>2031</v>
      </c>
      <c r="R37" s="404">
        <f t="shared" si="3"/>
        <v>2032</v>
      </c>
      <c r="S37" s="404">
        <f t="shared" si="3"/>
        <v>2033</v>
      </c>
      <c r="T37" s="404">
        <f t="shared" si="3"/>
        <v>2034</v>
      </c>
      <c r="U37" s="404">
        <f t="shared" si="3"/>
        <v>2035</v>
      </c>
      <c r="V37" s="404">
        <f t="shared" si="3"/>
        <v>2036</v>
      </c>
      <c r="W37" s="404">
        <f t="shared" si="3"/>
        <v>2037</v>
      </c>
      <c r="X37" s="404">
        <f t="shared" si="3"/>
        <v>2038</v>
      </c>
      <c r="Y37" s="404">
        <f t="shared" si="3"/>
        <v>2039</v>
      </c>
      <c r="Z37" s="404">
        <f t="shared" si="3"/>
        <v>2040</v>
      </c>
      <c r="AA37" s="404">
        <f t="shared" si="3"/>
        <v>2041</v>
      </c>
      <c r="AB37" s="404">
        <f t="shared" si="3"/>
        <v>2042</v>
      </c>
      <c r="AC37" s="404">
        <f t="shared" si="3"/>
        <v>2043</v>
      </c>
      <c r="AD37" s="404">
        <f t="shared" si="3"/>
        <v>2044</v>
      </c>
      <c r="AE37" s="404">
        <f t="shared" si="3"/>
        <v>2045</v>
      </c>
      <c r="AF37" s="404">
        <f t="shared" si="3"/>
        <v>2046</v>
      </c>
      <c r="AG37" s="404">
        <f t="shared" si="3"/>
        <v>2047</v>
      </c>
      <c r="AH37" s="356" t="s">
        <v>246</v>
      </c>
    </row>
    <row r="38" spans="1:34" ht="13.8" thickTop="1">
      <c r="A38" s="364"/>
      <c r="B38" s="406" t="s">
        <v>1862</v>
      </c>
      <c r="C38" s="635" t="str">
        <f>IF(OR(C40&gt;0,C41&gt;0,C42&gt;0,C43&gt;0),"! Costs &gt; 0","")</f>
        <v/>
      </c>
      <c r="D38" s="635" t="str">
        <f t="shared" ref="D38:AG38" si="4">IF(OR(D40&gt;0,D41&gt;0,D42&gt;0,D43&gt;0),"! Costs &gt; 0","")</f>
        <v/>
      </c>
      <c r="E38" s="635" t="str">
        <f t="shared" si="4"/>
        <v/>
      </c>
      <c r="F38" s="635" t="str">
        <f t="shared" si="4"/>
        <v/>
      </c>
      <c r="G38" s="635" t="str">
        <f t="shared" si="4"/>
        <v/>
      </c>
      <c r="H38" s="635" t="str">
        <f t="shared" si="4"/>
        <v/>
      </c>
      <c r="I38" s="635" t="str">
        <f t="shared" si="4"/>
        <v/>
      </c>
      <c r="J38" s="635" t="str">
        <f t="shared" si="4"/>
        <v/>
      </c>
      <c r="K38" s="635" t="str">
        <f t="shared" si="4"/>
        <v/>
      </c>
      <c r="L38" s="635" t="str">
        <f t="shared" si="4"/>
        <v/>
      </c>
      <c r="M38" s="635" t="str">
        <f t="shared" si="4"/>
        <v/>
      </c>
      <c r="N38" s="635" t="str">
        <f t="shared" si="4"/>
        <v/>
      </c>
      <c r="O38" s="635" t="str">
        <f t="shared" si="4"/>
        <v/>
      </c>
      <c r="P38" s="635" t="str">
        <f t="shared" si="4"/>
        <v/>
      </c>
      <c r="Q38" s="635" t="str">
        <f t="shared" si="4"/>
        <v/>
      </c>
      <c r="R38" s="635" t="str">
        <f t="shared" si="4"/>
        <v/>
      </c>
      <c r="S38" s="635" t="str">
        <f t="shared" si="4"/>
        <v/>
      </c>
      <c r="T38" s="635" t="str">
        <f t="shared" si="4"/>
        <v/>
      </c>
      <c r="U38" s="635" t="str">
        <f t="shared" si="4"/>
        <v/>
      </c>
      <c r="V38" s="635" t="str">
        <f t="shared" si="4"/>
        <v/>
      </c>
      <c r="W38" s="635" t="str">
        <f t="shared" si="4"/>
        <v/>
      </c>
      <c r="X38" s="635" t="str">
        <f t="shared" si="4"/>
        <v/>
      </c>
      <c r="Y38" s="635" t="str">
        <f t="shared" si="4"/>
        <v/>
      </c>
      <c r="Z38" s="635" t="str">
        <f t="shared" si="4"/>
        <v/>
      </c>
      <c r="AA38" s="635" t="str">
        <f t="shared" si="4"/>
        <v/>
      </c>
      <c r="AB38" s="635" t="str">
        <f t="shared" si="4"/>
        <v/>
      </c>
      <c r="AC38" s="635" t="str">
        <f t="shared" si="4"/>
        <v/>
      </c>
      <c r="AD38" s="635" t="str">
        <f t="shared" si="4"/>
        <v/>
      </c>
      <c r="AE38" s="635" t="str">
        <f t="shared" si="4"/>
        <v/>
      </c>
      <c r="AF38" s="635" t="str">
        <f t="shared" si="4"/>
        <v/>
      </c>
      <c r="AG38" s="635" t="str">
        <f t="shared" si="4"/>
        <v/>
      </c>
      <c r="AH38" s="356" t="s">
        <v>246</v>
      </c>
    </row>
    <row r="39" spans="1:34" ht="13.8" thickBot="1">
      <c r="B39" s="407" t="s">
        <v>635</v>
      </c>
      <c r="C39" s="404">
        <f t="shared" ref="C39:AG39" si="5">C$32</f>
        <v>2017</v>
      </c>
      <c r="D39" s="404">
        <f t="shared" si="5"/>
        <v>2018</v>
      </c>
      <c r="E39" s="404">
        <f t="shared" si="5"/>
        <v>2019</v>
      </c>
      <c r="F39" s="404">
        <f t="shared" si="5"/>
        <v>2020</v>
      </c>
      <c r="G39" s="404">
        <f t="shared" si="5"/>
        <v>2021</v>
      </c>
      <c r="H39" s="404">
        <f t="shared" si="5"/>
        <v>2022</v>
      </c>
      <c r="I39" s="404">
        <f t="shared" si="5"/>
        <v>2023</v>
      </c>
      <c r="J39" s="404">
        <f t="shared" si="5"/>
        <v>2024</v>
      </c>
      <c r="K39" s="404">
        <f t="shared" si="5"/>
        <v>2025</v>
      </c>
      <c r="L39" s="404">
        <f t="shared" si="5"/>
        <v>2026</v>
      </c>
      <c r="M39" s="404">
        <f t="shared" si="5"/>
        <v>2027</v>
      </c>
      <c r="N39" s="404">
        <f t="shared" si="5"/>
        <v>2028</v>
      </c>
      <c r="O39" s="404">
        <f t="shared" si="5"/>
        <v>2029</v>
      </c>
      <c r="P39" s="404">
        <f t="shared" si="5"/>
        <v>2030</v>
      </c>
      <c r="Q39" s="404">
        <f t="shared" si="5"/>
        <v>2031</v>
      </c>
      <c r="R39" s="404">
        <f t="shared" si="5"/>
        <v>2032</v>
      </c>
      <c r="S39" s="404">
        <f t="shared" si="5"/>
        <v>2033</v>
      </c>
      <c r="T39" s="404">
        <f t="shared" si="5"/>
        <v>2034</v>
      </c>
      <c r="U39" s="404">
        <f t="shared" si="5"/>
        <v>2035</v>
      </c>
      <c r="V39" s="404">
        <f t="shared" si="5"/>
        <v>2036</v>
      </c>
      <c r="W39" s="404">
        <f t="shared" si="5"/>
        <v>2037</v>
      </c>
      <c r="X39" s="404">
        <f t="shared" si="5"/>
        <v>2038</v>
      </c>
      <c r="Y39" s="404">
        <f t="shared" si="5"/>
        <v>2039</v>
      </c>
      <c r="Z39" s="404">
        <f t="shared" si="5"/>
        <v>2040</v>
      </c>
      <c r="AA39" s="404">
        <f t="shared" si="5"/>
        <v>2041</v>
      </c>
      <c r="AB39" s="404">
        <f t="shared" si="5"/>
        <v>2042</v>
      </c>
      <c r="AC39" s="404">
        <f t="shared" si="5"/>
        <v>2043</v>
      </c>
      <c r="AD39" s="404">
        <f t="shared" si="5"/>
        <v>2044</v>
      </c>
      <c r="AE39" s="404">
        <f t="shared" si="5"/>
        <v>2045</v>
      </c>
      <c r="AF39" s="404">
        <f t="shared" si="5"/>
        <v>2046</v>
      </c>
      <c r="AG39" s="404">
        <f t="shared" si="5"/>
        <v>2047</v>
      </c>
      <c r="AH39" s="356" t="s">
        <v>246</v>
      </c>
    </row>
    <row r="40" spans="1:34" ht="13.8" thickTop="1">
      <c r="B40" s="408" t="s">
        <v>636</v>
      </c>
      <c r="C40" s="499"/>
      <c r="D40" s="499"/>
      <c r="E40" s="500"/>
      <c r="F40" s="500"/>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c r="AE40" s="499"/>
      <c r="AF40" s="499"/>
      <c r="AG40" s="499"/>
      <c r="AH40" s="356" t="s">
        <v>246</v>
      </c>
    </row>
    <row r="41" spans="1:34">
      <c r="B41" s="408" t="s">
        <v>164</v>
      </c>
      <c r="C41" s="499">
        <v>-15</v>
      </c>
      <c r="D41" s="499">
        <v>-10</v>
      </c>
      <c r="E41" s="500">
        <v>-5</v>
      </c>
      <c r="F41" s="500"/>
      <c r="G41" s="499"/>
      <c r="H41" s="499"/>
      <c r="I41" s="499"/>
      <c r="J41" s="499"/>
      <c r="K41" s="499"/>
      <c r="L41" s="499"/>
      <c r="M41" s="499"/>
      <c r="N41" s="499"/>
      <c r="O41" s="499"/>
      <c r="P41" s="499"/>
      <c r="Q41" s="499"/>
      <c r="R41" s="499"/>
      <c r="S41" s="499"/>
      <c r="T41" s="499"/>
      <c r="U41" s="499"/>
      <c r="V41" s="499"/>
      <c r="W41" s="499"/>
      <c r="X41" s="499"/>
      <c r="Y41" s="499"/>
      <c r="Z41" s="499"/>
      <c r="AA41" s="499"/>
      <c r="AB41" s="499"/>
      <c r="AC41" s="499"/>
      <c r="AD41" s="499"/>
      <c r="AE41" s="499"/>
      <c r="AF41" s="499"/>
      <c r="AG41" s="499"/>
      <c r="AH41" s="356" t="s">
        <v>246</v>
      </c>
    </row>
    <row r="42" spans="1:34">
      <c r="B42" s="408" t="s">
        <v>1232</v>
      </c>
      <c r="C42" s="499">
        <v>-0.5</v>
      </c>
      <c r="D42" s="499">
        <v>-1</v>
      </c>
      <c r="E42" s="500"/>
      <c r="F42" s="500"/>
      <c r="G42" s="499"/>
      <c r="H42" s="499"/>
      <c r="I42" s="499"/>
      <c r="J42" s="499"/>
      <c r="K42" s="499"/>
      <c r="L42" s="499"/>
      <c r="M42" s="499"/>
      <c r="N42" s="499"/>
      <c r="O42" s="499"/>
      <c r="P42" s="499"/>
      <c r="Q42" s="499"/>
      <c r="R42" s="499"/>
      <c r="S42" s="499"/>
      <c r="T42" s="499"/>
      <c r="U42" s="499"/>
      <c r="V42" s="499"/>
      <c r="W42" s="499"/>
      <c r="X42" s="499"/>
      <c r="Y42" s="499"/>
      <c r="Z42" s="499"/>
      <c r="AA42" s="499"/>
      <c r="AB42" s="499"/>
      <c r="AC42" s="499"/>
      <c r="AD42" s="499"/>
      <c r="AE42" s="499"/>
      <c r="AF42" s="499"/>
      <c r="AG42" s="499"/>
      <c r="AH42" s="356" t="s">
        <v>246</v>
      </c>
    </row>
    <row r="43" spans="1:34">
      <c r="B43" s="408" t="s">
        <v>165</v>
      </c>
      <c r="C43" s="499"/>
      <c r="D43" s="499"/>
      <c r="E43" s="499"/>
      <c r="F43" s="499"/>
      <c r="G43" s="499"/>
      <c r="H43" s="499"/>
      <c r="I43" s="499"/>
      <c r="J43" s="499"/>
      <c r="K43" s="499"/>
      <c r="L43" s="499"/>
      <c r="M43" s="499"/>
      <c r="N43" s="499"/>
      <c r="O43" s="499"/>
      <c r="P43" s="499"/>
      <c r="Q43" s="499"/>
      <c r="R43" s="499"/>
      <c r="S43" s="499"/>
      <c r="T43" s="499"/>
      <c r="U43" s="499"/>
      <c r="V43" s="499"/>
      <c r="W43" s="499"/>
      <c r="X43" s="499"/>
      <c r="Y43" s="499"/>
      <c r="Z43" s="499"/>
      <c r="AA43" s="499"/>
      <c r="AB43" s="499"/>
      <c r="AC43" s="499"/>
      <c r="AD43" s="499"/>
      <c r="AE43" s="499"/>
      <c r="AF43" s="499"/>
      <c r="AG43" s="499"/>
      <c r="AH43" s="356" t="s">
        <v>246</v>
      </c>
    </row>
    <row r="44" spans="1:34">
      <c r="A44" s="364"/>
      <c r="C44" s="635" t="str">
        <f>IF(OR(C46&gt;0,C49&gt;0,C50&gt;0),"! Costs &gt; 0","")</f>
        <v/>
      </c>
      <c r="D44" s="635" t="str">
        <f t="shared" ref="D44:AG44" si="6">IF(OR(D46&gt;0,D49&gt;0,D50&gt;0),"! Costs &gt; 0","")</f>
        <v/>
      </c>
      <c r="E44" s="635" t="str">
        <f t="shared" si="6"/>
        <v/>
      </c>
      <c r="F44" s="635" t="str">
        <f t="shared" si="6"/>
        <v/>
      </c>
      <c r="G44" s="635" t="str">
        <f t="shared" si="6"/>
        <v/>
      </c>
      <c r="H44" s="635" t="str">
        <f t="shared" si="6"/>
        <v/>
      </c>
      <c r="I44" s="635" t="str">
        <f t="shared" si="6"/>
        <v/>
      </c>
      <c r="J44" s="635" t="str">
        <f t="shared" si="6"/>
        <v/>
      </c>
      <c r="K44" s="635" t="str">
        <f t="shared" si="6"/>
        <v/>
      </c>
      <c r="L44" s="635" t="str">
        <f t="shared" si="6"/>
        <v/>
      </c>
      <c r="M44" s="635" t="str">
        <f t="shared" si="6"/>
        <v/>
      </c>
      <c r="N44" s="635" t="str">
        <f t="shared" si="6"/>
        <v/>
      </c>
      <c r="O44" s="635" t="str">
        <f t="shared" si="6"/>
        <v/>
      </c>
      <c r="P44" s="635" t="str">
        <f t="shared" si="6"/>
        <v/>
      </c>
      <c r="Q44" s="635" t="str">
        <f t="shared" si="6"/>
        <v/>
      </c>
      <c r="R44" s="635" t="str">
        <f t="shared" si="6"/>
        <v/>
      </c>
      <c r="S44" s="635" t="str">
        <f t="shared" si="6"/>
        <v/>
      </c>
      <c r="T44" s="635" t="str">
        <f t="shared" si="6"/>
        <v/>
      </c>
      <c r="U44" s="635" t="str">
        <f t="shared" si="6"/>
        <v/>
      </c>
      <c r="V44" s="635" t="str">
        <f t="shared" si="6"/>
        <v/>
      </c>
      <c r="W44" s="635" t="str">
        <f t="shared" si="6"/>
        <v/>
      </c>
      <c r="X44" s="635" t="str">
        <f t="shared" si="6"/>
        <v/>
      </c>
      <c r="Y44" s="635" t="str">
        <f t="shared" si="6"/>
        <v/>
      </c>
      <c r="Z44" s="635" t="str">
        <f t="shared" si="6"/>
        <v/>
      </c>
      <c r="AA44" s="635" t="str">
        <f t="shared" si="6"/>
        <v/>
      </c>
      <c r="AB44" s="635" t="str">
        <f t="shared" si="6"/>
        <v/>
      </c>
      <c r="AC44" s="635" t="str">
        <f t="shared" si="6"/>
        <v/>
      </c>
      <c r="AD44" s="635" t="str">
        <f t="shared" si="6"/>
        <v/>
      </c>
      <c r="AE44" s="635" t="str">
        <f t="shared" si="6"/>
        <v/>
      </c>
      <c r="AF44" s="635" t="str">
        <f t="shared" si="6"/>
        <v/>
      </c>
      <c r="AG44" s="635" t="str">
        <f t="shared" si="6"/>
        <v/>
      </c>
      <c r="AH44" s="356" t="s">
        <v>246</v>
      </c>
    </row>
    <row r="45" spans="1:34" ht="13.8" thickBot="1">
      <c r="B45" s="407" t="s">
        <v>225</v>
      </c>
      <c r="C45" s="404">
        <f t="shared" ref="C45:AG45" si="7">C$32</f>
        <v>2017</v>
      </c>
      <c r="D45" s="404">
        <f t="shared" si="7"/>
        <v>2018</v>
      </c>
      <c r="E45" s="404">
        <f t="shared" si="7"/>
        <v>2019</v>
      </c>
      <c r="F45" s="404">
        <f t="shared" si="7"/>
        <v>2020</v>
      </c>
      <c r="G45" s="404">
        <f t="shared" si="7"/>
        <v>2021</v>
      </c>
      <c r="H45" s="404">
        <f t="shared" si="7"/>
        <v>2022</v>
      </c>
      <c r="I45" s="404">
        <f t="shared" si="7"/>
        <v>2023</v>
      </c>
      <c r="J45" s="404">
        <f t="shared" si="7"/>
        <v>2024</v>
      </c>
      <c r="K45" s="404">
        <f t="shared" si="7"/>
        <v>2025</v>
      </c>
      <c r="L45" s="404">
        <f t="shared" si="7"/>
        <v>2026</v>
      </c>
      <c r="M45" s="404">
        <f t="shared" si="7"/>
        <v>2027</v>
      </c>
      <c r="N45" s="404">
        <f t="shared" si="7"/>
        <v>2028</v>
      </c>
      <c r="O45" s="404">
        <f t="shared" si="7"/>
        <v>2029</v>
      </c>
      <c r="P45" s="404">
        <f t="shared" si="7"/>
        <v>2030</v>
      </c>
      <c r="Q45" s="404">
        <f t="shared" si="7"/>
        <v>2031</v>
      </c>
      <c r="R45" s="404">
        <f t="shared" si="7"/>
        <v>2032</v>
      </c>
      <c r="S45" s="404">
        <f t="shared" si="7"/>
        <v>2033</v>
      </c>
      <c r="T45" s="404">
        <f t="shared" si="7"/>
        <v>2034</v>
      </c>
      <c r="U45" s="404">
        <f t="shared" si="7"/>
        <v>2035</v>
      </c>
      <c r="V45" s="404">
        <f t="shared" si="7"/>
        <v>2036</v>
      </c>
      <c r="W45" s="404">
        <f t="shared" si="7"/>
        <v>2037</v>
      </c>
      <c r="X45" s="404">
        <f t="shared" si="7"/>
        <v>2038</v>
      </c>
      <c r="Y45" s="404">
        <f t="shared" si="7"/>
        <v>2039</v>
      </c>
      <c r="Z45" s="404">
        <f t="shared" si="7"/>
        <v>2040</v>
      </c>
      <c r="AA45" s="404">
        <f t="shared" si="7"/>
        <v>2041</v>
      </c>
      <c r="AB45" s="404">
        <f t="shared" si="7"/>
        <v>2042</v>
      </c>
      <c r="AC45" s="404">
        <f t="shared" si="7"/>
        <v>2043</v>
      </c>
      <c r="AD45" s="404">
        <f t="shared" si="7"/>
        <v>2044</v>
      </c>
      <c r="AE45" s="404">
        <f t="shared" si="7"/>
        <v>2045</v>
      </c>
      <c r="AF45" s="404">
        <f t="shared" si="7"/>
        <v>2046</v>
      </c>
      <c r="AG45" s="404">
        <f t="shared" si="7"/>
        <v>2047</v>
      </c>
      <c r="AH45" s="356" t="s">
        <v>246</v>
      </c>
    </row>
    <row r="46" spans="1:34" ht="13.8" thickTop="1">
      <c r="B46" s="408" t="s">
        <v>164</v>
      </c>
      <c r="C46" s="499"/>
      <c r="D46" s="499"/>
      <c r="E46" s="500"/>
      <c r="F46" s="500">
        <v>-15</v>
      </c>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499"/>
      <c r="AE46" s="499"/>
      <c r="AF46" s="499"/>
      <c r="AG46" s="499"/>
      <c r="AH46" s="356" t="s">
        <v>246</v>
      </c>
    </row>
    <row r="47" spans="1:34">
      <c r="B47" s="408" t="s">
        <v>790</v>
      </c>
      <c r="C47" s="1062"/>
      <c r="D47" s="1062"/>
      <c r="E47" s="1062"/>
      <c r="F47" s="1062">
        <v>2</v>
      </c>
      <c r="G47" s="1062"/>
      <c r="H47" s="1062"/>
      <c r="I47" s="1062"/>
      <c r="J47" s="1062"/>
      <c r="K47" s="1062"/>
      <c r="L47" s="1062"/>
      <c r="M47" s="1062"/>
      <c r="N47" s="1062"/>
      <c r="O47" s="1062"/>
      <c r="P47" s="1062"/>
      <c r="Q47" s="1062"/>
      <c r="R47" s="1062"/>
      <c r="S47" s="1062"/>
      <c r="T47" s="1062"/>
      <c r="U47" s="1062"/>
      <c r="V47" s="1062"/>
      <c r="W47" s="1062"/>
      <c r="X47" s="1062"/>
      <c r="Y47" s="1062"/>
      <c r="Z47" s="1062"/>
      <c r="AA47" s="1062"/>
      <c r="AB47" s="1062"/>
      <c r="AC47" s="1062"/>
      <c r="AD47" s="1062"/>
      <c r="AE47" s="1062"/>
      <c r="AF47" s="1062"/>
      <c r="AG47" s="1062"/>
      <c r="AH47" s="356" t="s">
        <v>246</v>
      </c>
    </row>
    <row r="48" spans="1:34">
      <c r="B48" s="408" t="s">
        <v>242</v>
      </c>
      <c r="C48" s="85">
        <f t="shared" ref="C48:AG48" si="8">C47*-$V$16</f>
        <v>0</v>
      </c>
      <c r="D48" s="85">
        <f t="shared" si="8"/>
        <v>0</v>
      </c>
      <c r="E48" s="85">
        <f t="shared" si="8"/>
        <v>0</v>
      </c>
      <c r="F48" s="85">
        <f t="shared" si="8"/>
        <v>-12</v>
      </c>
      <c r="G48" s="85">
        <f t="shared" si="8"/>
        <v>0</v>
      </c>
      <c r="H48" s="85">
        <f t="shared" si="8"/>
        <v>0</v>
      </c>
      <c r="I48" s="85">
        <f t="shared" si="8"/>
        <v>0</v>
      </c>
      <c r="J48" s="85">
        <f t="shared" si="8"/>
        <v>0</v>
      </c>
      <c r="K48" s="85">
        <f t="shared" si="8"/>
        <v>0</v>
      </c>
      <c r="L48" s="85">
        <f t="shared" si="8"/>
        <v>0</v>
      </c>
      <c r="M48" s="85">
        <f t="shared" si="8"/>
        <v>0</v>
      </c>
      <c r="N48" s="85">
        <f t="shared" si="8"/>
        <v>0</v>
      </c>
      <c r="O48" s="85">
        <f t="shared" si="8"/>
        <v>0</v>
      </c>
      <c r="P48" s="85">
        <f t="shared" si="8"/>
        <v>0</v>
      </c>
      <c r="Q48" s="85">
        <f t="shared" si="8"/>
        <v>0</v>
      </c>
      <c r="R48" s="85">
        <f t="shared" si="8"/>
        <v>0</v>
      </c>
      <c r="S48" s="85">
        <f t="shared" si="8"/>
        <v>0</v>
      </c>
      <c r="T48" s="85">
        <f t="shared" si="8"/>
        <v>0</v>
      </c>
      <c r="U48" s="85">
        <f t="shared" si="8"/>
        <v>0</v>
      </c>
      <c r="V48" s="85">
        <f t="shared" si="8"/>
        <v>0</v>
      </c>
      <c r="W48" s="85">
        <f t="shared" si="8"/>
        <v>0</v>
      </c>
      <c r="X48" s="85">
        <f t="shared" si="8"/>
        <v>0</v>
      </c>
      <c r="Y48" s="85">
        <f t="shared" si="8"/>
        <v>0</v>
      </c>
      <c r="Z48" s="85">
        <f t="shared" si="8"/>
        <v>0</v>
      </c>
      <c r="AA48" s="85">
        <f t="shared" si="8"/>
        <v>0</v>
      </c>
      <c r="AB48" s="85">
        <f t="shared" si="8"/>
        <v>0</v>
      </c>
      <c r="AC48" s="85">
        <f t="shared" si="8"/>
        <v>0</v>
      </c>
      <c r="AD48" s="85">
        <f t="shared" si="8"/>
        <v>0</v>
      </c>
      <c r="AE48" s="85">
        <f t="shared" si="8"/>
        <v>0</v>
      </c>
      <c r="AF48" s="85">
        <f t="shared" si="8"/>
        <v>0</v>
      </c>
      <c r="AG48" s="85">
        <f t="shared" si="8"/>
        <v>0</v>
      </c>
      <c r="AH48" s="356" t="s">
        <v>246</v>
      </c>
    </row>
    <row r="49" spans="2:34">
      <c r="B49" s="408" t="s">
        <v>1232</v>
      </c>
      <c r="C49" s="499"/>
      <c r="D49" s="499"/>
      <c r="E49" s="500"/>
      <c r="F49" s="500"/>
      <c r="G49" s="499"/>
      <c r="H49" s="499"/>
      <c r="I49" s="499"/>
      <c r="J49" s="499"/>
      <c r="K49" s="499"/>
      <c r="L49" s="499"/>
      <c r="M49" s="499"/>
      <c r="N49" s="499"/>
      <c r="O49" s="499"/>
      <c r="P49" s="499"/>
      <c r="Q49" s="499"/>
      <c r="R49" s="499"/>
      <c r="S49" s="499"/>
      <c r="T49" s="499"/>
      <c r="U49" s="499"/>
      <c r="V49" s="499"/>
      <c r="W49" s="499"/>
      <c r="X49" s="499"/>
      <c r="Y49" s="499"/>
      <c r="Z49" s="499"/>
      <c r="AA49" s="499"/>
      <c r="AB49" s="499"/>
      <c r="AC49" s="499"/>
      <c r="AD49" s="499"/>
      <c r="AE49" s="499"/>
      <c r="AF49" s="499"/>
      <c r="AG49" s="499"/>
      <c r="AH49" s="356" t="s">
        <v>246</v>
      </c>
    </row>
    <row r="50" spans="2:34">
      <c r="B50" s="408" t="s">
        <v>165</v>
      </c>
      <c r="C50" s="499"/>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499"/>
      <c r="AE50" s="499"/>
      <c r="AF50" s="499"/>
      <c r="AG50" s="499"/>
      <c r="AH50" s="356" t="s">
        <v>246</v>
      </c>
    </row>
    <row r="51" spans="2:34">
      <c r="C51" s="635" t="str">
        <f>IF(OR(C53&gt;0,C56&gt;0,C57&gt;0),"! Costs &gt; 0","")</f>
        <v/>
      </c>
      <c r="D51" s="635" t="str">
        <f t="shared" ref="D51:AG51" si="9">IF(OR(D53&gt;0,D56&gt;0,D57&gt;0),"! Costs &gt; 0","")</f>
        <v/>
      </c>
      <c r="E51" s="635" t="str">
        <f t="shared" si="9"/>
        <v/>
      </c>
      <c r="F51" s="635" t="str">
        <f t="shared" si="9"/>
        <v/>
      </c>
      <c r="G51" s="635" t="str">
        <f t="shared" si="9"/>
        <v/>
      </c>
      <c r="H51" s="635" t="str">
        <f t="shared" si="9"/>
        <v/>
      </c>
      <c r="I51" s="635" t="str">
        <f t="shared" si="9"/>
        <v/>
      </c>
      <c r="J51" s="635" t="str">
        <f t="shared" si="9"/>
        <v/>
      </c>
      <c r="K51" s="635" t="str">
        <f t="shared" si="9"/>
        <v/>
      </c>
      <c r="L51" s="635" t="str">
        <f t="shared" si="9"/>
        <v/>
      </c>
      <c r="M51" s="635" t="str">
        <f t="shared" si="9"/>
        <v/>
      </c>
      <c r="N51" s="635" t="str">
        <f t="shared" si="9"/>
        <v/>
      </c>
      <c r="O51" s="635" t="str">
        <f t="shared" si="9"/>
        <v/>
      </c>
      <c r="P51" s="635" t="str">
        <f t="shared" si="9"/>
        <v/>
      </c>
      <c r="Q51" s="635" t="str">
        <f t="shared" si="9"/>
        <v/>
      </c>
      <c r="R51" s="635" t="str">
        <f t="shared" si="9"/>
        <v/>
      </c>
      <c r="S51" s="635" t="str">
        <f t="shared" si="9"/>
        <v/>
      </c>
      <c r="T51" s="635" t="str">
        <f t="shared" si="9"/>
        <v/>
      </c>
      <c r="U51" s="635" t="str">
        <f t="shared" si="9"/>
        <v/>
      </c>
      <c r="V51" s="635" t="str">
        <f t="shared" si="9"/>
        <v/>
      </c>
      <c r="W51" s="635" t="str">
        <f t="shared" si="9"/>
        <v/>
      </c>
      <c r="X51" s="635" t="str">
        <f t="shared" si="9"/>
        <v/>
      </c>
      <c r="Y51" s="635" t="str">
        <f t="shared" si="9"/>
        <v/>
      </c>
      <c r="Z51" s="635" t="str">
        <f t="shared" si="9"/>
        <v/>
      </c>
      <c r="AA51" s="635" t="str">
        <f t="shared" si="9"/>
        <v/>
      </c>
      <c r="AB51" s="635" t="str">
        <f t="shared" si="9"/>
        <v/>
      </c>
      <c r="AC51" s="635" t="str">
        <f t="shared" si="9"/>
        <v/>
      </c>
      <c r="AD51" s="635" t="str">
        <f t="shared" si="9"/>
        <v/>
      </c>
      <c r="AE51" s="635" t="str">
        <f t="shared" si="9"/>
        <v/>
      </c>
      <c r="AF51" s="635" t="str">
        <f t="shared" si="9"/>
        <v/>
      </c>
      <c r="AG51" s="635" t="str">
        <f t="shared" si="9"/>
        <v/>
      </c>
      <c r="AH51" s="356" t="s">
        <v>246</v>
      </c>
    </row>
    <row r="52" spans="2:34" ht="13.8" thickBot="1">
      <c r="B52" s="407" t="s">
        <v>227</v>
      </c>
      <c r="C52" s="404">
        <f t="shared" ref="C52:AG52" si="10">C$32</f>
        <v>2017</v>
      </c>
      <c r="D52" s="404">
        <f t="shared" si="10"/>
        <v>2018</v>
      </c>
      <c r="E52" s="404">
        <f t="shared" si="10"/>
        <v>2019</v>
      </c>
      <c r="F52" s="404">
        <f t="shared" si="10"/>
        <v>2020</v>
      </c>
      <c r="G52" s="404">
        <f t="shared" si="10"/>
        <v>2021</v>
      </c>
      <c r="H52" s="404">
        <f t="shared" si="10"/>
        <v>2022</v>
      </c>
      <c r="I52" s="404">
        <f t="shared" si="10"/>
        <v>2023</v>
      </c>
      <c r="J52" s="404">
        <f t="shared" si="10"/>
        <v>2024</v>
      </c>
      <c r="K52" s="404">
        <f t="shared" si="10"/>
        <v>2025</v>
      </c>
      <c r="L52" s="404">
        <f t="shared" si="10"/>
        <v>2026</v>
      </c>
      <c r="M52" s="404">
        <f t="shared" si="10"/>
        <v>2027</v>
      </c>
      <c r="N52" s="404">
        <f t="shared" si="10"/>
        <v>2028</v>
      </c>
      <c r="O52" s="404">
        <f t="shared" si="10"/>
        <v>2029</v>
      </c>
      <c r="P52" s="404">
        <f t="shared" si="10"/>
        <v>2030</v>
      </c>
      <c r="Q52" s="404">
        <f t="shared" si="10"/>
        <v>2031</v>
      </c>
      <c r="R52" s="404">
        <f t="shared" si="10"/>
        <v>2032</v>
      </c>
      <c r="S52" s="404">
        <f t="shared" si="10"/>
        <v>2033</v>
      </c>
      <c r="T52" s="404">
        <f t="shared" si="10"/>
        <v>2034</v>
      </c>
      <c r="U52" s="404">
        <f t="shared" si="10"/>
        <v>2035</v>
      </c>
      <c r="V52" s="404">
        <f t="shared" si="10"/>
        <v>2036</v>
      </c>
      <c r="W52" s="404">
        <f t="shared" si="10"/>
        <v>2037</v>
      </c>
      <c r="X52" s="404">
        <f t="shared" si="10"/>
        <v>2038</v>
      </c>
      <c r="Y52" s="404">
        <f t="shared" si="10"/>
        <v>2039</v>
      </c>
      <c r="Z52" s="404">
        <f t="shared" si="10"/>
        <v>2040</v>
      </c>
      <c r="AA52" s="404">
        <f t="shared" si="10"/>
        <v>2041</v>
      </c>
      <c r="AB52" s="404">
        <f t="shared" si="10"/>
        <v>2042</v>
      </c>
      <c r="AC52" s="404">
        <f t="shared" si="10"/>
        <v>2043</v>
      </c>
      <c r="AD52" s="404">
        <f t="shared" si="10"/>
        <v>2044</v>
      </c>
      <c r="AE52" s="404">
        <f t="shared" si="10"/>
        <v>2045</v>
      </c>
      <c r="AF52" s="404">
        <f t="shared" si="10"/>
        <v>2046</v>
      </c>
      <c r="AG52" s="404">
        <f t="shared" si="10"/>
        <v>2047</v>
      </c>
      <c r="AH52" s="356" t="s">
        <v>246</v>
      </c>
    </row>
    <row r="53" spans="2:34" ht="13.8" thickTop="1">
      <c r="B53" s="408" t="s">
        <v>164</v>
      </c>
      <c r="C53" s="499"/>
      <c r="D53" s="500"/>
      <c r="E53" s="500"/>
      <c r="F53" s="500">
        <v>-10</v>
      </c>
      <c r="G53" s="500"/>
      <c r="H53" s="500"/>
      <c r="I53" s="500"/>
      <c r="J53" s="500"/>
      <c r="K53" s="500"/>
      <c r="L53" s="500"/>
      <c r="M53" s="500"/>
      <c r="N53" s="500"/>
      <c r="O53" s="500"/>
      <c r="P53" s="500"/>
      <c r="Q53" s="500"/>
      <c r="R53" s="500"/>
      <c r="S53" s="500"/>
      <c r="T53" s="500"/>
      <c r="U53" s="500"/>
      <c r="V53" s="500"/>
      <c r="W53" s="500"/>
      <c r="X53" s="500"/>
      <c r="Y53" s="500"/>
      <c r="Z53" s="500"/>
      <c r="AA53" s="500"/>
      <c r="AB53" s="500"/>
      <c r="AC53" s="500"/>
      <c r="AD53" s="500"/>
      <c r="AE53" s="500"/>
      <c r="AF53" s="500"/>
      <c r="AG53" s="500"/>
      <c r="AH53" s="356" t="s">
        <v>246</v>
      </c>
    </row>
    <row r="54" spans="2:34">
      <c r="B54" s="408" t="s">
        <v>789</v>
      </c>
      <c r="C54" s="1062"/>
      <c r="D54" s="1063"/>
      <c r="E54" s="1063"/>
      <c r="F54" s="1063"/>
      <c r="G54" s="1062">
        <v>2</v>
      </c>
      <c r="H54" s="1063"/>
      <c r="I54" s="1063"/>
      <c r="J54" s="1063"/>
      <c r="K54" s="1063"/>
      <c r="L54" s="1063"/>
      <c r="M54" s="1063"/>
      <c r="N54" s="1063"/>
      <c r="O54" s="1063"/>
      <c r="P54" s="1063"/>
      <c r="Q54" s="1063"/>
      <c r="R54" s="1063"/>
      <c r="S54" s="1063"/>
      <c r="T54" s="1063"/>
      <c r="U54" s="1063"/>
      <c r="V54" s="1063"/>
      <c r="W54" s="1063"/>
      <c r="X54" s="1063"/>
      <c r="Y54" s="1063"/>
      <c r="Z54" s="1063"/>
      <c r="AA54" s="1063"/>
      <c r="AB54" s="1063"/>
      <c r="AC54" s="1063"/>
      <c r="AD54" s="1063"/>
      <c r="AE54" s="1063"/>
      <c r="AF54" s="1063"/>
      <c r="AG54" s="1063"/>
      <c r="AH54" s="356" t="s">
        <v>246</v>
      </c>
    </row>
    <row r="55" spans="2:34">
      <c r="B55" s="408" t="s">
        <v>243</v>
      </c>
      <c r="C55" s="85">
        <f t="shared" ref="C55:AG55" si="11">C54*-$V$17</f>
        <v>0</v>
      </c>
      <c r="D55" s="85">
        <f t="shared" si="11"/>
        <v>0</v>
      </c>
      <c r="E55" s="85">
        <f t="shared" si="11"/>
        <v>0</v>
      </c>
      <c r="F55" s="85">
        <f t="shared" si="11"/>
        <v>0</v>
      </c>
      <c r="G55" s="85">
        <f t="shared" si="11"/>
        <v>-9</v>
      </c>
      <c r="H55" s="85">
        <f t="shared" si="11"/>
        <v>0</v>
      </c>
      <c r="I55" s="85">
        <f t="shared" si="11"/>
        <v>0</v>
      </c>
      <c r="J55" s="85">
        <f t="shared" si="11"/>
        <v>0</v>
      </c>
      <c r="K55" s="85">
        <f t="shared" si="11"/>
        <v>0</v>
      </c>
      <c r="L55" s="85">
        <f t="shared" si="11"/>
        <v>0</v>
      </c>
      <c r="M55" s="85">
        <f t="shared" si="11"/>
        <v>0</v>
      </c>
      <c r="N55" s="85">
        <f t="shared" si="11"/>
        <v>0</v>
      </c>
      <c r="O55" s="85">
        <f t="shared" si="11"/>
        <v>0</v>
      </c>
      <c r="P55" s="85">
        <f t="shared" si="11"/>
        <v>0</v>
      </c>
      <c r="Q55" s="85">
        <f t="shared" si="11"/>
        <v>0</v>
      </c>
      <c r="R55" s="85">
        <f t="shared" si="11"/>
        <v>0</v>
      </c>
      <c r="S55" s="85">
        <f t="shared" si="11"/>
        <v>0</v>
      </c>
      <c r="T55" s="85">
        <f t="shared" si="11"/>
        <v>0</v>
      </c>
      <c r="U55" s="85">
        <f t="shared" si="11"/>
        <v>0</v>
      </c>
      <c r="V55" s="85">
        <f t="shared" si="11"/>
        <v>0</v>
      </c>
      <c r="W55" s="85">
        <f t="shared" si="11"/>
        <v>0</v>
      </c>
      <c r="X55" s="85">
        <f t="shared" si="11"/>
        <v>0</v>
      </c>
      <c r="Y55" s="85">
        <f t="shared" si="11"/>
        <v>0</v>
      </c>
      <c r="Z55" s="85">
        <f t="shared" si="11"/>
        <v>0</v>
      </c>
      <c r="AA55" s="85">
        <f t="shared" si="11"/>
        <v>0</v>
      </c>
      <c r="AB55" s="85">
        <f t="shared" si="11"/>
        <v>0</v>
      </c>
      <c r="AC55" s="85">
        <f t="shared" si="11"/>
        <v>0</v>
      </c>
      <c r="AD55" s="85">
        <f t="shared" si="11"/>
        <v>0</v>
      </c>
      <c r="AE55" s="85">
        <f t="shared" si="11"/>
        <v>0</v>
      </c>
      <c r="AF55" s="85">
        <f t="shared" si="11"/>
        <v>0</v>
      </c>
      <c r="AG55" s="85">
        <f t="shared" si="11"/>
        <v>0</v>
      </c>
      <c r="AH55" s="356" t="s">
        <v>246</v>
      </c>
    </row>
    <row r="56" spans="2:34">
      <c r="B56" s="408" t="s">
        <v>1232</v>
      </c>
      <c r="C56" s="499"/>
      <c r="D56" s="499"/>
      <c r="E56" s="500"/>
      <c r="F56" s="500"/>
      <c r="G56" s="499"/>
      <c r="H56" s="499"/>
      <c r="I56" s="499"/>
      <c r="J56" s="499"/>
      <c r="K56" s="499"/>
      <c r="L56" s="499"/>
      <c r="M56" s="499"/>
      <c r="N56" s="499"/>
      <c r="O56" s="499"/>
      <c r="P56" s="499"/>
      <c r="Q56" s="499"/>
      <c r="R56" s="499"/>
      <c r="S56" s="499"/>
      <c r="T56" s="499"/>
      <c r="U56" s="499"/>
      <c r="V56" s="499"/>
      <c r="W56" s="499"/>
      <c r="X56" s="499"/>
      <c r="Y56" s="499"/>
      <c r="Z56" s="499"/>
      <c r="AA56" s="499"/>
      <c r="AB56" s="499"/>
      <c r="AC56" s="499"/>
      <c r="AD56" s="499"/>
      <c r="AE56" s="499"/>
      <c r="AF56" s="499"/>
      <c r="AG56" s="499"/>
      <c r="AH56" s="356" t="s">
        <v>246</v>
      </c>
    </row>
    <row r="57" spans="2:34">
      <c r="B57" s="408" t="s">
        <v>165</v>
      </c>
      <c r="C57" s="499"/>
      <c r="D57" s="499"/>
      <c r="E57" s="499"/>
      <c r="F57" s="499"/>
      <c r="G57" s="499"/>
      <c r="H57" s="499"/>
      <c r="I57" s="499"/>
      <c r="J57" s="499"/>
      <c r="K57" s="499"/>
      <c r="L57" s="499"/>
      <c r="M57" s="499"/>
      <c r="N57" s="499"/>
      <c r="O57" s="499"/>
      <c r="P57" s="499"/>
      <c r="Q57" s="499"/>
      <c r="R57" s="499"/>
      <c r="S57" s="499"/>
      <c r="T57" s="499"/>
      <c r="U57" s="499"/>
      <c r="V57" s="499"/>
      <c r="W57" s="499"/>
      <c r="X57" s="499"/>
      <c r="Y57" s="499"/>
      <c r="Z57" s="499"/>
      <c r="AA57" s="499"/>
      <c r="AB57" s="499"/>
      <c r="AC57" s="499"/>
      <c r="AD57" s="499"/>
      <c r="AE57" s="499"/>
      <c r="AF57" s="499"/>
      <c r="AG57" s="499"/>
      <c r="AH57" s="356" t="s">
        <v>246</v>
      </c>
    </row>
    <row r="58" spans="2:34">
      <c r="C58" s="635" t="str">
        <f>IF(OR(C60&gt;0,C61&gt;0,C64&gt;0,C65&gt;0,C66&gt;0,C67&gt;0),"! Costs &gt; 0","")</f>
        <v/>
      </c>
      <c r="D58" s="635" t="str">
        <f t="shared" ref="D58:AG58" si="12">IF(OR(D60&gt;0,D61&gt;0,D64&gt;0,D65&gt;0,D66&gt;0,D67&gt;0),"! Costs &gt; 0","")</f>
        <v/>
      </c>
      <c r="E58" s="635" t="str">
        <f t="shared" si="12"/>
        <v/>
      </c>
      <c r="F58" s="635" t="str">
        <f t="shared" si="12"/>
        <v/>
      </c>
      <c r="G58" s="635" t="str">
        <f t="shared" si="12"/>
        <v/>
      </c>
      <c r="H58" s="635" t="str">
        <f t="shared" si="12"/>
        <v/>
      </c>
      <c r="I58" s="635" t="str">
        <f t="shared" si="12"/>
        <v/>
      </c>
      <c r="J58" s="635" t="str">
        <f t="shared" si="12"/>
        <v/>
      </c>
      <c r="K58" s="635" t="str">
        <f t="shared" si="12"/>
        <v/>
      </c>
      <c r="L58" s="635" t="str">
        <f t="shared" si="12"/>
        <v/>
      </c>
      <c r="M58" s="635" t="str">
        <f t="shared" si="12"/>
        <v/>
      </c>
      <c r="N58" s="635" t="str">
        <f t="shared" si="12"/>
        <v/>
      </c>
      <c r="O58" s="635" t="str">
        <f t="shared" si="12"/>
        <v/>
      </c>
      <c r="P58" s="635" t="str">
        <f t="shared" si="12"/>
        <v/>
      </c>
      <c r="Q58" s="635" t="str">
        <f t="shared" si="12"/>
        <v/>
      </c>
      <c r="R58" s="635" t="str">
        <f t="shared" si="12"/>
        <v/>
      </c>
      <c r="S58" s="635" t="str">
        <f t="shared" si="12"/>
        <v/>
      </c>
      <c r="T58" s="635" t="str">
        <f t="shared" si="12"/>
        <v/>
      </c>
      <c r="U58" s="635" t="str">
        <f t="shared" si="12"/>
        <v/>
      </c>
      <c r="V58" s="635" t="str">
        <f t="shared" si="12"/>
        <v/>
      </c>
      <c r="W58" s="635" t="str">
        <f t="shared" si="12"/>
        <v/>
      </c>
      <c r="X58" s="635" t="str">
        <f t="shared" si="12"/>
        <v/>
      </c>
      <c r="Y58" s="635" t="str">
        <f t="shared" si="12"/>
        <v/>
      </c>
      <c r="Z58" s="635" t="str">
        <f t="shared" si="12"/>
        <v/>
      </c>
      <c r="AA58" s="635" t="str">
        <f t="shared" si="12"/>
        <v/>
      </c>
      <c r="AB58" s="635" t="str">
        <f t="shared" si="12"/>
        <v/>
      </c>
      <c r="AC58" s="635" t="str">
        <f t="shared" si="12"/>
        <v/>
      </c>
      <c r="AD58" s="635" t="str">
        <f t="shared" si="12"/>
        <v/>
      </c>
      <c r="AE58" s="635" t="str">
        <f t="shared" si="12"/>
        <v/>
      </c>
      <c r="AF58" s="635" t="str">
        <f t="shared" si="12"/>
        <v/>
      </c>
      <c r="AG58" s="635" t="str">
        <f t="shared" si="12"/>
        <v/>
      </c>
      <c r="AH58" s="356" t="s">
        <v>246</v>
      </c>
    </row>
    <row r="59" spans="2:34" ht="13.8" thickBot="1">
      <c r="B59" s="407" t="s">
        <v>239</v>
      </c>
      <c r="C59" s="404">
        <f t="shared" ref="C59:AG59" si="13">C$32</f>
        <v>2017</v>
      </c>
      <c r="D59" s="404">
        <f t="shared" si="13"/>
        <v>2018</v>
      </c>
      <c r="E59" s="404">
        <f t="shared" si="13"/>
        <v>2019</v>
      </c>
      <c r="F59" s="404">
        <f t="shared" si="13"/>
        <v>2020</v>
      </c>
      <c r="G59" s="404">
        <f t="shared" si="13"/>
        <v>2021</v>
      </c>
      <c r="H59" s="404">
        <f t="shared" si="13"/>
        <v>2022</v>
      </c>
      <c r="I59" s="404">
        <f t="shared" si="13"/>
        <v>2023</v>
      </c>
      <c r="J59" s="404">
        <f t="shared" si="13"/>
        <v>2024</v>
      </c>
      <c r="K59" s="404">
        <f t="shared" si="13"/>
        <v>2025</v>
      </c>
      <c r="L59" s="404">
        <f t="shared" si="13"/>
        <v>2026</v>
      </c>
      <c r="M59" s="404">
        <f t="shared" si="13"/>
        <v>2027</v>
      </c>
      <c r="N59" s="404">
        <f t="shared" si="13"/>
        <v>2028</v>
      </c>
      <c r="O59" s="404">
        <f t="shared" si="13"/>
        <v>2029</v>
      </c>
      <c r="P59" s="404">
        <f t="shared" si="13"/>
        <v>2030</v>
      </c>
      <c r="Q59" s="404">
        <f t="shared" si="13"/>
        <v>2031</v>
      </c>
      <c r="R59" s="404">
        <f t="shared" si="13"/>
        <v>2032</v>
      </c>
      <c r="S59" s="404">
        <f t="shared" si="13"/>
        <v>2033</v>
      </c>
      <c r="T59" s="404">
        <f t="shared" si="13"/>
        <v>2034</v>
      </c>
      <c r="U59" s="404">
        <f t="shared" si="13"/>
        <v>2035</v>
      </c>
      <c r="V59" s="404">
        <f t="shared" si="13"/>
        <v>2036</v>
      </c>
      <c r="W59" s="404">
        <f t="shared" si="13"/>
        <v>2037</v>
      </c>
      <c r="X59" s="404">
        <f t="shared" si="13"/>
        <v>2038</v>
      </c>
      <c r="Y59" s="404">
        <f t="shared" si="13"/>
        <v>2039</v>
      </c>
      <c r="Z59" s="404">
        <f t="shared" si="13"/>
        <v>2040</v>
      </c>
      <c r="AA59" s="404">
        <f t="shared" si="13"/>
        <v>2041</v>
      </c>
      <c r="AB59" s="404">
        <f t="shared" si="13"/>
        <v>2042</v>
      </c>
      <c r="AC59" s="404">
        <f t="shared" si="13"/>
        <v>2043</v>
      </c>
      <c r="AD59" s="404">
        <f t="shared" si="13"/>
        <v>2044</v>
      </c>
      <c r="AE59" s="404">
        <f t="shared" si="13"/>
        <v>2045</v>
      </c>
      <c r="AF59" s="404">
        <f t="shared" si="13"/>
        <v>2046</v>
      </c>
      <c r="AG59" s="404">
        <f t="shared" si="13"/>
        <v>2047</v>
      </c>
      <c r="AH59" s="356" t="s">
        <v>246</v>
      </c>
    </row>
    <row r="60" spans="2:34" ht="13.8" thickTop="1">
      <c r="B60" s="408" t="s">
        <v>244</v>
      </c>
      <c r="C60" s="499"/>
      <c r="D60" s="499"/>
      <c r="E60" s="499"/>
      <c r="F60" s="499"/>
      <c r="G60" s="499">
        <v>-20</v>
      </c>
      <c r="H60" s="499"/>
      <c r="I60" s="499"/>
      <c r="J60" s="499"/>
      <c r="K60" s="499"/>
      <c r="L60" s="499"/>
      <c r="M60" s="499"/>
      <c r="N60" s="499"/>
      <c r="O60" s="499"/>
      <c r="P60" s="499"/>
      <c r="Q60" s="499"/>
      <c r="R60" s="499"/>
      <c r="S60" s="499"/>
      <c r="T60" s="499"/>
      <c r="U60" s="499"/>
      <c r="V60" s="499"/>
      <c r="W60" s="499"/>
      <c r="X60" s="499"/>
      <c r="Y60" s="499"/>
      <c r="Z60" s="499"/>
      <c r="AA60" s="499"/>
      <c r="AB60" s="499"/>
      <c r="AC60" s="499"/>
      <c r="AD60" s="499"/>
      <c r="AE60" s="499"/>
      <c r="AF60" s="499"/>
      <c r="AG60" s="499"/>
      <c r="AH60" s="356" t="s">
        <v>246</v>
      </c>
    </row>
    <row r="61" spans="2:34">
      <c r="B61" s="408" t="s">
        <v>245</v>
      </c>
      <c r="C61" s="499"/>
      <c r="D61" s="499"/>
      <c r="E61" s="499"/>
      <c r="F61" s="499"/>
      <c r="G61" s="499">
        <v>-12</v>
      </c>
      <c r="H61" s="499"/>
      <c r="I61" s="499"/>
      <c r="J61" s="499"/>
      <c r="K61" s="499"/>
      <c r="L61" s="499"/>
      <c r="M61" s="499"/>
      <c r="N61" s="499"/>
      <c r="O61" s="499"/>
      <c r="P61" s="499"/>
      <c r="Q61" s="499"/>
      <c r="R61" s="499"/>
      <c r="S61" s="499"/>
      <c r="T61" s="499"/>
      <c r="U61" s="499"/>
      <c r="V61" s="499"/>
      <c r="W61" s="499"/>
      <c r="X61" s="499"/>
      <c r="Y61" s="499"/>
      <c r="Z61" s="499"/>
      <c r="AA61" s="499"/>
      <c r="AB61" s="499"/>
      <c r="AC61" s="499"/>
      <c r="AD61" s="499"/>
      <c r="AE61" s="499"/>
      <c r="AF61" s="499"/>
      <c r="AG61" s="499"/>
      <c r="AH61" s="356" t="s">
        <v>246</v>
      </c>
    </row>
    <row r="62" spans="2:34">
      <c r="B62" s="408" t="s">
        <v>788</v>
      </c>
      <c r="C62" s="1062"/>
      <c r="D62" s="1062"/>
      <c r="E62" s="1062"/>
      <c r="F62" s="1062"/>
      <c r="G62" s="1062"/>
      <c r="H62" s="1062"/>
      <c r="I62" s="1062">
        <v>1</v>
      </c>
      <c r="J62" s="1062">
        <v>2</v>
      </c>
      <c r="K62" s="1062"/>
      <c r="L62" s="1062"/>
      <c r="M62" s="1062"/>
      <c r="N62" s="1062"/>
      <c r="O62" s="1062"/>
      <c r="P62" s="1062"/>
      <c r="Q62" s="1062"/>
      <c r="R62" s="1062"/>
      <c r="S62" s="1062"/>
      <c r="T62" s="1062"/>
      <c r="U62" s="1062"/>
      <c r="V62" s="1062"/>
      <c r="W62" s="1062"/>
      <c r="X62" s="1062"/>
      <c r="Y62" s="1062"/>
      <c r="Z62" s="1062"/>
      <c r="AA62" s="1062"/>
      <c r="AB62" s="1062"/>
      <c r="AC62" s="1062"/>
      <c r="AD62" s="1062"/>
      <c r="AE62" s="1062"/>
      <c r="AF62" s="1062"/>
      <c r="AG62" s="1062"/>
      <c r="AH62" s="356" t="s">
        <v>246</v>
      </c>
    </row>
    <row r="63" spans="2:34">
      <c r="B63" s="408" t="s">
        <v>517</v>
      </c>
      <c r="C63" s="85">
        <f t="shared" ref="C63:AG63" si="14">C62*-$V$18</f>
        <v>0</v>
      </c>
      <c r="D63" s="85">
        <f t="shared" si="14"/>
        <v>0</v>
      </c>
      <c r="E63" s="85">
        <f t="shared" si="14"/>
        <v>0</v>
      </c>
      <c r="F63" s="85">
        <f t="shared" si="14"/>
        <v>0</v>
      </c>
      <c r="G63" s="85">
        <f t="shared" si="14"/>
        <v>0</v>
      </c>
      <c r="H63" s="85">
        <f t="shared" si="14"/>
        <v>0</v>
      </c>
      <c r="I63" s="85">
        <f t="shared" si="14"/>
        <v>-4</v>
      </c>
      <c r="J63" s="85">
        <f t="shared" si="14"/>
        <v>-8</v>
      </c>
      <c r="K63" s="85">
        <f t="shared" si="14"/>
        <v>0</v>
      </c>
      <c r="L63" s="85">
        <f t="shared" si="14"/>
        <v>0</v>
      </c>
      <c r="M63" s="85">
        <f t="shared" si="14"/>
        <v>0</v>
      </c>
      <c r="N63" s="85">
        <f t="shared" si="14"/>
        <v>0</v>
      </c>
      <c r="O63" s="85">
        <f t="shared" si="14"/>
        <v>0</v>
      </c>
      <c r="P63" s="85">
        <f t="shared" si="14"/>
        <v>0</v>
      </c>
      <c r="Q63" s="85">
        <f t="shared" si="14"/>
        <v>0</v>
      </c>
      <c r="R63" s="85">
        <f t="shared" si="14"/>
        <v>0</v>
      </c>
      <c r="S63" s="85">
        <f t="shared" si="14"/>
        <v>0</v>
      </c>
      <c r="T63" s="85">
        <f t="shared" si="14"/>
        <v>0</v>
      </c>
      <c r="U63" s="85">
        <f t="shared" si="14"/>
        <v>0</v>
      </c>
      <c r="V63" s="85">
        <f t="shared" si="14"/>
        <v>0</v>
      </c>
      <c r="W63" s="85">
        <f t="shared" si="14"/>
        <v>0</v>
      </c>
      <c r="X63" s="85">
        <f t="shared" si="14"/>
        <v>0</v>
      </c>
      <c r="Y63" s="85">
        <f t="shared" si="14"/>
        <v>0</v>
      </c>
      <c r="Z63" s="85">
        <f t="shared" si="14"/>
        <v>0</v>
      </c>
      <c r="AA63" s="85">
        <f t="shared" si="14"/>
        <v>0</v>
      </c>
      <c r="AB63" s="85">
        <f t="shared" si="14"/>
        <v>0</v>
      </c>
      <c r="AC63" s="85">
        <f t="shared" si="14"/>
        <v>0</v>
      </c>
      <c r="AD63" s="85">
        <f t="shared" si="14"/>
        <v>0</v>
      </c>
      <c r="AE63" s="85">
        <f t="shared" si="14"/>
        <v>0</v>
      </c>
      <c r="AF63" s="85">
        <f t="shared" si="14"/>
        <v>0</v>
      </c>
      <c r="AG63" s="85">
        <f t="shared" si="14"/>
        <v>0</v>
      </c>
      <c r="AH63" s="356" t="s">
        <v>246</v>
      </c>
    </row>
    <row r="64" spans="2:34">
      <c r="B64" s="408" t="s">
        <v>1232</v>
      </c>
      <c r="C64" s="499"/>
      <c r="D64" s="499"/>
      <c r="E64" s="500"/>
      <c r="F64" s="500"/>
      <c r="G64" s="499"/>
      <c r="H64" s="499"/>
      <c r="I64" s="499"/>
      <c r="J64" s="499"/>
      <c r="K64" s="499"/>
      <c r="L64" s="499"/>
      <c r="M64" s="499"/>
      <c r="N64" s="499"/>
      <c r="O64" s="499"/>
      <c r="P64" s="499"/>
      <c r="Q64" s="499"/>
      <c r="R64" s="499"/>
      <c r="S64" s="499"/>
      <c r="T64" s="499"/>
      <c r="U64" s="499"/>
      <c r="V64" s="499"/>
      <c r="W64" s="499"/>
      <c r="X64" s="499"/>
      <c r="Y64" s="499"/>
      <c r="Z64" s="499"/>
      <c r="AA64" s="499"/>
      <c r="AB64" s="499"/>
      <c r="AC64" s="499"/>
      <c r="AD64" s="499"/>
      <c r="AE64" s="499"/>
      <c r="AF64" s="499"/>
      <c r="AG64" s="499"/>
      <c r="AH64" s="356" t="s">
        <v>246</v>
      </c>
    </row>
    <row r="65" spans="1:34">
      <c r="B65" s="408" t="s">
        <v>498</v>
      </c>
      <c r="C65" s="499"/>
      <c r="D65" s="499"/>
      <c r="E65" s="499"/>
      <c r="F65" s="499"/>
      <c r="G65" s="499">
        <v>-80</v>
      </c>
      <c r="H65" s="499">
        <v>-65</v>
      </c>
      <c r="I65" s="499">
        <v>-50</v>
      </c>
      <c r="J65" s="499">
        <v>-20</v>
      </c>
      <c r="K65" s="499"/>
      <c r="L65" s="499"/>
      <c r="M65" s="499"/>
      <c r="N65" s="499"/>
      <c r="O65" s="499"/>
      <c r="P65" s="499"/>
      <c r="Q65" s="499"/>
      <c r="R65" s="499"/>
      <c r="S65" s="499"/>
      <c r="T65" s="499"/>
      <c r="U65" s="499"/>
      <c r="V65" s="499"/>
      <c r="W65" s="499"/>
      <c r="X65" s="499"/>
      <c r="Y65" s="499"/>
      <c r="Z65" s="499"/>
      <c r="AA65" s="499"/>
      <c r="AB65" s="499"/>
      <c r="AC65" s="499"/>
      <c r="AD65" s="499"/>
      <c r="AE65" s="499"/>
      <c r="AF65" s="499"/>
      <c r="AG65" s="499"/>
      <c r="AH65" s="356" t="s">
        <v>246</v>
      </c>
    </row>
    <row r="66" spans="1:34">
      <c r="B66" s="409" t="s">
        <v>241</v>
      </c>
      <c r="C66" s="499"/>
      <c r="D66" s="499"/>
      <c r="E66" s="499"/>
      <c r="F66" s="499"/>
      <c r="G66" s="499"/>
      <c r="H66" s="499"/>
      <c r="I66" s="499"/>
      <c r="J66" s="499"/>
      <c r="K66" s="499"/>
      <c r="L66" s="499"/>
      <c r="M66" s="499"/>
      <c r="N66" s="499"/>
      <c r="O66" s="499"/>
      <c r="P66" s="499"/>
      <c r="Q66" s="499"/>
      <c r="R66" s="499"/>
      <c r="S66" s="499"/>
      <c r="T66" s="499"/>
      <c r="U66" s="499"/>
      <c r="V66" s="499"/>
      <c r="W66" s="499"/>
      <c r="X66" s="499"/>
      <c r="Y66" s="499"/>
      <c r="Z66" s="499"/>
      <c r="AA66" s="499"/>
      <c r="AB66" s="499"/>
      <c r="AC66" s="499"/>
      <c r="AD66" s="499"/>
      <c r="AE66" s="499"/>
      <c r="AF66" s="499"/>
      <c r="AG66" s="499"/>
      <c r="AH66" s="356" t="s">
        <v>246</v>
      </c>
    </row>
    <row r="67" spans="1:34">
      <c r="B67" s="409" t="s">
        <v>165</v>
      </c>
      <c r="C67" s="499"/>
      <c r="D67" s="499"/>
      <c r="E67" s="499"/>
      <c r="F67" s="499"/>
      <c r="G67" s="499">
        <v>-10</v>
      </c>
      <c r="H67" s="499">
        <v>-15</v>
      </c>
      <c r="I67" s="499"/>
      <c r="J67" s="499"/>
      <c r="K67" s="499"/>
      <c r="L67" s="499"/>
      <c r="M67" s="499"/>
      <c r="N67" s="499"/>
      <c r="O67" s="499"/>
      <c r="P67" s="499"/>
      <c r="Q67" s="499"/>
      <c r="R67" s="499"/>
      <c r="S67" s="499"/>
      <c r="T67" s="499"/>
      <c r="U67" s="499"/>
      <c r="V67" s="499"/>
      <c r="W67" s="499"/>
      <c r="X67" s="499"/>
      <c r="Y67" s="499"/>
      <c r="Z67" s="499"/>
      <c r="AA67" s="499"/>
      <c r="AB67" s="499"/>
      <c r="AC67" s="499"/>
      <c r="AD67" s="499"/>
      <c r="AE67" s="499"/>
      <c r="AF67" s="499"/>
      <c r="AG67" s="499"/>
      <c r="AH67" s="356" t="s">
        <v>246</v>
      </c>
    </row>
    <row r="68" spans="1:34" s="411" customFormat="1">
      <c r="A68" s="356"/>
      <c r="B68" s="410"/>
      <c r="C68" s="635" t="str">
        <f>IF(OR(C70&gt;0,C71&gt;0,C74&gt;0,C75&gt;0,C76&gt;0,C77&gt;0),"! Costs &gt; 0","")</f>
        <v/>
      </c>
      <c r="D68" s="635" t="str">
        <f t="shared" ref="D68:AG68" si="15">IF(OR(D70&gt;0,D71&gt;0,D74&gt;0,D75&gt;0,D76&gt;0,D77&gt;0),"! Costs &gt; 0","")</f>
        <v/>
      </c>
      <c r="E68" s="635" t="str">
        <f t="shared" si="15"/>
        <v/>
      </c>
      <c r="F68" s="635" t="str">
        <f t="shared" si="15"/>
        <v/>
      </c>
      <c r="G68" s="635" t="str">
        <f t="shared" si="15"/>
        <v/>
      </c>
      <c r="H68" s="635" t="str">
        <f t="shared" si="15"/>
        <v/>
      </c>
      <c r="I68" s="635" t="str">
        <f t="shared" si="15"/>
        <v/>
      </c>
      <c r="J68" s="635" t="str">
        <f t="shared" si="15"/>
        <v/>
      </c>
      <c r="K68" s="635" t="str">
        <f t="shared" si="15"/>
        <v/>
      </c>
      <c r="L68" s="635" t="str">
        <f t="shared" si="15"/>
        <v/>
      </c>
      <c r="M68" s="635" t="str">
        <f t="shared" si="15"/>
        <v/>
      </c>
      <c r="N68" s="635" t="str">
        <f t="shared" si="15"/>
        <v/>
      </c>
      <c r="O68" s="635" t="str">
        <f t="shared" si="15"/>
        <v/>
      </c>
      <c r="P68" s="635" t="str">
        <f t="shared" si="15"/>
        <v/>
      </c>
      <c r="Q68" s="635" t="str">
        <f t="shared" si="15"/>
        <v/>
      </c>
      <c r="R68" s="635" t="str">
        <f t="shared" si="15"/>
        <v/>
      </c>
      <c r="S68" s="635" t="str">
        <f t="shared" si="15"/>
        <v/>
      </c>
      <c r="T68" s="635" t="str">
        <f t="shared" si="15"/>
        <v/>
      </c>
      <c r="U68" s="635" t="str">
        <f t="shared" si="15"/>
        <v/>
      </c>
      <c r="V68" s="635" t="str">
        <f t="shared" si="15"/>
        <v/>
      </c>
      <c r="W68" s="635" t="str">
        <f t="shared" si="15"/>
        <v/>
      </c>
      <c r="X68" s="635" t="str">
        <f t="shared" si="15"/>
        <v/>
      </c>
      <c r="Y68" s="635" t="str">
        <f t="shared" si="15"/>
        <v/>
      </c>
      <c r="Z68" s="635" t="str">
        <f t="shared" si="15"/>
        <v/>
      </c>
      <c r="AA68" s="635" t="str">
        <f t="shared" si="15"/>
        <v/>
      </c>
      <c r="AB68" s="635" t="str">
        <f t="shared" si="15"/>
        <v/>
      </c>
      <c r="AC68" s="635" t="str">
        <f t="shared" si="15"/>
        <v/>
      </c>
      <c r="AD68" s="635" t="str">
        <f t="shared" si="15"/>
        <v/>
      </c>
      <c r="AE68" s="635" t="str">
        <f t="shared" si="15"/>
        <v/>
      </c>
      <c r="AF68" s="635" t="str">
        <f t="shared" si="15"/>
        <v/>
      </c>
      <c r="AG68" s="635" t="str">
        <f t="shared" si="15"/>
        <v/>
      </c>
      <c r="AH68" s="356" t="s">
        <v>246</v>
      </c>
    </row>
    <row r="69" spans="1:34" ht="13.8" thickBot="1">
      <c r="B69" s="407" t="s">
        <v>240</v>
      </c>
      <c r="C69" s="404">
        <f t="shared" ref="C69:AG69" si="16">C$32</f>
        <v>2017</v>
      </c>
      <c r="D69" s="404">
        <f t="shared" si="16"/>
        <v>2018</v>
      </c>
      <c r="E69" s="404">
        <f t="shared" si="16"/>
        <v>2019</v>
      </c>
      <c r="F69" s="404">
        <f t="shared" si="16"/>
        <v>2020</v>
      </c>
      <c r="G69" s="404">
        <f t="shared" si="16"/>
        <v>2021</v>
      </c>
      <c r="H69" s="404">
        <f t="shared" si="16"/>
        <v>2022</v>
      </c>
      <c r="I69" s="404">
        <f t="shared" si="16"/>
        <v>2023</v>
      </c>
      <c r="J69" s="404">
        <f t="shared" si="16"/>
        <v>2024</v>
      </c>
      <c r="K69" s="404">
        <f t="shared" si="16"/>
        <v>2025</v>
      </c>
      <c r="L69" s="404">
        <f t="shared" si="16"/>
        <v>2026</v>
      </c>
      <c r="M69" s="404">
        <f t="shared" si="16"/>
        <v>2027</v>
      </c>
      <c r="N69" s="404">
        <f t="shared" si="16"/>
        <v>2028</v>
      </c>
      <c r="O69" s="404">
        <f t="shared" si="16"/>
        <v>2029</v>
      </c>
      <c r="P69" s="404">
        <f t="shared" si="16"/>
        <v>2030</v>
      </c>
      <c r="Q69" s="404">
        <f t="shared" si="16"/>
        <v>2031</v>
      </c>
      <c r="R69" s="404">
        <f t="shared" si="16"/>
        <v>2032</v>
      </c>
      <c r="S69" s="404">
        <f t="shared" si="16"/>
        <v>2033</v>
      </c>
      <c r="T69" s="404">
        <f t="shared" si="16"/>
        <v>2034</v>
      </c>
      <c r="U69" s="404">
        <f t="shared" si="16"/>
        <v>2035</v>
      </c>
      <c r="V69" s="404">
        <f t="shared" si="16"/>
        <v>2036</v>
      </c>
      <c r="W69" s="404">
        <f t="shared" si="16"/>
        <v>2037</v>
      </c>
      <c r="X69" s="404">
        <f t="shared" si="16"/>
        <v>2038</v>
      </c>
      <c r="Y69" s="404">
        <f t="shared" si="16"/>
        <v>2039</v>
      </c>
      <c r="Z69" s="404">
        <f t="shared" si="16"/>
        <v>2040</v>
      </c>
      <c r="AA69" s="404">
        <f t="shared" si="16"/>
        <v>2041</v>
      </c>
      <c r="AB69" s="404">
        <f t="shared" si="16"/>
        <v>2042</v>
      </c>
      <c r="AC69" s="404">
        <f t="shared" si="16"/>
        <v>2043</v>
      </c>
      <c r="AD69" s="404">
        <f t="shared" si="16"/>
        <v>2044</v>
      </c>
      <c r="AE69" s="404">
        <f t="shared" si="16"/>
        <v>2045</v>
      </c>
      <c r="AF69" s="404">
        <f t="shared" si="16"/>
        <v>2046</v>
      </c>
      <c r="AG69" s="404">
        <f t="shared" si="16"/>
        <v>2047</v>
      </c>
      <c r="AH69" s="356" t="s">
        <v>246</v>
      </c>
    </row>
    <row r="70" spans="1:34" ht="13.8" thickTop="1">
      <c r="B70" s="408" t="s">
        <v>244</v>
      </c>
      <c r="C70" s="499"/>
      <c r="D70" s="499"/>
      <c r="E70" s="499"/>
      <c r="F70" s="499"/>
      <c r="G70" s="499"/>
      <c r="H70" s="499"/>
      <c r="I70" s="499"/>
      <c r="J70" s="499"/>
      <c r="K70" s="499"/>
      <c r="L70" s="499"/>
      <c r="M70" s="499"/>
      <c r="N70" s="499"/>
      <c r="O70" s="499"/>
      <c r="P70" s="499"/>
      <c r="Q70" s="499"/>
      <c r="R70" s="499"/>
      <c r="S70" s="499"/>
      <c r="T70" s="499"/>
      <c r="U70" s="499"/>
      <c r="V70" s="499"/>
      <c r="W70" s="499"/>
      <c r="X70" s="499"/>
      <c r="Y70" s="499"/>
      <c r="Z70" s="499"/>
      <c r="AA70" s="499"/>
      <c r="AB70" s="499"/>
      <c r="AC70" s="499"/>
      <c r="AD70" s="499"/>
      <c r="AE70" s="499"/>
      <c r="AF70" s="499"/>
      <c r="AG70" s="499"/>
      <c r="AH70" s="356" t="s">
        <v>246</v>
      </c>
    </row>
    <row r="71" spans="1:34">
      <c r="B71" s="408" t="s">
        <v>245</v>
      </c>
      <c r="C71" s="499"/>
      <c r="D71" s="499"/>
      <c r="E71" s="499"/>
      <c r="F71" s="499"/>
      <c r="G71" s="499"/>
      <c r="H71" s="499"/>
      <c r="I71" s="499"/>
      <c r="J71" s="499"/>
      <c r="K71" s="499"/>
      <c r="L71" s="499"/>
      <c r="M71" s="499"/>
      <c r="N71" s="499"/>
      <c r="O71" s="499"/>
      <c r="P71" s="499"/>
      <c r="Q71" s="499"/>
      <c r="R71" s="499"/>
      <c r="S71" s="499"/>
      <c r="T71" s="499"/>
      <c r="U71" s="499"/>
      <c r="V71" s="499"/>
      <c r="W71" s="499"/>
      <c r="X71" s="499"/>
      <c r="Y71" s="499"/>
      <c r="Z71" s="499"/>
      <c r="AA71" s="499"/>
      <c r="AB71" s="499"/>
      <c r="AC71" s="499"/>
      <c r="AD71" s="499"/>
      <c r="AE71" s="499"/>
      <c r="AF71" s="499"/>
      <c r="AG71" s="499"/>
      <c r="AH71" s="356" t="s">
        <v>246</v>
      </c>
    </row>
    <row r="72" spans="1:34">
      <c r="B72" s="408" t="s">
        <v>787</v>
      </c>
      <c r="C72" s="1062"/>
      <c r="D72" s="1062"/>
      <c r="E72" s="1062"/>
      <c r="F72" s="1062"/>
      <c r="G72" s="1062"/>
      <c r="H72" s="1062"/>
      <c r="I72" s="1062"/>
      <c r="J72" s="1062"/>
      <c r="K72" s="1062">
        <v>2</v>
      </c>
      <c r="L72" s="1062">
        <v>2</v>
      </c>
      <c r="M72" s="1062">
        <v>2</v>
      </c>
      <c r="N72" s="1062">
        <v>2</v>
      </c>
      <c r="O72" s="1062"/>
      <c r="P72" s="1062"/>
      <c r="Q72" s="1062"/>
      <c r="R72" s="1062"/>
      <c r="S72" s="1062"/>
      <c r="T72" s="1062"/>
      <c r="U72" s="1062"/>
      <c r="V72" s="1062"/>
      <c r="W72" s="1062"/>
      <c r="X72" s="1062"/>
      <c r="Y72" s="1062"/>
      <c r="Z72" s="1062"/>
      <c r="AA72" s="1062"/>
      <c r="AB72" s="1062"/>
      <c r="AC72" s="1062"/>
      <c r="AD72" s="1062"/>
      <c r="AE72" s="1062"/>
      <c r="AF72" s="1062"/>
      <c r="AG72" s="1062"/>
      <c r="AH72" s="356" t="s">
        <v>246</v>
      </c>
    </row>
    <row r="73" spans="1:34">
      <c r="B73" s="408" t="s">
        <v>518</v>
      </c>
      <c r="C73" s="85">
        <f t="shared" ref="C73:AG73" si="17">C72*-$V$18</f>
        <v>0</v>
      </c>
      <c r="D73" s="85">
        <f t="shared" si="17"/>
        <v>0</v>
      </c>
      <c r="E73" s="85">
        <f t="shared" si="17"/>
        <v>0</v>
      </c>
      <c r="F73" s="85">
        <f t="shared" si="17"/>
        <v>0</v>
      </c>
      <c r="G73" s="85">
        <f t="shared" si="17"/>
        <v>0</v>
      </c>
      <c r="H73" s="85">
        <f t="shared" si="17"/>
        <v>0</v>
      </c>
      <c r="I73" s="85">
        <f t="shared" si="17"/>
        <v>0</v>
      </c>
      <c r="J73" s="85">
        <f t="shared" si="17"/>
        <v>0</v>
      </c>
      <c r="K73" s="85">
        <f t="shared" si="17"/>
        <v>-8</v>
      </c>
      <c r="L73" s="85">
        <f t="shared" si="17"/>
        <v>-8</v>
      </c>
      <c r="M73" s="85">
        <f t="shared" si="17"/>
        <v>-8</v>
      </c>
      <c r="N73" s="85">
        <f t="shared" si="17"/>
        <v>-8</v>
      </c>
      <c r="O73" s="85">
        <f t="shared" si="17"/>
        <v>0</v>
      </c>
      <c r="P73" s="85">
        <f t="shared" si="17"/>
        <v>0</v>
      </c>
      <c r="Q73" s="85">
        <f t="shared" si="17"/>
        <v>0</v>
      </c>
      <c r="R73" s="85">
        <f t="shared" si="17"/>
        <v>0</v>
      </c>
      <c r="S73" s="85">
        <f t="shared" si="17"/>
        <v>0</v>
      </c>
      <c r="T73" s="85">
        <f t="shared" si="17"/>
        <v>0</v>
      </c>
      <c r="U73" s="85">
        <f t="shared" si="17"/>
        <v>0</v>
      </c>
      <c r="V73" s="85">
        <f t="shared" si="17"/>
        <v>0</v>
      </c>
      <c r="W73" s="85">
        <f t="shared" si="17"/>
        <v>0</v>
      </c>
      <c r="X73" s="85">
        <f t="shared" si="17"/>
        <v>0</v>
      </c>
      <c r="Y73" s="85">
        <f t="shared" si="17"/>
        <v>0</v>
      </c>
      <c r="Z73" s="85">
        <f t="shared" si="17"/>
        <v>0</v>
      </c>
      <c r="AA73" s="85">
        <f t="shared" si="17"/>
        <v>0</v>
      </c>
      <c r="AB73" s="85">
        <f t="shared" si="17"/>
        <v>0</v>
      </c>
      <c r="AC73" s="85">
        <f t="shared" si="17"/>
        <v>0</v>
      </c>
      <c r="AD73" s="85">
        <f t="shared" si="17"/>
        <v>0</v>
      </c>
      <c r="AE73" s="85">
        <f t="shared" si="17"/>
        <v>0</v>
      </c>
      <c r="AF73" s="85">
        <f t="shared" si="17"/>
        <v>0</v>
      </c>
      <c r="AG73" s="85">
        <f t="shared" si="17"/>
        <v>0</v>
      </c>
      <c r="AH73" s="356" t="s">
        <v>246</v>
      </c>
    </row>
    <row r="74" spans="1:34">
      <c r="B74" s="408" t="s">
        <v>1232</v>
      </c>
      <c r="C74" s="499"/>
      <c r="D74" s="499"/>
      <c r="E74" s="500"/>
      <c r="F74" s="500"/>
      <c r="G74" s="499"/>
      <c r="H74" s="499"/>
      <c r="I74" s="499"/>
      <c r="J74" s="499"/>
      <c r="K74" s="499"/>
      <c r="L74" s="499"/>
      <c r="M74" s="499"/>
      <c r="N74" s="499"/>
      <c r="O74" s="499"/>
      <c r="P74" s="499"/>
      <c r="Q74" s="499"/>
      <c r="R74" s="499"/>
      <c r="S74" s="499"/>
      <c r="T74" s="499"/>
      <c r="U74" s="499"/>
      <c r="V74" s="499"/>
      <c r="W74" s="499"/>
      <c r="X74" s="499"/>
      <c r="Y74" s="499"/>
      <c r="Z74" s="499"/>
      <c r="AA74" s="499"/>
      <c r="AB74" s="499"/>
      <c r="AC74" s="499"/>
      <c r="AD74" s="499"/>
      <c r="AE74" s="499"/>
      <c r="AF74" s="499"/>
      <c r="AG74" s="499"/>
      <c r="AH74" s="356" t="s">
        <v>246</v>
      </c>
    </row>
    <row r="75" spans="1:34">
      <c r="B75" s="408" t="s">
        <v>1527</v>
      </c>
      <c r="C75" s="499"/>
      <c r="D75" s="499"/>
      <c r="E75" s="499"/>
      <c r="F75" s="499"/>
      <c r="G75" s="499"/>
      <c r="H75" s="499"/>
      <c r="I75" s="499"/>
      <c r="J75" s="499"/>
      <c r="K75" s="499"/>
      <c r="L75" s="499"/>
      <c r="M75" s="499"/>
      <c r="N75" s="499"/>
      <c r="O75" s="499"/>
      <c r="P75" s="499"/>
      <c r="Q75" s="499"/>
      <c r="R75" s="499"/>
      <c r="S75" s="499"/>
      <c r="T75" s="499"/>
      <c r="U75" s="499"/>
      <c r="V75" s="499"/>
      <c r="W75" s="499">
        <v>-20</v>
      </c>
      <c r="X75" s="499"/>
      <c r="Y75" s="499"/>
      <c r="Z75" s="499"/>
      <c r="AA75" s="499"/>
      <c r="AB75" s="499"/>
      <c r="AC75" s="499"/>
      <c r="AD75" s="499"/>
      <c r="AE75" s="499"/>
      <c r="AF75" s="499"/>
      <c r="AG75" s="499"/>
      <c r="AH75" s="356" t="s">
        <v>246</v>
      </c>
    </row>
    <row r="76" spans="1:34">
      <c r="B76" s="408" t="s">
        <v>247</v>
      </c>
      <c r="C76" s="499"/>
      <c r="D76" s="499"/>
      <c r="E76" s="499"/>
      <c r="F76" s="499"/>
      <c r="G76" s="499"/>
      <c r="H76" s="499"/>
      <c r="I76" s="499"/>
      <c r="J76" s="499"/>
      <c r="K76" s="499">
        <v>-10</v>
      </c>
      <c r="L76" s="499">
        <v>-5</v>
      </c>
      <c r="M76" s="499"/>
      <c r="N76" s="499"/>
      <c r="O76" s="499"/>
      <c r="P76" s="499"/>
      <c r="Q76" s="499"/>
      <c r="R76" s="499"/>
      <c r="S76" s="499"/>
      <c r="T76" s="499"/>
      <c r="U76" s="499"/>
      <c r="V76" s="499"/>
      <c r="W76" s="499"/>
      <c r="X76" s="499"/>
      <c r="Y76" s="499"/>
      <c r="Z76" s="499"/>
      <c r="AA76" s="499"/>
      <c r="AB76" s="499"/>
      <c r="AC76" s="499"/>
      <c r="AD76" s="499"/>
      <c r="AE76" s="499"/>
      <c r="AF76" s="499"/>
      <c r="AG76" s="499"/>
      <c r="AH76" s="356" t="s">
        <v>246</v>
      </c>
    </row>
    <row r="77" spans="1:34">
      <c r="B77" s="408" t="s">
        <v>165</v>
      </c>
      <c r="C77" s="499"/>
      <c r="D77" s="499"/>
      <c r="E77" s="499"/>
      <c r="F77" s="499"/>
      <c r="G77" s="499"/>
      <c r="H77" s="499"/>
      <c r="I77" s="499"/>
      <c r="J77" s="499"/>
      <c r="K77" s="499"/>
      <c r="L77" s="499"/>
      <c r="M77" s="499"/>
      <c r="N77" s="499"/>
      <c r="O77" s="499"/>
      <c r="P77" s="499"/>
      <c r="Q77" s="499"/>
      <c r="R77" s="499"/>
      <c r="S77" s="499"/>
      <c r="T77" s="499"/>
      <c r="U77" s="499"/>
      <c r="V77" s="499"/>
      <c r="W77" s="499"/>
      <c r="X77" s="499"/>
      <c r="Y77" s="499"/>
      <c r="Z77" s="499"/>
      <c r="AA77" s="499"/>
      <c r="AB77" s="499"/>
      <c r="AC77" s="499"/>
      <c r="AD77" s="499"/>
      <c r="AE77" s="499"/>
      <c r="AF77" s="499"/>
      <c r="AG77" s="499"/>
      <c r="AH77" s="356" t="s">
        <v>246</v>
      </c>
    </row>
    <row r="78" spans="1:34" s="411" customFormat="1">
      <c r="A78" s="356"/>
      <c r="B78" s="410"/>
      <c r="C78" s="358"/>
      <c r="D78" s="358"/>
      <c r="E78" s="358"/>
      <c r="F78" s="358"/>
      <c r="G78" s="358"/>
      <c r="H78" s="358"/>
      <c r="I78" s="358"/>
      <c r="J78" s="358"/>
      <c r="K78" s="358"/>
      <c r="L78" s="358"/>
      <c r="M78" s="358"/>
      <c r="N78" s="358"/>
      <c r="O78" s="358"/>
      <c r="P78" s="358"/>
      <c r="Q78" s="358"/>
      <c r="R78" s="358"/>
      <c r="S78" s="358"/>
      <c r="T78" s="358"/>
      <c r="U78" s="358"/>
      <c r="V78" s="358"/>
      <c r="W78" s="358"/>
      <c r="X78" s="358"/>
      <c r="Y78" s="358"/>
      <c r="Z78" s="358"/>
      <c r="AA78" s="358"/>
      <c r="AB78" s="358"/>
      <c r="AC78" s="358"/>
      <c r="AD78" s="358"/>
      <c r="AE78" s="358"/>
      <c r="AF78" s="358"/>
      <c r="AG78" s="358"/>
      <c r="AH78" s="356" t="s">
        <v>246</v>
      </c>
    </row>
    <row r="79" spans="1:34" s="411" customFormat="1">
      <c r="A79" s="356"/>
      <c r="B79" s="420" t="s">
        <v>507</v>
      </c>
      <c r="C79" s="425">
        <f>SUM(C40,C41,C42,C43,C46,C48:C50,C53,C55:C57,C60:C61,C63:C67,C70:C71,C73:C77)</f>
        <v>-15.5</v>
      </c>
      <c r="D79" s="425">
        <f t="shared" ref="D79:AG79" si="18">SUM(D40,D41,D42,D43,D46,D48:D50,D53,D55:D57,D60:D61,D63:D67,D70:D71,D73:D77)</f>
        <v>-11</v>
      </c>
      <c r="E79" s="425">
        <f t="shared" si="18"/>
        <v>-5</v>
      </c>
      <c r="F79" s="425">
        <f t="shared" si="18"/>
        <v>-37</v>
      </c>
      <c r="G79" s="425">
        <f t="shared" si="18"/>
        <v>-131</v>
      </c>
      <c r="H79" s="425">
        <f t="shared" si="18"/>
        <v>-80</v>
      </c>
      <c r="I79" s="425">
        <f t="shared" si="18"/>
        <v>-54</v>
      </c>
      <c r="J79" s="425">
        <f t="shared" si="18"/>
        <v>-28</v>
      </c>
      <c r="K79" s="425">
        <f t="shared" si="18"/>
        <v>-18</v>
      </c>
      <c r="L79" s="425">
        <f t="shared" si="18"/>
        <v>-13</v>
      </c>
      <c r="M79" s="425">
        <f t="shared" si="18"/>
        <v>-8</v>
      </c>
      <c r="N79" s="425">
        <f t="shared" si="18"/>
        <v>-8</v>
      </c>
      <c r="O79" s="425">
        <f t="shared" si="18"/>
        <v>0</v>
      </c>
      <c r="P79" s="425">
        <f t="shared" si="18"/>
        <v>0</v>
      </c>
      <c r="Q79" s="425">
        <f t="shared" si="18"/>
        <v>0</v>
      </c>
      <c r="R79" s="425">
        <f t="shared" si="18"/>
        <v>0</v>
      </c>
      <c r="S79" s="425">
        <f t="shared" si="18"/>
        <v>0</v>
      </c>
      <c r="T79" s="425">
        <f t="shared" si="18"/>
        <v>0</v>
      </c>
      <c r="U79" s="425">
        <f t="shared" si="18"/>
        <v>0</v>
      </c>
      <c r="V79" s="425">
        <f t="shared" si="18"/>
        <v>0</v>
      </c>
      <c r="W79" s="425">
        <f t="shared" si="18"/>
        <v>-20</v>
      </c>
      <c r="X79" s="425">
        <f t="shared" si="18"/>
        <v>0</v>
      </c>
      <c r="Y79" s="425">
        <f t="shared" si="18"/>
        <v>0</v>
      </c>
      <c r="Z79" s="425">
        <f t="shared" si="18"/>
        <v>0</v>
      </c>
      <c r="AA79" s="425">
        <f t="shared" si="18"/>
        <v>0</v>
      </c>
      <c r="AB79" s="425">
        <f t="shared" si="18"/>
        <v>0</v>
      </c>
      <c r="AC79" s="425">
        <f t="shared" si="18"/>
        <v>0</v>
      </c>
      <c r="AD79" s="425">
        <f t="shared" si="18"/>
        <v>0</v>
      </c>
      <c r="AE79" s="425">
        <f t="shared" si="18"/>
        <v>0</v>
      </c>
      <c r="AF79" s="425">
        <f t="shared" si="18"/>
        <v>0</v>
      </c>
      <c r="AG79" s="425">
        <f t="shared" si="18"/>
        <v>0</v>
      </c>
      <c r="AH79" s="356" t="s">
        <v>246</v>
      </c>
    </row>
    <row r="80" spans="1:34" s="411" customFormat="1">
      <c r="A80" s="356"/>
      <c r="B80" s="410"/>
      <c r="C80" s="635" t="str">
        <f>IF(OR(C82&gt;0,C83&gt;0),"! Costs &gt; 0","")</f>
        <v/>
      </c>
      <c r="D80" s="635" t="str">
        <f t="shared" ref="D80:AG80" si="19">IF(OR(D82&gt;0,D83&gt;0),"! Costs &gt; 0","")</f>
        <v/>
      </c>
      <c r="E80" s="635" t="str">
        <f t="shared" si="19"/>
        <v/>
      </c>
      <c r="F80" s="635" t="str">
        <f t="shared" si="19"/>
        <v/>
      </c>
      <c r="G80" s="635" t="str">
        <f t="shared" si="19"/>
        <v/>
      </c>
      <c r="H80" s="635" t="str">
        <f t="shared" si="19"/>
        <v/>
      </c>
      <c r="I80" s="635" t="str">
        <f t="shared" si="19"/>
        <v/>
      </c>
      <c r="J80" s="635" t="str">
        <f t="shared" si="19"/>
        <v/>
      </c>
      <c r="K80" s="635" t="str">
        <f t="shared" si="19"/>
        <v/>
      </c>
      <c r="L80" s="635" t="str">
        <f t="shared" si="19"/>
        <v/>
      </c>
      <c r="M80" s="635" t="str">
        <f t="shared" si="19"/>
        <v/>
      </c>
      <c r="N80" s="635" t="str">
        <f t="shared" si="19"/>
        <v/>
      </c>
      <c r="O80" s="635" t="str">
        <f t="shared" si="19"/>
        <v/>
      </c>
      <c r="P80" s="635" t="str">
        <f t="shared" si="19"/>
        <v/>
      </c>
      <c r="Q80" s="635" t="str">
        <f t="shared" si="19"/>
        <v/>
      </c>
      <c r="R80" s="635" t="str">
        <f t="shared" si="19"/>
        <v/>
      </c>
      <c r="S80" s="635" t="str">
        <f t="shared" si="19"/>
        <v/>
      </c>
      <c r="T80" s="635" t="str">
        <f t="shared" si="19"/>
        <v/>
      </c>
      <c r="U80" s="635" t="str">
        <f t="shared" si="19"/>
        <v/>
      </c>
      <c r="V80" s="635" t="str">
        <f t="shared" si="19"/>
        <v/>
      </c>
      <c r="W80" s="635" t="str">
        <f t="shared" si="19"/>
        <v/>
      </c>
      <c r="X80" s="635" t="str">
        <f t="shared" si="19"/>
        <v/>
      </c>
      <c r="Y80" s="635" t="str">
        <f t="shared" si="19"/>
        <v/>
      </c>
      <c r="Z80" s="635" t="str">
        <f t="shared" si="19"/>
        <v/>
      </c>
      <c r="AA80" s="635" t="str">
        <f t="shared" si="19"/>
        <v/>
      </c>
      <c r="AB80" s="635" t="str">
        <f t="shared" si="19"/>
        <v/>
      </c>
      <c r="AC80" s="635" t="str">
        <f t="shared" si="19"/>
        <v/>
      </c>
      <c r="AD80" s="635" t="str">
        <f t="shared" si="19"/>
        <v/>
      </c>
      <c r="AE80" s="635" t="str">
        <f t="shared" si="19"/>
        <v/>
      </c>
      <c r="AF80" s="635" t="str">
        <f t="shared" si="19"/>
        <v/>
      </c>
      <c r="AG80" s="635" t="str">
        <f t="shared" si="19"/>
        <v/>
      </c>
      <c r="AH80" s="356" t="s">
        <v>246</v>
      </c>
    </row>
    <row r="81" spans="1:34" ht="13.8" thickBot="1">
      <c r="A81" s="364"/>
      <c r="B81" s="412" t="s">
        <v>476</v>
      </c>
      <c r="C81" s="404">
        <f t="shared" ref="C81:AG81" si="20">C$32</f>
        <v>2017</v>
      </c>
      <c r="D81" s="404">
        <f t="shared" si="20"/>
        <v>2018</v>
      </c>
      <c r="E81" s="404">
        <f t="shared" si="20"/>
        <v>2019</v>
      </c>
      <c r="F81" s="404">
        <f t="shared" si="20"/>
        <v>2020</v>
      </c>
      <c r="G81" s="404">
        <f t="shared" si="20"/>
        <v>2021</v>
      </c>
      <c r="H81" s="404">
        <f t="shared" si="20"/>
        <v>2022</v>
      </c>
      <c r="I81" s="404">
        <f t="shared" si="20"/>
        <v>2023</v>
      </c>
      <c r="J81" s="404">
        <f t="shared" si="20"/>
        <v>2024</v>
      </c>
      <c r="K81" s="404">
        <f t="shared" si="20"/>
        <v>2025</v>
      </c>
      <c r="L81" s="404">
        <f t="shared" si="20"/>
        <v>2026</v>
      </c>
      <c r="M81" s="404">
        <f t="shared" si="20"/>
        <v>2027</v>
      </c>
      <c r="N81" s="404">
        <f t="shared" si="20"/>
        <v>2028</v>
      </c>
      <c r="O81" s="404">
        <f t="shared" si="20"/>
        <v>2029</v>
      </c>
      <c r="P81" s="404">
        <f t="shared" si="20"/>
        <v>2030</v>
      </c>
      <c r="Q81" s="404">
        <f t="shared" si="20"/>
        <v>2031</v>
      </c>
      <c r="R81" s="404">
        <f t="shared" si="20"/>
        <v>2032</v>
      </c>
      <c r="S81" s="404">
        <f t="shared" si="20"/>
        <v>2033</v>
      </c>
      <c r="T81" s="404">
        <f t="shared" si="20"/>
        <v>2034</v>
      </c>
      <c r="U81" s="404">
        <f t="shared" si="20"/>
        <v>2035</v>
      </c>
      <c r="V81" s="404">
        <f t="shared" si="20"/>
        <v>2036</v>
      </c>
      <c r="W81" s="404">
        <f t="shared" si="20"/>
        <v>2037</v>
      </c>
      <c r="X81" s="404">
        <f t="shared" si="20"/>
        <v>2038</v>
      </c>
      <c r="Y81" s="404">
        <f t="shared" si="20"/>
        <v>2039</v>
      </c>
      <c r="Z81" s="404">
        <f t="shared" si="20"/>
        <v>2040</v>
      </c>
      <c r="AA81" s="404">
        <f t="shared" si="20"/>
        <v>2041</v>
      </c>
      <c r="AB81" s="404">
        <f t="shared" si="20"/>
        <v>2042</v>
      </c>
      <c r="AC81" s="404">
        <f t="shared" si="20"/>
        <v>2043</v>
      </c>
      <c r="AD81" s="404">
        <f t="shared" si="20"/>
        <v>2044</v>
      </c>
      <c r="AE81" s="404">
        <f t="shared" si="20"/>
        <v>2045</v>
      </c>
      <c r="AF81" s="404">
        <f t="shared" si="20"/>
        <v>2046</v>
      </c>
      <c r="AG81" s="404">
        <f t="shared" si="20"/>
        <v>2047</v>
      </c>
      <c r="AH81" s="356" t="s">
        <v>246</v>
      </c>
    </row>
    <row r="82" spans="1:34" ht="13.8" thickTop="1">
      <c r="A82" s="364"/>
      <c r="B82" s="413" t="s">
        <v>248</v>
      </c>
      <c r="C82" s="499">
        <v>-1</v>
      </c>
      <c r="D82" s="499">
        <v>-1</v>
      </c>
      <c r="E82" s="499">
        <v>-1</v>
      </c>
      <c r="F82" s="499">
        <v>-2</v>
      </c>
      <c r="G82" s="499">
        <v>-2</v>
      </c>
      <c r="H82" s="499">
        <v>-2</v>
      </c>
      <c r="I82" s="499">
        <v>-3</v>
      </c>
      <c r="J82" s="499">
        <v>-3</v>
      </c>
      <c r="K82" s="499">
        <v>-3</v>
      </c>
      <c r="L82" s="499">
        <v>-3</v>
      </c>
      <c r="M82" s="499">
        <v>-3</v>
      </c>
      <c r="N82" s="499">
        <v>-3</v>
      </c>
      <c r="O82" s="499">
        <v>-3</v>
      </c>
      <c r="P82" s="499">
        <v>-3</v>
      </c>
      <c r="Q82" s="499">
        <v>-3</v>
      </c>
      <c r="R82" s="499">
        <v>-3</v>
      </c>
      <c r="S82" s="499">
        <v>-3</v>
      </c>
      <c r="T82" s="499">
        <v>-3</v>
      </c>
      <c r="U82" s="499">
        <v>-3</v>
      </c>
      <c r="V82" s="499">
        <v>-3</v>
      </c>
      <c r="W82" s="499">
        <v>-3</v>
      </c>
      <c r="X82" s="499">
        <v>-3</v>
      </c>
      <c r="Y82" s="499">
        <v>-3</v>
      </c>
      <c r="Z82" s="499">
        <v>-3</v>
      </c>
      <c r="AA82" s="499">
        <v>-3</v>
      </c>
      <c r="AB82" s="499">
        <v>-3</v>
      </c>
      <c r="AC82" s="499">
        <v>-3</v>
      </c>
      <c r="AD82" s="499">
        <v>-3</v>
      </c>
      <c r="AE82" s="499">
        <v>-3</v>
      </c>
      <c r="AF82" s="499">
        <v>-3</v>
      </c>
      <c r="AG82" s="499">
        <v>-3</v>
      </c>
      <c r="AH82" s="356" t="s">
        <v>246</v>
      </c>
    </row>
    <row r="83" spans="1:34">
      <c r="B83" s="413" t="s">
        <v>1344</v>
      </c>
      <c r="C83" s="499"/>
      <c r="D83" s="499"/>
      <c r="E83" s="499"/>
      <c r="F83" s="499"/>
      <c r="G83" s="499"/>
      <c r="H83" s="499"/>
      <c r="I83" s="499"/>
      <c r="J83" s="499"/>
      <c r="K83" s="499"/>
      <c r="L83" s="499"/>
      <c r="M83" s="499"/>
      <c r="N83" s="499"/>
      <c r="O83" s="499"/>
      <c r="P83" s="499"/>
      <c r="Q83" s="499"/>
      <c r="R83" s="499"/>
      <c r="S83" s="499"/>
      <c r="T83" s="499"/>
      <c r="U83" s="499"/>
      <c r="V83" s="499"/>
      <c r="W83" s="499"/>
      <c r="X83" s="499"/>
      <c r="Y83" s="499"/>
      <c r="Z83" s="499"/>
      <c r="AA83" s="499"/>
      <c r="AB83" s="499"/>
      <c r="AC83" s="499"/>
      <c r="AD83" s="499"/>
      <c r="AE83" s="499"/>
      <c r="AF83" s="499"/>
      <c r="AG83" s="499"/>
      <c r="AH83" s="356" t="s">
        <v>246</v>
      </c>
    </row>
  </sheetData>
  <sheetProtection selectLockedCells="1"/>
  <mergeCells count="1">
    <mergeCell ref="B9:C9"/>
  </mergeCells>
  <conditionalFormatting sqref="C20">
    <cfRule type="cellIs" dxfId="296" priority="27" stopIfTrue="1" operator="equal">
      <formula>0</formula>
    </cfRule>
  </conditionalFormatting>
  <conditionalFormatting sqref="C48:AG48">
    <cfRule type="cellIs" dxfId="295" priority="25" stopIfTrue="1" operator="equal">
      <formula>0</formula>
    </cfRule>
  </conditionalFormatting>
  <conditionalFormatting sqref="C55:AG55">
    <cfRule type="cellIs" dxfId="294" priority="24" stopIfTrue="1" operator="equal">
      <formula>0</formula>
    </cfRule>
  </conditionalFormatting>
  <conditionalFormatting sqref="C63:AG63">
    <cfRule type="cellIs" dxfId="293" priority="23" stopIfTrue="1" operator="equal">
      <formula>0</formula>
    </cfRule>
  </conditionalFormatting>
  <conditionalFormatting sqref="C73:AG73">
    <cfRule type="cellIs" dxfId="292" priority="21" stopIfTrue="1" operator="equal">
      <formula>0</formula>
    </cfRule>
  </conditionalFormatting>
  <conditionalFormatting sqref="C79:AG79">
    <cfRule type="cellIs" dxfId="291" priority="20" stopIfTrue="1" operator="equal">
      <formula>0</formula>
    </cfRule>
  </conditionalFormatting>
  <conditionalFormatting sqref="C21">
    <cfRule type="cellIs" dxfId="290" priority="17" stopIfTrue="1" operator="equal">
      <formula>0</formula>
    </cfRule>
  </conditionalFormatting>
  <conditionalFormatting sqref="C33:AG33">
    <cfRule type="expression" dxfId="289" priority="93">
      <formula>$AA$22="Fixed"</formula>
    </cfRule>
  </conditionalFormatting>
  <conditionalFormatting sqref="C75:AG75">
    <cfRule type="expression" dxfId="288" priority="2">
      <formula>$AG$15="Constant"</formula>
    </cfRule>
  </conditionalFormatting>
  <conditionalFormatting sqref="AG17">
    <cfRule type="expression" dxfId="287" priority="1">
      <formula>$AG$15="Time series"</formula>
    </cfRule>
  </conditionalFormatting>
  <dataValidations count="16">
    <dataValidation type="list" allowBlank="1" showInputMessage="1" showErrorMessage="1" sqref="AA9">
      <formula1>"SLN, DB, DDB"</formula1>
    </dataValidation>
    <dataValidation type="list" allowBlank="1" showInputMessage="1" showErrorMessage="1" sqref="AA7">
      <formula1>"Yes,No"</formula1>
    </dataValidation>
    <dataValidation type="list" allowBlank="1" showInputMessage="1" showErrorMessage="1" sqref="AA22">
      <formula1>"Fixed, Time series"</formula1>
    </dataValidation>
    <dataValidation type="list" allowBlank="1" showInputMessage="1" showErrorMessage="1" sqref="J10">
      <formula1>"m^2,Darcy,mD"</formula1>
    </dataValidation>
    <dataValidation type="list" allowBlank="1" showInputMessage="1" showErrorMessage="1" sqref="J18:J19">
      <formula1>"m,cm"</formula1>
    </dataValidation>
    <dataValidation type="list" allowBlank="1" showInputMessage="1" showErrorMessage="1" sqref="Q11">
      <formula1>"User-defined,Sarmiento,Kujbus,van Wees"</formula1>
    </dataValidation>
    <dataValidation type="list" allowBlank="1" showInputMessage="1" showErrorMessage="1" sqref="AG9">
      <formula1>"Value,Percent"</formula1>
    </dataValidation>
    <dataValidation type="list" allowBlank="1" showInputMessage="1" showErrorMessage="1" sqref="AA19">
      <formula1>"TSO, Plant Operator"</formula1>
    </dataValidation>
    <dataValidation type="list" allowBlank="1" showInputMessage="1" showErrorMessage="1" sqref="J5">
      <formula1>"km2,m2"</formula1>
    </dataValidation>
    <dataValidation type="list" allowBlank="1" showInputMessage="1" showErrorMessage="1" sqref="Q5">
      <formula1>"Fraction, Hours"</formula1>
    </dataValidation>
    <dataValidation type="list" allowBlank="1" showInputMessage="1" showErrorMessage="1" sqref="AA14">
      <formula1>"Fraction, Constant, Time series"</formula1>
    </dataValidation>
    <dataValidation type="list" allowBlank="1" showInputMessage="1" showErrorMessage="1" sqref="Q7">
      <formula1>"Yes, No"</formula1>
    </dataValidation>
    <dataValidation type="list" allowBlank="1" showInputMessage="1" showErrorMessage="1" sqref="AG15">
      <formula1>"Constant,Time series"</formula1>
    </dataValidation>
    <dataValidation type="list" allowBlank="1" showInputMessage="1" showErrorMessage="1" sqref="Q20">
      <formula1>"y=m*ln(x)+b,y=m*x+b"</formula1>
    </dataValidation>
    <dataValidation type="list" allowBlank="1" showInputMessage="1" showErrorMessage="1" sqref="J12:J17">
      <formula1>"Pa,atm,psi,bar"</formula1>
    </dataValidation>
    <dataValidation type="list" allowBlank="1" showInputMessage="1" showErrorMessage="1" sqref="Q23">
      <formula1>"Fixed,Variable"</formula1>
    </dataValidation>
  </dataValidations>
  <hyperlinks>
    <hyperlink ref="B10" location="'Rock-props'!B3:G21" display="Geological code"/>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'Sources and Refs'!$H$113:$H$117</xm:f>
          </x14:formula1>
          <xm:sqref>C10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CCFFCC"/>
  </sheetPr>
  <dimension ref="A1:AJ50"/>
  <sheetViews>
    <sheetView workbookViewId="0"/>
  </sheetViews>
  <sheetFormatPr defaultRowHeight="13.2"/>
  <cols>
    <col min="1" max="1" width="4" style="60" customWidth="1"/>
    <col min="2" max="2" width="31.5546875" style="60" customWidth="1"/>
    <col min="3" max="33" width="9.6640625" style="60" customWidth="1"/>
    <col min="34" max="256" width="9.33203125" style="60"/>
    <col min="257" max="257" width="4" style="60" customWidth="1"/>
    <col min="258" max="258" width="24.6640625" style="60" customWidth="1"/>
    <col min="259" max="512" width="9.33203125" style="60"/>
    <col min="513" max="513" width="4" style="60" customWidth="1"/>
    <col min="514" max="514" width="24.6640625" style="60" customWidth="1"/>
    <col min="515" max="768" width="9.33203125" style="60"/>
    <col min="769" max="769" width="4" style="60" customWidth="1"/>
    <col min="770" max="770" width="24.6640625" style="60" customWidth="1"/>
    <col min="771" max="1024" width="9.33203125" style="60"/>
    <col min="1025" max="1025" width="4" style="60" customWidth="1"/>
    <col min="1026" max="1026" width="24.6640625" style="60" customWidth="1"/>
    <col min="1027" max="1280" width="9.33203125" style="60"/>
    <col min="1281" max="1281" width="4" style="60" customWidth="1"/>
    <col min="1282" max="1282" width="24.6640625" style="60" customWidth="1"/>
    <col min="1283" max="1536" width="9.33203125" style="60"/>
    <col min="1537" max="1537" width="4" style="60" customWidth="1"/>
    <col min="1538" max="1538" width="24.6640625" style="60" customWidth="1"/>
    <col min="1539" max="1792" width="9.33203125" style="60"/>
    <col min="1793" max="1793" width="4" style="60" customWidth="1"/>
    <col min="1794" max="1794" width="24.6640625" style="60" customWidth="1"/>
    <col min="1795" max="2048" width="9.33203125" style="60"/>
    <col min="2049" max="2049" width="4" style="60" customWidth="1"/>
    <col min="2050" max="2050" width="24.6640625" style="60" customWidth="1"/>
    <col min="2051" max="2304" width="9.33203125" style="60"/>
    <col min="2305" max="2305" width="4" style="60" customWidth="1"/>
    <col min="2306" max="2306" width="24.6640625" style="60" customWidth="1"/>
    <col min="2307" max="2560" width="9.33203125" style="60"/>
    <col min="2561" max="2561" width="4" style="60" customWidth="1"/>
    <col min="2562" max="2562" width="24.6640625" style="60" customWidth="1"/>
    <col min="2563" max="2816" width="9.33203125" style="60"/>
    <col min="2817" max="2817" width="4" style="60" customWidth="1"/>
    <col min="2818" max="2818" width="24.6640625" style="60" customWidth="1"/>
    <col min="2819" max="3072" width="9.33203125" style="60"/>
    <col min="3073" max="3073" width="4" style="60" customWidth="1"/>
    <col min="3074" max="3074" width="24.6640625" style="60" customWidth="1"/>
    <col min="3075" max="3328" width="9.33203125" style="60"/>
    <col min="3329" max="3329" width="4" style="60" customWidth="1"/>
    <col min="3330" max="3330" width="24.6640625" style="60" customWidth="1"/>
    <col min="3331" max="3584" width="9.33203125" style="60"/>
    <col min="3585" max="3585" width="4" style="60" customWidth="1"/>
    <col min="3586" max="3586" width="24.6640625" style="60" customWidth="1"/>
    <col min="3587" max="3840" width="9.33203125" style="60"/>
    <col min="3841" max="3841" width="4" style="60" customWidth="1"/>
    <col min="3842" max="3842" width="24.6640625" style="60" customWidth="1"/>
    <col min="3843" max="4096" width="9.33203125" style="60"/>
    <col min="4097" max="4097" width="4" style="60" customWidth="1"/>
    <col min="4098" max="4098" width="24.6640625" style="60" customWidth="1"/>
    <col min="4099" max="4352" width="9.33203125" style="60"/>
    <col min="4353" max="4353" width="4" style="60" customWidth="1"/>
    <col min="4354" max="4354" width="24.6640625" style="60" customWidth="1"/>
    <col min="4355" max="4608" width="9.33203125" style="60"/>
    <col min="4609" max="4609" width="4" style="60" customWidth="1"/>
    <col min="4610" max="4610" width="24.6640625" style="60" customWidth="1"/>
    <col min="4611" max="4864" width="9.33203125" style="60"/>
    <col min="4865" max="4865" width="4" style="60" customWidth="1"/>
    <col min="4866" max="4866" width="24.6640625" style="60" customWidth="1"/>
    <col min="4867" max="5120" width="9.33203125" style="60"/>
    <col min="5121" max="5121" width="4" style="60" customWidth="1"/>
    <col min="5122" max="5122" width="24.6640625" style="60" customWidth="1"/>
    <col min="5123" max="5376" width="9.33203125" style="60"/>
    <col min="5377" max="5377" width="4" style="60" customWidth="1"/>
    <col min="5378" max="5378" width="24.6640625" style="60" customWidth="1"/>
    <col min="5379" max="5632" width="9.33203125" style="60"/>
    <col min="5633" max="5633" width="4" style="60" customWidth="1"/>
    <col min="5634" max="5634" width="24.6640625" style="60" customWidth="1"/>
    <col min="5635" max="5888" width="9.33203125" style="60"/>
    <col min="5889" max="5889" width="4" style="60" customWidth="1"/>
    <col min="5890" max="5890" width="24.6640625" style="60" customWidth="1"/>
    <col min="5891" max="6144" width="9.33203125" style="60"/>
    <col min="6145" max="6145" width="4" style="60" customWidth="1"/>
    <col min="6146" max="6146" width="24.6640625" style="60" customWidth="1"/>
    <col min="6147" max="6400" width="9.33203125" style="60"/>
    <col min="6401" max="6401" width="4" style="60" customWidth="1"/>
    <col min="6402" max="6402" width="24.6640625" style="60" customWidth="1"/>
    <col min="6403" max="6656" width="9.33203125" style="60"/>
    <col min="6657" max="6657" width="4" style="60" customWidth="1"/>
    <col min="6658" max="6658" width="24.6640625" style="60" customWidth="1"/>
    <col min="6659" max="6912" width="9.33203125" style="60"/>
    <col min="6913" max="6913" width="4" style="60" customWidth="1"/>
    <col min="6914" max="6914" width="24.6640625" style="60" customWidth="1"/>
    <col min="6915" max="7168" width="9.33203125" style="60"/>
    <col min="7169" max="7169" width="4" style="60" customWidth="1"/>
    <col min="7170" max="7170" width="24.6640625" style="60" customWidth="1"/>
    <col min="7171" max="7424" width="9.33203125" style="60"/>
    <col min="7425" max="7425" width="4" style="60" customWidth="1"/>
    <col min="7426" max="7426" width="24.6640625" style="60" customWidth="1"/>
    <col min="7427" max="7680" width="9.33203125" style="60"/>
    <col min="7681" max="7681" width="4" style="60" customWidth="1"/>
    <col min="7682" max="7682" width="24.6640625" style="60" customWidth="1"/>
    <col min="7683" max="7936" width="9.33203125" style="60"/>
    <col min="7937" max="7937" width="4" style="60" customWidth="1"/>
    <col min="7938" max="7938" width="24.6640625" style="60" customWidth="1"/>
    <col min="7939" max="8192" width="9.33203125" style="60"/>
    <col min="8193" max="8193" width="4" style="60" customWidth="1"/>
    <col min="8194" max="8194" width="24.6640625" style="60" customWidth="1"/>
    <col min="8195" max="8448" width="9.33203125" style="60"/>
    <col min="8449" max="8449" width="4" style="60" customWidth="1"/>
    <col min="8450" max="8450" width="24.6640625" style="60" customWidth="1"/>
    <col min="8451" max="8704" width="9.33203125" style="60"/>
    <col min="8705" max="8705" width="4" style="60" customWidth="1"/>
    <col min="8706" max="8706" width="24.6640625" style="60" customWidth="1"/>
    <col min="8707" max="8960" width="9.33203125" style="60"/>
    <col min="8961" max="8961" width="4" style="60" customWidth="1"/>
    <col min="8962" max="8962" width="24.6640625" style="60" customWidth="1"/>
    <col min="8963" max="9216" width="9.33203125" style="60"/>
    <col min="9217" max="9217" width="4" style="60" customWidth="1"/>
    <col min="9218" max="9218" width="24.6640625" style="60" customWidth="1"/>
    <col min="9219" max="9472" width="9.33203125" style="60"/>
    <col min="9473" max="9473" width="4" style="60" customWidth="1"/>
    <col min="9474" max="9474" width="24.6640625" style="60" customWidth="1"/>
    <col min="9475" max="9728" width="9.33203125" style="60"/>
    <col min="9729" max="9729" width="4" style="60" customWidth="1"/>
    <col min="9730" max="9730" width="24.6640625" style="60" customWidth="1"/>
    <col min="9731" max="9984" width="9.33203125" style="60"/>
    <col min="9985" max="9985" width="4" style="60" customWidth="1"/>
    <col min="9986" max="9986" width="24.6640625" style="60" customWidth="1"/>
    <col min="9987" max="10240" width="9.33203125" style="60"/>
    <col min="10241" max="10241" width="4" style="60" customWidth="1"/>
    <col min="10242" max="10242" width="24.6640625" style="60" customWidth="1"/>
    <col min="10243" max="10496" width="9.33203125" style="60"/>
    <col min="10497" max="10497" width="4" style="60" customWidth="1"/>
    <col min="10498" max="10498" width="24.6640625" style="60" customWidth="1"/>
    <col min="10499" max="10752" width="9.33203125" style="60"/>
    <col min="10753" max="10753" width="4" style="60" customWidth="1"/>
    <col min="10754" max="10754" width="24.6640625" style="60" customWidth="1"/>
    <col min="10755" max="11008" width="9.33203125" style="60"/>
    <col min="11009" max="11009" width="4" style="60" customWidth="1"/>
    <col min="11010" max="11010" width="24.6640625" style="60" customWidth="1"/>
    <col min="11011" max="11264" width="9.33203125" style="60"/>
    <col min="11265" max="11265" width="4" style="60" customWidth="1"/>
    <col min="11266" max="11266" width="24.6640625" style="60" customWidth="1"/>
    <col min="11267" max="11520" width="9.33203125" style="60"/>
    <col min="11521" max="11521" width="4" style="60" customWidth="1"/>
    <col min="11522" max="11522" width="24.6640625" style="60" customWidth="1"/>
    <col min="11523" max="11776" width="9.33203125" style="60"/>
    <col min="11777" max="11777" width="4" style="60" customWidth="1"/>
    <col min="11778" max="11778" width="24.6640625" style="60" customWidth="1"/>
    <col min="11779" max="12032" width="9.33203125" style="60"/>
    <col min="12033" max="12033" width="4" style="60" customWidth="1"/>
    <col min="12034" max="12034" width="24.6640625" style="60" customWidth="1"/>
    <col min="12035" max="12288" width="9.33203125" style="60"/>
    <col min="12289" max="12289" width="4" style="60" customWidth="1"/>
    <col min="12290" max="12290" width="24.6640625" style="60" customWidth="1"/>
    <col min="12291" max="12544" width="9.33203125" style="60"/>
    <col min="12545" max="12545" width="4" style="60" customWidth="1"/>
    <col min="12546" max="12546" width="24.6640625" style="60" customWidth="1"/>
    <col min="12547" max="12800" width="9.33203125" style="60"/>
    <col min="12801" max="12801" width="4" style="60" customWidth="1"/>
    <col min="12802" max="12802" width="24.6640625" style="60" customWidth="1"/>
    <col min="12803" max="13056" width="9.33203125" style="60"/>
    <col min="13057" max="13057" width="4" style="60" customWidth="1"/>
    <col min="13058" max="13058" width="24.6640625" style="60" customWidth="1"/>
    <col min="13059" max="13312" width="9.33203125" style="60"/>
    <col min="13313" max="13313" width="4" style="60" customWidth="1"/>
    <col min="13314" max="13314" width="24.6640625" style="60" customWidth="1"/>
    <col min="13315" max="13568" width="9.33203125" style="60"/>
    <col min="13569" max="13569" width="4" style="60" customWidth="1"/>
    <col min="13570" max="13570" width="24.6640625" style="60" customWidth="1"/>
    <col min="13571" max="13824" width="9.33203125" style="60"/>
    <col min="13825" max="13825" width="4" style="60" customWidth="1"/>
    <col min="13826" max="13826" width="24.6640625" style="60" customWidth="1"/>
    <col min="13827" max="14080" width="9.33203125" style="60"/>
    <col min="14081" max="14081" width="4" style="60" customWidth="1"/>
    <col min="14082" max="14082" width="24.6640625" style="60" customWidth="1"/>
    <col min="14083" max="14336" width="9.33203125" style="60"/>
    <col min="14337" max="14337" width="4" style="60" customWidth="1"/>
    <col min="14338" max="14338" width="24.6640625" style="60" customWidth="1"/>
    <col min="14339" max="14592" width="9.33203125" style="60"/>
    <col min="14593" max="14593" width="4" style="60" customWidth="1"/>
    <col min="14594" max="14594" width="24.6640625" style="60" customWidth="1"/>
    <col min="14595" max="14848" width="9.33203125" style="60"/>
    <col min="14849" max="14849" width="4" style="60" customWidth="1"/>
    <col min="14850" max="14850" width="24.6640625" style="60" customWidth="1"/>
    <col min="14851" max="15104" width="9.33203125" style="60"/>
    <col min="15105" max="15105" width="4" style="60" customWidth="1"/>
    <col min="15106" max="15106" width="24.6640625" style="60" customWidth="1"/>
    <col min="15107" max="15360" width="9.33203125" style="60"/>
    <col min="15361" max="15361" width="4" style="60" customWidth="1"/>
    <col min="15362" max="15362" width="24.6640625" style="60" customWidth="1"/>
    <col min="15363" max="15616" width="9.33203125" style="60"/>
    <col min="15617" max="15617" width="4" style="60" customWidth="1"/>
    <col min="15618" max="15618" width="24.6640625" style="60" customWidth="1"/>
    <col min="15619" max="15872" width="9.33203125" style="60"/>
    <col min="15873" max="15873" width="4" style="60" customWidth="1"/>
    <col min="15874" max="15874" width="24.6640625" style="60" customWidth="1"/>
    <col min="15875" max="16128" width="9.33203125" style="60"/>
    <col min="16129" max="16129" width="4" style="60" customWidth="1"/>
    <col min="16130" max="16130" width="24.6640625" style="60" customWidth="1"/>
    <col min="16131" max="16384" width="9.33203125" style="60"/>
  </cols>
  <sheetData>
    <row r="1" spans="1:36" ht="24.6">
      <c r="A1" s="326"/>
      <c r="B1" s="690" t="s">
        <v>259</v>
      </c>
      <c r="C1" s="326"/>
      <c r="D1" s="326"/>
      <c r="E1" s="326"/>
      <c r="F1" s="326"/>
      <c r="G1" s="326"/>
      <c r="H1" s="326"/>
      <c r="I1" s="326"/>
      <c r="J1" s="326"/>
      <c r="K1" s="328"/>
      <c r="L1" s="328"/>
      <c r="M1" s="328"/>
      <c r="N1" s="328"/>
      <c r="O1" s="326"/>
      <c r="P1" s="326"/>
      <c r="Q1" s="326"/>
      <c r="R1" s="326"/>
      <c r="S1" s="326"/>
      <c r="T1" s="327"/>
      <c r="U1" s="326"/>
      <c r="V1" s="326"/>
      <c r="W1" s="326"/>
      <c r="X1" s="326"/>
      <c r="Y1" s="326"/>
      <c r="Z1" s="326"/>
      <c r="AA1" s="326"/>
      <c r="AB1" s="326"/>
      <c r="AC1" s="328"/>
      <c r="AD1" s="328"/>
      <c r="AE1" s="328"/>
      <c r="AF1" s="328"/>
      <c r="AG1" s="326"/>
      <c r="AH1" s="326"/>
      <c r="AI1" s="326"/>
      <c r="AJ1" s="326"/>
    </row>
    <row r="2" spans="1:36">
      <c r="A2" s="326"/>
      <c r="B2" s="326"/>
      <c r="C2" s="326"/>
      <c r="D2" s="326"/>
      <c r="E2" s="326"/>
      <c r="F2" s="326"/>
      <c r="G2" s="326"/>
      <c r="H2" s="326"/>
      <c r="I2" s="326"/>
      <c r="J2" s="326"/>
      <c r="K2" s="326"/>
      <c r="L2" s="326"/>
      <c r="M2" s="326"/>
      <c r="N2" s="326"/>
      <c r="O2" s="326"/>
      <c r="P2" s="329"/>
      <c r="Q2" s="326"/>
      <c r="R2" s="326"/>
      <c r="S2" s="326"/>
      <c r="T2" s="326"/>
      <c r="U2" s="326"/>
      <c r="V2" s="326"/>
      <c r="W2" s="326"/>
      <c r="X2" s="326"/>
      <c r="Y2" s="326"/>
      <c r="Z2" s="326"/>
      <c r="AA2" s="326"/>
      <c r="AB2" s="326"/>
      <c r="AC2" s="326"/>
      <c r="AD2" s="326"/>
      <c r="AE2" s="326"/>
      <c r="AF2" s="326"/>
      <c r="AG2" s="326"/>
      <c r="AH2" s="329"/>
      <c r="AI2" s="326"/>
      <c r="AJ2" s="326"/>
    </row>
    <row r="3" spans="1:36">
      <c r="A3" s="667"/>
      <c r="B3" s="681"/>
      <c r="C3" s="673"/>
      <c r="D3" s="673"/>
      <c r="E3" s="673"/>
      <c r="F3" s="673"/>
      <c r="G3" s="673"/>
      <c r="H3" s="673"/>
      <c r="I3" s="673"/>
      <c r="J3" s="673"/>
      <c r="K3" s="673"/>
      <c r="L3" s="673"/>
      <c r="M3" s="673"/>
      <c r="N3" s="673"/>
      <c r="O3" s="673"/>
      <c r="P3" s="673"/>
      <c r="Q3" s="673"/>
      <c r="R3" s="673"/>
      <c r="S3" s="673"/>
      <c r="T3" s="673"/>
      <c r="U3" s="673"/>
      <c r="V3" s="673"/>
      <c r="W3" s="673"/>
      <c r="X3" s="673"/>
      <c r="Y3" s="673"/>
      <c r="Z3" s="673"/>
      <c r="AA3" s="673"/>
      <c r="AB3" s="673"/>
      <c r="AC3" s="673"/>
      <c r="AD3" s="673"/>
      <c r="AE3" s="673"/>
      <c r="AF3" s="673"/>
      <c r="AG3" s="675"/>
      <c r="AH3" s="667"/>
      <c r="AI3" s="667"/>
      <c r="AJ3" s="667"/>
    </row>
    <row r="4" spans="1:36" ht="13.8" thickBot="1">
      <c r="A4" s="670"/>
      <c r="B4" s="210" t="s">
        <v>290</v>
      </c>
      <c r="C4" s="196">
        <f>Cashflow!C$30</f>
        <v>2017</v>
      </c>
      <c r="D4" s="196">
        <f>Cashflow!D$30</f>
        <v>2018</v>
      </c>
      <c r="E4" s="196">
        <f>Cashflow!E$30</f>
        <v>2019</v>
      </c>
      <c r="F4" s="196">
        <f>Cashflow!F$30</f>
        <v>2020</v>
      </c>
      <c r="G4" s="196">
        <f>Cashflow!G$30</f>
        <v>2021</v>
      </c>
      <c r="H4" s="196">
        <f>Cashflow!H$30</f>
        <v>2022</v>
      </c>
      <c r="I4" s="196">
        <f>Cashflow!I$30</f>
        <v>2023</v>
      </c>
      <c r="J4" s="196">
        <f>Cashflow!J$30</f>
        <v>2024</v>
      </c>
      <c r="K4" s="196">
        <f>Cashflow!K$30</f>
        <v>2025</v>
      </c>
      <c r="L4" s="196">
        <f>Cashflow!L$30</f>
        <v>2026</v>
      </c>
      <c r="M4" s="196">
        <f>Cashflow!M$30</f>
        <v>2027</v>
      </c>
      <c r="N4" s="196">
        <f>Cashflow!N$30</f>
        <v>2028</v>
      </c>
      <c r="O4" s="196">
        <f>Cashflow!O$30</f>
        <v>2029</v>
      </c>
      <c r="P4" s="196">
        <f>Cashflow!P$30</f>
        <v>2030</v>
      </c>
      <c r="Q4" s="196">
        <f>Cashflow!Q$30</f>
        <v>2031</v>
      </c>
      <c r="R4" s="196">
        <f>Cashflow!R$30</f>
        <v>2032</v>
      </c>
      <c r="S4" s="196">
        <f>Cashflow!S$30</f>
        <v>2033</v>
      </c>
      <c r="T4" s="196">
        <f>Cashflow!T$30</f>
        <v>2034</v>
      </c>
      <c r="U4" s="196">
        <f>Cashflow!U$30</f>
        <v>2035</v>
      </c>
      <c r="V4" s="196">
        <f>Cashflow!V$30</f>
        <v>2036</v>
      </c>
      <c r="W4" s="196">
        <f>Cashflow!W$30</f>
        <v>2037</v>
      </c>
      <c r="X4" s="196">
        <f>Cashflow!X$30</f>
        <v>2038</v>
      </c>
      <c r="Y4" s="196">
        <f>Cashflow!Y$30</f>
        <v>2039</v>
      </c>
      <c r="Z4" s="196">
        <f>Cashflow!Z$30</f>
        <v>2040</v>
      </c>
      <c r="AA4" s="196">
        <f>Cashflow!AA$30</f>
        <v>2041</v>
      </c>
      <c r="AB4" s="196">
        <f>Cashflow!AB$30</f>
        <v>2042</v>
      </c>
      <c r="AC4" s="196">
        <f>Cashflow!AC$30</f>
        <v>2043</v>
      </c>
      <c r="AD4" s="196">
        <f>Cashflow!AD$30</f>
        <v>2044</v>
      </c>
      <c r="AE4" s="196">
        <f>Cashflow!AE$30</f>
        <v>2045</v>
      </c>
      <c r="AF4" s="196">
        <f>Cashflow!AF$30</f>
        <v>2046</v>
      </c>
      <c r="AG4" s="196">
        <f>Cashflow!AG$30</f>
        <v>2047</v>
      </c>
      <c r="AH4" s="680"/>
      <c r="AI4" s="667"/>
      <c r="AJ4" s="667"/>
    </row>
    <row r="5" spans="1:36" ht="13.8" thickTop="1">
      <c r="A5" s="670"/>
      <c r="B5" s="208" t="s">
        <v>270</v>
      </c>
      <c r="C5" s="209">
        <f>DCF!C8*3600*Cashflow!C31/1000000</f>
        <v>0</v>
      </c>
      <c r="D5" s="209">
        <f>DCF!D8*3600*Cashflow!D31/1000000+C5</f>
        <v>0</v>
      </c>
      <c r="E5" s="209">
        <f>DCF!E8*3600*Cashflow!E31/1000000+D5</f>
        <v>0</v>
      </c>
      <c r="F5" s="209">
        <f>DCF!F8*3600*Cashflow!F31/1000000+E5</f>
        <v>0</v>
      </c>
      <c r="G5" s="209">
        <f>DCF!G8*3600*Cashflow!G31/1000000+F5</f>
        <v>0</v>
      </c>
      <c r="H5" s="209">
        <f>DCF!H8*3600*Cashflow!H31/1000000+G5</f>
        <v>0</v>
      </c>
      <c r="I5" s="209">
        <f>DCF!I8*3600*Cashflow!I31/1000000+H5</f>
        <v>0</v>
      </c>
      <c r="J5" s="209">
        <f>DCF!J8*3600*Cashflow!J31/1000000+I5</f>
        <v>0</v>
      </c>
      <c r="K5" s="209">
        <f>DCF!K8*3600*Cashflow!K31/1000000+J5</f>
        <v>2657.2693717582429</v>
      </c>
      <c r="L5" s="209">
        <f ca="1">DCF!L8*3600*Cashflow!L31/1000000+K5</f>
        <v>6145.9275811022853</v>
      </c>
      <c r="M5" s="209">
        <f ca="1">DCF!M8*3600*Cashflow!M31/1000000+L5</f>
        <v>9436.2207129758808</v>
      </c>
      <c r="N5" s="209">
        <f ca="1">DCF!N8*3600*Cashflow!N31/1000000+M5</f>
        <v>13156.781157385942</v>
      </c>
      <c r="O5" s="209">
        <f ca="1">DCF!O8*3600*Cashflow!O31/1000000+N5</f>
        <v>16024.079171848292</v>
      </c>
      <c r="P5" s="209">
        <f ca="1">DCF!P8*3600*Cashflow!P31/1000000+O5</f>
        <v>18476.863010652552</v>
      </c>
      <c r="Q5" s="209">
        <f ca="1">DCF!Q8*3600*Cashflow!Q31/1000000+P5</f>
        <v>20762.655432896136</v>
      </c>
      <c r="R5" s="209">
        <f ca="1">DCF!R8*3600*Cashflow!R31/1000000+Q5</f>
        <v>22717.999692146979</v>
      </c>
      <c r="S5" s="209">
        <f ca="1">DCF!S8*3600*Cashflow!S31/1000000+R5</f>
        <v>24540.219416512078</v>
      </c>
      <c r="T5" s="209">
        <f ca="1">DCF!T8*3600*Cashflow!T31/1000000+S5</f>
        <v>26099.007888491386</v>
      </c>
      <c r="U5" s="209">
        <f ca="1">DCF!U8*3600*Cashflow!U31/1000000+T5</f>
        <v>27551.670296307952</v>
      </c>
      <c r="V5" s="209">
        <f ca="1">DCF!V8*3600*Cashflow!V31/1000000+U5</f>
        <v>28794.326922566965</v>
      </c>
      <c r="W5" s="209">
        <f ca="1">DCF!W8*3600*Cashflow!W31/1000000+V5</f>
        <v>29952.380500226853</v>
      </c>
      <c r="X5" s="209">
        <f ca="1">DCF!X8*3600*Cashflow!X31/1000000+W5</f>
        <v>30943.018754578745</v>
      </c>
      <c r="Y5" s="209">
        <f ca="1">DCF!Y8*3600*Cashflow!Y31/1000000+X5</f>
        <v>31866.211976565264</v>
      </c>
      <c r="Z5" s="209">
        <f ca="1">DCF!Z8*3600*Cashflow!Z31/1000000+Y5</f>
        <v>32655.942727802423</v>
      </c>
      <c r="AA5" s="209">
        <f ca="1">DCF!AA8*3600*Cashflow!AA31/1000000+Z5</f>
        <v>33391.906712166674</v>
      </c>
      <c r="AB5" s="209">
        <f ca="1">DCF!AB8*3600*Cashflow!AB31/1000000+AA5</f>
        <v>34021.475231966702</v>
      </c>
      <c r="AC5" s="209">
        <f ca="1">DCF!AC8*3600*Cashflow!AC31/1000000+AB5</f>
        <v>34608.181214399941</v>
      </c>
      <c r="AD5" s="209">
        <f ca="1">DCF!AD8*3600*Cashflow!AD31/1000000+AC5</f>
        <v>35110.069383883383</v>
      </c>
      <c r="AE5" s="209">
        <f ca="1">DCF!AE8*3600*Cashflow!AE31/1000000+AD5</f>
        <v>35577.787801001716</v>
      </c>
      <c r="AF5" s="209">
        <f ca="1">DCF!AF8*3600*Cashflow!AF31/1000000+AE5</f>
        <v>35977.889976929204</v>
      </c>
      <c r="AG5" s="209">
        <f ca="1">DCF!AG8*3600*Cashflow!AG31/1000000+AF5</f>
        <v>36350.752235473796</v>
      </c>
      <c r="AH5" s="679" t="s">
        <v>271</v>
      </c>
      <c r="AI5" s="667"/>
      <c r="AJ5" s="667"/>
    </row>
    <row r="6" spans="1:36">
      <c r="A6" s="670"/>
      <c r="B6" s="208" t="s">
        <v>1446</v>
      </c>
      <c r="C6" s="209">
        <f>DCF!C9</f>
        <v>0</v>
      </c>
      <c r="D6" s="209">
        <f>DCF!D9+C6</f>
        <v>0</v>
      </c>
      <c r="E6" s="209">
        <f>DCF!E9+D6</f>
        <v>0</v>
      </c>
      <c r="F6" s="209">
        <f>DCF!F9+E6</f>
        <v>0</v>
      </c>
      <c r="G6" s="209">
        <f>DCF!G9+F6</f>
        <v>0</v>
      </c>
      <c r="H6" s="209">
        <f>DCF!H9+G6</f>
        <v>0</v>
      </c>
      <c r="I6" s="209">
        <f>DCF!I9+H6</f>
        <v>0</v>
      </c>
      <c r="J6" s="209">
        <f>DCF!J9+I6</f>
        <v>0</v>
      </c>
      <c r="K6" s="209">
        <f ca="1">DCF!K9+J6</f>
        <v>179268.94597935065</v>
      </c>
      <c r="L6" s="209">
        <f ca="1">DCF!L9+K6</f>
        <v>414626.37218469614</v>
      </c>
      <c r="M6" s="209">
        <f ca="1">DCF!M9+L6</f>
        <v>636601.37704609265</v>
      </c>
      <c r="N6" s="209">
        <f ca="1">DCF!N9+M6</f>
        <v>887603.7618289846</v>
      </c>
      <c r="O6" s="209">
        <f ca="1">DCF!O9+N6</f>
        <v>1081041.9951990698</v>
      </c>
      <c r="P6" s="209">
        <f ca="1">DCF!P9+O6</f>
        <v>1246515.6119015731</v>
      </c>
      <c r="Q6" s="209">
        <f ca="1">DCF!Q9+P6</f>
        <v>1400723.3872284903</v>
      </c>
      <c r="R6" s="209">
        <f ca="1">DCF!R9+Q6</f>
        <v>1532637.9413599502</v>
      </c>
      <c r="S6" s="209">
        <f ca="1">DCF!S9+R6</f>
        <v>1655571.435721332</v>
      </c>
      <c r="T6" s="209">
        <f ca="1">DCF!T9+S6</f>
        <v>1760917.9964978807</v>
      </c>
      <c r="U6" s="209">
        <f ca="1">DCF!U9+T6</f>
        <v>1859257.5381636727</v>
      </c>
      <c r="V6" s="209">
        <f ca="1">DCF!V9+U6</f>
        <v>1943503.798203463</v>
      </c>
      <c r="W6" s="209">
        <f ca="1">DCF!W9+V6</f>
        <v>2022122.4877676941</v>
      </c>
      <c r="X6" s="209">
        <f ca="1">DCF!X9+W6</f>
        <v>2089432.4247174454</v>
      </c>
      <c r="Y6" s="209">
        <f ca="1">DCF!Y9+X6</f>
        <v>2152176.0243664733</v>
      </c>
      <c r="Z6" s="209">
        <f ca="1">DCF!Z9+Y6</f>
        <v>2205855.5835643257</v>
      </c>
      <c r="AA6" s="209">
        <f ca="1">DCF!AA9+Z6</f>
        <v>2255881.7408049623</v>
      </c>
      <c r="AB6" s="209">
        <f ca="1">DCF!AB9+AA6</f>
        <v>2292941.704070264</v>
      </c>
      <c r="AC6" s="209">
        <f ca="1">DCF!AC9+AB6</f>
        <v>2327477.5168530098</v>
      </c>
      <c r="AD6" s="209">
        <f ca="1">DCF!AD9+AC6</f>
        <v>2357012.5005096691</v>
      </c>
      <c r="AE6" s="209">
        <f ca="1">DCF!AE9+AD6</f>
        <v>2384525.8403323349</v>
      </c>
      <c r="AF6" s="209">
        <f ca="1">DCF!AF9+AE6</f>
        <v>2402381.6409152485</v>
      </c>
      <c r="AG6" s="209">
        <f ca="1">DCF!AG9+AF6</f>
        <v>2419020.4536508624</v>
      </c>
      <c r="AH6" s="679" t="s">
        <v>419</v>
      </c>
      <c r="AI6" s="667"/>
      <c r="AJ6" s="667"/>
    </row>
    <row r="7" spans="1:36">
      <c r="A7" s="670"/>
      <c r="B7" s="206" t="s">
        <v>612</v>
      </c>
      <c r="C7" s="140">
        <f>DCF!C11</f>
        <v>0</v>
      </c>
      <c r="D7" s="141">
        <f>DCF!D11+C7</f>
        <v>0</v>
      </c>
      <c r="E7" s="141">
        <f>DCF!E11+D7</f>
        <v>0</v>
      </c>
      <c r="F7" s="141">
        <f>DCF!F11+E7</f>
        <v>0</v>
      </c>
      <c r="G7" s="141">
        <f>DCF!G11+F7</f>
        <v>0</v>
      </c>
      <c r="H7" s="141">
        <f>DCF!H11+G7</f>
        <v>0</v>
      </c>
      <c r="I7" s="141">
        <f>DCF!I11+H7</f>
        <v>0</v>
      </c>
      <c r="J7" s="141">
        <f>DCF!J11+I7</f>
        <v>0</v>
      </c>
      <c r="K7" s="141">
        <f ca="1">DCF!K11+J7</f>
        <v>23.215427352092281</v>
      </c>
      <c r="L7" s="141">
        <f ca="1">DCF!L11+K7</f>
        <v>53.644629853407423</v>
      </c>
      <c r="M7" s="141">
        <f ca="1">DCF!M11+L7</f>
        <v>82.09525848459333</v>
      </c>
      <c r="N7" s="141">
        <f ca="1">DCF!N11+M7</f>
        <v>114.22119841992696</v>
      </c>
      <c r="O7" s="141">
        <f ca="1">DCF!O11+N7</f>
        <v>138.84398358045962</v>
      </c>
      <c r="P7" s="141">
        <f ca="1">DCF!P11+O7</f>
        <v>160.02304718045363</v>
      </c>
      <c r="Q7" s="141">
        <f ca="1">DCF!Q11+P7</f>
        <v>179.65218075868438</v>
      </c>
      <c r="R7" s="141">
        <f ca="1">DCF!R11+Q7</f>
        <v>196.53600059286327</v>
      </c>
      <c r="S7" s="141">
        <f ca="1">DCF!S11+R7</f>
        <v>212.18422570305998</v>
      </c>
      <c r="T7" s="141">
        <f ca="1">DCF!T11+S7</f>
        <v>225.66981552537254</v>
      </c>
      <c r="U7" s="141">
        <f ca="1">DCF!U11+T7</f>
        <v>238.19176454385385</v>
      </c>
      <c r="V7" s="141">
        <f ca="1">DCF!V11+U7</f>
        <v>248.97944193283948</v>
      </c>
      <c r="W7" s="141">
        <f ca="1">DCF!W11+V7</f>
        <v>258.99308428917112</v>
      </c>
      <c r="X7" s="141">
        <f ca="1">DCF!X11+W7</f>
        <v>267.61386145019037</v>
      </c>
      <c r="Y7" s="141">
        <f ca="1">DCF!Y11+X7</f>
        <v>275.60637246207096</v>
      </c>
      <c r="Z7" s="141">
        <f ca="1">DCF!Z11+Y7</f>
        <v>282.48167177341031</v>
      </c>
      <c r="AA7" s="141">
        <f ca="1">DCF!AA11+Z7</f>
        <v>288.85428074262933</v>
      </c>
      <c r="AB7" s="141">
        <f ca="1">DCF!AB11+AA7</f>
        <v>293.53259988519886</v>
      </c>
      <c r="AC7" s="141">
        <f ca="1">DCF!AC11+AB7</f>
        <v>297.86454205132173</v>
      </c>
      <c r="AD7" s="141">
        <f ca="1">DCF!AD11+AC7</f>
        <v>301.59281052650925</v>
      </c>
      <c r="AE7" s="141">
        <f ca="1">DCF!AE11+AD7</f>
        <v>305.04363248348932</v>
      </c>
      <c r="AF7" s="141">
        <f ca="1">DCF!AF11+AE7</f>
        <v>307.21928222713103</v>
      </c>
      <c r="AG7" s="141">
        <f ca="1">DCF!AG11+AF7</f>
        <v>309.2290048986747</v>
      </c>
      <c r="AH7" s="679" t="s">
        <v>279</v>
      </c>
      <c r="AI7" s="667"/>
      <c r="AJ7" s="667"/>
    </row>
    <row r="8" spans="1:36">
      <c r="A8" s="670"/>
      <c r="B8" s="63" t="s">
        <v>1443</v>
      </c>
      <c r="C8" s="141">
        <f>DCF!C12</f>
        <v>0</v>
      </c>
      <c r="D8" s="141">
        <f>DCF!D12+C8</f>
        <v>0</v>
      </c>
      <c r="E8" s="141">
        <f>DCF!E12+D8</f>
        <v>0</v>
      </c>
      <c r="F8" s="141">
        <f>DCF!F12+E8</f>
        <v>0</v>
      </c>
      <c r="G8" s="141">
        <f>DCF!G12+F8</f>
        <v>0</v>
      </c>
      <c r="H8" s="141">
        <f>DCF!H12+G8</f>
        <v>0</v>
      </c>
      <c r="I8" s="141">
        <f>DCF!I12+H8</f>
        <v>0</v>
      </c>
      <c r="J8" s="141">
        <f>DCF!J12+I8</f>
        <v>0</v>
      </c>
      <c r="K8" s="141">
        <f>DCF!K12+J8</f>
        <v>0.80776645595873819</v>
      </c>
      <c r="L8" s="141">
        <f ca="1">DCF!L12+K8</f>
        <v>1.5289865059218974</v>
      </c>
      <c r="M8" s="141">
        <f ca="1">DCF!M12+L8</f>
        <v>2.1729329791032894</v>
      </c>
      <c r="N8" s="141">
        <f ca="1">DCF!N12+M8</f>
        <v>2.7478851873009607</v>
      </c>
      <c r="O8" s="141">
        <f ca="1">DCF!O12+N8</f>
        <v>3.261235373191739</v>
      </c>
      <c r="P8" s="141">
        <f ca="1">DCF!P12+O8</f>
        <v>3.7195837534513623</v>
      </c>
      <c r="Q8" s="141">
        <f ca="1">DCF!Q12+P8</f>
        <v>4.128823378683169</v>
      </c>
      <c r="R8" s="141">
        <f ca="1">DCF!R12+Q8</f>
        <v>4.4942159012115672</v>
      </c>
      <c r="S8" s="141">
        <f ca="1">DCF!S12+R8</f>
        <v>4.820459224897637</v>
      </c>
      <c r="T8" s="141">
        <f ca="1">DCF!T12+S8</f>
        <v>4.820459224897637</v>
      </c>
      <c r="U8" s="141">
        <f ca="1">DCF!U12+T8</f>
        <v>4.820459224897637</v>
      </c>
      <c r="V8" s="141">
        <f ca="1">DCF!V12+U8</f>
        <v>4.820459224897637</v>
      </c>
      <c r="W8" s="141">
        <f ca="1">DCF!W12+V8</f>
        <v>4.820459224897637</v>
      </c>
      <c r="X8" s="141">
        <f ca="1">DCF!X12+W8</f>
        <v>4.820459224897637</v>
      </c>
      <c r="Y8" s="141">
        <f ca="1">DCF!Y12+X8</f>
        <v>4.820459224897637</v>
      </c>
      <c r="Z8" s="141">
        <f ca="1">DCF!Z12+Y8</f>
        <v>4.820459224897637</v>
      </c>
      <c r="AA8" s="141">
        <f ca="1">DCF!AA12+Z8</f>
        <v>4.820459224897637</v>
      </c>
      <c r="AB8" s="141">
        <f ca="1">DCF!AB12+AA8</f>
        <v>4.820459224897637</v>
      </c>
      <c r="AC8" s="141">
        <f ca="1">DCF!AC12+AB8</f>
        <v>4.820459224897637</v>
      </c>
      <c r="AD8" s="141">
        <f ca="1">DCF!AD12+AC8</f>
        <v>4.820459224897637</v>
      </c>
      <c r="AE8" s="141">
        <f ca="1">DCF!AE12+AD8</f>
        <v>4.820459224897637</v>
      </c>
      <c r="AF8" s="141">
        <f ca="1">DCF!AF12+AE8</f>
        <v>4.820459224897637</v>
      </c>
      <c r="AG8" s="141">
        <f ca="1">DCF!AG12+AF8</f>
        <v>4.820459224897637</v>
      </c>
      <c r="AH8" s="679" t="s">
        <v>279</v>
      </c>
      <c r="AI8" s="667"/>
      <c r="AJ8" s="667"/>
    </row>
    <row r="9" spans="1:36" ht="13.8" thickBot="1">
      <c r="A9" s="667"/>
      <c r="B9" s="896" t="s">
        <v>1444</v>
      </c>
      <c r="C9" s="898">
        <f>DCF!C13</f>
        <v>0</v>
      </c>
      <c r="D9" s="898">
        <f>DCF!D13+C9</f>
        <v>0</v>
      </c>
      <c r="E9" s="898">
        <f>DCF!E13+D9</f>
        <v>0</v>
      </c>
      <c r="F9" s="898">
        <f>DCF!F13+E9</f>
        <v>0</v>
      </c>
      <c r="G9" s="898">
        <f>DCF!G13+F9</f>
        <v>0</v>
      </c>
      <c r="H9" s="898">
        <f>DCF!H13+G9</f>
        <v>0</v>
      </c>
      <c r="I9" s="898">
        <f>DCF!I13+H9</f>
        <v>0</v>
      </c>
      <c r="J9" s="898">
        <f>DCF!J13+I9</f>
        <v>0</v>
      </c>
      <c r="K9" s="898">
        <f>DCF!K13+J9</f>
        <v>0.4038832279793691</v>
      </c>
      <c r="L9" s="898">
        <f ca="1">DCF!L13+K9</f>
        <v>0.76449325296094872</v>
      </c>
      <c r="M9" s="898">
        <f ca="1">DCF!M13+L9</f>
        <v>1.0864664895516447</v>
      </c>
      <c r="N9" s="898">
        <f ca="1">DCF!N13+M9</f>
        <v>1.3739425936504803</v>
      </c>
      <c r="O9" s="898">
        <f ca="1">DCF!O13+N9</f>
        <v>1.6306176865958695</v>
      </c>
      <c r="P9" s="898">
        <f ca="1">DCF!P13+O9</f>
        <v>1.6306176865958695</v>
      </c>
      <c r="Q9" s="898">
        <f ca="1">DCF!Q13+P9</f>
        <v>1.6306176865958695</v>
      </c>
      <c r="R9" s="898">
        <f ca="1">DCF!R13+Q9</f>
        <v>1.6306176865958695</v>
      </c>
      <c r="S9" s="898">
        <f ca="1">DCF!S13+R9</f>
        <v>1.6306176865958695</v>
      </c>
      <c r="T9" s="898">
        <f ca="1">DCF!T13+S9</f>
        <v>1.6306176865958695</v>
      </c>
      <c r="U9" s="898">
        <f ca="1">DCF!U13+T9</f>
        <v>1.6306176865958695</v>
      </c>
      <c r="V9" s="898">
        <f ca="1">DCF!V13+U9</f>
        <v>1.6306176865958695</v>
      </c>
      <c r="W9" s="898">
        <f ca="1">DCF!W13+V9</f>
        <v>1.6306176865958695</v>
      </c>
      <c r="X9" s="898">
        <f ca="1">DCF!X13+W9</f>
        <v>1.6306176865958695</v>
      </c>
      <c r="Y9" s="898">
        <f ca="1">DCF!Y13+X9</f>
        <v>1.6306176865958695</v>
      </c>
      <c r="Z9" s="898">
        <f ca="1">DCF!Z13+Y9</f>
        <v>1.6306176865958695</v>
      </c>
      <c r="AA9" s="898">
        <f ca="1">DCF!AA13+Z9</f>
        <v>1.6306176865958695</v>
      </c>
      <c r="AB9" s="898">
        <f ca="1">DCF!AB13+AA9</f>
        <v>1.6306176865958695</v>
      </c>
      <c r="AC9" s="898">
        <f ca="1">DCF!AC13+AB9</f>
        <v>1.6306176865958695</v>
      </c>
      <c r="AD9" s="898">
        <f ca="1">DCF!AD13+AC9</f>
        <v>1.6306176865958695</v>
      </c>
      <c r="AE9" s="898">
        <f ca="1">DCF!AE13+AD9</f>
        <v>1.6306176865958695</v>
      </c>
      <c r="AF9" s="898">
        <f ca="1">DCF!AF13+AE9</f>
        <v>1.6306176865958695</v>
      </c>
      <c r="AG9" s="898">
        <f ca="1">DCF!AG13+AF9</f>
        <v>1.6306176865958695</v>
      </c>
      <c r="AH9" s="679" t="s">
        <v>279</v>
      </c>
      <c r="AI9" s="667"/>
      <c r="AJ9" s="667"/>
    </row>
    <row r="10" spans="1:36" ht="13.8" thickTop="1">
      <c r="A10" s="670"/>
      <c r="B10" s="63" t="s">
        <v>611</v>
      </c>
      <c r="C10" s="211">
        <f>DCF!C14</f>
        <v>0</v>
      </c>
      <c r="D10" s="211">
        <f>DCF!D14+C10</f>
        <v>0</v>
      </c>
      <c r="E10" s="211">
        <f>DCF!E14+D10</f>
        <v>0</v>
      </c>
      <c r="F10" s="211">
        <f>DCF!F14+E10</f>
        <v>0</v>
      </c>
      <c r="G10" s="211">
        <f>DCF!G14+F10</f>
        <v>0</v>
      </c>
      <c r="H10" s="211">
        <f>DCF!H14+G10</f>
        <v>0</v>
      </c>
      <c r="I10" s="211">
        <f>DCF!I14+H10</f>
        <v>0</v>
      </c>
      <c r="J10" s="211">
        <f>DCF!J14+I10</f>
        <v>0</v>
      </c>
      <c r="K10" s="211">
        <f ca="1">DCF!K14+J10</f>
        <v>24.427077036030386</v>
      </c>
      <c r="L10" s="211">
        <f ca="1">DCF!L14+K10</f>
        <v>55.938109612290262</v>
      </c>
      <c r="M10" s="211">
        <f ca="1">DCF!M14+L10</f>
        <v>85.35465795324825</v>
      </c>
      <c r="N10" s="211">
        <f ca="1">DCF!N14+M10</f>
        <v>118.34302620087838</v>
      </c>
      <c r="O10" s="211">
        <f ca="1">DCF!O14+N10</f>
        <v>143.73583664024721</v>
      </c>
      <c r="P10" s="211">
        <f ca="1">DCF!P14+O10</f>
        <v>165.37324862050085</v>
      </c>
      <c r="Q10" s="211">
        <f ca="1">DCF!Q14+P10</f>
        <v>185.4116218239634</v>
      </c>
      <c r="R10" s="211">
        <f ca="1">DCF!R14+Q10</f>
        <v>202.66083418067069</v>
      </c>
      <c r="S10" s="211">
        <f ca="1">DCF!S14+R10</f>
        <v>218.63530261455347</v>
      </c>
      <c r="T10" s="211">
        <f ca="1">DCF!T14+S10</f>
        <v>232.12089243686603</v>
      </c>
      <c r="U10" s="211">
        <f ca="1">DCF!U14+T10</f>
        <v>244.64284145534734</v>
      </c>
      <c r="V10" s="211">
        <f ca="1">DCF!V14+U10</f>
        <v>255.43051884433297</v>
      </c>
      <c r="W10" s="211">
        <f ca="1">DCF!W14+V10</f>
        <v>265.44416120066461</v>
      </c>
      <c r="X10" s="211">
        <f ca="1">DCF!X14+W10</f>
        <v>274.06493836168386</v>
      </c>
      <c r="Y10" s="211">
        <f ca="1">DCF!Y14+X10</f>
        <v>282.05744937356445</v>
      </c>
      <c r="Z10" s="211">
        <f ca="1">DCF!Z14+Y10</f>
        <v>288.9327486849038</v>
      </c>
      <c r="AA10" s="211">
        <f ca="1">DCF!AA14+Z10</f>
        <v>295.30535765412282</v>
      </c>
      <c r="AB10" s="211">
        <f ca="1">DCF!AB14+AA10</f>
        <v>299.98367679669235</v>
      </c>
      <c r="AC10" s="211">
        <f ca="1">DCF!AC14+AB10</f>
        <v>304.31561896281522</v>
      </c>
      <c r="AD10" s="211">
        <f ca="1">DCF!AD14+AC10</f>
        <v>308.04388743800274</v>
      </c>
      <c r="AE10" s="211">
        <f ca="1">DCF!AE14+AD10</f>
        <v>311.49470939498281</v>
      </c>
      <c r="AF10" s="211">
        <f ca="1">DCF!AF14+AE10</f>
        <v>313.67035913862452</v>
      </c>
      <c r="AG10" s="211">
        <f ca="1">DCF!AG14+AF10</f>
        <v>315.68008181016819</v>
      </c>
      <c r="AH10" s="679" t="s">
        <v>279</v>
      </c>
      <c r="AI10" s="667"/>
      <c r="AJ10" s="667"/>
    </row>
    <row r="11" spans="1:36">
      <c r="A11" s="670"/>
      <c r="B11" s="395"/>
      <c r="C11" s="395"/>
      <c r="D11" s="395"/>
      <c r="E11" s="395"/>
      <c r="F11" s="395"/>
      <c r="G11" s="395"/>
      <c r="H11" s="395"/>
      <c r="I11" s="395"/>
      <c r="J11" s="395"/>
      <c r="K11" s="395"/>
      <c r="L11" s="395"/>
      <c r="M11" s="395"/>
      <c r="N11" s="395"/>
      <c r="O11" s="395"/>
      <c r="P11" s="395"/>
      <c r="Q11" s="395"/>
      <c r="R11" s="395"/>
      <c r="S11" s="395"/>
      <c r="T11" s="395"/>
      <c r="U11" s="395"/>
      <c r="V11" s="395"/>
      <c r="W11" s="395"/>
      <c r="X11" s="395"/>
      <c r="Y11" s="395"/>
      <c r="Z11" s="395"/>
      <c r="AA11" s="395"/>
      <c r="AB11" s="395"/>
      <c r="AC11" s="395"/>
      <c r="AD11" s="395"/>
      <c r="AE11" s="395"/>
      <c r="AF11" s="395"/>
      <c r="AG11" s="395"/>
      <c r="AH11" s="679"/>
      <c r="AI11" s="667"/>
      <c r="AJ11" s="667"/>
    </row>
    <row r="12" spans="1:36" ht="13.8" thickBot="1">
      <c r="A12" s="670"/>
      <c r="B12" s="210" t="s">
        <v>289</v>
      </c>
      <c r="C12" s="196">
        <f>Cashflow!C$30</f>
        <v>2017</v>
      </c>
      <c r="D12" s="196">
        <f>Cashflow!D$30</f>
        <v>2018</v>
      </c>
      <c r="E12" s="196">
        <f>Cashflow!E$30</f>
        <v>2019</v>
      </c>
      <c r="F12" s="196">
        <f>Cashflow!F$30</f>
        <v>2020</v>
      </c>
      <c r="G12" s="196">
        <f>Cashflow!G$30</f>
        <v>2021</v>
      </c>
      <c r="H12" s="196">
        <f>Cashflow!H$30</f>
        <v>2022</v>
      </c>
      <c r="I12" s="196">
        <f>Cashflow!I$30</f>
        <v>2023</v>
      </c>
      <c r="J12" s="196">
        <f>Cashflow!J$30</f>
        <v>2024</v>
      </c>
      <c r="K12" s="196">
        <f>Cashflow!K$30</f>
        <v>2025</v>
      </c>
      <c r="L12" s="196">
        <f>Cashflow!L$30</f>
        <v>2026</v>
      </c>
      <c r="M12" s="196">
        <f>Cashflow!M$30</f>
        <v>2027</v>
      </c>
      <c r="N12" s="196">
        <f>Cashflow!N$30</f>
        <v>2028</v>
      </c>
      <c r="O12" s="196">
        <f>Cashflow!O$30</f>
        <v>2029</v>
      </c>
      <c r="P12" s="196">
        <f>Cashflow!P$30</f>
        <v>2030</v>
      </c>
      <c r="Q12" s="196">
        <f>Cashflow!Q$30</f>
        <v>2031</v>
      </c>
      <c r="R12" s="196">
        <f>Cashflow!R$30</f>
        <v>2032</v>
      </c>
      <c r="S12" s="196">
        <f>Cashflow!S$30</f>
        <v>2033</v>
      </c>
      <c r="T12" s="196">
        <f>Cashflow!T$30</f>
        <v>2034</v>
      </c>
      <c r="U12" s="196">
        <f>Cashflow!U$30</f>
        <v>2035</v>
      </c>
      <c r="V12" s="196">
        <f>Cashflow!V$30</f>
        <v>2036</v>
      </c>
      <c r="W12" s="196">
        <f>Cashflow!W$30</f>
        <v>2037</v>
      </c>
      <c r="X12" s="196">
        <f>Cashflow!X$30</f>
        <v>2038</v>
      </c>
      <c r="Y12" s="196">
        <f>Cashflow!Y$30</f>
        <v>2039</v>
      </c>
      <c r="Z12" s="196">
        <f>Cashflow!Z$30</f>
        <v>2040</v>
      </c>
      <c r="AA12" s="196">
        <f>Cashflow!AA$30</f>
        <v>2041</v>
      </c>
      <c r="AB12" s="196">
        <f>Cashflow!AB$30</f>
        <v>2042</v>
      </c>
      <c r="AC12" s="196">
        <f>Cashflow!AC$30</f>
        <v>2043</v>
      </c>
      <c r="AD12" s="196">
        <f>Cashflow!AD$30</f>
        <v>2044</v>
      </c>
      <c r="AE12" s="196">
        <f>Cashflow!AE$30</f>
        <v>2045</v>
      </c>
      <c r="AF12" s="196">
        <f>Cashflow!AF$30</f>
        <v>2046</v>
      </c>
      <c r="AG12" s="196">
        <f>Cashflow!AG$30</f>
        <v>2047</v>
      </c>
      <c r="AH12" s="679"/>
      <c r="AI12" s="667"/>
      <c r="AJ12" s="667"/>
    </row>
    <row r="13" spans="1:36" ht="14.4" thickTop="1" thickBot="1">
      <c r="A13" s="670"/>
      <c r="B13" s="513" t="s">
        <v>261</v>
      </c>
      <c r="C13" s="514">
        <f>DCF!C17</f>
        <v>-15.5</v>
      </c>
      <c r="D13" s="514">
        <f>DCF!D17+C13</f>
        <v>-25.321428571428569</v>
      </c>
      <c r="E13" s="514">
        <f>DCF!E17+D13</f>
        <v>-29.307397959183671</v>
      </c>
      <c r="F13" s="514">
        <f>DCF!F17+E13</f>
        <v>-55.643267128279874</v>
      </c>
      <c r="G13" s="514">
        <f>DCF!G17+F13</f>
        <v>-138.89613539931275</v>
      </c>
      <c r="H13" s="514">
        <f>DCF!H17+G13</f>
        <v>-184.2902838568007</v>
      </c>
      <c r="I13" s="514">
        <f>DCF!I17+H13</f>
        <v>-212.40831108214201</v>
      </c>
      <c r="J13" s="514">
        <f>DCF!J17+I13</f>
        <v>-231.63315273395997</v>
      </c>
      <c r="K13" s="514">
        <f>DCF!K17+J13</f>
        <v>-247.18265701116567</v>
      </c>
      <c r="L13" s="514">
        <f ca="1">DCF!L17+K13</f>
        <v>-259.80400788552095</v>
      </c>
      <c r="M13" s="514">
        <f ca="1">DCF!M17+L13</f>
        <v>-267.04840570881163</v>
      </c>
      <c r="N13" s="514">
        <f ca="1">DCF!N17+M13</f>
        <v>-276.24764103997438</v>
      </c>
      <c r="O13" s="514">
        <f ca="1">DCF!O17+N13</f>
        <v>-276.24764103997438</v>
      </c>
      <c r="P13" s="514">
        <f ca="1">DCF!P17+O13</f>
        <v>-276.24764103997438</v>
      </c>
      <c r="Q13" s="514">
        <f ca="1">DCF!Q17+P13</f>
        <v>-276.24764103997438</v>
      </c>
      <c r="R13" s="514">
        <f ca="1">DCF!R17+Q13</f>
        <v>-276.24764103997438</v>
      </c>
      <c r="S13" s="514">
        <f ca="1">DCF!S17+R13</f>
        <v>-276.24764103997438</v>
      </c>
      <c r="T13" s="514">
        <f ca="1">DCF!T17+S13</f>
        <v>-276.24764103997438</v>
      </c>
      <c r="U13" s="514">
        <f ca="1">DCF!U17+T13</f>
        <v>-276.24764103997438</v>
      </c>
      <c r="V13" s="514">
        <f ca="1">DCF!V17+U13</f>
        <v>-276.24764103997438</v>
      </c>
      <c r="W13" s="514">
        <f ca="1">DCF!W17+V13</f>
        <v>-276.24764103997438</v>
      </c>
      <c r="X13" s="514">
        <f ca="1">DCF!X17+W13</f>
        <v>-277.63603521516217</v>
      </c>
      <c r="Y13" s="514">
        <f ca="1">DCF!Y17+X13</f>
        <v>-277.63603521516217</v>
      </c>
      <c r="Z13" s="514">
        <f ca="1">DCF!Z17+Y13</f>
        <v>-277.63603521516217</v>
      </c>
      <c r="AA13" s="514">
        <f ca="1">DCF!AA17+Z13</f>
        <v>-277.63603521516217</v>
      </c>
      <c r="AB13" s="514">
        <f ca="1">DCF!AB17+AA13</f>
        <v>-277.63603521516217</v>
      </c>
      <c r="AC13" s="514">
        <f ca="1">DCF!AC17+AB13</f>
        <v>-277.63603521516217</v>
      </c>
      <c r="AD13" s="514">
        <f ca="1">DCF!AD17+AC13</f>
        <v>-277.63603521516217</v>
      </c>
      <c r="AE13" s="514">
        <f ca="1">DCF!AE17+AD13</f>
        <v>-277.63603521516217</v>
      </c>
      <c r="AF13" s="514">
        <f ca="1">DCF!AF17+AE13</f>
        <v>-277.63603521516217</v>
      </c>
      <c r="AG13" s="514">
        <f ca="1">DCF!AG17+AF13</f>
        <v>-277.63603521516217</v>
      </c>
      <c r="AH13" s="679" t="s">
        <v>279</v>
      </c>
      <c r="AI13" s="667"/>
      <c r="AJ13" s="667"/>
    </row>
    <row r="14" spans="1:36" ht="13.8" thickTop="1">
      <c r="A14" s="670"/>
      <c r="B14" s="145" t="s">
        <v>262</v>
      </c>
      <c r="C14" s="211">
        <f>DCF!C18</f>
        <v>-1.0774999999999999</v>
      </c>
      <c r="D14" s="211">
        <f>DCF!D18+C14</f>
        <v>-2.0886607142857141</v>
      </c>
      <c r="E14" s="211">
        <f>DCF!E18+D14</f>
        <v>-3.01141262755102</v>
      </c>
      <c r="F14" s="211">
        <f>DCF!F18+E14</f>
        <v>-4.6787578580539346</v>
      </c>
      <c r="G14" s="211">
        <f>DCF!G18+F14</f>
        <v>-6.5837232980724156</v>
      </c>
      <c r="H14" s="211">
        <f>DCF!H18+G14</f>
        <v>-8.511556040376357</v>
      </c>
      <c r="I14" s="211">
        <f>DCF!I18+H14</f>
        <v>-10.981382756115796</v>
      </c>
      <c r="J14" s="211">
        <f>DCF!J18+I14</f>
        <v>-13.463649075276999</v>
      </c>
      <c r="K14" s="211">
        <f>DCF!K18+J14</f>
        <v>-16.237072861559426</v>
      </c>
      <c r="L14" s="211">
        <f ca="1">DCF!L18+K14</f>
        <v>-19.088109304217127</v>
      </c>
      <c r="M14" s="211">
        <f ca="1">DCF!M18+L14</f>
        <v>-21.760607152625703</v>
      </c>
      <c r="N14" s="211">
        <f ca="1">DCF!N18+M14</f>
        <v>-24.42517237207143</v>
      </c>
      <c r="O14" s="211">
        <f ca="1">DCF!O18+N14</f>
        <v>-26.992728910743509</v>
      </c>
      <c r="P14" s="211">
        <f ca="1">DCF!P18+O14</f>
        <v>-29.498268744999965</v>
      </c>
      <c r="Q14" s="211">
        <f ca="1">DCF!Q18+P14</f>
        <v>-31.74972891051134</v>
      </c>
      <c r="R14" s="211">
        <f ca="1">DCF!R18+Q14</f>
        <v>-34.112522448869186</v>
      </c>
      <c r="S14" s="211">
        <f ca="1">DCF!S18+R14</f>
        <v>-35.907372708364861</v>
      </c>
      <c r="T14" s="211">
        <f ca="1">DCF!T18+S14</f>
        <v>-37.790977251060845</v>
      </c>
      <c r="U14" s="211">
        <f ca="1">DCF!U18+T14</f>
        <v>-39.221820889051656</v>
      </c>
      <c r="V14" s="211">
        <f ca="1">DCF!V18+U14</f>
        <v>-40.723418898216181</v>
      </c>
      <c r="W14" s="211">
        <f ca="1">DCF!W18+V14</f>
        <v>-41.760411921074599</v>
      </c>
      <c r="X14" s="211">
        <f ca="1">DCF!X18+W14</f>
        <v>-42.779299408040927</v>
      </c>
      <c r="Y14" s="211">
        <f ca="1">DCF!Y18+X14</f>
        <v>-43.694824595636717</v>
      </c>
      <c r="Z14" s="211">
        <f ca="1">DCF!Z18+Y14</f>
        <v>-44.654651373637918</v>
      </c>
      <c r="AA14" s="211">
        <f ca="1">DCF!AA18+Z14</f>
        <v>-45.384502447933031</v>
      </c>
      <c r="AB14" s="211">
        <f ca="1">DCF!AB18+AA14</f>
        <v>-46.149670478865104</v>
      </c>
      <c r="AC14" s="211">
        <f ca="1">DCF!AC18+AB14</f>
        <v>-46.731503286817201</v>
      </c>
      <c r="AD14" s="211">
        <f ca="1">DCF!AD18+AC14</f>
        <v>-47.341490556374019</v>
      </c>
      <c r="AE14" s="211">
        <f ca="1">DCF!AE18+AD14</f>
        <v>-47.763454840916779</v>
      </c>
      <c r="AF14" s="211">
        <f ca="1">DCF!AF18+AE14</f>
        <v>-48.174966408100531</v>
      </c>
      <c r="AG14" s="211">
        <f ca="1">DCF!AG18+AF14</f>
        <v>-48.544731676163131</v>
      </c>
      <c r="AH14" s="679" t="s">
        <v>279</v>
      </c>
      <c r="AI14" s="667"/>
      <c r="AJ14" s="667"/>
    </row>
    <row r="15" spans="1:36">
      <c r="A15" s="670"/>
      <c r="B15" s="205" t="s">
        <v>1349</v>
      </c>
      <c r="C15" s="141">
        <f>DCF!C19</f>
        <v>-1.0774999999999999</v>
      </c>
      <c r="D15" s="141">
        <f>DCF!D19+C15</f>
        <v>-2.0886607142857141</v>
      </c>
      <c r="E15" s="141">
        <f>DCF!E19+D15</f>
        <v>-3.01141262755102</v>
      </c>
      <c r="F15" s="141">
        <f>DCF!F19+E15</f>
        <v>-4.6787578580539346</v>
      </c>
      <c r="G15" s="141">
        <f>DCF!G19+F15</f>
        <v>-6.5837232980724156</v>
      </c>
      <c r="H15" s="141">
        <f>DCF!H19+G15</f>
        <v>-8.511556040376357</v>
      </c>
      <c r="I15" s="141">
        <f>DCF!I19+H15</f>
        <v>-10.880056531880332</v>
      </c>
      <c r="J15" s="141">
        <f>DCF!J19+I15</f>
        <v>-13.090913321839398</v>
      </c>
      <c r="K15" s="141">
        <f>DCF!K19+J15</f>
        <v>-15.142640119974594</v>
      </c>
      <c r="L15" s="141">
        <f ca="1">DCF!L19+K15</f>
        <v>-17.037645801252793</v>
      </c>
      <c r="M15" s="141">
        <f ca="1">DCF!M19+L15</f>
        <v>-18.765837148653354</v>
      </c>
      <c r="N15" s="141">
        <f ca="1">DCF!N19+M15</f>
        <v>-20.354861314059669</v>
      </c>
      <c r="O15" s="141">
        <f ca="1">DCF!O19+N15</f>
        <v>-21.773632890315305</v>
      </c>
      <c r="P15" s="141">
        <f ca="1">DCF!P19+O15</f>
        <v>-23.040393226257837</v>
      </c>
      <c r="Q15" s="141">
        <f ca="1">DCF!Q19+P15</f>
        <v>-24.171429240492241</v>
      </c>
      <c r="R15" s="141">
        <f ca="1">DCF!R19+Q15</f>
        <v>-25.181282824630102</v>
      </c>
      <c r="S15" s="141">
        <f ca="1">DCF!S19+R15</f>
        <v>-26.082937810467477</v>
      </c>
      <c r="T15" s="141">
        <f ca="1">DCF!T19+S15</f>
        <v>-26.887986904965135</v>
      </c>
      <c r="U15" s="141">
        <f ca="1">DCF!U19+T15</f>
        <v>-27.606780739338042</v>
      </c>
      <c r="V15" s="141">
        <f ca="1">DCF!V19+U15</f>
        <v>-28.248560948599568</v>
      </c>
      <c r="W15" s="141">
        <f ca="1">DCF!W19+V15</f>
        <v>-28.821578992583074</v>
      </c>
      <c r="X15" s="141">
        <f ca="1">DCF!X19+W15</f>
        <v>-29.340144217015713</v>
      </c>
      <c r="Y15" s="141">
        <f ca="1">DCF!Y19+X15</f>
        <v>-29.803148881687711</v>
      </c>
      <c r="Z15" s="141">
        <f ca="1">DCF!Z19+Y15</f>
        <v>-30.216545903716284</v>
      </c>
      <c r="AA15" s="141">
        <f ca="1">DCF!AA19+Z15</f>
        <v>-30.585650387670366</v>
      </c>
      <c r="AB15" s="141">
        <f ca="1">DCF!AB19+AA15</f>
        <v>-30.915207962629367</v>
      </c>
      <c r="AC15" s="141">
        <f ca="1">DCF!AC19+AB15</f>
        <v>-31.20945579741419</v>
      </c>
      <c r="AD15" s="141">
        <f ca="1">DCF!AD19+AC15</f>
        <v>-31.472177078472068</v>
      </c>
      <c r="AE15" s="141">
        <f ca="1">DCF!AE19+AD15</f>
        <v>-31.706749650845172</v>
      </c>
      <c r="AF15" s="141">
        <f ca="1">DCF!AF19+AE15</f>
        <v>-31.916189447606872</v>
      </c>
      <c r="AG15" s="141">
        <f ca="1">DCF!AG19+AF15</f>
        <v>-32.103189266144106</v>
      </c>
      <c r="AH15" s="679" t="s">
        <v>279</v>
      </c>
      <c r="AI15" s="667"/>
      <c r="AJ15" s="667"/>
    </row>
    <row r="16" spans="1:36">
      <c r="A16" s="670"/>
      <c r="B16" s="205" t="s">
        <v>1348</v>
      </c>
      <c r="C16" s="141">
        <f>DCF!C20</f>
        <v>-1</v>
      </c>
      <c r="D16" s="141">
        <f>DCF!D20+C16</f>
        <v>-1.8928571428571428</v>
      </c>
      <c r="E16" s="141">
        <f>DCF!E20+D16</f>
        <v>-2.6900510204081631</v>
      </c>
      <c r="F16" s="141">
        <f>DCF!F20+E16</f>
        <v>-4.1136115160349851</v>
      </c>
      <c r="G16" s="141">
        <f>DCF!G20+F16</f>
        <v>-5.3846476728446477</v>
      </c>
      <c r="H16" s="141">
        <f>DCF!H20+G16</f>
        <v>-6.5195013842818463</v>
      </c>
      <c r="I16" s="141">
        <f>DCF!I20+H16</f>
        <v>-8.0393947478138088</v>
      </c>
      <c r="J16" s="141">
        <f>DCF!J20+I16</f>
        <v>-9.3964423938244899</v>
      </c>
      <c r="K16" s="141">
        <f>DCF!K20+J16</f>
        <v>-10.608092077762597</v>
      </c>
      <c r="L16" s="141">
        <f ca="1">DCF!L20+K16</f>
        <v>-11.689922152707336</v>
      </c>
      <c r="M16" s="141">
        <f ca="1">DCF!M20+L16</f>
        <v>-12.655841862479424</v>
      </c>
      <c r="N16" s="141">
        <f ca="1">DCF!N20+M16</f>
        <v>-13.51827017477593</v>
      </c>
      <c r="O16" s="141">
        <f ca="1">DCF!O20+N16</f>
        <v>-14.288295453612097</v>
      </c>
      <c r="P16" s="141">
        <f ca="1">DCF!P20+O16</f>
        <v>-14.975818024001532</v>
      </c>
      <c r="Q16" s="141">
        <f ca="1">DCF!Q20+P16</f>
        <v>-15.589677461849242</v>
      </c>
      <c r="R16" s="141">
        <f ca="1">DCF!R20+Q16</f>
        <v>-16.137766245641838</v>
      </c>
      <c r="S16" s="141">
        <f ca="1">DCF!S20+R16</f>
        <v>-16.627131231170942</v>
      </c>
      <c r="T16" s="141">
        <f ca="1">DCF!T20+S16</f>
        <v>-17.064064253964787</v>
      </c>
      <c r="U16" s="141">
        <f ca="1">DCF!U20+T16</f>
        <v>-17.454183024316432</v>
      </c>
      <c r="V16" s="141">
        <f ca="1">DCF!V20+U16</f>
        <v>-17.802503354987543</v>
      </c>
      <c r="W16" s="141">
        <f ca="1">DCF!W20+V16</f>
        <v>-18.113503650229607</v>
      </c>
      <c r="X16" s="141">
        <f ca="1">DCF!X20+W16</f>
        <v>-18.391182485267166</v>
      </c>
      <c r="Y16" s="141">
        <f ca="1">DCF!Y20+X16</f>
        <v>-18.639110016550699</v>
      </c>
      <c r="Z16" s="141">
        <f ca="1">DCF!Z20+Y16</f>
        <v>-18.86047388376814</v>
      </c>
      <c r="AA16" s="141">
        <f ca="1">DCF!AA20+Z16</f>
        <v>-19.058120193783711</v>
      </c>
      <c r="AB16" s="141">
        <f ca="1">DCF!AB20+AA16</f>
        <v>-19.234590113440472</v>
      </c>
      <c r="AC16" s="141">
        <f ca="1">DCF!AC20+AB16</f>
        <v>-19.392152541705435</v>
      </c>
      <c r="AD16" s="141">
        <f ca="1">DCF!AD20+AC16</f>
        <v>-19.532833281227727</v>
      </c>
      <c r="AE16" s="141">
        <f ca="1">DCF!AE20+AD16</f>
        <v>-19.65844108437263</v>
      </c>
      <c r="AF16" s="141">
        <f ca="1">DCF!AF20+AE16</f>
        <v>-19.770590908609151</v>
      </c>
      <c r="AG16" s="141">
        <f ca="1">DCF!AG20+AF16</f>
        <v>-19.870724680248902</v>
      </c>
      <c r="AH16" s="679" t="s">
        <v>279</v>
      </c>
      <c r="AI16" s="667"/>
      <c r="AJ16" s="667"/>
    </row>
    <row r="17" spans="1:36">
      <c r="A17" s="670"/>
      <c r="B17" s="71" t="s">
        <v>1347</v>
      </c>
      <c r="C17" s="141">
        <f>DCF!C21</f>
        <v>-7.7499999999999999E-2</v>
      </c>
      <c r="D17" s="141">
        <f>DCF!D21+C17</f>
        <v>-0.19580357142857141</v>
      </c>
      <c r="E17" s="141">
        <f>DCF!E21+D17</f>
        <v>-0.32136160714285711</v>
      </c>
      <c r="F17" s="141">
        <f>DCF!F21+E17</f>
        <v>-0.56514634201895042</v>
      </c>
      <c r="G17" s="141">
        <f>DCF!G21+F17</f>
        <v>-1.1990756252277697</v>
      </c>
      <c r="H17" s="141">
        <f>DCF!H21+G17</f>
        <v>-1.992054656094512</v>
      </c>
      <c r="I17" s="141">
        <f>DCF!I21+H17</f>
        <v>-2.840661784066524</v>
      </c>
      <c r="J17" s="141">
        <f>DCF!J21+I17</f>
        <v>-3.6944709280149102</v>
      </c>
      <c r="K17" s="141">
        <f>DCF!K21+J17</f>
        <v>-4.5345480422119984</v>
      </c>
      <c r="L17" s="141">
        <f ca="1">DCF!L21+K17</f>
        <v>-5.3477236485454602</v>
      </c>
      <c r="M17" s="141">
        <f ca="1">DCF!M21+L17</f>
        <v>-6.1099952861739331</v>
      </c>
      <c r="N17" s="141">
        <f ca="1">DCF!N21+M17</f>
        <v>-6.8365911392837404</v>
      </c>
      <c r="O17" s="141">
        <f ca="1">DCF!O21+N17</f>
        <v>-7.4853374367032108</v>
      </c>
      <c r="P17" s="141">
        <f ca="1">DCF!P21+O17</f>
        <v>-8.0645752022563091</v>
      </c>
      <c r="Q17" s="141">
        <f ca="1">DCF!Q21+P17</f>
        <v>-8.5817517786430049</v>
      </c>
      <c r="R17" s="141">
        <f ca="1">DCF!R21+Q17</f>
        <v>-9.0435165789882692</v>
      </c>
      <c r="S17" s="141">
        <f ca="1">DCF!S21+R17</f>
        <v>-9.4558065792965404</v>
      </c>
      <c r="T17" s="141">
        <f ca="1">DCF!T21+S17</f>
        <v>-9.8239226510003537</v>
      </c>
      <c r="U17" s="141">
        <f ca="1">DCF!U21+T17</f>
        <v>-10.152597715021615</v>
      </c>
      <c r="V17" s="141">
        <f ca="1">DCF!V21+U17</f>
        <v>-10.446057593612029</v>
      </c>
      <c r="W17" s="141">
        <f ca="1">DCF!W21+V17</f>
        <v>-10.708075342353467</v>
      </c>
      <c r="X17" s="141">
        <f ca="1">DCF!X21+W17</f>
        <v>-10.948961731748549</v>
      </c>
      <c r="Y17" s="141">
        <f ca="1">DCF!Y21+X17</f>
        <v>-11.164038865137014</v>
      </c>
      <c r="Z17" s="141">
        <f ca="1">DCF!Z21+Y17</f>
        <v>-11.356072019948144</v>
      </c>
      <c r="AA17" s="141">
        <f ca="1">DCF!AA21+Z17</f>
        <v>-11.527530193886653</v>
      </c>
      <c r="AB17" s="141">
        <f ca="1">DCF!AB21+AA17</f>
        <v>-11.680617849188893</v>
      </c>
      <c r="AC17" s="141">
        <f ca="1">DCF!AC21+AB17</f>
        <v>-11.817303255708751</v>
      </c>
      <c r="AD17" s="141">
        <f ca="1">DCF!AD21+AC17</f>
        <v>-11.939343797244337</v>
      </c>
      <c r="AE17" s="141">
        <f ca="1">DCF!AE21+AD17</f>
        <v>-12.04830856647254</v>
      </c>
      <c r="AF17" s="141">
        <f ca="1">DCF!AF21+AE17</f>
        <v>-12.145598538997721</v>
      </c>
      <c r="AG17" s="141">
        <f ca="1">DCF!AG21+AF17</f>
        <v>-12.232464585895203</v>
      </c>
      <c r="AH17" s="679" t="s">
        <v>279</v>
      </c>
      <c r="AI17" s="667"/>
      <c r="AJ17" s="667"/>
    </row>
    <row r="18" spans="1:36">
      <c r="A18" s="670"/>
      <c r="B18" s="71" t="s">
        <v>1350</v>
      </c>
      <c r="C18" s="141">
        <f>DCF!C22</f>
        <v>0</v>
      </c>
      <c r="D18" s="141">
        <f>DCF!D22+C18</f>
        <v>0</v>
      </c>
      <c r="E18" s="141">
        <f>DCF!E22+D18</f>
        <v>0</v>
      </c>
      <c r="F18" s="141">
        <f>DCF!F22+E18</f>
        <v>0</v>
      </c>
      <c r="G18" s="141">
        <f>DCF!G22+F18</f>
        <v>0</v>
      </c>
      <c r="H18" s="141">
        <f>DCF!H22+G18</f>
        <v>0</v>
      </c>
      <c r="I18" s="141">
        <f>DCF!I22+H18</f>
        <v>0</v>
      </c>
      <c r="J18" s="141">
        <f>DCF!J22+I18</f>
        <v>0</v>
      </c>
      <c r="K18" s="141">
        <f>DCF!K22+J18</f>
        <v>-0.3985904057637365</v>
      </c>
      <c r="L18" s="141">
        <f ca="1">DCF!L22+K18</f>
        <v>-0.92188913716534293</v>
      </c>
      <c r="M18" s="141">
        <f ca="1">DCF!M22+L18</f>
        <v>-1.4154331069463821</v>
      </c>
      <c r="N18" s="141">
        <f ca="1">DCF!N22+M18</f>
        <v>-1.9735171736078911</v>
      </c>
      <c r="O18" s="141">
        <f ca="1">DCF!O22+N18</f>
        <v>-2.4036118757772438</v>
      </c>
      <c r="P18" s="141">
        <f ca="1">DCF!P22+O18</f>
        <v>-2.7715294515978828</v>
      </c>
      <c r="Q18" s="141">
        <f ca="1">DCF!Q22+P18</f>
        <v>-3.1143983149344203</v>
      </c>
      <c r="R18" s="141">
        <f ca="1">DCF!R22+Q18</f>
        <v>-3.4076999538220472</v>
      </c>
      <c r="S18" s="141">
        <f ca="1">DCF!S22+R18</f>
        <v>-3.6810329124768124</v>
      </c>
      <c r="T18" s="141">
        <f ca="1">DCF!T22+S18</f>
        <v>-3.9148511832737087</v>
      </c>
      <c r="U18" s="141">
        <f ca="1">DCF!U22+T18</f>
        <v>-4.1327505444461936</v>
      </c>
      <c r="V18" s="141">
        <f ca="1">DCF!V22+U18</f>
        <v>-4.3191490383850457</v>
      </c>
      <c r="W18" s="141">
        <f ca="1">DCF!W22+V18</f>
        <v>-4.4928570750340295</v>
      </c>
      <c r="X18" s="141">
        <f ca="1">DCF!X22+W18</f>
        <v>-4.6414528131868131</v>
      </c>
      <c r="Y18" s="141">
        <f ca="1">DCF!Y22+X18</f>
        <v>-4.7799317964847914</v>
      </c>
      <c r="Z18" s="141">
        <f ca="1">DCF!Z22+Y18</f>
        <v>-4.8983914091703653</v>
      </c>
      <c r="AA18" s="141">
        <f ca="1">DCF!AA22+Z18</f>
        <v>-5.0087860068250034</v>
      </c>
      <c r="AB18" s="141">
        <f ca="1">DCF!AB22+AA18</f>
        <v>-5.1032212847950085</v>
      </c>
      <c r="AC18" s="141">
        <f ca="1">DCF!AC22+AB18</f>
        <v>-5.1912271821599942</v>
      </c>
      <c r="AD18" s="141">
        <f ca="1">DCF!AD22+AC18</f>
        <v>-5.2665104075825111</v>
      </c>
      <c r="AE18" s="141">
        <f ca="1">DCF!AE22+AD18</f>
        <v>-5.3366681701502614</v>
      </c>
      <c r="AF18" s="141">
        <f ca="1">DCF!AF22+AE18</f>
        <v>-5.3966834965393851</v>
      </c>
      <c r="AG18" s="141">
        <f ca="1">DCF!AG22+AF18</f>
        <v>-5.4526128353210739</v>
      </c>
      <c r="AH18" s="679" t="s">
        <v>279</v>
      </c>
      <c r="AI18" s="667"/>
      <c r="AJ18" s="667"/>
    </row>
    <row r="19" spans="1:36" ht="13.8" thickBot="1">
      <c r="A19" s="670"/>
      <c r="B19" s="856" t="s">
        <v>1351</v>
      </c>
      <c r="C19" s="213">
        <f>DCF!C23</f>
        <v>0</v>
      </c>
      <c r="D19" s="213">
        <f>DCF!D23+C19</f>
        <v>0</v>
      </c>
      <c r="E19" s="213">
        <f>DCF!E23+D19</f>
        <v>0</v>
      </c>
      <c r="F19" s="213">
        <f>DCF!F23+E19</f>
        <v>0</v>
      </c>
      <c r="G19" s="213">
        <f>DCF!G23+F19</f>
        <v>0</v>
      </c>
      <c r="H19" s="213">
        <f>DCF!H23+G19</f>
        <v>0</v>
      </c>
      <c r="I19" s="213">
        <f>DCF!I23+H19</f>
        <v>-0.10132622423546414</v>
      </c>
      <c r="J19" s="213">
        <f>DCF!J23+I19</f>
        <v>-0.37273575343760024</v>
      </c>
      <c r="K19" s="213">
        <f>DCF!K23+J19</f>
        <v>-0.69584233582109556</v>
      </c>
      <c r="L19" s="213">
        <f ca="1">DCF!L23+K19</f>
        <v>-1.1285743657989911</v>
      </c>
      <c r="M19" s="213">
        <f ca="1">DCF!M23+L19</f>
        <v>-1.5793368970259656</v>
      </c>
      <c r="N19" s="213">
        <f ca="1">DCF!N23+M19</f>
        <v>-2.09679388440387</v>
      </c>
      <c r="O19" s="213">
        <f ca="1">DCF!O23+N19</f>
        <v>-2.8154841446509593</v>
      </c>
      <c r="P19" s="213">
        <f ca="1">DCF!P23+O19</f>
        <v>-3.6863460671442434</v>
      </c>
      <c r="Q19" s="213">
        <f ca="1">DCF!Q23+P19</f>
        <v>-4.4639013550846753</v>
      </c>
      <c r="R19" s="213">
        <f ca="1">DCF!R23+Q19</f>
        <v>-5.5235396704170316</v>
      </c>
      <c r="S19" s="213">
        <f ca="1">DCF!S23+R19</f>
        <v>-6.1434019854205646</v>
      </c>
      <c r="T19" s="213">
        <f ca="1">DCF!T23+S19</f>
        <v>-6.9881391628219962</v>
      </c>
      <c r="U19" s="213">
        <f ca="1">DCF!U23+T19</f>
        <v>-7.4822896052674146</v>
      </c>
      <c r="V19" s="213">
        <f ca="1">DCF!V23+U19</f>
        <v>-8.1557089112315655</v>
      </c>
      <c r="W19" s="213">
        <f ca="1">DCF!W23+V19</f>
        <v>-8.445975853457492</v>
      </c>
      <c r="X19" s="213">
        <f ca="1">DCF!X23+W19</f>
        <v>-8.797702377838398</v>
      </c>
      <c r="Y19" s="213">
        <f ca="1">DCF!Y23+X19</f>
        <v>-9.1117439174642083</v>
      </c>
      <c r="Z19" s="213">
        <f ca="1">DCF!Z23+Y19</f>
        <v>-9.53971406075126</v>
      </c>
      <c r="AA19" s="213">
        <f ca="1">DCF!AA23+Z19</f>
        <v>-9.790066053437652</v>
      </c>
      <c r="AB19" s="213">
        <f ca="1">DCF!AB23+AA19</f>
        <v>-10.131241231440724</v>
      </c>
      <c r="AC19" s="213">
        <f ca="1">DCF!AC23+AB19</f>
        <v>-10.330820307243012</v>
      </c>
      <c r="AD19" s="213">
        <f ca="1">DCF!AD23+AC19</f>
        <v>-10.602803070319441</v>
      </c>
      <c r="AE19" s="213">
        <f ca="1">DCF!AE23+AD19</f>
        <v>-10.720037019921349</v>
      </c>
      <c r="AF19" s="213">
        <f ca="1">DCF!AF23+AE19</f>
        <v>-10.862093463954274</v>
      </c>
      <c r="AG19" s="213">
        <f ca="1">DCF!AG23+AF19</f>
        <v>-10.988929574697957</v>
      </c>
      <c r="AH19" s="679" t="s">
        <v>279</v>
      </c>
      <c r="AI19" s="667"/>
      <c r="AJ19" s="667"/>
    </row>
    <row r="20" spans="1:36" ht="13.8" thickTop="1">
      <c r="A20" s="670"/>
      <c r="B20" s="144" t="s">
        <v>263</v>
      </c>
      <c r="C20" s="211">
        <f>C21+C22</f>
        <v>0</v>
      </c>
      <c r="D20" s="211">
        <f>D21+D22</f>
        <v>0</v>
      </c>
      <c r="E20" s="211">
        <f t="shared" ref="E20:AF20" si="0">E21+E22</f>
        <v>0</v>
      </c>
      <c r="F20" s="211">
        <f t="shared" si="0"/>
        <v>0</v>
      </c>
      <c r="G20" s="211">
        <f t="shared" si="0"/>
        <v>0</v>
      </c>
      <c r="H20" s="211">
        <f t="shared" si="0"/>
        <v>0</v>
      </c>
      <c r="I20" s="211">
        <f t="shared" si="0"/>
        <v>0</v>
      </c>
      <c r="J20" s="211">
        <f t="shared" si="0"/>
        <v>0</v>
      </c>
      <c r="K20" s="211">
        <f t="shared" ca="1" si="0"/>
        <v>-0.58038568380230704</v>
      </c>
      <c r="L20" s="211">
        <f t="shared" ca="1" si="0"/>
        <v>-1.3411157463351855</v>
      </c>
      <c r="M20" s="211">
        <f t="shared" ca="1" si="0"/>
        <v>-2.0523814621148331</v>
      </c>
      <c r="N20" s="211">
        <f t="shared" ca="1" si="0"/>
        <v>-2.8555299604981736</v>
      </c>
      <c r="O20" s="211">
        <f t="shared" ca="1" si="0"/>
        <v>-5.0851984831395427</v>
      </c>
      <c r="P20" s="211">
        <f t="shared" ca="1" si="0"/>
        <v>-9.1058307258063387</v>
      </c>
      <c r="Q20" s="211">
        <f t="shared" ca="1" si="0"/>
        <v>-13.264473490731284</v>
      </c>
      <c r="R20" s="211">
        <f t="shared" ca="1" si="0"/>
        <v>-16.930345542168659</v>
      </c>
      <c r="S20" s="211">
        <f t="shared" ca="1" si="0"/>
        <v>-20.573754170628021</v>
      </c>
      <c r="T20" s="211">
        <f t="shared" ca="1" si="0"/>
        <v>-23.635549394763562</v>
      </c>
      <c r="U20" s="211">
        <f t="shared" ca="1" si="0"/>
        <v>-26.622652436637573</v>
      </c>
      <c r="V20" s="211">
        <f t="shared" ca="1" si="0"/>
        <v>-29.16516550444365</v>
      </c>
      <c r="W20" s="211">
        <f t="shared" ca="1" si="0"/>
        <v>-31.63740662843507</v>
      </c>
      <c r="X20" s="211">
        <f t="shared" ca="1" si="0"/>
        <v>-33.683978767214384</v>
      </c>
      <c r="Y20" s="211">
        <f t="shared" ca="1" si="0"/>
        <v>-35.6034524923259</v>
      </c>
      <c r="Z20" s="211">
        <f t="shared" ca="1" si="0"/>
        <v>-37.218784889689125</v>
      </c>
      <c r="AA20" s="211">
        <f t="shared" ca="1" si="0"/>
        <v>-38.763490859968591</v>
      </c>
      <c r="AB20" s="211">
        <f t="shared" ca="1" si="0"/>
        <v>-39.840666096669338</v>
      </c>
      <c r="AC20" s="211">
        <f t="shared" ca="1" si="0"/>
        <v>-40.873584476241639</v>
      </c>
      <c r="AD20" s="211">
        <f t="shared" ca="1" si="0"/>
        <v>-41.737141836583667</v>
      </c>
      <c r="AE20" s="211">
        <f t="shared" ca="1" si="0"/>
        <v>-42.574041337227968</v>
      </c>
      <c r="AF20" s="211">
        <f t="shared" ca="1" si="0"/>
        <v>-43.064763220369549</v>
      </c>
      <c r="AG20" s="211">
        <f ca="1">AG21+AG22</f>
        <v>-43.528355569859791</v>
      </c>
      <c r="AH20" s="679" t="s">
        <v>279</v>
      </c>
      <c r="AI20" s="667"/>
      <c r="AJ20" s="667"/>
    </row>
    <row r="21" spans="1:36">
      <c r="A21" s="670"/>
      <c r="B21" s="207" t="s">
        <v>155</v>
      </c>
      <c r="C21" s="141">
        <f>DCF!C25</f>
        <v>0</v>
      </c>
      <c r="D21" s="141">
        <f>DCF!D25+C21</f>
        <v>0</v>
      </c>
      <c r="E21" s="141">
        <f>DCF!E25+D21</f>
        <v>0</v>
      </c>
      <c r="F21" s="141">
        <f>DCF!F25+E21</f>
        <v>0</v>
      </c>
      <c r="G21" s="141">
        <f>DCF!G25+F21</f>
        <v>0</v>
      </c>
      <c r="H21" s="141">
        <f>DCF!H25+G21</f>
        <v>0</v>
      </c>
      <c r="I21" s="141">
        <f>DCF!I25+H21</f>
        <v>0</v>
      </c>
      <c r="J21" s="141">
        <f>DCF!J25+I21</f>
        <v>0</v>
      </c>
      <c r="K21" s="141">
        <f ca="1">DCF!K25+J21</f>
        <v>-0.58038568380230704</v>
      </c>
      <c r="L21" s="141">
        <f ca="1">DCF!L25+K21</f>
        <v>-1.3411157463351855</v>
      </c>
      <c r="M21" s="141">
        <f ca="1">DCF!M25+L21</f>
        <v>-2.0523814621148331</v>
      </c>
      <c r="N21" s="141">
        <f ca="1">DCF!N25+M21</f>
        <v>-2.8555299604981736</v>
      </c>
      <c r="O21" s="141">
        <f ca="1">DCF!O25+N21</f>
        <v>-3.47109958951149</v>
      </c>
      <c r="P21" s="141">
        <f ca="1">DCF!P25+O21</f>
        <v>-4.0005761795113406</v>
      </c>
      <c r="Q21" s="141">
        <f ca="1">DCF!Q25+P21</f>
        <v>-4.4913045189671088</v>
      </c>
      <c r="R21" s="141">
        <f ca="1">DCF!R25+Q21</f>
        <v>-4.9134000148215815</v>
      </c>
      <c r="S21" s="141">
        <f ca="1">DCF!S25+R21</f>
        <v>-5.3046056425764991</v>
      </c>
      <c r="T21" s="141">
        <f ca="1">DCF!T25+S21</f>
        <v>-5.6417453881343134</v>
      </c>
      <c r="U21" s="141">
        <f ca="1">DCF!U25+T21</f>
        <v>-5.9547941135963463</v>
      </c>
      <c r="V21" s="141">
        <f ca="1">DCF!V25+U21</f>
        <v>-6.224486048320987</v>
      </c>
      <c r="W21" s="141">
        <f ca="1">DCF!W25+V21</f>
        <v>-6.4748271072292782</v>
      </c>
      <c r="X21" s="141">
        <f ca="1">DCF!X25+W21</f>
        <v>-6.6903465362547587</v>
      </c>
      <c r="Y21" s="141">
        <f ca="1">DCF!Y25+X21</f>
        <v>-6.8901593115517734</v>
      </c>
      <c r="Z21" s="141">
        <f ca="1">DCF!Z25+Y21</f>
        <v>-7.0620417943352569</v>
      </c>
      <c r="AA21" s="141">
        <f ca="1">DCF!AA25+Z21</f>
        <v>-7.2213570185657332</v>
      </c>
      <c r="AB21" s="141">
        <f ca="1">DCF!AB25+AA21</f>
        <v>-7.338314997129971</v>
      </c>
      <c r="AC21" s="141">
        <f ca="1">DCF!AC25+AB21</f>
        <v>-7.4466135512830434</v>
      </c>
      <c r="AD21" s="141">
        <f ca="1">DCF!AD25+AC21</f>
        <v>-7.5398202631627314</v>
      </c>
      <c r="AE21" s="141">
        <f ca="1">DCF!AE25+AD21</f>
        <v>-7.6260908120872326</v>
      </c>
      <c r="AF21" s="141">
        <f ca="1">DCF!AF25+AE21</f>
        <v>-7.6804820556782749</v>
      </c>
      <c r="AG21" s="141">
        <f ca="1">DCF!AG25+AF21</f>
        <v>-7.7307251224668665</v>
      </c>
      <c r="AH21" s="687" t="s">
        <v>279</v>
      </c>
      <c r="AI21" s="667"/>
      <c r="AJ21" s="667"/>
    </row>
    <row r="22" spans="1:36">
      <c r="A22" s="670"/>
      <c r="B22" s="207" t="s">
        <v>156</v>
      </c>
      <c r="C22" s="141">
        <f>DCF!C26</f>
        <v>0</v>
      </c>
      <c r="D22" s="141">
        <f>DCF!D26+C22</f>
        <v>0</v>
      </c>
      <c r="E22" s="141">
        <f>DCF!E26+D22</f>
        <v>0</v>
      </c>
      <c r="F22" s="141">
        <f>DCF!F26+E22</f>
        <v>0</v>
      </c>
      <c r="G22" s="141">
        <f>DCF!G26+F22</f>
        <v>0</v>
      </c>
      <c r="H22" s="141">
        <f>DCF!H26+G22</f>
        <v>0</v>
      </c>
      <c r="I22" s="141">
        <f>DCF!I26+H22</f>
        <v>0</v>
      </c>
      <c r="J22" s="141">
        <f>DCF!J26+I22</f>
        <v>0</v>
      </c>
      <c r="K22" s="141">
        <f ca="1">DCF!K26+J22</f>
        <v>0</v>
      </c>
      <c r="L22" s="141">
        <f ca="1">DCF!L26+K22</f>
        <v>0</v>
      </c>
      <c r="M22" s="141">
        <f ca="1">DCF!M26+L22</f>
        <v>0</v>
      </c>
      <c r="N22" s="141">
        <f ca="1">DCF!N26+M22</f>
        <v>0</v>
      </c>
      <c r="O22" s="141">
        <f ca="1">DCF!O26+N22</f>
        <v>-1.6140988936280529</v>
      </c>
      <c r="P22" s="141">
        <f ca="1">DCF!P26+O22</f>
        <v>-5.105254546294999</v>
      </c>
      <c r="Q22" s="141">
        <f ca="1">DCF!Q26+P22</f>
        <v>-8.773168971764175</v>
      </c>
      <c r="R22" s="141">
        <f ca="1">DCF!R26+Q22</f>
        <v>-12.016945527347076</v>
      </c>
      <c r="S22" s="141">
        <f ca="1">DCF!S26+R22</f>
        <v>-15.269148528051524</v>
      </c>
      <c r="T22" s="141">
        <f ca="1">DCF!T26+S22</f>
        <v>-17.993804006629247</v>
      </c>
      <c r="U22" s="141">
        <f ca="1">DCF!U26+T22</f>
        <v>-20.667858323041226</v>
      </c>
      <c r="V22" s="141">
        <f ca="1">DCF!V26+U22</f>
        <v>-22.940679456122663</v>
      </c>
      <c r="W22" s="141">
        <f ca="1">DCF!W26+V22</f>
        <v>-25.162579521205792</v>
      </c>
      <c r="X22" s="141">
        <f ca="1">DCF!X26+W22</f>
        <v>-26.993632230959626</v>
      </c>
      <c r="Y22" s="141">
        <f ca="1">DCF!Y26+X22</f>
        <v>-28.713293180774123</v>
      </c>
      <c r="Z22" s="141">
        <f ca="1">DCF!Z26+Y22</f>
        <v>-30.156743095353868</v>
      </c>
      <c r="AA22" s="141">
        <f ca="1">DCF!AA26+Z22</f>
        <v>-31.542133841402858</v>
      </c>
      <c r="AB22" s="141">
        <f ca="1">DCF!AB26+AA22</f>
        <v>-32.502351099539368</v>
      </c>
      <c r="AC22" s="141">
        <f ca="1">DCF!AC26+AB22</f>
        <v>-33.426970924958596</v>
      </c>
      <c r="AD22" s="141">
        <f ca="1">DCF!AD26+AC22</f>
        <v>-34.197321573420936</v>
      </c>
      <c r="AE22" s="141">
        <f ca="1">DCF!AE26+AD22</f>
        <v>-34.947950525140733</v>
      </c>
      <c r="AF22" s="141">
        <f ca="1">DCF!AF26+AE22</f>
        <v>-35.384281164691274</v>
      </c>
      <c r="AG22" s="141">
        <f ca="1">DCF!AG26+AF22</f>
        <v>-35.797630447392926</v>
      </c>
      <c r="AH22" s="679" t="s">
        <v>279</v>
      </c>
      <c r="AI22" s="669"/>
      <c r="AJ22" s="667"/>
    </row>
    <row r="23" spans="1:36">
      <c r="A23" s="670"/>
      <c r="B23" s="207" t="str">
        <f>"Cum. transactions to govt, PV "&amp;TEXT(DCF!C3, "#,##%")</f>
        <v>Cum. transactions to govt, PV 12%</v>
      </c>
      <c r="C23" s="141">
        <f>DCF!C27</f>
        <v>-0.5</v>
      </c>
      <c r="D23" s="141">
        <f>DCF!D27+C23</f>
        <v>-1.3928571428571428</v>
      </c>
      <c r="E23" s="141">
        <f>DCF!E27+D23</f>
        <v>-1.3928571428571428</v>
      </c>
      <c r="F23" s="141">
        <f>DCF!F27+E23</f>
        <v>-1.3928571428571428</v>
      </c>
      <c r="G23" s="141">
        <f>DCF!G27+F23</f>
        <v>-1.3928571428571428</v>
      </c>
      <c r="H23" s="141">
        <f>DCF!H27+G23</f>
        <v>-1.3928571428571428</v>
      </c>
      <c r="I23" s="141">
        <f>DCF!I27+H23</f>
        <v>-1.3928571428571428</v>
      </c>
      <c r="J23" s="141">
        <f>DCF!J27+I23</f>
        <v>-1.3928571428571428</v>
      </c>
      <c r="K23" s="141">
        <f>DCF!K27+J23</f>
        <v>-1.3928571428571428</v>
      </c>
      <c r="L23" s="141">
        <f ca="1">DCF!L27+K23</f>
        <v>-1.3928571428571428</v>
      </c>
      <c r="M23" s="141">
        <f ca="1">DCF!M27+L23</f>
        <v>-1.3928571428571428</v>
      </c>
      <c r="N23" s="141">
        <f ca="1">DCF!N27+M23</f>
        <v>-1.3928571428571428</v>
      </c>
      <c r="O23" s="141">
        <f ca="1">DCF!O27+N23</f>
        <v>-1.3928571428571428</v>
      </c>
      <c r="P23" s="141">
        <f ca="1">DCF!P27+O23</f>
        <v>-1.3928571428571428</v>
      </c>
      <c r="Q23" s="141">
        <f ca="1">DCF!Q27+P23</f>
        <v>-1.3928571428571428</v>
      </c>
      <c r="R23" s="141">
        <f ca="1">DCF!R27+Q23</f>
        <v>-1.3928571428571428</v>
      </c>
      <c r="S23" s="141">
        <f ca="1">DCF!S27+R23</f>
        <v>-1.3928571428571428</v>
      </c>
      <c r="T23" s="141">
        <f ca="1">DCF!T27+S23</f>
        <v>-1.3928571428571428</v>
      </c>
      <c r="U23" s="141">
        <f ca="1">DCF!U27+T23</f>
        <v>-1.3928571428571428</v>
      </c>
      <c r="V23" s="141">
        <f ca="1">DCF!V27+U23</f>
        <v>-1.3928571428571428</v>
      </c>
      <c r="W23" s="141">
        <f ca="1">DCF!W27+V23</f>
        <v>-1.3928571428571428</v>
      </c>
      <c r="X23" s="141">
        <f ca="1">DCF!X27+W23</f>
        <v>-1.3928571428571428</v>
      </c>
      <c r="Y23" s="141">
        <f ca="1">DCF!Y27+X23</f>
        <v>-1.3928571428571428</v>
      </c>
      <c r="Z23" s="141">
        <f ca="1">DCF!Z27+Y23</f>
        <v>-1.3928571428571428</v>
      </c>
      <c r="AA23" s="141">
        <f ca="1">DCF!AA27+Z23</f>
        <v>-1.3928571428571428</v>
      </c>
      <c r="AB23" s="141">
        <f ca="1">DCF!AB27+AA23</f>
        <v>-1.3928571428571428</v>
      </c>
      <c r="AC23" s="141">
        <f ca="1">DCF!AC27+AB23</f>
        <v>-1.3928571428571428</v>
      </c>
      <c r="AD23" s="141">
        <f ca="1">DCF!AD27+AC23</f>
        <v>-1.3928571428571428</v>
      </c>
      <c r="AE23" s="141">
        <f ca="1">DCF!AE27+AD23</f>
        <v>-1.3928571428571428</v>
      </c>
      <c r="AF23" s="141">
        <f ca="1">DCF!AF27+AE23</f>
        <v>-1.3928571428571428</v>
      </c>
      <c r="AG23" s="141">
        <f ca="1">DCF!AG27+AF23</f>
        <v>-1.3928571428571428</v>
      </c>
      <c r="AH23" s="679" t="s">
        <v>279</v>
      </c>
      <c r="AI23" s="669"/>
      <c r="AJ23" s="667"/>
    </row>
    <row r="24" spans="1:36" ht="13.8" thickBot="1">
      <c r="A24" s="670"/>
      <c r="B24" s="1051" t="str">
        <f>"Cum. transactions to govt, PV "&amp;TEXT(DCF!C4, "#,##%")</f>
        <v>Cum. transactions to govt, PV %</v>
      </c>
      <c r="C24" s="898">
        <f>DCF!C28</f>
        <v>-0.5</v>
      </c>
      <c r="D24" s="898">
        <f>DCF!D28+C24</f>
        <v>-1.5</v>
      </c>
      <c r="E24" s="898">
        <f>DCF!E28+D24</f>
        <v>-1.5</v>
      </c>
      <c r="F24" s="898">
        <f>DCF!F28+E24</f>
        <v>-1.5</v>
      </c>
      <c r="G24" s="898">
        <f>DCF!G28+F24</f>
        <v>-1.5</v>
      </c>
      <c r="H24" s="898">
        <f>DCF!H28+G24</f>
        <v>-1.5</v>
      </c>
      <c r="I24" s="898">
        <f>DCF!I28+H24</f>
        <v>-1.5</v>
      </c>
      <c r="J24" s="898">
        <f>DCF!J28+I24</f>
        <v>-1.5</v>
      </c>
      <c r="K24" s="898">
        <f ca="1">DCF!K28+J24</f>
        <v>-2.9370135811431961</v>
      </c>
      <c r="L24" s="898">
        <f ca="1">DCF!L28+K24</f>
        <v>-5.0465779577068748</v>
      </c>
      <c r="M24" s="898">
        <f ca="1">DCF!M28+L24</f>
        <v>-7.255661306717756</v>
      </c>
      <c r="N24" s="898">
        <f ca="1">DCF!N28+M24</f>
        <v>-10.049453510424588</v>
      </c>
      <c r="O24" s="898">
        <f ca="1">DCF!O28+N24</f>
        <v>-18.73618854597305</v>
      </c>
      <c r="P24" s="898">
        <f ca="1">DCF!P28+O24</f>
        <v>-36.280189641338026</v>
      </c>
      <c r="Q24" s="898">
        <f ca="1">DCF!Q28+P24</f>
        <v>-56.603943786940889</v>
      </c>
      <c r="R24" s="898">
        <f ca="1">DCF!R28+Q24</f>
        <v>-76.669335525505872</v>
      </c>
      <c r="S24" s="898">
        <f ca="1">DCF!S28+R24</f>
        <v>-99.004864647108747</v>
      </c>
      <c r="T24" s="898">
        <f ca="1">DCF!T28+S24</f>
        <v>-120.02727584796804</v>
      </c>
      <c r="U24" s="898">
        <f ca="1">DCF!U28+T24</f>
        <v>-142.99799606618382</v>
      </c>
      <c r="V24" s="898">
        <f ca="1">DCF!V28+U24</f>
        <v>-164.89605521398653</v>
      </c>
      <c r="W24" s="898">
        <f ca="1">DCF!W28+V24</f>
        <v>-188.74401769325527</v>
      </c>
      <c r="X24" s="898">
        <f ca="1">DCF!X28+W24</f>
        <v>-210.85487254291462</v>
      </c>
      <c r="Y24" s="898">
        <f ca="1">DCF!Y28+X24</f>
        <v>-234.08109976150098</v>
      </c>
      <c r="Z24" s="898">
        <f ca="1">DCF!Z28+Y24</f>
        <v>-255.97264535565873</v>
      </c>
      <c r="AA24" s="898">
        <f ca="1">DCF!AA28+Z24</f>
        <v>-279.41916409144125</v>
      </c>
      <c r="AB24" s="898">
        <f ca="1">DCF!AB28+AA24</f>
        <v>-297.73121249259452</v>
      </c>
      <c r="AC24" s="898">
        <f ca="1">DCF!AC28+AB24</f>
        <v>-317.39805294967277</v>
      </c>
      <c r="AD24" s="898">
        <f ca="1">DCF!AD28+AC24</f>
        <v>-335.81331071575528</v>
      </c>
      <c r="AE24" s="898">
        <f ca="1">DCF!AE28+AD24</f>
        <v>-355.80170665192605</v>
      </c>
      <c r="AF24" s="898">
        <f ca="1">DCF!AF28+AE24</f>
        <v>-368.92848290366589</v>
      </c>
      <c r="AG24" s="898">
        <f ca="1">DCF!AG28+AF24</f>
        <v>-382.81767359024383</v>
      </c>
      <c r="AH24" s="679" t="s">
        <v>279</v>
      </c>
      <c r="AI24" s="669"/>
      <c r="AJ24" s="667"/>
    </row>
    <row r="25" spans="1:36" ht="13.8" thickTop="1">
      <c r="A25" s="667"/>
      <c r="B25" s="145" t="s">
        <v>260</v>
      </c>
      <c r="C25" s="211">
        <f>DCF!C29</f>
        <v>0</v>
      </c>
      <c r="D25" s="211">
        <f>DCF!D29+C25</f>
        <v>0</v>
      </c>
      <c r="E25" s="211">
        <f>DCF!E29+D25</f>
        <v>0</v>
      </c>
      <c r="F25" s="211">
        <f>DCF!F29+E25</f>
        <v>0</v>
      </c>
      <c r="G25" s="211">
        <f>DCF!G29+F25</f>
        <v>0</v>
      </c>
      <c r="H25" s="211">
        <f>DCF!H29+G25</f>
        <v>0</v>
      </c>
      <c r="I25" s="211">
        <f>DCF!I29+H25</f>
        <v>-0.10132622423546414</v>
      </c>
      <c r="J25" s="211">
        <f>DCF!J29+I25</f>
        <v>-0.37273575343760024</v>
      </c>
      <c r="K25" s="211">
        <f>DCF!K29+J25</f>
        <v>-0.69584233582109556</v>
      </c>
      <c r="L25" s="211">
        <f ca="1">DCF!L29+K25</f>
        <v>-1.1285743657989911</v>
      </c>
      <c r="M25" s="211">
        <f ca="1">DCF!M29+L25</f>
        <v>-1.5793368970259656</v>
      </c>
      <c r="N25" s="211">
        <f ca="1">DCF!N29+M25</f>
        <v>-2.09679388440387</v>
      </c>
      <c r="O25" s="211">
        <f ca="1">DCF!O29+N25</f>
        <v>-2.8154841446509593</v>
      </c>
      <c r="P25" s="211">
        <f ca="1">DCF!P29+O25</f>
        <v>-3.6863460671442434</v>
      </c>
      <c r="Q25" s="211">
        <f ca="1">DCF!Q29+P25</f>
        <v>-4.4639013550846753</v>
      </c>
      <c r="R25" s="211">
        <f ca="1">DCF!R29+Q25</f>
        <v>-5.5235396704170316</v>
      </c>
      <c r="S25" s="211">
        <f ca="1">DCF!S29+R25</f>
        <v>-6.1434019854205646</v>
      </c>
      <c r="T25" s="211">
        <f ca="1">DCF!T29+S25</f>
        <v>-6.9881391628219962</v>
      </c>
      <c r="U25" s="211">
        <f ca="1">DCF!U29+T25</f>
        <v>-7.4822896052674146</v>
      </c>
      <c r="V25" s="211">
        <f ca="1">DCF!V29+U25</f>
        <v>-8.1557089112315655</v>
      </c>
      <c r="W25" s="211">
        <f ca="1">DCF!W29+V25</f>
        <v>-8.445975853457492</v>
      </c>
      <c r="X25" s="211">
        <f ca="1">DCF!X29+W25</f>
        <v>-8.797702377838398</v>
      </c>
      <c r="Y25" s="211">
        <f ca="1">DCF!Y29+X25</f>
        <v>-9.1117439174642083</v>
      </c>
      <c r="Z25" s="211">
        <f ca="1">DCF!Z29+Y25</f>
        <v>-9.53971406075126</v>
      </c>
      <c r="AA25" s="211">
        <f ca="1">DCF!AA29+Z25</f>
        <v>-9.790066053437652</v>
      </c>
      <c r="AB25" s="211">
        <f ca="1">DCF!AB29+AA25</f>
        <v>-10.131241231440724</v>
      </c>
      <c r="AC25" s="211">
        <f ca="1">DCF!AC29+AB25</f>
        <v>-10.330820307243012</v>
      </c>
      <c r="AD25" s="211">
        <f ca="1">DCF!AD29+AC25</f>
        <v>-10.602803070319441</v>
      </c>
      <c r="AE25" s="211">
        <f ca="1">DCF!AE29+AD25</f>
        <v>-10.720037019921349</v>
      </c>
      <c r="AF25" s="211">
        <f ca="1">DCF!AF29+AE25</f>
        <v>-10.862093463954274</v>
      </c>
      <c r="AG25" s="211">
        <f ca="1">DCF!AG29+AF25</f>
        <v>-10.988929574697957</v>
      </c>
      <c r="AH25" s="687" t="s">
        <v>279</v>
      </c>
      <c r="AI25" s="667"/>
      <c r="AJ25" s="667"/>
    </row>
    <row r="26" spans="1:36">
      <c r="A26" s="670"/>
      <c r="B26" s="139" t="s">
        <v>264</v>
      </c>
      <c r="C26" s="141">
        <f>DCF!C30</f>
        <v>-17.077500000000001</v>
      </c>
      <c r="D26" s="141">
        <f>DCF!D30+C26</f>
        <v>-28.802946428571428</v>
      </c>
      <c r="E26" s="141">
        <f>DCF!E30+D26</f>
        <v>-33.711667729591838</v>
      </c>
      <c r="F26" s="141">
        <f>DCF!F30+E26</f>
        <v>-61.714882129190954</v>
      </c>
      <c r="G26" s="141">
        <f>DCF!G30+F26</f>
        <v>-146.87271584024234</v>
      </c>
      <c r="H26" s="141">
        <f>DCF!H30+G26</f>
        <v>-194.19469704003421</v>
      </c>
      <c r="I26" s="141">
        <f>DCF!I30+H26</f>
        <v>-224.78255098111495</v>
      </c>
      <c r="J26" s="141">
        <f>DCF!J30+I26</f>
        <v>-246.48965895209412</v>
      </c>
      <c r="K26" s="141">
        <f ca="1">DCF!K30+J26</f>
        <v>-265.39297269938459</v>
      </c>
      <c r="L26" s="141">
        <f ca="1">DCF!L30+K26</f>
        <v>-281.62609007893047</v>
      </c>
      <c r="M26" s="141">
        <f ca="1">DCF!M30+L26</f>
        <v>-292.25425146640936</v>
      </c>
      <c r="N26" s="141">
        <f ca="1">DCF!N30+M26</f>
        <v>-304.92120051540115</v>
      </c>
      <c r="O26" s="141">
        <f ca="1">DCF!O30+N26</f>
        <v>-309.71842557671459</v>
      </c>
      <c r="P26" s="141">
        <f ca="1">DCF!P30+O26</f>
        <v>-316.24459765363787</v>
      </c>
      <c r="Q26" s="141">
        <f ca="1">DCF!Q30+P26</f>
        <v>-322.65470058407419</v>
      </c>
      <c r="R26" s="141">
        <f ca="1">DCF!R30+Q26</f>
        <v>-328.68336617386939</v>
      </c>
      <c r="S26" s="141">
        <f ca="1">DCF!S30+R26</f>
        <v>-334.12162506182443</v>
      </c>
      <c r="T26" s="141">
        <f ca="1">DCF!T30+S26</f>
        <v>-339.06702482865597</v>
      </c>
      <c r="U26" s="141">
        <f ca="1">DCF!U30+T26</f>
        <v>-343.4849715085208</v>
      </c>
      <c r="V26" s="141">
        <f ca="1">DCF!V30+U26</f>
        <v>-347.52908258549138</v>
      </c>
      <c r="W26" s="141">
        <f ca="1">DCF!W30+V26</f>
        <v>-351.03831673234123</v>
      </c>
      <c r="X26" s="141">
        <f ca="1">DCF!X30+W26</f>
        <v>-355.49217053327465</v>
      </c>
      <c r="Y26" s="141">
        <f ca="1">DCF!Y30+X26</f>
        <v>-358.32716944598195</v>
      </c>
      <c r="Z26" s="141">
        <f ca="1">DCF!Z30+Y26</f>
        <v>-360.90232862134638</v>
      </c>
      <c r="AA26" s="141">
        <f ca="1">DCF!AA30+Z26</f>
        <v>-363.17688566592096</v>
      </c>
      <c r="AB26" s="141">
        <f ca="1">DCF!AB30+AA26</f>
        <v>-365.01922893355379</v>
      </c>
      <c r="AC26" s="141">
        <f ca="1">DCF!AC30+AB26</f>
        <v>-366.6339801210782</v>
      </c>
      <c r="AD26" s="141">
        <f ca="1">DCF!AD30+AC26</f>
        <v>-368.10752475097706</v>
      </c>
      <c r="AE26" s="141">
        <f ca="1">DCF!AE30+AD26</f>
        <v>-369.36638853616415</v>
      </c>
      <c r="AF26" s="141">
        <f ca="1">DCF!AF30+AE26</f>
        <v>-370.26862198648951</v>
      </c>
      <c r="AG26" s="141">
        <f ca="1">DCF!AG30+AF26</f>
        <v>-371.10197960404236</v>
      </c>
      <c r="AH26" s="679" t="s">
        <v>279</v>
      </c>
      <c r="AI26" s="667"/>
      <c r="AJ26" s="667"/>
    </row>
    <row r="27" spans="1:36" ht="13.8" thickBot="1">
      <c r="A27" s="667"/>
      <c r="B27" s="689"/>
      <c r="C27" s="689"/>
      <c r="D27" s="689"/>
      <c r="E27" s="689"/>
      <c r="F27" s="689"/>
      <c r="G27" s="689"/>
      <c r="H27" s="689"/>
      <c r="I27" s="689"/>
      <c r="J27" s="689"/>
      <c r="K27" s="689"/>
      <c r="L27" s="689"/>
      <c r="M27" s="689"/>
      <c r="N27" s="689"/>
      <c r="O27" s="689"/>
      <c r="P27" s="689"/>
      <c r="Q27" s="689"/>
      <c r="R27" s="689"/>
      <c r="S27" s="689"/>
      <c r="T27" s="689"/>
      <c r="U27" s="689"/>
      <c r="V27" s="689"/>
      <c r="W27" s="689"/>
      <c r="X27" s="689"/>
      <c r="Y27" s="689"/>
      <c r="Z27" s="689"/>
      <c r="AA27" s="689"/>
      <c r="AB27" s="689"/>
      <c r="AC27" s="689"/>
      <c r="AD27" s="689"/>
      <c r="AE27" s="689"/>
      <c r="AF27" s="689"/>
      <c r="AG27" s="689"/>
      <c r="AH27" s="667"/>
      <c r="AI27" s="667"/>
      <c r="AJ27" s="667"/>
    </row>
    <row r="28" spans="1:36" ht="14.4" thickTop="1" thickBot="1">
      <c r="A28" s="672"/>
      <c r="B28" s="212" t="s">
        <v>265</v>
      </c>
      <c r="C28" s="213">
        <f>DCF!C32</f>
        <v>-17.077500000000001</v>
      </c>
      <c r="D28" s="213">
        <f>DCF!D32+C28</f>
        <v>-28.802946428571428</v>
      </c>
      <c r="E28" s="213">
        <f>DCF!E32+D28</f>
        <v>-33.711667729591838</v>
      </c>
      <c r="F28" s="213">
        <f>DCF!F32+E28</f>
        <v>-61.714882129190954</v>
      </c>
      <c r="G28" s="213">
        <f>DCF!G32+F28</f>
        <v>-146.87271584024234</v>
      </c>
      <c r="H28" s="213">
        <f>DCF!H32+G28</f>
        <v>-194.19469704003421</v>
      </c>
      <c r="I28" s="213">
        <f>DCF!I32+H28</f>
        <v>-224.78255098111495</v>
      </c>
      <c r="J28" s="213">
        <f>DCF!J32+I28</f>
        <v>-246.48965895209412</v>
      </c>
      <c r="K28" s="213">
        <f ca="1">DCF!K32+J28</f>
        <v>-240.96589566335419</v>
      </c>
      <c r="L28" s="213">
        <f ca="1">DCF!L32+K28</f>
        <v>-225.68798046664017</v>
      </c>
      <c r="M28" s="213">
        <f ca="1">DCF!M32+L28</f>
        <v>-206.89959351316105</v>
      </c>
      <c r="N28" s="213">
        <f ca="1">DCF!N32+M28</f>
        <v>-186.57817431452273</v>
      </c>
      <c r="O28" s="213">
        <f ca="1">DCF!O32+N28</f>
        <v>-165.98258893646735</v>
      </c>
      <c r="P28" s="213">
        <f ca="1">DCF!P32+O28</f>
        <v>-150.87134903313697</v>
      </c>
      <c r="Q28" s="213">
        <f ca="1">DCF!Q32+P28</f>
        <v>-137.24307876011073</v>
      </c>
      <c r="R28" s="213">
        <f ca="1">DCF!R32+Q28</f>
        <v>-126.02253199319865</v>
      </c>
      <c r="S28" s="213">
        <f ca="1">DCF!S32+R28</f>
        <v>-115.48632244727092</v>
      </c>
      <c r="T28" s="213">
        <f ca="1">DCF!T32+S28</f>
        <v>-106.94613239178987</v>
      </c>
      <c r="U28" s="213">
        <f ca="1">DCF!U32+T28</f>
        <v>-98.842130053173378</v>
      </c>
      <c r="V28" s="213">
        <f ca="1">DCF!V32+U28</f>
        <v>-92.098563741158358</v>
      </c>
      <c r="W28" s="213">
        <f ca="1">DCF!W32+V28</f>
        <v>-85.594155531676535</v>
      </c>
      <c r="X28" s="213">
        <f ca="1">DCF!X32+W28</f>
        <v>-81.427232171590745</v>
      </c>
      <c r="Y28" s="213">
        <f ca="1">DCF!Y32+X28</f>
        <v>-76.269720072417442</v>
      </c>
      <c r="Z28" s="213">
        <f ca="1">DCF!Z32+Y28</f>
        <v>-71.969579936442528</v>
      </c>
      <c r="AA28" s="213">
        <f ca="1">DCF!AA32+Z28</f>
        <v>-67.871528011798063</v>
      </c>
      <c r="AB28" s="213">
        <f ca="1">DCF!AB32+AA28</f>
        <v>-65.035552136861369</v>
      </c>
      <c r="AC28" s="213">
        <f ca="1">DCF!AC32+AB28</f>
        <v>-62.318361158262888</v>
      </c>
      <c r="AD28" s="213">
        <f ca="1">DCF!AD32+AC28</f>
        <v>-60.063637312974222</v>
      </c>
      <c r="AE28" s="213">
        <f ca="1">DCF!AE32+AD28</f>
        <v>-57.871679141181232</v>
      </c>
      <c r="AF28" s="213">
        <f ca="1">DCF!AF32+AE28</f>
        <v>-56.598262847864873</v>
      </c>
      <c r="AG28" s="213">
        <f ca="1">DCF!AG32+AF28</f>
        <v>-55.421897793874066</v>
      </c>
      <c r="AH28" s="687" t="s">
        <v>279</v>
      </c>
      <c r="AI28" s="667"/>
      <c r="AJ28" s="667"/>
    </row>
    <row r="29" spans="1:36" ht="13.8" thickTop="1">
      <c r="A29" s="667"/>
      <c r="B29" s="395"/>
      <c r="C29" s="395"/>
      <c r="D29" s="395"/>
      <c r="E29" s="395"/>
      <c r="F29" s="395"/>
      <c r="G29" s="395"/>
      <c r="H29" s="395"/>
      <c r="I29" s="395"/>
      <c r="J29" s="395"/>
      <c r="K29" s="395"/>
      <c r="L29" s="395"/>
      <c r="M29" s="395"/>
      <c r="N29" s="395"/>
      <c r="O29" s="395"/>
      <c r="P29" s="395"/>
      <c r="Q29" s="395"/>
      <c r="R29" s="395"/>
      <c r="S29" s="395"/>
      <c r="T29" s="395"/>
      <c r="U29" s="395"/>
      <c r="V29" s="395"/>
      <c r="W29" s="395"/>
      <c r="X29" s="395"/>
      <c r="Y29" s="395"/>
      <c r="Z29" s="395"/>
      <c r="AA29" s="395"/>
      <c r="AB29" s="395"/>
      <c r="AC29" s="395"/>
      <c r="AD29" s="395"/>
      <c r="AE29" s="395"/>
      <c r="AF29" s="395"/>
      <c r="AG29" s="684"/>
      <c r="AH29" s="667"/>
      <c r="AI29" s="667"/>
      <c r="AJ29" s="667"/>
    </row>
    <row r="30" spans="1:36" ht="13.8" thickBot="1">
      <c r="A30" s="672"/>
      <c r="B30" s="195" t="s">
        <v>158</v>
      </c>
      <c r="C30" s="196">
        <f>Cashflow!C$30</f>
        <v>2017</v>
      </c>
      <c r="D30" s="196">
        <f>Cashflow!D$30</f>
        <v>2018</v>
      </c>
      <c r="E30" s="196">
        <f>Cashflow!E$30</f>
        <v>2019</v>
      </c>
      <c r="F30" s="196">
        <f>Cashflow!F$30</f>
        <v>2020</v>
      </c>
      <c r="G30" s="196">
        <f>Cashflow!G$30</f>
        <v>2021</v>
      </c>
      <c r="H30" s="196">
        <f>Cashflow!H$30</f>
        <v>2022</v>
      </c>
      <c r="I30" s="196">
        <f>Cashflow!I$30</f>
        <v>2023</v>
      </c>
      <c r="J30" s="196">
        <f>Cashflow!J$30</f>
        <v>2024</v>
      </c>
      <c r="K30" s="196">
        <f>Cashflow!K$30</f>
        <v>2025</v>
      </c>
      <c r="L30" s="196">
        <f>Cashflow!L$30</f>
        <v>2026</v>
      </c>
      <c r="M30" s="196">
        <f>Cashflow!M$30</f>
        <v>2027</v>
      </c>
      <c r="N30" s="196">
        <f>Cashflow!N$30</f>
        <v>2028</v>
      </c>
      <c r="O30" s="196">
        <f>Cashflow!O$30</f>
        <v>2029</v>
      </c>
      <c r="P30" s="196">
        <f>Cashflow!P$30</f>
        <v>2030</v>
      </c>
      <c r="Q30" s="196">
        <f>Cashflow!Q$30</f>
        <v>2031</v>
      </c>
      <c r="R30" s="196">
        <f>Cashflow!R$30</f>
        <v>2032</v>
      </c>
      <c r="S30" s="196">
        <f>Cashflow!S$30</f>
        <v>2033</v>
      </c>
      <c r="T30" s="196">
        <f>Cashflow!T$30</f>
        <v>2034</v>
      </c>
      <c r="U30" s="196">
        <f>Cashflow!U$30</f>
        <v>2035</v>
      </c>
      <c r="V30" s="196">
        <f>Cashflow!V$30</f>
        <v>2036</v>
      </c>
      <c r="W30" s="196">
        <f>Cashflow!W$30</f>
        <v>2037</v>
      </c>
      <c r="X30" s="196">
        <f>Cashflow!X$30</f>
        <v>2038</v>
      </c>
      <c r="Y30" s="196">
        <f>Cashflow!Y$30</f>
        <v>2039</v>
      </c>
      <c r="Z30" s="196">
        <f>Cashflow!Z$30</f>
        <v>2040</v>
      </c>
      <c r="AA30" s="196">
        <f>Cashflow!AA$30</f>
        <v>2041</v>
      </c>
      <c r="AB30" s="196">
        <f>Cashflow!AB$30</f>
        <v>2042</v>
      </c>
      <c r="AC30" s="196">
        <f>Cashflow!AC$30</f>
        <v>2043</v>
      </c>
      <c r="AD30" s="196">
        <f>Cashflow!AD$30</f>
        <v>2044</v>
      </c>
      <c r="AE30" s="196">
        <f>Cashflow!AE$30</f>
        <v>2045</v>
      </c>
      <c r="AF30" s="196">
        <f>Cashflow!AF$30</f>
        <v>2046</v>
      </c>
      <c r="AG30" s="196">
        <f>Cashflow!AG$30</f>
        <v>2047</v>
      </c>
      <c r="AH30" s="667"/>
      <c r="AI30" s="667"/>
      <c r="AJ30" s="667"/>
    </row>
    <row r="31" spans="1:36" ht="13.8" thickTop="1">
      <c r="A31" s="670"/>
      <c r="B31" s="676" t="s">
        <v>266</v>
      </c>
      <c r="C31" s="678" t="str">
        <f>IF(AND(C28&lt;=0,D28&gt;0),HLOOKUP(0,$C$28:$AG$30,3,TRUE),"")</f>
        <v/>
      </c>
      <c r="D31" s="678" t="str">
        <f>IF(AND(D28&lt;=0,E28&gt;0),HLOOKUP(0,$C$28:$AG$30,3,TRUE),"")</f>
        <v/>
      </c>
      <c r="E31" s="678" t="str">
        <f t="shared" ref="E31:AG31" si="1">IF(AND(E28&lt;=0,F28&gt;0),HLOOKUP(0,$C$28:$AG$30,3,TRUE),"")</f>
        <v/>
      </c>
      <c r="F31" s="678" t="str">
        <f t="shared" si="1"/>
        <v/>
      </c>
      <c r="G31" s="678" t="str">
        <f t="shared" si="1"/>
        <v/>
      </c>
      <c r="H31" s="678" t="str">
        <f t="shared" si="1"/>
        <v/>
      </c>
      <c r="I31" s="678" t="str">
        <f t="shared" si="1"/>
        <v/>
      </c>
      <c r="J31" s="678" t="str">
        <f t="shared" ca="1" si="1"/>
        <v/>
      </c>
      <c r="K31" s="678" t="str">
        <f t="shared" ca="1" si="1"/>
        <v/>
      </c>
      <c r="L31" s="678" t="str">
        <f t="shared" ca="1" si="1"/>
        <v/>
      </c>
      <c r="M31" s="678" t="str">
        <f t="shared" ca="1" si="1"/>
        <v/>
      </c>
      <c r="N31" s="678" t="str">
        <f t="shared" ca="1" si="1"/>
        <v/>
      </c>
      <c r="O31" s="678" t="str">
        <f t="shared" ca="1" si="1"/>
        <v/>
      </c>
      <c r="P31" s="678" t="str">
        <f t="shared" ca="1" si="1"/>
        <v/>
      </c>
      <c r="Q31" s="678" t="str">
        <f t="shared" ca="1" si="1"/>
        <v/>
      </c>
      <c r="R31" s="678" t="str">
        <f t="shared" ca="1" si="1"/>
        <v/>
      </c>
      <c r="S31" s="678" t="str">
        <f t="shared" ca="1" si="1"/>
        <v/>
      </c>
      <c r="T31" s="678" t="str">
        <f t="shared" ca="1" si="1"/>
        <v/>
      </c>
      <c r="U31" s="678" t="str">
        <f t="shared" ca="1" si="1"/>
        <v/>
      </c>
      <c r="V31" s="678" t="str">
        <f t="shared" ca="1" si="1"/>
        <v/>
      </c>
      <c r="W31" s="678" t="str">
        <f t="shared" ca="1" si="1"/>
        <v/>
      </c>
      <c r="X31" s="678" t="str">
        <f t="shared" ca="1" si="1"/>
        <v/>
      </c>
      <c r="Y31" s="678" t="str">
        <f t="shared" ca="1" si="1"/>
        <v/>
      </c>
      <c r="Z31" s="678" t="str">
        <f t="shared" ca="1" si="1"/>
        <v/>
      </c>
      <c r="AA31" s="678" t="str">
        <f t="shared" ca="1" si="1"/>
        <v/>
      </c>
      <c r="AB31" s="678" t="str">
        <f t="shared" ca="1" si="1"/>
        <v/>
      </c>
      <c r="AC31" s="678" t="str">
        <f t="shared" ca="1" si="1"/>
        <v/>
      </c>
      <c r="AD31" s="678" t="str">
        <f t="shared" ca="1" si="1"/>
        <v/>
      </c>
      <c r="AE31" s="678" t="str">
        <f t="shared" ca="1" si="1"/>
        <v/>
      </c>
      <c r="AF31" s="678" t="str">
        <f t="shared" ca="1" si="1"/>
        <v/>
      </c>
      <c r="AG31" s="678">
        <f t="shared" ca="1" si="1"/>
        <v>2047</v>
      </c>
      <c r="AH31" s="667"/>
      <c r="AI31" s="667"/>
      <c r="AJ31" s="667"/>
    </row>
    <row r="32" spans="1:36">
      <c r="A32" s="670"/>
      <c r="B32" s="64" t="s">
        <v>160</v>
      </c>
      <c r="C32" s="198">
        <f ca="1">MIN(C31:AG31)+1</f>
        <v>2048</v>
      </c>
      <c r="D32" s="677"/>
      <c r="E32" s="674"/>
      <c r="F32" s="674"/>
      <c r="G32" s="674"/>
      <c r="H32" s="674"/>
      <c r="I32" s="674"/>
      <c r="J32" s="674"/>
      <c r="K32" s="674"/>
      <c r="L32" s="674"/>
      <c r="M32" s="674"/>
      <c r="N32" s="674"/>
      <c r="O32" s="674"/>
      <c r="P32" s="674"/>
      <c r="Q32" s="674"/>
      <c r="R32" s="674"/>
      <c r="S32" s="674"/>
      <c r="T32" s="674"/>
      <c r="U32" s="674"/>
      <c r="V32" s="674"/>
      <c r="W32" s="674"/>
      <c r="X32" s="674"/>
      <c r="Y32" s="674"/>
      <c r="Z32" s="674"/>
      <c r="AA32" s="674"/>
      <c r="AB32" s="674"/>
      <c r="AC32" s="674"/>
      <c r="AD32" s="674"/>
      <c r="AE32" s="674"/>
      <c r="AF32" s="674"/>
      <c r="AG32" s="674"/>
      <c r="AH32" s="680"/>
      <c r="AI32" s="667"/>
      <c r="AJ32" s="667"/>
    </row>
    <row r="33" spans="1:36">
      <c r="A33" s="667"/>
      <c r="B33" s="674"/>
      <c r="C33" s="674"/>
      <c r="D33" s="667"/>
      <c r="E33" s="667"/>
      <c r="F33" s="667"/>
      <c r="G33" s="667"/>
      <c r="H33" s="667"/>
      <c r="I33" s="667"/>
      <c r="J33" s="667"/>
      <c r="K33" s="667"/>
      <c r="L33" s="667"/>
      <c r="M33" s="667"/>
      <c r="N33" s="667"/>
      <c r="O33" s="667"/>
      <c r="P33" s="667"/>
      <c r="Q33" s="667"/>
      <c r="R33" s="667"/>
      <c r="S33" s="667"/>
      <c r="T33" s="667"/>
      <c r="U33" s="667"/>
      <c r="V33" s="667"/>
      <c r="W33" s="667"/>
      <c r="X33" s="667"/>
      <c r="Y33" s="667"/>
      <c r="Z33" s="667"/>
      <c r="AA33" s="667"/>
      <c r="AB33" s="667"/>
      <c r="AC33" s="667"/>
      <c r="AD33" s="667"/>
      <c r="AE33" s="667"/>
      <c r="AF33" s="667"/>
      <c r="AG33" s="667"/>
      <c r="AH33" s="679"/>
      <c r="AI33" s="667"/>
      <c r="AJ33" s="667"/>
    </row>
    <row r="34" spans="1:36">
      <c r="A34" s="667"/>
      <c r="B34" s="667"/>
      <c r="C34" s="667"/>
      <c r="D34" s="667"/>
      <c r="E34" s="667"/>
      <c r="F34" s="667"/>
      <c r="G34" s="667"/>
      <c r="H34" s="667"/>
      <c r="I34" s="667"/>
      <c r="J34" s="667"/>
      <c r="K34" s="667"/>
      <c r="L34" s="667"/>
      <c r="M34" s="667"/>
      <c r="N34" s="667"/>
      <c r="O34" s="667"/>
      <c r="P34" s="667"/>
      <c r="Q34" s="667"/>
      <c r="R34" s="667"/>
      <c r="S34" s="667"/>
      <c r="T34" s="667"/>
      <c r="U34" s="667"/>
      <c r="V34" s="667"/>
      <c r="W34" s="667"/>
      <c r="X34" s="667"/>
      <c r="Y34" s="667"/>
      <c r="Z34" s="667"/>
      <c r="AA34" s="667"/>
      <c r="AB34" s="667"/>
      <c r="AC34" s="667"/>
      <c r="AD34" s="667"/>
      <c r="AE34" s="667"/>
      <c r="AF34" s="667"/>
      <c r="AG34" s="667"/>
      <c r="AH34" s="679"/>
      <c r="AI34" s="667"/>
      <c r="AJ34" s="667"/>
    </row>
    <row r="35" spans="1:36">
      <c r="A35" s="667"/>
      <c r="B35" s="674"/>
      <c r="C35" s="674"/>
      <c r="D35" s="667"/>
      <c r="E35" s="667"/>
      <c r="F35" s="667"/>
      <c r="G35" s="667"/>
      <c r="H35" s="667"/>
      <c r="I35" s="667"/>
      <c r="J35" s="667"/>
      <c r="K35" s="667"/>
      <c r="L35" s="667"/>
      <c r="M35" s="667"/>
      <c r="N35" s="667"/>
      <c r="O35" s="667"/>
      <c r="P35" s="667"/>
      <c r="Q35" s="667"/>
      <c r="R35" s="667"/>
      <c r="S35" s="667"/>
      <c r="T35" s="667"/>
      <c r="U35" s="667"/>
      <c r="V35" s="667"/>
      <c r="W35" s="667"/>
      <c r="X35" s="667"/>
      <c r="Y35" s="667"/>
      <c r="Z35" s="667"/>
      <c r="AA35" s="667"/>
      <c r="AB35" s="667"/>
      <c r="AC35" s="667"/>
      <c r="AD35" s="667"/>
      <c r="AE35" s="667"/>
      <c r="AF35" s="667"/>
      <c r="AG35" s="667"/>
      <c r="AH35" s="679"/>
      <c r="AI35" s="667"/>
      <c r="AJ35" s="667"/>
    </row>
    <row r="36" spans="1:36">
      <c r="A36" s="667"/>
      <c r="B36" s="667"/>
      <c r="C36" s="667"/>
      <c r="D36" s="667"/>
      <c r="E36" s="667"/>
      <c r="F36" s="667"/>
      <c r="G36" s="667"/>
      <c r="H36" s="667"/>
      <c r="I36" s="667"/>
      <c r="J36" s="667"/>
      <c r="K36" s="667"/>
      <c r="L36" s="667"/>
      <c r="M36" s="667"/>
      <c r="N36" s="667"/>
      <c r="O36" s="667"/>
      <c r="P36" s="667"/>
      <c r="Q36" s="667"/>
      <c r="R36" s="667"/>
      <c r="S36" s="667"/>
      <c r="T36" s="667"/>
      <c r="U36" s="667"/>
      <c r="V36" s="667"/>
      <c r="W36" s="667"/>
      <c r="X36" s="667"/>
      <c r="Y36" s="667"/>
      <c r="Z36" s="667"/>
      <c r="AA36" s="667"/>
      <c r="AB36" s="667"/>
      <c r="AC36" s="667"/>
      <c r="AD36" s="667"/>
      <c r="AE36" s="667"/>
      <c r="AF36" s="667"/>
      <c r="AG36" s="667"/>
      <c r="AH36" s="679"/>
      <c r="AI36" s="667"/>
      <c r="AJ36" s="667"/>
    </row>
    <row r="37" spans="1:36">
      <c r="A37" s="667"/>
      <c r="B37" s="674"/>
      <c r="C37" s="674"/>
      <c r="D37" s="667"/>
      <c r="E37" s="667"/>
      <c r="F37" s="667"/>
      <c r="G37" s="667"/>
      <c r="H37" s="667"/>
      <c r="I37" s="667"/>
      <c r="J37" s="667"/>
      <c r="K37" s="667"/>
      <c r="L37" s="667"/>
      <c r="M37" s="667"/>
      <c r="N37" s="667"/>
      <c r="O37" s="667"/>
      <c r="P37" s="667"/>
      <c r="Q37" s="667"/>
      <c r="R37" s="667"/>
      <c r="S37" s="667"/>
      <c r="T37" s="667"/>
      <c r="U37" s="667"/>
      <c r="V37" s="667"/>
      <c r="W37" s="667"/>
      <c r="X37" s="667"/>
      <c r="Y37" s="667"/>
      <c r="Z37" s="667"/>
      <c r="AA37" s="667"/>
      <c r="AB37" s="667"/>
      <c r="AC37" s="667"/>
      <c r="AD37" s="667"/>
      <c r="AE37" s="667"/>
      <c r="AF37" s="667"/>
      <c r="AG37" s="667"/>
      <c r="AH37" s="679"/>
      <c r="AI37" s="667"/>
      <c r="AJ37" s="667"/>
    </row>
    <row r="38" spans="1:36">
      <c r="A38" s="667"/>
      <c r="B38" s="667"/>
      <c r="C38" s="667"/>
      <c r="D38" s="667"/>
      <c r="E38" s="667"/>
      <c r="F38" s="667"/>
      <c r="G38" s="667"/>
      <c r="H38" s="667"/>
      <c r="I38" s="667"/>
      <c r="J38" s="667"/>
      <c r="K38" s="667"/>
      <c r="L38" s="667"/>
      <c r="M38" s="667"/>
      <c r="N38" s="667"/>
      <c r="O38" s="667"/>
      <c r="P38" s="667"/>
      <c r="Q38" s="667"/>
      <c r="R38" s="667"/>
      <c r="S38" s="667"/>
      <c r="T38" s="667"/>
      <c r="U38" s="667"/>
      <c r="V38" s="667"/>
      <c r="W38" s="667"/>
      <c r="X38" s="667"/>
      <c r="Y38" s="667"/>
      <c r="Z38" s="667"/>
      <c r="AA38" s="667"/>
      <c r="AB38" s="667"/>
      <c r="AC38" s="667"/>
      <c r="AD38" s="667"/>
      <c r="AE38" s="667"/>
      <c r="AF38" s="667"/>
      <c r="AG38" s="667"/>
      <c r="AH38" s="679"/>
      <c r="AI38" s="667"/>
      <c r="AJ38" s="667"/>
    </row>
    <row r="39" spans="1:36">
      <c r="A39" s="667"/>
      <c r="B39" s="674"/>
      <c r="C39" s="674"/>
      <c r="D39" s="667"/>
      <c r="E39" s="667"/>
      <c r="F39" s="667"/>
      <c r="G39" s="667"/>
      <c r="H39" s="667"/>
      <c r="I39" s="667"/>
      <c r="J39" s="667"/>
      <c r="K39" s="667"/>
      <c r="L39" s="667"/>
      <c r="M39" s="667"/>
      <c r="N39" s="667"/>
      <c r="O39" s="667"/>
      <c r="P39" s="667"/>
      <c r="Q39" s="667"/>
      <c r="R39" s="667"/>
      <c r="S39" s="667"/>
      <c r="T39" s="667"/>
      <c r="U39" s="667"/>
      <c r="V39" s="667"/>
      <c r="W39" s="667"/>
      <c r="X39" s="667"/>
      <c r="Y39" s="667"/>
      <c r="Z39" s="667"/>
      <c r="AA39" s="667"/>
      <c r="AB39" s="667"/>
      <c r="AC39" s="667"/>
      <c r="AD39" s="667"/>
      <c r="AE39" s="667"/>
      <c r="AF39" s="667"/>
      <c r="AG39" s="667"/>
      <c r="AH39" s="679"/>
      <c r="AI39" s="667"/>
      <c r="AJ39" s="667"/>
    </row>
    <row r="40" spans="1:36">
      <c r="A40" s="667"/>
      <c r="B40" s="667"/>
      <c r="C40" s="667"/>
      <c r="D40" s="667"/>
      <c r="E40" s="667"/>
      <c r="F40" s="667"/>
      <c r="G40" s="667"/>
      <c r="H40" s="667"/>
      <c r="I40" s="667"/>
      <c r="J40" s="667"/>
      <c r="K40" s="667"/>
      <c r="L40" s="667"/>
      <c r="M40" s="667"/>
      <c r="N40" s="667"/>
      <c r="O40" s="667"/>
      <c r="P40" s="667"/>
      <c r="Q40" s="667"/>
      <c r="R40" s="667"/>
      <c r="S40" s="667"/>
      <c r="T40" s="667"/>
      <c r="U40" s="667"/>
      <c r="V40" s="667"/>
      <c r="W40" s="667"/>
      <c r="X40" s="667"/>
      <c r="Y40" s="667"/>
      <c r="Z40" s="667"/>
      <c r="AA40" s="667"/>
      <c r="AB40" s="667"/>
      <c r="AC40" s="667"/>
      <c r="AD40" s="667"/>
      <c r="AE40" s="667"/>
      <c r="AF40" s="667"/>
      <c r="AG40" s="667"/>
      <c r="AH40" s="679"/>
      <c r="AI40" s="667"/>
      <c r="AJ40" s="667"/>
    </row>
    <row r="41" spans="1:36">
      <c r="A41" s="667"/>
      <c r="B41" s="674"/>
      <c r="C41" s="674"/>
      <c r="D41" s="667"/>
      <c r="E41" s="667"/>
      <c r="F41" s="667"/>
      <c r="G41" s="667"/>
      <c r="H41" s="667"/>
      <c r="I41" s="667"/>
      <c r="J41" s="667"/>
      <c r="K41" s="667"/>
      <c r="L41" s="667"/>
      <c r="M41" s="667"/>
      <c r="N41" s="667"/>
      <c r="O41" s="667"/>
      <c r="P41" s="667"/>
      <c r="Q41" s="667"/>
      <c r="R41" s="667"/>
      <c r="S41" s="667"/>
      <c r="T41" s="667"/>
      <c r="U41" s="667"/>
      <c r="V41" s="667"/>
      <c r="W41" s="667"/>
      <c r="X41" s="667"/>
      <c r="Y41" s="667"/>
      <c r="Z41" s="667"/>
      <c r="AA41" s="667"/>
      <c r="AB41" s="667"/>
      <c r="AC41" s="667"/>
      <c r="AD41" s="667"/>
      <c r="AE41" s="667"/>
      <c r="AF41" s="667"/>
      <c r="AG41" s="667"/>
      <c r="AH41" s="679"/>
      <c r="AI41" s="667"/>
      <c r="AJ41" s="667"/>
    </row>
    <row r="42" spans="1:36">
      <c r="A42" s="667"/>
      <c r="B42" s="667"/>
      <c r="C42" s="667"/>
      <c r="D42" s="667"/>
      <c r="E42" s="667"/>
      <c r="F42" s="667"/>
      <c r="G42" s="667"/>
      <c r="H42" s="667"/>
      <c r="I42" s="667"/>
      <c r="J42" s="667"/>
      <c r="K42" s="667"/>
      <c r="L42" s="667"/>
      <c r="M42" s="667"/>
      <c r="N42" s="667"/>
      <c r="O42" s="667"/>
      <c r="P42" s="667"/>
      <c r="Q42" s="667"/>
      <c r="R42" s="667"/>
      <c r="S42" s="667"/>
      <c r="T42" s="667"/>
      <c r="U42" s="667"/>
      <c r="V42" s="667"/>
      <c r="W42" s="667"/>
      <c r="X42" s="667"/>
      <c r="Y42" s="667"/>
      <c r="Z42" s="667"/>
      <c r="AA42" s="667"/>
      <c r="AB42" s="667"/>
      <c r="AC42" s="667"/>
      <c r="AD42" s="667"/>
      <c r="AE42" s="667"/>
      <c r="AF42" s="667"/>
      <c r="AG42" s="667"/>
      <c r="AH42" s="679"/>
      <c r="AI42" s="667"/>
      <c r="AJ42" s="667"/>
    </row>
    <row r="43" spans="1:36">
      <c r="A43" s="667"/>
      <c r="B43" s="674"/>
      <c r="C43" s="674"/>
      <c r="D43" s="667"/>
      <c r="E43" s="667"/>
      <c r="F43" s="667"/>
      <c r="G43" s="667"/>
      <c r="H43" s="667"/>
      <c r="I43" s="667"/>
      <c r="J43" s="667"/>
      <c r="K43" s="667"/>
      <c r="L43" s="667"/>
      <c r="M43" s="667"/>
      <c r="N43" s="667"/>
      <c r="O43" s="667"/>
      <c r="P43" s="667"/>
      <c r="Q43" s="667"/>
      <c r="R43" s="667"/>
      <c r="S43" s="667"/>
      <c r="T43" s="667"/>
      <c r="U43" s="667"/>
      <c r="V43" s="667"/>
      <c r="W43" s="667"/>
      <c r="X43" s="667"/>
      <c r="Y43" s="667"/>
      <c r="Z43" s="667"/>
      <c r="AA43" s="667"/>
      <c r="AB43" s="667"/>
      <c r="AC43" s="667"/>
      <c r="AD43" s="667"/>
      <c r="AE43" s="667"/>
      <c r="AF43" s="667"/>
      <c r="AG43" s="667"/>
      <c r="AH43" s="679"/>
      <c r="AI43" s="667"/>
      <c r="AJ43" s="667"/>
    </row>
    <row r="44" spans="1:36">
      <c r="A44" s="667"/>
      <c r="B44" s="667"/>
      <c r="C44" s="667"/>
      <c r="D44" s="667"/>
      <c r="E44" s="667"/>
      <c r="F44" s="667"/>
      <c r="G44" s="667"/>
      <c r="H44" s="667"/>
      <c r="I44" s="667"/>
      <c r="J44" s="667"/>
      <c r="K44" s="667"/>
      <c r="L44" s="667"/>
      <c r="M44" s="667"/>
      <c r="N44" s="667"/>
      <c r="O44" s="667"/>
      <c r="P44" s="667"/>
      <c r="Q44" s="667"/>
      <c r="R44" s="667"/>
      <c r="S44" s="667"/>
      <c r="T44" s="667"/>
      <c r="U44" s="667"/>
      <c r="V44" s="667"/>
      <c r="W44" s="667"/>
      <c r="X44" s="667"/>
      <c r="Y44" s="667"/>
      <c r="Z44" s="667"/>
      <c r="AA44" s="667"/>
      <c r="AB44" s="667"/>
      <c r="AC44" s="667"/>
      <c r="AD44" s="667"/>
      <c r="AE44" s="667"/>
      <c r="AF44" s="667"/>
      <c r="AG44" s="667"/>
      <c r="AH44" s="679"/>
      <c r="AI44" s="667"/>
      <c r="AJ44" s="667"/>
    </row>
    <row r="45" spans="1:36">
      <c r="A45" s="667"/>
      <c r="B45" s="674"/>
      <c r="C45" s="674"/>
      <c r="D45" s="667"/>
      <c r="E45" s="667"/>
      <c r="F45" s="667"/>
      <c r="G45" s="667"/>
      <c r="H45" s="667"/>
      <c r="I45" s="667"/>
      <c r="J45" s="667"/>
      <c r="K45" s="667"/>
      <c r="L45" s="667"/>
      <c r="M45" s="667"/>
      <c r="N45" s="667"/>
      <c r="O45" s="667"/>
      <c r="P45" s="667"/>
      <c r="Q45" s="667"/>
      <c r="R45" s="667"/>
      <c r="S45" s="667"/>
      <c r="T45" s="667"/>
      <c r="U45" s="667"/>
      <c r="V45" s="667"/>
      <c r="W45" s="667"/>
      <c r="X45" s="667"/>
      <c r="Y45" s="667"/>
      <c r="Z45" s="667"/>
      <c r="AA45" s="667"/>
      <c r="AB45" s="667"/>
      <c r="AC45" s="667"/>
      <c r="AD45" s="667"/>
      <c r="AE45" s="667"/>
      <c r="AF45" s="667"/>
      <c r="AG45" s="667"/>
      <c r="AH45" s="679"/>
      <c r="AI45" s="667"/>
      <c r="AJ45" s="667"/>
    </row>
    <row r="46" spans="1:36">
      <c r="A46" s="667"/>
      <c r="B46" s="667"/>
      <c r="C46" s="667"/>
      <c r="D46" s="667"/>
      <c r="E46" s="667"/>
      <c r="F46" s="667"/>
      <c r="G46" s="667"/>
      <c r="H46" s="667"/>
      <c r="I46" s="667"/>
      <c r="J46" s="667"/>
      <c r="K46" s="667"/>
      <c r="L46" s="667"/>
      <c r="M46" s="667"/>
      <c r="N46" s="667"/>
      <c r="O46" s="667"/>
      <c r="P46" s="667"/>
      <c r="Q46" s="667"/>
      <c r="R46" s="667"/>
      <c r="S46" s="667"/>
      <c r="T46" s="667"/>
      <c r="U46" s="667"/>
      <c r="V46" s="667"/>
      <c r="W46" s="667"/>
      <c r="X46" s="667"/>
      <c r="Y46" s="667"/>
      <c r="Z46" s="667"/>
      <c r="AA46" s="667"/>
      <c r="AB46" s="667"/>
      <c r="AC46" s="667"/>
      <c r="AD46" s="667"/>
      <c r="AE46" s="667"/>
      <c r="AF46" s="667"/>
      <c r="AG46" s="667"/>
      <c r="AH46" s="679"/>
      <c r="AI46" s="667"/>
      <c r="AJ46" s="667"/>
    </row>
    <row r="47" spans="1:36">
      <c r="A47" s="667"/>
      <c r="B47" s="674"/>
      <c r="C47" s="674"/>
      <c r="D47" s="667"/>
      <c r="E47" s="667"/>
      <c r="F47" s="667"/>
      <c r="G47" s="667"/>
      <c r="H47" s="667"/>
      <c r="I47" s="667"/>
      <c r="J47" s="667"/>
      <c r="K47" s="667"/>
      <c r="L47" s="667"/>
      <c r="M47" s="667"/>
      <c r="N47" s="667"/>
      <c r="O47" s="667"/>
      <c r="P47" s="667"/>
      <c r="Q47" s="667"/>
      <c r="R47" s="667"/>
      <c r="S47" s="667"/>
      <c r="T47" s="667"/>
      <c r="U47" s="667"/>
      <c r="V47" s="667"/>
      <c r="W47" s="667"/>
      <c r="X47" s="667"/>
      <c r="Y47" s="667"/>
      <c r="Z47" s="667"/>
      <c r="AA47" s="667"/>
      <c r="AB47" s="667"/>
      <c r="AC47" s="667"/>
      <c r="AD47" s="667"/>
      <c r="AE47" s="667"/>
      <c r="AF47" s="667"/>
      <c r="AG47" s="667"/>
      <c r="AH47" s="679"/>
      <c r="AI47" s="667"/>
      <c r="AJ47" s="667"/>
    </row>
    <row r="48" spans="1:36">
      <c r="A48" s="667"/>
      <c r="B48" s="674"/>
      <c r="C48" s="674"/>
      <c r="D48" s="667"/>
      <c r="E48" s="667"/>
      <c r="F48" s="667"/>
      <c r="G48" s="667"/>
      <c r="H48" s="667"/>
      <c r="I48" s="667"/>
      <c r="J48" s="667"/>
      <c r="K48" s="667"/>
      <c r="L48" s="667"/>
      <c r="M48" s="667"/>
      <c r="N48" s="667"/>
      <c r="O48" s="667"/>
      <c r="P48" s="667"/>
      <c r="Q48" s="667"/>
      <c r="R48" s="667"/>
      <c r="S48" s="667"/>
      <c r="T48" s="667"/>
      <c r="U48" s="667"/>
      <c r="V48" s="667"/>
      <c r="W48" s="667"/>
      <c r="X48" s="667"/>
      <c r="Y48" s="667"/>
      <c r="Z48" s="667"/>
      <c r="AA48" s="667"/>
      <c r="AB48" s="667"/>
      <c r="AC48" s="667"/>
      <c r="AD48" s="667"/>
      <c r="AE48" s="667"/>
      <c r="AF48" s="667"/>
      <c r="AG48" s="667"/>
      <c r="AH48" s="679"/>
      <c r="AI48" s="667"/>
      <c r="AJ48" s="667"/>
    </row>
    <row r="49" spans="1:36">
      <c r="A49" s="667"/>
      <c r="B49" s="674"/>
      <c r="C49" s="674"/>
      <c r="D49" s="667"/>
      <c r="E49" s="667"/>
      <c r="F49" s="667"/>
      <c r="G49" s="667"/>
      <c r="H49" s="667"/>
      <c r="I49" s="667"/>
      <c r="J49" s="667"/>
      <c r="K49" s="667"/>
      <c r="L49" s="667"/>
      <c r="M49" s="667"/>
      <c r="N49" s="667"/>
      <c r="O49" s="667"/>
      <c r="P49" s="667"/>
      <c r="Q49" s="667"/>
      <c r="R49" s="667"/>
      <c r="S49" s="667"/>
      <c r="T49" s="667"/>
      <c r="U49" s="667"/>
      <c r="V49" s="667"/>
      <c r="W49" s="667"/>
      <c r="X49" s="667"/>
      <c r="Y49" s="667"/>
      <c r="Z49" s="667"/>
      <c r="AA49" s="667"/>
      <c r="AB49" s="667"/>
      <c r="AC49" s="667"/>
      <c r="AD49" s="667"/>
      <c r="AE49" s="667"/>
      <c r="AF49" s="667"/>
      <c r="AG49" s="667"/>
      <c r="AH49" s="679"/>
      <c r="AI49" s="667"/>
      <c r="AJ49" s="667"/>
    </row>
    <row r="50" spans="1:36">
      <c r="A50" s="667"/>
      <c r="B50" s="667"/>
      <c r="C50" s="667"/>
      <c r="D50" s="667"/>
      <c r="E50" s="667"/>
      <c r="F50" s="667"/>
      <c r="G50" s="667"/>
      <c r="H50" s="667"/>
      <c r="I50" s="667"/>
      <c r="J50" s="667"/>
      <c r="K50" s="667"/>
      <c r="L50" s="667"/>
      <c r="M50" s="667"/>
      <c r="N50" s="667"/>
      <c r="O50" s="667"/>
      <c r="P50" s="667"/>
      <c r="Q50" s="667"/>
      <c r="R50" s="667"/>
      <c r="S50" s="667"/>
      <c r="T50" s="667"/>
      <c r="U50" s="667"/>
      <c r="V50" s="667"/>
      <c r="W50" s="667"/>
      <c r="X50" s="667"/>
      <c r="Y50" s="667"/>
      <c r="Z50" s="667"/>
      <c r="AA50" s="667"/>
      <c r="AB50" s="667"/>
      <c r="AC50" s="667"/>
      <c r="AD50" s="667"/>
      <c r="AE50" s="667"/>
      <c r="AF50" s="667"/>
      <c r="AG50" s="667"/>
      <c r="AH50" s="679"/>
      <c r="AI50" s="667"/>
      <c r="AJ50" s="667"/>
    </row>
  </sheetData>
  <conditionalFormatting sqref="C13:AG16 C28:AG28 C25:AG26 C18:AG18 C20:AG22 C5:AG10">
    <cfRule type="cellIs" dxfId="52" priority="5" operator="equal">
      <formula>0</formula>
    </cfRule>
  </conditionalFormatting>
  <conditionalFormatting sqref="C31:AG31 C32">
    <cfRule type="cellIs" dxfId="51" priority="4" operator="equal">
      <formula>0</formula>
    </cfRule>
  </conditionalFormatting>
  <conditionalFormatting sqref="C23:AG24">
    <cfRule type="cellIs" dxfId="50" priority="3" operator="equal">
      <formula>0</formula>
    </cfRule>
  </conditionalFormatting>
  <conditionalFormatting sqref="C17:AG17">
    <cfRule type="cellIs" dxfId="49" priority="2" operator="equal">
      <formula>0</formula>
    </cfRule>
  </conditionalFormatting>
  <conditionalFormatting sqref="C19:AG19">
    <cfRule type="cellIs" dxfId="48" priority="1" operator="equal">
      <formula>0</formula>
    </cfRule>
  </conditionalFormatting>
  <pageMargins left="0.75" right="0.75" top="1" bottom="1" header="0.5" footer="0.5"/>
  <pageSetup paperSize="9" scale="7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66FFFF"/>
    <pageSetUpPr fitToPage="1"/>
  </sheetPr>
  <dimension ref="A1:BV1087"/>
  <sheetViews>
    <sheetView topLeftCell="P109" workbookViewId="0">
      <selection activeCell="AD117" sqref="AD117"/>
    </sheetView>
  </sheetViews>
  <sheetFormatPr defaultColWidth="9.33203125" defaultRowHeight="13.2"/>
  <cols>
    <col min="1" max="1" width="9.33203125" style="271"/>
    <col min="2" max="2" width="38.6640625" style="271" customWidth="1"/>
    <col min="3" max="3" width="16" style="271" customWidth="1"/>
    <col min="4" max="4" width="11.33203125" style="271" customWidth="1"/>
    <col min="5" max="5" width="12.5546875" style="271" customWidth="1"/>
    <col min="6" max="6" width="14.33203125" style="271" customWidth="1"/>
    <col min="7" max="7" width="12.33203125" style="271" customWidth="1"/>
    <col min="8" max="8" width="9.6640625" style="271" customWidth="1"/>
    <col min="9" max="10" width="11.33203125" style="271" customWidth="1"/>
    <col min="11" max="12" width="10.33203125" style="271" customWidth="1"/>
    <col min="13" max="13" width="18" style="271" bestFit="1" customWidth="1"/>
    <col min="14" max="14" width="11.44140625" style="271" customWidth="1"/>
    <col min="15" max="15" width="17.6640625" style="271" customWidth="1"/>
    <col min="16" max="17" width="9.33203125" style="271" bestFit="1" customWidth="1"/>
    <col min="18" max="20" width="12.33203125" style="271" customWidth="1"/>
    <col min="21" max="21" width="9.44140625" style="271" bestFit="1" customWidth="1"/>
    <col min="22" max="26" width="9.33203125" style="271" bestFit="1" customWidth="1"/>
    <col min="27" max="27" width="9.5546875" style="271" bestFit="1" customWidth="1"/>
    <col min="28" max="34" width="9.33203125" style="271" bestFit="1" customWidth="1"/>
    <col min="35" max="35" width="35.6640625" style="271" bestFit="1" customWidth="1"/>
    <col min="36" max="46" width="9.6640625" style="271" customWidth="1"/>
    <col min="47" max="58" width="9.33203125" style="271"/>
    <col min="59" max="59" width="9.33203125" style="271" bestFit="1" customWidth="1"/>
    <col min="60" max="16384" width="9.33203125" style="271"/>
  </cols>
  <sheetData>
    <row r="1" spans="1:74" s="326" customFormat="1" ht="24.6">
      <c r="B1" s="327" t="s">
        <v>1155</v>
      </c>
      <c r="K1" s="328"/>
      <c r="L1" s="328"/>
      <c r="M1" s="328"/>
      <c r="N1" s="328"/>
      <c r="AI1" s="727"/>
      <c r="AJ1" s="727"/>
      <c r="AL1" s="727"/>
      <c r="AM1" s="727"/>
      <c r="AN1" s="727"/>
      <c r="AO1" s="727"/>
      <c r="BN1" s="271"/>
      <c r="BO1" s="271"/>
      <c r="BP1" s="271"/>
      <c r="BQ1" s="271"/>
      <c r="BR1" s="271"/>
      <c r="BS1" s="271"/>
      <c r="BT1" s="271"/>
      <c r="BU1" s="271"/>
      <c r="BV1" s="271"/>
    </row>
    <row r="2" spans="1:74" s="326" customFormat="1">
      <c r="E2" s="19"/>
      <c r="F2" s="19"/>
      <c r="G2" s="19"/>
      <c r="H2" s="19"/>
      <c r="I2" s="19"/>
      <c r="K2" s="19"/>
      <c r="L2" s="19"/>
      <c r="M2" s="19"/>
      <c r="N2" s="19"/>
      <c r="O2" s="19"/>
      <c r="P2" s="19"/>
      <c r="Q2" s="19"/>
      <c r="R2" s="19"/>
      <c r="S2" s="19"/>
      <c r="T2" s="19"/>
      <c r="U2" s="19"/>
      <c r="V2" s="19"/>
      <c r="W2" s="19"/>
      <c r="X2" s="19"/>
      <c r="Y2" s="19"/>
      <c r="Z2" s="21"/>
      <c r="AA2" s="21"/>
      <c r="AB2" s="21"/>
      <c r="AC2" s="19"/>
      <c r="AD2" s="21"/>
      <c r="AE2" s="21"/>
      <c r="AF2" s="19"/>
      <c r="AG2" s="21"/>
      <c r="AI2" s="727"/>
      <c r="AJ2" s="727"/>
      <c r="AL2" s="727"/>
      <c r="AM2" s="727"/>
      <c r="AN2" s="727"/>
      <c r="AO2" s="727"/>
      <c r="BN2" s="271"/>
      <c r="BO2" s="271"/>
      <c r="BP2" s="271"/>
      <c r="BQ2" s="271"/>
      <c r="BR2" s="271"/>
      <c r="BS2" s="271"/>
      <c r="BT2" s="271"/>
      <c r="BU2" s="271"/>
      <c r="BV2" s="271"/>
    </row>
    <row r="3" spans="1:74" s="326" customFormat="1" ht="16.2" thickBot="1">
      <c r="B3" s="332" t="s">
        <v>214</v>
      </c>
      <c r="C3" s="331"/>
      <c r="E3" s="25" t="str">
        <f>Cashflow!E4</f>
        <v>Geological and flow variables</v>
      </c>
      <c r="F3" s="19"/>
      <c r="G3" s="19"/>
      <c r="H3" s="19"/>
      <c r="I3" s="220"/>
      <c r="K3" s="25" t="str">
        <f>Cashflow!AI20</f>
        <v>Calculated pressures - from "Calculated Variables" worksheet</v>
      </c>
      <c r="L3" s="68"/>
      <c r="M3" s="68"/>
      <c r="N3" s="19"/>
      <c r="O3" s="19"/>
      <c r="P3" s="19"/>
      <c r="Q3" s="68"/>
      <c r="R3" s="68"/>
      <c r="S3" s="22"/>
      <c r="T3" s="68"/>
      <c r="U3" s="68"/>
      <c r="V3" s="68"/>
      <c r="W3" s="69"/>
      <c r="X3" s="68"/>
      <c r="Y3" s="68"/>
      <c r="Z3" s="19"/>
      <c r="AA3" s="19"/>
      <c r="AB3" s="19"/>
      <c r="AC3" s="19"/>
      <c r="AD3" s="19"/>
      <c r="AE3" s="21"/>
      <c r="AF3" s="21"/>
      <c r="AG3" s="19"/>
      <c r="AI3" s="727"/>
      <c r="AJ3" s="727"/>
      <c r="AL3" s="727"/>
      <c r="AM3" s="727"/>
      <c r="AN3" s="727"/>
      <c r="AO3" s="727"/>
      <c r="BN3" s="271"/>
      <c r="BO3" s="271"/>
      <c r="BP3" s="271"/>
      <c r="BQ3" s="271"/>
      <c r="BR3" s="271"/>
      <c r="BS3" s="271"/>
      <c r="BT3" s="271"/>
      <c r="BU3" s="271"/>
      <c r="BV3" s="271"/>
    </row>
    <row r="4" spans="1:74" s="326" customFormat="1" ht="13.8" thickBot="1">
      <c r="B4" s="334" t="s">
        <v>211</v>
      </c>
      <c r="C4" s="81"/>
      <c r="D4" s="329"/>
      <c r="E4" s="91" t="str">
        <f>Cashflow!E11</f>
        <v>Reservoir temperature (°C)</v>
      </c>
      <c r="F4" s="87"/>
      <c r="G4" s="87"/>
      <c r="H4" s="87"/>
      <c r="I4" s="235">
        <f>Cashflow!I11</f>
        <v>295</v>
      </c>
      <c r="K4" s="866" t="str">
        <f>Cashflow!AI22</f>
        <v>Flowing tubing head pressure, production well (Pa)</v>
      </c>
      <c r="L4" s="867"/>
      <c r="M4" s="836"/>
      <c r="N4" s="870">
        <f>Cashflow!AM22</f>
        <v>3500000</v>
      </c>
      <c r="P4" s="19"/>
      <c r="Q4" s="19"/>
      <c r="R4" s="19"/>
      <c r="S4" s="19"/>
      <c r="T4" s="19"/>
      <c r="U4" s="19"/>
      <c r="V4" s="19"/>
      <c r="W4" s="19"/>
      <c r="X4" s="19"/>
      <c r="Y4" s="19"/>
      <c r="Z4" s="19"/>
      <c r="AA4" s="19"/>
      <c r="AB4" s="19"/>
      <c r="AC4" s="19"/>
      <c r="AD4" s="19"/>
      <c r="AE4" s="19"/>
      <c r="AF4" s="19"/>
      <c r="AG4" s="19"/>
      <c r="AI4" s="727"/>
      <c r="AJ4" s="727"/>
      <c r="AL4" s="727"/>
      <c r="AM4" s="727"/>
      <c r="AN4" s="727"/>
      <c r="AO4" s="727"/>
      <c r="BN4" s="271"/>
      <c r="BO4" s="271"/>
      <c r="BP4" s="271"/>
      <c r="BQ4" s="271"/>
      <c r="BR4" s="271"/>
      <c r="BS4" s="271"/>
      <c r="BT4" s="271"/>
      <c r="BU4" s="271"/>
      <c r="BV4" s="271"/>
    </row>
    <row r="5" spans="1:74" s="326" customFormat="1">
      <c r="B5" s="334" t="s">
        <v>89</v>
      </c>
      <c r="C5" s="29"/>
      <c r="D5" s="329"/>
      <c r="E5" s="430" t="str">
        <f>Cashflow!E15</f>
        <v>ΔP from flashing chamber, if not a gas at tubing head (Pa)</v>
      </c>
      <c r="I5" s="831">
        <f>Cashflow!I15</f>
        <v>1000000</v>
      </c>
      <c r="J5" s="335"/>
      <c r="K5" s="27"/>
      <c r="L5" s="865"/>
      <c r="M5" s="865"/>
      <c r="N5" s="19"/>
      <c r="O5" s="19"/>
      <c r="P5" s="19"/>
      <c r="Q5" s="19"/>
      <c r="R5" s="19"/>
      <c r="S5" s="19"/>
      <c r="T5" s="19"/>
      <c r="U5" s="19"/>
      <c r="V5" s="19"/>
      <c r="W5" s="19"/>
      <c r="X5" s="19"/>
      <c r="Y5" s="19"/>
      <c r="Z5" s="19"/>
      <c r="AA5" s="19"/>
      <c r="AB5" s="19"/>
      <c r="AC5" s="19"/>
      <c r="AD5" s="19"/>
      <c r="AE5" s="19"/>
      <c r="AF5" s="19"/>
      <c r="AG5" s="19"/>
      <c r="AI5" s="727"/>
      <c r="AJ5" s="727"/>
      <c r="AL5" s="727"/>
      <c r="AM5" s="727"/>
      <c r="AN5" s="727"/>
      <c r="AO5" s="727"/>
      <c r="AQ5" s="727"/>
      <c r="AR5" s="727"/>
      <c r="AS5" s="727"/>
      <c r="AT5" s="727"/>
      <c r="AU5" s="727"/>
      <c r="AV5" s="727"/>
      <c r="AW5" s="727"/>
      <c r="AX5" s="727"/>
      <c r="AY5" s="727"/>
      <c r="AZ5" s="727"/>
      <c r="BA5" s="727"/>
      <c r="BB5" s="727"/>
      <c r="BC5" s="727"/>
      <c r="BD5" s="727"/>
      <c r="BE5" s="727"/>
      <c r="BF5" s="727"/>
      <c r="BG5" s="727"/>
      <c r="BH5" s="727"/>
      <c r="BI5" s="727"/>
      <c r="BJ5" s="727"/>
      <c r="BK5" s="727"/>
      <c r="BL5" s="727"/>
      <c r="BM5" s="727"/>
      <c r="BN5" s="271"/>
      <c r="BO5" s="271"/>
      <c r="BP5" s="271"/>
      <c r="BQ5" s="271"/>
      <c r="BR5" s="271"/>
      <c r="BS5" s="271"/>
      <c r="BT5" s="271"/>
      <c r="BU5" s="271"/>
      <c r="BV5" s="271"/>
    </row>
    <row r="6" spans="1:74" s="326" customFormat="1" ht="13.8" thickBot="1">
      <c r="D6" s="329"/>
      <c r="E6" s="90" t="str">
        <f>Cashflow!E16</f>
        <v>Pressure after turbine (Pa)</v>
      </c>
      <c r="F6" s="150"/>
      <c r="G6" s="86"/>
      <c r="H6" s="150"/>
      <c r="I6" s="869">
        <f>Cashflow!I16</f>
        <v>500000</v>
      </c>
      <c r="J6" s="335"/>
      <c r="K6" s="27"/>
      <c r="L6" s="19"/>
      <c r="M6" s="19"/>
      <c r="N6" s="19"/>
      <c r="O6" s="19"/>
      <c r="P6" s="19"/>
      <c r="Q6" s="19"/>
      <c r="R6" s="19"/>
      <c r="S6" s="19"/>
      <c r="T6" s="19"/>
      <c r="U6" s="19"/>
      <c r="V6" s="19"/>
      <c r="W6" s="19"/>
      <c r="X6" s="19"/>
      <c r="Y6" s="19"/>
      <c r="Z6" s="19"/>
      <c r="AA6" s="19"/>
      <c r="AB6" s="19"/>
      <c r="AC6" s="19"/>
      <c r="AD6" s="19"/>
      <c r="AE6" s="19"/>
      <c r="AF6" s="19"/>
      <c r="AG6" s="19"/>
      <c r="AI6" s="727"/>
      <c r="AJ6" s="727"/>
      <c r="AL6" s="727"/>
      <c r="AM6" s="727"/>
      <c r="AN6" s="727"/>
      <c r="AO6" s="727"/>
      <c r="AQ6" s="727"/>
      <c r="AR6" s="727"/>
      <c r="AS6" s="727"/>
      <c r="AT6" s="727"/>
      <c r="AU6" s="727"/>
      <c r="AV6" s="727"/>
      <c r="AW6" s="727"/>
      <c r="AX6" s="727"/>
      <c r="AY6" s="727"/>
      <c r="AZ6" s="727"/>
      <c r="BA6" s="727"/>
      <c r="BB6" s="727"/>
      <c r="BC6" s="727"/>
      <c r="BD6" s="727"/>
      <c r="BE6" s="727"/>
      <c r="BF6" s="727"/>
      <c r="BG6" s="727"/>
      <c r="BH6" s="727"/>
      <c r="BI6" s="727"/>
      <c r="BJ6" s="727"/>
      <c r="BK6" s="727"/>
      <c r="BL6" s="727"/>
      <c r="BM6" s="727"/>
      <c r="BN6" s="271"/>
      <c r="BO6" s="271"/>
      <c r="BP6" s="271"/>
      <c r="BQ6" s="271"/>
      <c r="BR6" s="271"/>
      <c r="BS6" s="271"/>
      <c r="BT6" s="271"/>
      <c r="BU6" s="271"/>
      <c r="BV6" s="271"/>
    </row>
    <row r="7" spans="1:74" s="648" customFormat="1">
      <c r="A7" s="326"/>
      <c r="B7" s="326"/>
      <c r="C7" s="326"/>
      <c r="D7" s="329"/>
      <c r="E7" s="727"/>
      <c r="F7" s="727"/>
      <c r="G7" s="727"/>
      <c r="H7" s="727"/>
      <c r="I7" s="727"/>
      <c r="J7" s="335"/>
      <c r="K7" s="27"/>
      <c r="L7" s="19"/>
      <c r="M7" s="19"/>
      <c r="N7" s="19"/>
      <c r="O7" s="19"/>
      <c r="P7" s="19"/>
      <c r="Q7" s="19"/>
      <c r="R7" s="19"/>
      <c r="S7" s="19"/>
      <c r="T7" s="19"/>
      <c r="U7" s="19"/>
      <c r="V7" s="19"/>
      <c r="W7" s="19"/>
      <c r="X7" s="19"/>
      <c r="Y7" s="19"/>
      <c r="Z7" s="19"/>
      <c r="AA7" s="19"/>
      <c r="AB7" s="19"/>
      <c r="AC7" s="19"/>
      <c r="AD7" s="19"/>
      <c r="AE7" s="19"/>
      <c r="AF7" s="19"/>
      <c r="AG7" s="19"/>
      <c r="AI7" s="727"/>
      <c r="AJ7" s="727"/>
      <c r="AL7" s="727"/>
      <c r="AM7" s="727"/>
      <c r="AN7" s="727"/>
      <c r="AO7" s="727"/>
      <c r="AP7" s="326"/>
      <c r="AQ7" s="727"/>
      <c r="AR7" s="727"/>
      <c r="AS7" s="727"/>
      <c r="AT7" s="727"/>
      <c r="AU7" s="727"/>
      <c r="AV7" s="727"/>
      <c r="AW7" s="727"/>
      <c r="AX7" s="727"/>
      <c r="AY7" s="727"/>
      <c r="AZ7" s="727"/>
      <c r="BA7" s="727"/>
      <c r="BB7" s="727"/>
      <c r="BC7" s="727"/>
      <c r="BD7" s="727"/>
      <c r="BE7" s="727"/>
      <c r="BF7" s="727"/>
      <c r="BG7" s="727"/>
      <c r="BH7" s="727"/>
      <c r="BI7" s="727"/>
      <c r="BJ7" s="727"/>
      <c r="BK7" s="727"/>
      <c r="BL7" s="727"/>
      <c r="BM7" s="727"/>
      <c r="BN7" s="271"/>
      <c r="BO7" s="271"/>
      <c r="BP7" s="271"/>
      <c r="BQ7" s="271"/>
      <c r="BR7" s="271"/>
      <c r="BS7" s="271"/>
      <c r="BT7" s="271"/>
      <c r="BU7" s="271"/>
      <c r="BV7" s="271"/>
    </row>
    <row r="8" spans="1:74">
      <c r="A8" s="326"/>
      <c r="B8" s="326"/>
      <c r="C8" s="326"/>
      <c r="D8" s="326"/>
      <c r="E8" s="727"/>
      <c r="F8" s="727"/>
      <c r="G8" s="727"/>
      <c r="H8" s="727"/>
      <c r="I8" s="727"/>
      <c r="J8" s="326"/>
      <c r="K8" s="342"/>
      <c r="L8" s="338"/>
      <c r="M8" s="338"/>
      <c r="N8" s="338"/>
      <c r="O8" s="338"/>
      <c r="P8" s="338"/>
      <c r="Q8" s="338"/>
      <c r="R8" s="727"/>
      <c r="S8" s="727"/>
      <c r="T8" s="727"/>
      <c r="U8" s="727"/>
      <c r="V8" s="727"/>
      <c r="W8" s="727"/>
      <c r="X8" s="727"/>
      <c r="Y8" s="727"/>
      <c r="Z8" s="727"/>
      <c r="AA8" s="727"/>
      <c r="AB8" s="727"/>
      <c r="AC8" s="727"/>
      <c r="AD8" s="727"/>
      <c r="AE8" s="727"/>
      <c r="AF8" s="727"/>
      <c r="AG8" s="727"/>
      <c r="AH8" s="727"/>
      <c r="AI8" s="727"/>
      <c r="AJ8" s="727"/>
      <c r="AK8" s="727"/>
      <c r="AL8" s="727"/>
      <c r="AM8" s="727"/>
      <c r="AN8" s="727"/>
      <c r="AO8" s="727"/>
      <c r="AP8" s="326"/>
      <c r="AQ8" s="727"/>
      <c r="AR8" s="727"/>
      <c r="AS8" s="727"/>
      <c r="AT8" s="727"/>
      <c r="AU8" s="727"/>
      <c r="AV8" s="727"/>
      <c r="AW8" s="727"/>
      <c r="AX8" s="727"/>
      <c r="AY8" s="727"/>
      <c r="AZ8" s="727"/>
      <c r="BA8" s="727"/>
      <c r="BB8" s="727"/>
      <c r="BC8" s="727"/>
      <c r="BD8" s="727"/>
      <c r="BE8" s="727"/>
      <c r="BF8" s="727"/>
      <c r="BG8" s="727"/>
      <c r="BH8" s="727"/>
      <c r="BI8" s="727"/>
      <c r="BJ8" s="727"/>
      <c r="BK8" s="727"/>
      <c r="BL8" s="727"/>
      <c r="BM8" s="727"/>
    </row>
    <row r="9" spans="1:74">
      <c r="A9" s="326"/>
      <c r="B9" s="730" t="s">
        <v>1393</v>
      </c>
      <c r="C9" s="727"/>
      <c r="D9" s="727"/>
      <c r="E9" s="727"/>
      <c r="F9" s="727"/>
      <c r="G9" s="727"/>
      <c r="H9" s="727"/>
      <c r="I9" s="727"/>
      <c r="J9" s="727"/>
      <c r="K9" s="727"/>
      <c r="L9" s="727"/>
      <c r="M9" s="727"/>
      <c r="N9" s="727"/>
      <c r="O9" s="727"/>
      <c r="P9" s="727"/>
      <c r="Q9" s="727"/>
      <c r="R9" s="727"/>
      <c r="S9" s="727"/>
      <c r="T9" s="727"/>
      <c r="U9" s="727"/>
      <c r="V9" s="727"/>
      <c r="W9" s="727"/>
      <c r="X9" s="727"/>
      <c r="Y9" s="727"/>
      <c r="Z9" s="727"/>
      <c r="AA9" s="727"/>
      <c r="AB9" s="727"/>
      <c r="AC9" s="727"/>
      <c r="AD9" s="727"/>
      <c r="AE9" s="727"/>
      <c r="AF9" s="727"/>
      <c r="AG9" s="727"/>
      <c r="AH9" s="727"/>
      <c r="AI9" s="727"/>
      <c r="AJ9" s="727"/>
      <c r="AK9" s="727"/>
      <c r="AL9" s="727"/>
      <c r="AM9" s="727"/>
      <c r="AN9" s="727"/>
      <c r="AO9" s="727"/>
      <c r="AP9" s="326"/>
      <c r="AQ9" s="727"/>
      <c r="AR9" s="727"/>
      <c r="AS9" s="727"/>
      <c r="AT9" s="727"/>
      <c r="AU9" s="727"/>
      <c r="AV9" s="727"/>
      <c r="AW9" s="727"/>
      <c r="AX9" s="727"/>
      <c r="AY9" s="727"/>
      <c r="AZ9" s="727"/>
      <c r="BA9" s="727"/>
      <c r="BB9" s="727"/>
      <c r="BC9" s="727"/>
      <c r="BD9" s="727"/>
      <c r="BE9" s="727"/>
      <c r="BF9" s="727"/>
      <c r="BG9" s="727"/>
      <c r="BH9" s="727"/>
      <c r="BI9" s="727"/>
      <c r="BJ9" s="727"/>
      <c r="BK9" s="727"/>
      <c r="BL9" s="727"/>
      <c r="BM9" s="727"/>
    </row>
    <row r="10" spans="1:74">
      <c r="A10" s="329"/>
      <c r="B10" s="775" t="s">
        <v>877</v>
      </c>
      <c r="C10" s="775" t="s">
        <v>878</v>
      </c>
      <c r="D10" s="1205" t="s">
        <v>879</v>
      </c>
      <c r="E10" s="1205"/>
      <c r="F10" s="1205" t="s">
        <v>880</v>
      </c>
      <c r="G10" s="1205"/>
      <c r="H10" s="1205" t="s">
        <v>881</v>
      </c>
      <c r="I10" s="1205"/>
      <c r="J10" s="1205"/>
      <c r="K10" s="1205" t="s">
        <v>882</v>
      </c>
      <c r="L10" s="1205"/>
      <c r="M10" s="1205"/>
      <c r="N10" s="1205" t="s">
        <v>956</v>
      </c>
      <c r="O10" s="1205"/>
      <c r="P10" s="727"/>
      <c r="Q10" s="727"/>
      <c r="R10" s="727"/>
      <c r="S10" s="727"/>
      <c r="T10" s="727"/>
      <c r="U10" s="727"/>
      <c r="V10" s="727"/>
      <c r="W10" s="727"/>
      <c r="X10" s="727"/>
      <c r="Y10" s="727"/>
      <c r="Z10" s="727"/>
      <c r="AA10" s="727"/>
      <c r="AB10" s="727"/>
      <c r="AC10" s="727"/>
      <c r="AD10" s="727"/>
      <c r="AE10" s="727"/>
      <c r="AF10" s="727"/>
      <c r="AG10" s="727"/>
      <c r="AH10" s="727"/>
      <c r="AI10" s="727"/>
      <c r="AJ10" s="727"/>
      <c r="AK10" s="727"/>
      <c r="AL10" s="727"/>
      <c r="AM10" s="727"/>
      <c r="AN10" s="727"/>
      <c r="AO10" s="727"/>
      <c r="AP10" s="326"/>
      <c r="AQ10" s="727"/>
      <c r="AR10" s="727"/>
      <c r="AS10" s="727"/>
      <c r="AT10" s="727"/>
      <c r="AU10" s="727"/>
      <c r="AV10" s="727"/>
      <c r="AW10" s="727"/>
      <c r="AX10" s="727"/>
      <c r="AY10" s="727"/>
      <c r="AZ10" s="727"/>
      <c r="BA10" s="727"/>
      <c r="BB10" s="727"/>
      <c r="BC10" s="727"/>
      <c r="BD10" s="727"/>
      <c r="BE10" s="727"/>
      <c r="BF10" s="727"/>
      <c r="BG10" s="727"/>
      <c r="BH10" s="727"/>
      <c r="BI10" s="727"/>
      <c r="BJ10" s="727"/>
      <c r="BK10" s="727"/>
      <c r="BL10" s="727"/>
      <c r="BM10" s="727"/>
    </row>
    <row r="11" spans="1:74">
      <c r="A11" s="326"/>
      <c r="B11" s="775" t="s">
        <v>883</v>
      </c>
      <c r="C11" s="775" t="s">
        <v>884</v>
      </c>
      <c r="D11" s="775" t="s">
        <v>885</v>
      </c>
      <c r="E11" s="775" t="s">
        <v>886</v>
      </c>
      <c r="F11" s="775" t="s">
        <v>887</v>
      </c>
      <c r="G11" s="775" t="s">
        <v>888</v>
      </c>
      <c r="H11" s="775" t="s">
        <v>889</v>
      </c>
      <c r="I11" s="775" t="s">
        <v>890</v>
      </c>
      <c r="J11" s="775" t="s">
        <v>891</v>
      </c>
      <c r="K11" s="775" t="s">
        <v>892</v>
      </c>
      <c r="L11" s="775" t="s">
        <v>893</v>
      </c>
      <c r="M11" s="775" t="s">
        <v>894</v>
      </c>
      <c r="N11" s="775" t="s">
        <v>957</v>
      </c>
      <c r="O11" s="775" t="s">
        <v>958</v>
      </c>
      <c r="P11" s="727"/>
      <c r="Q11" s="727"/>
      <c r="R11" s="727"/>
      <c r="S11" s="727"/>
      <c r="T11" s="72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c r="AT11" s="727"/>
      <c r="AU11" s="727"/>
      <c r="AV11" s="727"/>
      <c r="AW11" s="727"/>
      <c r="AX11" s="727"/>
      <c r="AY11" s="727"/>
      <c r="AZ11" s="727"/>
      <c r="BA11" s="727"/>
      <c r="BB11" s="727"/>
      <c r="BC11" s="731" t="s">
        <v>953</v>
      </c>
      <c r="BD11" s="727"/>
      <c r="BE11" s="727"/>
      <c r="BF11" s="727"/>
      <c r="BG11" s="727"/>
      <c r="BH11" s="727"/>
      <c r="BI11" s="727"/>
      <c r="BJ11" s="727"/>
      <c r="BK11" s="727"/>
      <c r="BL11" s="727"/>
      <c r="BM11" s="727"/>
    </row>
    <row r="12" spans="1:74">
      <c r="A12" s="326"/>
      <c r="B12" s="732">
        <v>0.01</v>
      </c>
      <c r="C12" s="733">
        <v>6.1165000000000004E-4</v>
      </c>
      <c r="D12" s="734">
        <v>1.0001999999999999E-3</v>
      </c>
      <c r="E12" s="735">
        <v>205.99</v>
      </c>
      <c r="F12" s="736">
        <v>0</v>
      </c>
      <c r="G12" s="736">
        <v>2374.9</v>
      </c>
      <c r="H12" s="735">
        <v>1E-3</v>
      </c>
      <c r="I12" s="736">
        <f>(J12-H12)</f>
        <v>2500.8989999999999</v>
      </c>
      <c r="J12" s="736">
        <v>2500.9</v>
      </c>
      <c r="K12" s="737">
        <v>0</v>
      </c>
      <c r="L12" s="737">
        <f>(M12-K12)</f>
        <v>9.1555</v>
      </c>
      <c r="M12" s="732">
        <v>9.1555</v>
      </c>
      <c r="N12" s="738">
        <f>1/D12</f>
        <v>999.80003999200164</v>
      </c>
      <c r="O12" s="738">
        <f>1/E12</f>
        <v>4.8546045924559439E-3</v>
      </c>
      <c r="P12" s="727"/>
      <c r="Q12" s="731" t="s">
        <v>1388</v>
      </c>
      <c r="R12" s="727"/>
      <c r="S12" s="727"/>
      <c r="T12" s="727"/>
      <c r="U12" s="727"/>
      <c r="V12" s="727"/>
      <c r="W12" s="727"/>
      <c r="X12" s="727"/>
      <c r="Y12" s="731" t="s">
        <v>1390</v>
      </c>
      <c r="Z12" s="727"/>
      <c r="AA12" s="727"/>
      <c r="AB12" s="727"/>
      <c r="AC12" s="727"/>
      <c r="AD12" s="727"/>
      <c r="AE12" s="727"/>
      <c r="AF12" s="727"/>
      <c r="AG12" s="727"/>
      <c r="AH12" s="727"/>
      <c r="AI12" s="727"/>
      <c r="AJ12" s="727"/>
      <c r="AK12" s="727"/>
      <c r="AL12" s="727"/>
      <c r="AM12" s="727"/>
      <c r="AN12" s="727"/>
      <c r="AO12" s="727"/>
      <c r="AP12" s="727"/>
      <c r="AQ12" s="727"/>
      <c r="AR12" s="727"/>
      <c r="AS12" s="727"/>
      <c r="AT12" s="727"/>
      <c r="AU12" s="727"/>
      <c r="AV12" s="727"/>
      <c r="AW12" s="727"/>
      <c r="AX12" s="727"/>
      <c r="AY12" s="727"/>
      <c r="AZ12" s="727"/>
      <c r="BA12" s="727"/>
      <c r="BB12" s="727"/>
      <c r="BC12" s="727"/>
      <c r="BD12" s="727"/>
      <c r="BE12" s="727"/>
      <c r="BF12" s="727"/>
      <c r="BG12" s="727"/>
      <c r="BH12" s="727"/>
      <c r="BI12" s="727"/>
      <c r="BJ12" s="727"/>
      <c r="BK12" s="727"/>
      <c r="BL12" s="727"/>
      <c r="BM12" s="727"/>
    </row>
    <row r="13" spans="1:74">
      <c r="A13" s="326"/>
      <c r="B13" s="739">
        <v>5</v>
      </c>
      <c r="C13" s="740">
        <v>8.7257999999999997E-4</v>
      </c>
      <c r="D13" s="741">
        <v>1.0001000000000001E-3</v>
      </c>
      <c r="E13" s="742">
        <v>147.01</v>
      </c>
      <c r="F13" s="743">
        <v>21.018999999999998</v>
      </c>
      <c r="G13" s="743">
        <v>2381.8000000000002</v>
      </c>
      <c r="H13" s="742">
        <v>21.02</v>
      </c>
      <c r="I13" s="743">
        <f t="shared" ref="I13:I59" si="0">(J13-H13)</f>
        <v>2489.08</v>
      </c>
      <c r="J13" s="743">
        <v>2510.1</v>
      </c>
      <c r="K13" s="744">
        <v>7.6254000000000002E-2</v>
      </c>
      <c r="L13" s="744">
        <f t="shared" ref="L13:L59" si="1">(M13-K13)</f>
        <v>8.9485460000000003</v>
      </c>
      <c r="M13" s="739">
        <v>9.0248000000000008</v>
      </c>
      <c r="N13" s="745">
        <f t="shared" ref="N13:N60" si="2">1/D13</f>
        <v>999.90000999900008</v>
      </c>
      <c r="O13" s="745">
        <f t="shared" ref="O13:O60" si="3">1/E13</f>
        <v>6.8022583497721247E-3</v>
      </c>
      <c r="P13" s="727"/>
      <c r="Q13" s="727"/>
      <c r="R13" s="727"/>
      <c r="S13" s="727"/>
      <c r="T13" s="727"/>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c r="AT13" s="727"/>
      <c r="AU13" s="727"/>
      <c r="AV13" s="727"/>
      <c r="AW13" s="727"/>
      <c r="AX13" s="727"/>
      <c r="AY13" s="727"/>
      <c r="AZ13" s="727"/>
      <c r="BA13" s="727"/>
      <c r="BB13" s="727"/>
      <c r="BC13" s="727"/>
      <c r="BD13" s="727"/>
      <c r="BE13" s="727"/>
      <c r="BF13" s="727"/>
      <c r="BG13" s="727"/>
      <c r="BH13" s="727"/>
      <c r="BI13" s="727"/>
      <c r="BJ13" s="727"/>
      <c r="BK13" s="727"/>
      <c r="BL13" s="727"/>
      <c r="BM13" s="727"/>
    </row>
    <row r="14" spans="1:74">
      <c r="A14" s="326"/>
      <c r="B14" s="746">
        <v>10</v>
      </c>
      <c r="C14" s="747">
        <v>1.2282E-3</v>
      </c>
      <c r="D14" s="747">
        <v>1.0003E-3</v>
      </c>
      <c r="E14" s="748">
        <v>106.3</v>
      </c>
      <c r="F14" s="749">
        <v>42.02</v>
      </c>
      <c r="G14" s="749">
        <v>2388.6</v>
      </c>
      <c r="H14" s="748">
        <v>42.021000000000001</v>
      </c>
      <c r="I14" s="749">
        <f t="shared" si="0"/>
        <v>2477.1789999999996</v>
      </c>
      <c r="J14" s="749">
        <v>2519.1999999999998</v>
      </c>
      <c r="K14" s="750">
        <v>0.15109</v>
      </c>
      <c r="L14" s="750">
        <f t="shared" si="1"/>
        <v>8.7487100000000009</v>
      </c>
      <c r="M14" s="746">
        <v>8.8998000000000008</v>
      </c>
      <c r="N14" s="738">
        <f t="shared" si="2"/>
        <v>999.70008997300818</v>
      </c>
      <c r="O14" s="738">
        <f t="shared" si="3"/>
        <v>9.4073377234242719E-3</v>
      </c>
      <c r="P14" s="727"/>
      <c r="Q14" s="751" t="s">
        <v>1405</v>
      </c>
      <c r="S14" s="727"/>
      <c r="T14" s="727"/>
      <c r="U14" s="727"/>
      <c r="V14" s="727"/>
      <c r="W14" s="727"/>
      <c r="X14" s="727"/>
      <c r="Y14" s="751" t="s">
        <v>1411</v>
      </c>
      <c r="AA14" s="727"/>
      <c r="AB14" s="727"/>
      <c r="AC14" s="727"/>
      <c r="AD14" s="727"/>
      <c r="AE14" s="727"/>
      <c r="AF14" s="727"/>
      <c r="AG14" s="727"/>
      <c r="AH14" s="727"/>
      <c r="AI14" s="727"/>
      <c r="AJ14" s="727"/>
      <c r="AK14" s="727"/>
      <c r="AL14" s="727"/>
      <c r="AM14" s="727"/>
      <c r="AN14" s="727"/>
      <c r="AO14" s="727"/>
      <c r="AP14" s="727"/>
      <c r="AQ14" s="727"/>
      <c r="AR14" s="727"/>
      <c r="AS14" s="727"/>
      <c r="AT14" s="727"/>
      <c r="AU14" s="727"/>
      <c r="AV14" s="727"/>
      <c r="AW14" s="727"/>
      <c r="AX14" s="727"/>
      <c r="AY14" s="727"/>
      <c r="AZ14" s="727"/>
      <c r="BA14" s="727"/>
      <c r="BB14" s="727"/>
      <c r="BC14" s="727"/>
      <c r="BD14" s="727"/>
      <c r="BE14" s="727"/>
      <c r="BF14" s="727"/>
      <c r="BG14" s="727"/>
      <c r="BH14" s="727"/>
      <c r="BI14" s="727"/>
      <c r="BJ14" s="727"/>
      <c r="BK14" s="727"/>
      <c r="BL14" s="727"/>
      <c r="BM14" s="727"/>
    </row>
    <row r="15" spans="1:74">
      <c r="A15" s="326"/>
      <c r="B15" s="752">
        <v>15</v>
      </c>
      <c r="C15" s="753">
        <v>1.7057999999999999E-3</v>
      </c>
      <c r="D15" s="753">
        <v>1.0009000000000001E-3</v>
      </c>
      <c r="E15" s="754">
        <v>77.875</v>
      </c>
      <c r="F15" s="755">
        <v>62.98</v>
      </c>
      <c r="G15" s="755">
        <v>2395.5</v>
      </c>
      <c r="H15" s="754">
        <v>62.981000000000002</v>
      </c>
      <c r="I15" s="755">
        <f t="shared" si="0"/>
        <v>2465.319</v>
      </c>
      <c r="J15" s="755">
        <v>2528.3000000000002</v>
      </c>
      <c r="K15" s="756">
        <v>0.22445999999999999</v>
      </c>
      <c r="L15" s="756">
        <f t="shared" si="1"/>
        <v>8.5558399999999999</v>
      </c>
      <c r="M15" s="752">
        <v>8.7803000000000004</v>
      </c>
      <c r="N15" s="745">
        <f t="shared" si="2"/>
        <v>999.10080927165541</v>
      </c>
      <c r="O15" s="745">
        <f t="shared" si="3"/>
        <v>1.2841091492776886E-2</v>
      </c>
      <c r="P15" s="727"/>
      <c r="Q15" s="727"/>
      <c r="R15" s="727"/>
      <c r="S15" s="727"/>
      <c r="T15" s="757" t="s">
        <v>1105</v>
      </c>
      <c r="U15" s="731" t="s">
        <v>898</v>
      </c>
      <c r="V15" s="727"/>
      <c r="W15" s="727"/>
      <c r="X15" s="727"/>
      <c r="Y15" s="727"/>
      <c r="Z15" s="727"/>
      <c r="AA15" s="727"/>
      <c r="AB15" s="757" t="s">
        <v>903</v>
      </c>
      <c r="AC15" s="731" t="s">
        <v>1048</v>
      </c>
      <c r="AD15" s="727"/>
      <c r="AE15" s="727"/>
      <c r="AF15" s="727"/>
      <c r="AG15" s="727"/>
      <c r="AH15" s="727"/>
      <c r="AI15" s="727"/>
      <c r="AJ15" s="727"/>
      <c r="AK15" s="727"/>
      <c r="AL15" s="727"/>
      <c r="AM15" s="727"/>
      <c r="AN15" s="727"/>
      <c r="AO15" s="727"/>
      <c r="AP15" s="727"/>
      <c r="AQ15" s="727"/>
      <c r="AR15" s="727"/>
      <c r="AS15" s="727"/>
      <c r="AT15" s="727"/>
      <c r="AU15" s="727"/>
      <c r="AV15" s="727"/>
      <c r="AW15" s="727"/>
      <c r="AX15" s="727"/>
      <c r="AY15" s="727"/>
      <c r="AZ15" s="727"/>
      <c r="BA15" s="727"/>
      <c r="BB15" s="727"/>
      <c r="BC15" s="727"/>
      <c r="BD15" s="727"/>
      <c r="BE15" s="727"/>
      <c r="BF15" s="727"/>
      <c r="BG15" s="727"/>
      <c r="BH15" s="727"/>
      <c r="BI15" s="727"/>
      <c r="BJ15" s="727"/>
      <c r="BK15" s="727"/>
      <c r="BL15" s="727"/>
      <c r="BM15" s="727"/>
    </row>
    <row r="16" spans="1:74">
      <c r="A16" s="326"/>
      <c r="B16" s="746">
        <v>20</v>
      </c>
      <c r="C16" s="747">
        <v>2.3392999999999999E-3</v>
      </c>
      <c r="D16" s="747">
        <v>1.0018E-3</v>
      </c>
      <c r="E16" s="748">
        <v>57.756999999999998</v>
      </c>
      <c r="F16" s="749">
        <v>83.912000000000006</v>
      </c>
      <c r="G16" s="749">
        <v>2402.3000000000002</v>
      </c>
      <c r="H16" s="748">
        <v>83.914000000000001</v>
      </c>
      <c r="I16" s="749">
        <f t="shared" si="0"/>
        <v>2453.4859999999999</v>
      </c>
      <c r="J16" s="749">
        <v>2537.4</v>
      </c>
      <c r="K16" s="750">
        <v>0.29648000000000002</v>
      </c>
      <c r="L16" s="750">
        <f t="shared" si="1"/>
        <v>8.3695199999999996</v>
      </c>
      <c r="M16" s="750">
        <v>8.6660000000000004</v>
      </c>
      <c r="N16" s="738">
        <f t="shared" si="2"/>
        <v>998.20323417847874</v>
      </c>
      <c r="O16" s="738">
        <f t="shared" si="3"/>
        <v>1.7313918659210139E-2</v>
      </c>
      <c r="P16" s="727"/>
      <c r="Q16" s="727"/>
      <c r="R16" s="727"/>
      <c r="S16" s="758" t="s">
        <v>952</v>
      </c>
      <c r="T16" s="759">
        <f>INDEX($B$12:$B$60,MATCH($T17,$B$12:$B$60,1))</f>
        <v>290</v>
      </c>
      <c r="U16" s="887">
        <f>VLOOKUP(T16,$B$12:$J$60,7,FALSE)</f>
        <v>1290</v>
      </c>
      <c r="V16" s="727"/>
      <c r="W16" s="727"/>
      <c r="X16" s="727"/>
      <c r="Y16" s="727"/>
      <c r="Z16" s="727"/>
      <c r="AA16" s="758" t="s">
        <v>952</v>
      </c>
      <c r="AB16" s="759">
        <f>INDEX($C$12:$C$60,MATCH(AB17,$C$12:$C$60,1))</f>
        <v>0.47616000000000003</v>
      </c>
      <c r="AC16" s="885">
        <f>VLOOKUP(AB16,$C$12:$M$60,9,FALSE)</f>
        <v>1.8418000000000001</v>
      </c>
      <c r="AD16" s="727"/>
      <c r="AE16" s="727"/>
      <c r="AF16" s="727"/>
      <c r="AG16" s="727"/>
      <c r="AH16" s="727"/>
      <c r="AI16" s="727"/>
      <c r="AJ16" s="727"/>
      <c r="AK16" s="727"/>
      <c r="AL16" s="727"/>
      <c r="AM16" s="727"/>
      <c r="AN16" s="727"/>
      <c r="AO16" s="727"/>
      <c r="AP16" s="727"/>
      <c r="AQ16" s="727"/>
      <c r="AR16" s="727"/>
      <c r="AS16" s="727"/>
      <c r="AT16" s="727"/>
      <c r="AU16" s="727"/>
      <c r="AV16" s="727"/>
      <c r="AW16" s="727"/>
      <c r="AX16" s="727"/>
      <c r="AY16" s="727"/>
      <c r="AZ16" s="727"/>
      <c r="BA16" s="727"/>
      <c r="BB16" s="727"/>
      <c r="BC16" s="727"/>
      <c r="BD16" s="727"/>
      <c r="BE16" s="727"/>
      <c r="BF16" s="727"/>
      <c r="BG16" s="727"/>
      <c r="BH16" s="727"/>
      <c r="BI16" s="727"/>
      <c r="BJ16" s="727"/>
      <c r="BK16" s="727"/>
      <c r="BL16" s="727"/>
      <c r="BM16" s="727"/>
    </row>
    <row r="17" spans="1:65">
      <c r="A17" s="326"/>
      <c r="B17" s="752">
        <v>25</v>
      </c>
      <c r="C17" s="753">
        <v>3.1698999999999998E-3</v>
      </c>
      <c r="D17" s="753">
        <v>1.003E-3</v>
      </c>
      <c r="E17" s="754">
        <v>43.337000000000003</v>
      </c>
      <c r="F17" s="755">
        <v>104.83</v>
      </c>
      <c r="G17" s="755">
        <v>2409.1</v>
      </c>
      <c r="H17" s="754">
        <v>104.83</v>
      </c>
      <c r="I17" s="755">
        <f t="shared" si="0"/>
        <v>2441.67</v>
      </c>
      <c r="J17" s="755">
        <v>2546.5</v>
      </c>
      <c r="K17" s="756">
        <v>0.36721999999999999</v>
      </c>
      <c r="L17" s="756">
        <f t="shared" si="1"/>
        <v>8.1893799999999999</v>
      </c>
      <c r="M17" s="752">
        <v>8.5565999999999995</v>
      </c>
      <c r="N17" s="760">
        <f t="shared" si="2"/>
        <v>997.00897308075776</v>
      </c>
      <c r="O17" s="760">
        <f t="shared" si="3"/>
        <v>2.3074970579412508E-2</v>
      </c>
      <c r="P17" s="727"/>
      <c r="Q17" s="761"/>
      <c r="S17" s="758" t="s">
        <v>951</v>
      </c>
      <c r="T17" s="762">
        <f>$I$4</f>
        <v>295</v>
      </c>
      <c r="U17" s="798">
        <f>U16+(T17-T16)*(U18-U16)/(T18-T16)</f>
        <v>1317.5</v>
      </c>
      <c r="V17" s="763" t="s">
        <v>869</v>
      </c>
      <c r="W17" s="727"/>
      <c r="X17" s="727"/>
      <c r="Y17" s="727"/>
      <c r="Z17" s="727"/>
      <c r="AA17" s="758" t="s">
        <v>951</v>
      </c>
      <c r="AB17" s="762">
        <f>$I$6/1000000</f>
        <v>0.5</v>
      </c>
      <c r="AC17" s="886">
        <f>AC16+(AB17-AB16)*(AC18-AC16)/(AB18-AB16)</f>
        <v>1.8587147040191456</v>
      </c>
      <c r="AD17" s="763" t="s">
        <v>869</v>
      </c>
      <c r="AE17" s="727"/>
      <c r="AF17" s="727"/>
      <c r="AG17" s="727"/>
      <c r="AH17" s="727"/>
      <c r="AI17" s="727"/>
      <c r="AJ17" s="727"/>
      <c r="AK17" s="727"/>
      <c r="AL17" s="727"/>
      <c r="AM17" s="727"/>
      <c r="AN17" s="727"/>
      <c r="AO17" s="727"/>
      <c r="AP17" s="727"/>
      <c r="AQ17" s="727"/>
      <c r="AR17" s="727"/>
      <c r="AS17" s="727"/>
      <c r="AT17" s="727"/>
      <c r="AU17" s="727"/>
      <c r="AV17" s="727"/>
      <c r="AW17" s="727"/>
      <c r="AX17" s="727"/>
      <c r="AY17" s="727"/>
      <c r="AZ17" s="727"/>
      <c r="BA17" s="727"/>
      <c r="BB17" s="727"/>
      <c r="BC17" s="727"/>
      <c r="BD17" s="727"/>
      <c r="BE17" s="727"/>
      <c r="BF17" s="727"/>
      <c r="BG17" s="727"/>
      <c r="BH17" s="727"/>
      <c r="BI17" s="727"/>
      <c r="BJ17" s="727"/>
      <c r="BK17" s="727"/>
      <c r="BL17" s="727"/>
      <c r="BM17" s="727"/>
    </row>
    <row r="18" spans="1:65">
      <c r="A18" s="326"/>
      <c r="B18" s="746">
        <v>30</v>
      </c>
      <c r="C18" s="747">
        <v>4.2469999999999999E-3</v>
      </c>
      <c r="D18" s="747">
        <v>1.0043999999999999E-3</v>
      </c>
      <c r="E18" s="748">
        <v>32.878</v>
      </c>
      <c r="F18" s="749">
        <v>125.73</v>
      </c>
      <c r="G18" s="749">
        <v>2415.9</v>
      </c>
      <c r="H18" s="748">
        <v>125.73</v>
      </c>
      <c r="I18" s="749">
        <f t="shared" si="0"/>
        <v>2429.77</v>
      </c>
      <c r="J18" s="749">
        <v>2555.5</v>
      </c>
      <c r="K18" s="750">
        <v>0.43675000000000003</v>
      </c>
      <c r="L18" s="750">
        <f t="shared" si="1"/>
        <v>8.01525</v>
      </c>
      <c r="M18" s="750">
        <v>8.452</v>
      </c>
      <c r="N18" s="738">
        <f t="shared" si="2"/>
        <v>995.61927518916775</v>
      </c>
      <c r="O18" s="738">
        <f t="shared" si="3"/>
        <v>3.0415475393880405E-2</v>
      </c>
      <c r="P18" s="727"/>
      <c r="Q18" s="727"/>
      <c r="R18" s="727"/>
      <c r="S18" s="758" t="s">
        <v>952</v>
      </c>
      <c r="T18" s="759">
        <f>INDEX($B$12:$B$60,MATCH($T17,$B$12:$B$60,1)+1)</f>
        <v>300</v>
      </c>
      <c r="U18" s="887">
        <f>VLOOKUP(T18,$B$12:$J$60,7,FALSE)</f>
        <v>1345</v>
      </c>
      <c r="V18" s="727"/>
      <c r="W18" s="727"/>
      <c r="X18" s="727"/>
      <c r="Y18" s="727"/>
      <c r="Z18" s="727"/>
      <c r="AA18" s="758" t="s">
        <v>952</v>
      </c>
      <c r="AB18" s="759">
        <f>INDEX($C$12:$C$60,MATCH(AB17,$C$12:$C$60,1)+1)</f>
        <v>0.61822999999999995</v>
      </c>
      <c r="AC18" s="885">
        <f>VLOOKUP(AB18,$C$12:$M$60,9,FALSE)</f>
        <v>1.9426000000000001</v>
      </c>
      <c r="AD18" s="727"/>
      <c r="AE18" s="727"/>
      <c r="AF18" s="727"/>
      <c r="AG18" s="727"/>
      <c r="AH18" s="727"/>
      <c r="AI18" s="727"/>
      <c r="AJ18" s="727"/>
      <c r="AK18" s="727"/>
      <c r="AL18" s="727"/>
      <c r="AM18" s="727"/>
      <c r="AN18" s="727"/>
      <c r="AO18" s="727"/>
      <c r="AP18" s="727"/>
      <c r="AQ18" s="727"/>
      <c r="AR18" s="727"/>
      <c r="AS18" s="727"/>
      <c r="AT18" s="727"/>
      <c r="AU18" s="727"/>
      <c r="AV18" s="727"/>
      <c r="AW18" s="727"/>
      <c r="AX18" s="727"/>
      <c r="AY18" s="727"/>
      <c r="AZ18" s="727"/>
      <c r="BA18" s="727"/>
      <c r="BB18" s="727"/>
      <c r="BC18" s="727"/>
      <c r="BD18" s="727"/>
      <c r="BE18" s="727"/>
      <c r="BF18" s="727"/>
      <c r="BG18" s="727"/>
      <c r="BH18" s="727"/>
      <c r="BI18" s="727"/>
      <c r="BJ18" s="727"/>
      <c r="BK18" s="727"/>
      <c r="BL18" s="727"/>
      <c r="BM18" s="727"/>
    </row>
    <row r="19" spans="1:65">
      <c r="A19" s="326"/>
      <c r="B19" s="752">
        <v>35</v>
      </c>
      <c r="C19" s="753">
        <v>5.6290000000000003E-3</v>
      </c>
      <c r="D19" s="753">
        <v>1.0059999999999999E-3</v>
      </c>
      <c r="E19" s="754">
        <v>25.204999999999998</v>
      </c>
      <c r="F19" s="755">
        <v>146.63</v>
      </c>
      <c r="G19" s="755">
        <v>2422.6999999999998</v>
      </c>
      <c r="H19" s="754">
        <v>146.63</v>
      </c>
      <c r="I19" s="755">
        <f t="shared" si="0"/>
        <v>2417.87</v>
      </c>
      <c r="J19" s="755">
        <v>2564.5</v>
      </c>
      <c r="K19" s="756">
        <v>0.50512999999999997</v>
      </c>
      <c r="L19" s="756">
        <f t="shared" si="1"/>
        <v>7.8465699999999989</v>
      </c>
      <c r="M19" s="752">
        <v>8.3516999999999992</v>
      </c>
      <c r="N19" s="760">
        <f t="shared" si="2"/>
        <v>994.0357852882704</v>
      </c>
      <c r="O19" s="760">
        <f t="shared" si="3"/>
        <v>3.967466772465781E-2</v>
      </c>
      <c r="P19" s="727"/>
      <c r="Q19" s="727"/>
      <c r="R19" s="727"/>
      <c r="S19" s="727"/>
      <c r="T19" s="727"/>
      <c r="U19" s="727"/>
      <c r="V19" s="727"/>
      <c r="W19" s="727"/>
      <c r="X19" s="727"/>
      <c r="Y19" s="727"/>
      <c r="Z19" s="727"/>
      <c r="AA19" s="727"/>
      <c r="AB19" s="727"/>
      <c r="AC19" s="727"/>
      <c r="AD19" s="727"/>
      <c r="AE19" s="727"/>
      <c r="AF19" s="727"/>
      <c r="AG19" s="727"/>
      <c r="AH19" s="727"/>
      <c r="AI19" s="727"/>
      <c r="AJ19" s="727"/>
      <c r="AK19" s="727"/>
      <c r="AL19" s="727"/>
      <c r="AM19" s="727"/>
      <c r="AN19" s="727"/>
      <c r="AO19" s="727"/>
      <c r="AP19" s="727"/>
      <c r="AQ19" s="727"/>
      <c r="AR19" s="727"/>
      <c r="AS19" s="727"/>
      <c r="AT19" s="727"/>
      <c r="AU19" s="727"/>
      <c r="AV19" s="727"/>
      <c r="AW19" s="727"/>
      <c r="AX19" s="727"/>
      <c r="AY19" s="727"/>
      <c r="AZ19" s="727"/>
      <c r="BA19" s="727"/>
      <c r="BB19" s="727"/>
      <c r="BC19" s="727"/>
      <c r="BD19" s="727"/>
      <c r="BE19" s="727"/>
      <c r="BF19" s="727"/>
      <c r="BG19" s="727"/>
      <c r="BH19" s="727"/>
      <c r="BI19" s="727"/>
      <c r="BJ19" s="727"/>
      <c r="BK19" s="727"/>
      <c r="BL19" s="727"/>
      <c r="BM19" s="727"/>
    </row>
    <row r="20" spans="1:65">
      <c r="A20" s="326"/>
      <c r="B20" s="746">
        <v>40</v>
      </c>
      <c r="C20" s="747">
        <v>7.3848999999999998E-3</v>
      </c>
      <c r="D20" s="747">
        <v>1.0078999999999999E-3</v>
      </c>
      <c r="E20" s="748">
        <v>19.515000000000001</v>
      </c>
      <c r="F20" s="749">
        <v>167.53</v>
      </c>
      <c r="G20" s="749">
        <v>2429.4</v>
      </c>
      <c r="H20" s="748">
        <v>167.53</v>
      </c>
      <c r="I20" s="749">
        <f t="shared" si="0"/>
        <v>2405.9699999999998</v>
      </c>
      <c r="J20" s="749">
        <v>2573.5</v>
      </c>
      <c r="K20" s="750">
        <v>0.57240000000000002</v>
      </c>
      <c r="L20" s="750">
        <f t="shared" si="1"/>
        <v>7.6830999999999996</v>
      </c>
      <c r="M20" s="746">
        <v>8.2554999999999996</v>
      </c>
      <c r="N20" s="738">
        <f t="shared" si="2"/>
        <v>992.16192082547877</v>
      </c>
      <c r="O20" s="738">
        <f t="shared" si="3"/>
        <v>5.1242633871380991E-2</v>
      </c>
      <c r="P20" s="727"/>
      <c r="Q20" s="727"/>
      <c r="R20" s="727"/>
      <c r="S20" s="727"/>
      <c r="T20" s="727"/>
      <c r="U20" s="727"/>
      <c r="W20" s="727"/>
      <c r="X20" s="727"/>
      <c r="Y20" s="727"/>
      <c r="Z20" s="727"/>
      <c r="AA20" s="727"/>
      <c r="AB20" s="727"/>
      <c r="AC20" s="727"/>
      <c r="AD20" s="727"/>
      <c r="AE20" s="727"/>
      <c r="AF20" s="727"/>
      <c r="AG20" s="727"/>
      <c r="AH20" s="727"/>
      <c r="AI20" s="727"/>
      <c r="AJ20" s="727"/>
      <c r="AK20" s="727"/>
      <c r="AL20" s="727"/>
      <c r="AM20" s="727"/>
      <c r="AN20" s="727"/>
      <c r="AO20" s="727"/>
      <c r="AP20" s="727"/>
      <c r="AQ20" s="727"/>
      <c r="AR20" s="727"/>
      <c r="AS20" s="727"/>
      <c r="AT20" s="727"/>
      <c r="AU20" s="727"/>
      <c r="AV20" s="727"/>
      <c r="AW20" s="727"/>
      <c r="AX20" s="727"/>
      <c r="AY20" s="727"/>
      <c r="AZ20" s="727"/>
      <c r="BA20" s="727"/>
      <c r="BB20" s="727"/>
      <c r="BC20" s="727"/>
      <c r="BD20" s="727"/>
      <c r="BE20" s="727"/>
      <c r="BF20" s="727"/>
      <c r="BG20" s="727"/>
      <c r="BH20" s="727"/>
      <c r="BI20" s="727"/>
      <c r="BJ20" s="727"/>
      <c r="BK20" s="727"/>
      <c r="BL20" s="727"/>
      <c r="BM20" s="727"/>
    </row>
    <row r="21" spans="1:65">
      <c r="A21" s="326"/>
      <c r="B21" s="752">
        <v>45</v>
      </c>
      <c r="C21" s="753">
        <v>9.5949999999999994E-3</v>
      </c>
      <c r="D21" s="753">
        <v>1.0099E-3</v>
      </c>
      <c r="E21" s="754">
        <v>15.252000000000001</v>
      </c>
      <c r="F21" s="755">
        <v>188.43</v>
      </c>
      <c r="G21" s="755">
        <v>2436.1</v>
      </c>
      <c r="H21" s="754">
        <v>188.43</v>
      </c>
      <c r="I21" s="755">
        <f t="shared" si="0"/>
        <v>2393.9700000000003</v>
      </c>
      <c r="J21" s="755">
        <v>2582.4</v>
      </c>
      <c r="K21" s="756">
        <v>0.63861000000000001</v>
      </c>
      <c r="L21" s="756">
        <f t="shared" si="1"/>
        <v>7.5246899999999997</v>
      </c>
      <c r="M21" s="752">
        <v>8.1632999999999996</v>
      </c>
      <c r="N21" s="760">
        <f t="shared" si="2"/>
        <v>990.19704921279333</v>
      </c>
      <c r="O21" s="760">
        <f t="shared" si="3"/>
        <v>6.5565171780750067E-2</v>
      </c>
      <c r="P21" s="727"/>
      <c r="Q21" s="751" t="s">
        <v>1406</v>
      </c>
      <c r="S21" s="727"/>
      <c r="T21" s="727"/>
      <c r="U21" s="727"/>
      <c r="V21" s="727"/>
      <c r="W21" s="727"/>
      <c r="X21" s="727"/>
      <c r="Y21" s="751" t="s">
        <v>1412</v>
      </c>
      <c r="AA21" s="727"/>
      <c r="AB21" s="727"/>
      <c r="AC21" s="727"/>
      <c r="AD21" s="727"/>
      <c r="AE21" s="727"/>
      <c r="AF21" s="727"/>
      <c r="AG21" s="727"/>
      <c r="AH21" s="727"/>
      <c r="AI21" s="727"/>
      <c r="AJ21" s="727"/>
      <c r="AK21" s="727"/>
      <c r="AL21" s="727"/>
      <c r="AM21" s="727"/>
      <c r="AN21" s="727"/>
      <c r="AO21" s="727"/>
      <c r="AP21" s="727"/>
      <c r="AQ21" s="727"/>
      <c r="AR21" s="727"/>
      <c r="AS21" s="727"/>
      <c r="AT21" s="727"/>
      <c r="AU21" s="727"/>
      <c r="AV21" s="727"/>
      <c r="AW21" s="727"/>
      <c r="AX21" s="727"/>
      <c r="AY21" s="727"/>
      <c r="AZ21" s="727"/>
      <c r="BA21" s="727"/>
      <c r="BB21" s="727"/>
      <c r="BC21" s="727"/>
      <c r="BD21" s="727"/>
      <c r="BE21" s="727"/>
      <c r="BF21" s="727"/>
      <c r="BG21" s="727"/>
      <c r="BH21" s="727"/>
      <c r="BI21" s="727"/>
      <c r="BJ21" s="727"/>
      <c r="BK21" s="727"/>
      <c r="BL21" s="727"/>
      <c r="BM21" s="727"/>
    </row>
    <row r="22" spans="1:65">
      <c r="A22" s="326"/>
      <c r="B22" s="746">
        <v>50</v>
      </c>
      <c r="C22" s="764">
        <v>1.2352E-2</v>
      </c>
      <c r="D22" s="747">
        <v>1.0120999999999999E-3</v>
      </c>
      <c r="E22" s="748">
        <v>12.026999999999999</v>
      </c>
      <c r="F22" s="749">
        <v>209.33</v>
      </c>
      <c r="G22" s="749">
        <v>2442.6999999999998</v>
      </c>
      <c r="H22" s="748">
        <v>209.34</v>
      </c>
      <c r="I22" s="749">
        <f t="shared" si="0"/>
        <v>2381.96</v>
      </c>
      <c r="J22" s="749">
        <v>2591.3000000000002</v>
      </c>
      <c r="K22" s="750">
        <v>0.70381000000000005</v>
      </c>
      <c r="L22" s="750">
        <f t="shared" si="1"/>
        <v>7.3709899999999999</v>
      </c>
      <c r="M22" s="746">
        <v>8.0747999999999998</v>
      </c>
      <c r="N22" s="738">
        <f t="shared" si="2"/>
        <v>988.04465961861479</v>
      </c>
      <c r="O22" s="738">
        <f t="shared" si="3"/>
        <v>8.3146254261245542E-2</v>
      </c>
      <c r="P22" s="727"/>
      <c r="Q22" s="727"/>
      <c r="R22" s="727"/>
      <c r="S22" s="727"/>
      <c r="T22" s="757" t="s">
        <v>903</v>
      </c>
      <c r="U22" s="731" t="s">
        <v>898</v>
      </c>
      <c r="W22" s="727"/>
      <c r="X22" s="727"/>
      <c r="Y22" s="727"/>
      <c r="Z22" s="727"/>
      <c r="AA22" s="727"/>
      <c r="AB22" s="757" t="s">
        <v>903</v>
      </c>
      <c r="AC22" s="731" t="s">
        <v>1048</v>
      </c>
      <c r="AD22" s="727"/>
      <c r="AE22" s="727"/>
      <c r="AF22" s="727"/>
      <c r="AG22" s="727"/>
      <c r="AH22" s="727"/>
      <c r="AI22" s="727"/>
      <c r="AJ22" s="727"/>
      <c r="AK22" s="727"/>
      <c r="AL22" s="727"/>
      <c r="AM22" s="727"/>
      <c r="AN22" s="727"/>
      <c r="AO22" s="727"/>
      <c r="AP22" s="727"/>
      <c r="AQ22" s="727"/>
      <c r="AR22" s="727"/>
      <c r="AS22" s="727"/>
      <c r="AT22" s="727"/>
      <c r="AU22" s="727"/>
      <c r="AV22" s="727"/>
      <c r="AW22" s="727"/>
      <c r="AX22" s="727"/>
      <c r="AY22" s="727"/>
      <c r="AZ22" s="727"/>
      <c r="BA22" s="727"/>
      <c r="BB22" s="727"/>
      <c r="BC22" s="727"/>
      <c r="BD22" s="727"/>
      <c r="BE22" s="727"/>
      <c r="BF22" s="727"/>
      <c r="BG22" s="727"/>
      <c r="BH22" s="727"/>
      <c r="BI22" s="727"/>
      <c r="BJ22" s="727"/>
      <c r="BK22" s="727"/>
      <c r="BL22" s="727"/>
      <c r="BM22" s="727"/>
    </row>
    <row r="23" spans="1:65">
      <c r="A23" s="326"/>
      <c r="B23" s="752">
        <v>55</v>
      </c>
      <c r="C23" s="765">
        <v>1.5762000000000002E-2</v>
      </c>
      <c r="D23" s="753">
        <v>1.0146000000000001E-3</v>
      </c>
      <c r="E23" s="766">
        <v>9.5642999999999994</v>
      </c>
      <c r="F23" s="755">
        <v>230.24</v>
      </c>
      <c r="G23" s="755">
        <v>2449.3000000000002</v>
      </c>
      <c r="H23" s="754">
        <v>230.26</v>
      </c>
      <c r="I23" s="755">
        <f t="shared" si="0"/>
        <v>2369.84</v>
      </c>
      <c r="J23" s="755">
        <v>2600.1</v>
      </c>
      <c r="K23" s="756">
        <v>0.76802000000000004</v>
      </c>
      <c r="L23" s="756">
        <f t="shared" si="1"/>
        <v>7.2217799999999999</v>
      </c>
      <c r="M23" s="752">
        <v>7.9897999999999998</v>
      </c>
      <c r="N23" s="760">
        <f t="shared" si="2"/>
        <v>985.61009264734867</v>
      </c>
      <c r="O23" s="760">
        <f t="shared" si="3"/>
        <v>0.10455548236671791</v>
      </c>
      <c r="P23" s="727"/>
      <c r="Q23" s="727"/>
      <c r="R23" s="727"/>
      <c r="S23" s="758" t="s">
        <v>952</v>
      </c>
      <c r="T23" s="759">
        <f>INDEX($C$12:$C$60,MATCH($T24,$C$12:$C$60,1))</f>
        <v>3.3469000000000002</v>
      </c>
      <c r="U23" s="887">
        <f>VLOOKUP(T23,$C$12:$J$60,6,FALSE)</f>
        <v>1037.5999999999999</v>
      </c>
      <c r="V23" s="727"/>
      <c r="W23" s="727"/>
      <c r="X23" s="727"/>
      <c r="Y23" s="727"/>
      <c r="Z23" s="727"/>
      <c r="AA23" s="758" t="s">
        <v>952</v>
      </c>
      <c r="AB23" s="759">
        <f>INDEX($C$12:$C$60,MATCH(AB24,$C$12:$C$60,1))</f>
        <v>0.47616000000000003</v>
      </c>
      <c r="AC23" s="885">
        <f>VLOOKUP(AB23,$C$12:$M$60,10,FALSE)</f>
        <v>4.9953000000000003</v>
      </c>
      <c r="AD23" s="727"/>
      <c r="AE23" s="727"/>
      <c r="AF23" s="727"/>
      <c r="AG23" s="727"/>
      <c r="AH23" s="727"/>
      <c r="AI23" s="727"/>
      <c r="AJ23" s="727"/>
      <c r="AK23" s="727"/>
      <c r="AL23" s="727"/>
      <c r="AM23" s="727"/>
      <c r="AN23" s="727"/>
      <c r="AO23" s="727"/>
      <c r="AP23" s="727"/>
      <c r="AQ23" s="727"/>
      <c r="AR23" s="727"/>
      <c r="AS23" s="727"/>
      <c r="AT23" s="727"/>
      <c r="AU23" s="727"/>
      <c r="AV23" s="727"/>
      <c r="AW23" s="727"/>
      <c r="AX23" s="727"/>
      <c r="AY23" s="727"/>
      <c r="AZ23" s="727"/>
      <c r="BA23" s="727"/>
      <c r="BB23" s="727"/>
      <c r="BC23" s="727"/>
      <c r="BD23" s="727"/>
      <c r="BE23" s="727"/>
      <c r="BF23" s="727"/>
      <c r="BG23" s="727"/>
      <c r="BH23" s="727"/>
      <c r="BI23" s="727"/>
      <c r="BJ23" s="727"/>
      <c r="BK23" s="727"/>
      <c r="BL23" s="727"/>
      <c r="BM23" s="727"/>
    </row>
    <row r="24" spans="1:65">
      <c r="A24" s="326"/>
      <c r="B24" s="746">
        <v>60</v>
      </c>
      <c r="C24" s="764">
        <v>1.9945999999999998E-2</v>
      </c>
      <c r="D24" s="747">
        <v>1.0170999999999999E-3</v>
      </c>
      <c r="E24" s="767">
        <v>7.6672000000000002</v>
      </c>
      <c r="F24" s="749">
        <v>251.16</v>
      </c>
      <c r="G24" s="749">
        <v>2455.9</v>
      </c>
      <c r="H24" s="748">
        <v>251.18</v>
      </c>
      <c r="I24" s="749">
        <f t="shared" si="0"/>
        <v>2357.6200000000003</v>
      </c>
      <c r="J24" s="749">
        <v>2608.8000000000002</v>
      </c>
      <c r="K24" s="750">
        <v>0.83128999999999997</v>
      </c>
      <c r="L24" s="750">
        <f t="shared" si="1"/>
        <v>7.07681</v>
      </c>
      <c r="M24" s="746">
        <v>7.9081000000000001</v>
      </c>
      <c r="N24" s="738">
        <f t="shared" si="2"/>
        <v>983.18749385507817</v>
      </c>
      <c r="O24" s="738">
        <f t="shared" si="3"/>
        <v>0.13042570951585977</v>
      </c>
      <c r="P24" s="727"/>
      <c r="Q24" s="727"/>
      <c r="S24" s="758" t="s">
        <v>951</v>
      </c>
      <c r="T24" s="882">
        <f>$N$4/1000000</f>
        <v>3.5</v>
      </c>
      <c r="U24" s="798">
        <f>U23+(T24-T23)*(U25-U23)/(T25-T23)</f>
        <v>1049.3263944064834</v>
      </c>
      <c r="V24" s="763" t="s">
        <v>869</v>
      </c>
      <c r="W24" s="727"/>
      <c r="X24" s="727"/>
      <c r="Y24" s="727"/>
      <c r="Z24" s="727"/>
      <c r="AA24" s="758" t="s">
        <v>951</v>
      </c>
      <c r="AB24" s="762">
        <f>$I$6/1000000</f>
        <v>0.5</v>
      </c>
      <c r="AC24" s="886">
        <f>AC23+(AB24-AB23)*(AC25-AC23)/(AB25-AB23)</f>
        <v>4.9636184908847749</v>
      </c>
      <c r="AD24" s="763" t="s">
        <v>869</v>
      </c>
      <c r="AE24" s="727"/>
      <c r="AF24" s="727"/>
      <c r="AG24" s="727"/>
      <c r="AH24" s="727"/>
      <c r="AI24" s="727"/>
      <c r="AJ24" s="727"/>
      <c r="AK24" s="727"/>
      <c r="AL24" s="727"/>
      <c r="AM24" s="727"/>
      <c r="AN24" s="727"/>
      <c r="AO24" s="727"/>
      <c r="AP24" s="727"/>
      <c r="AQ24" s="727"/>
      <c r="AR24" s="727"/>
      <c r="AS24" s="727"/>
      <c r="AT24" s="727"/>
      <c r="AU24" s="727"/>
      <c r="AV24" s="727"/>
      <c r="AW24" s="727"/>
      <c r="AX24" s="727"/>
      <c r="AY24" s="727"/>
      <c r="AZ24" s="727"/>
      <c r="BA24" s="727"/>
      <c r="BB24" s="727"/>
      <c r="BC24" s="727"/>
      <c r="BD24" s="727"/>
      <c r="BE24" s="727"/>
      <c r="BF24" s="727"/>
      <c r="BG24" s="727"/>
      <c r="BH24" s="727"/>
      <c r="BI24" s="727"/>
      <c r="BJ24" s="727"/>
      <c r="BK24" s="727"/>
      <c r="BL24" s="727"/>
      <c r="BM24" s="727"/>
    </row>
    <row r="25" spans="1:65">
      <c r="A25" s="326"/>
      <c r="B25" s="752">
        <v>65</v>
      </c>
      <c r="C25" s="765">
        <v>2.5041999999999998E-2</v>
      </c>
      <c r="D25" s="753">
        <v>1.0199E-3</v>
      </c>
      <c r="E25" s="766">
        <v>6.1935000000000002</v>
      </c>
      <c r="F25" s="755">
        <v>272.08999999999997</v>
      </c>
      <c r="G25" s="755">
        <v>2462.4</v>
      </c>
      <c r="H25" s="754">
        <v>272.12</v>
      </c>
      <c r="I25" s="755">
        <f t="shared" si="0"/>
        <v>2345.38</v>
      </c>
      <c r="J25" s="755">
        <v>2617.5</v>
      </c>
      <c r="K25" s="756">
        <v>0.89365000000000006</v>
      </c>
      <c r="L25" s="756">
        <f t="shared" si="1"/>
        <v>6.9359500000000001</v>
      </c>
      <c r="M25" s="752">
        <v>7.8296000000000001</v>
      </c>
      <c r="N25" s="760">
        <f t="shared" si="2"/>
        <v>980.48828316501613</v>
      </c>
      <c r="O25" s="760">
        <f t="shared" si="3"/>
        <v>0.16145959473641722</v>
      </c>
      <c r="P25" s="727"/>
      <c r="Q25" s="727"/>
      <c r="R25" s="727"/>
      <c r="S25" s="758" t="s">
        <v>952</v>
      </c>
      <c r="T25" s="759">
        <f>INDEX($C$12:$C$60,MATCH($T24,$C$12:$C$60,1)+1)</f>
        <v>3.9762</v>
      </c>
      <c r="U25" s="887">
        <f>VLOOKUP(T25,$C$12:$J$60,6,FALSE)</f>
        <v>1085.8</v>
      </c>
      <c r="V25" s="727"/>
      <c r="W25" s="727"/>
      <c r="X25" s="727"/>
      <c r="Y25" s="727"/>
      <c r="Z25" s="727"/>
      <c r="AA25" s="758" t="s">
        <v>952</v>
      </c>
      <c r="AB25" s="759">
        <f>INDEX($C$12:$C$60,MATCH(AB24,$C$12:$C$60,1)+1)</f>
        <v>0.61822999999999995</v>
      </c>
      <c r="AC25" s="885">
        <f>VLOOKUP(AB25,$C$12:$M$60,10,FALSE)</f>
        <v>4.8064999999999998</v>
      </c>
      <c r="AD25" s="727"/>
      <c r="AE25" s="727"/>
      <c r="AF25" s="727"/>
      <c r="AG25" s="727"/>
      <c r="AH25" s="727"/>
      <c r="AI25" s="727"/>
      <c r="AJ25" s="727"/>
      <c r="AK25" s="727"/>
      <c r="AL25" s="727"/>
      <c r="AM25" s="727"/>
      <c r="AN25" s="727"/>
      <c r="AO25" s="727"/>
      <c r="AP25" s="727"/>
      <c r="AQ25" s="727"/>
      <c r="AR25" s="727"/>
      <c r="AS25" s="727"/>
      <c r="AT25" s="727"/>
      <c r="AU25" s="727"/>
      <c r="AV25" s="727"/>
      <c r="AW25" s="727"/>
      <c r="AX25" s="727"/>
      <c r="AY25" s="727"/>
      <c r="AZ25" s="727"/>
      <c r="BA25" s="727"/>
      <c r="BB25" s="727"/>
      <c r="BC25" s="727"/>
      <c r="BD25" s="727"/>
      <c r="BE25" s="727"/>
      <c r="BF25" s="727"/>
      <c r="BG25" s="727"/>
      <c r="BH25" s="727"/>
      <c r="BI25" s="727"/>
      <c r="BJ25" s="727"/>
      <c r="BK25" s="727"/>
      <c r="BL25" s="727"/>
      <c r="BM25" s="727"/>
    </row>
    <row r="26" spans="1:65">
      <c r="A26" s="326"/>
      <c r="B26" s="746">
        <v>70</v>
      </c>
      <c r="C26" s="764">
        <v>3.1201E-2</v>
      </c>
      <c r="D26" s="747">
        <v>1.0227999999999999E-3</v>
      </c>
      <c r="E26" s="767">
        <v>5.0395000000000003</v>
      </c>
      <c r="F26" s="749">
        <v>293.02999999999997</v>
      </c>
      <c r="G26" s="749">
        <v>2468.9</v>
      </c>
      <c r="H26" s="748">
        <v>293.07</v>
      </c>
      <c r="I26" s="749">
        <f t="shared" si="0"/>
        <v>2333.0299999999997</v>
      </c>
      <c r="J26" s="749">
        <v>2626.1</v>
      </c>
      <c r="K26" s="750">
        <v>0.95513000000000003</v>
      </c>
      <c r="L26" s="750">
        <f t="shared" si="1"/>
        <v>6.7988699999999991</v>
      </c>
      <c r="M26" s="750">
        <v>7.7539999999999996</v>
      </c>
      <c r="N26" s="738">
        <f t="shared" si="2"/>
        <v>977.70825185764579</v>
      </c>
      <c r="O26" s="738">
        <f t="shared" si="3"/>
        <v>0.19843238416509573</v>
      </c>
      <c r="P26" s="727"/>
      <c r="Q26" s="727"/>
      <c r="R26" s="727"/>
      <c r="S26" s="727"/>
      <c r="T26" s="727"/>
      <c r="U26" s="727"/>
      <c r="V26" s="727"/>
      <c r="W26" s="727"/>
      <c r="X26" s="727"/>
      <c r="Y26" s="727"/>
      <c r="Z26" s="727"/>
      <c r="AA26" s="727"/>
      <c r="AB26" s="727"/>
      <c r="AC26" s="727"/>
      <c r="AD26" s="727"/>
      <c r="AE26" s="727"/>
      <c r="AF26" s="727"/>
      <c r="AG26" s="727"/>
      <c r="AH26" s="727"/>
      <c r="AI26" s="727"/>
      <c r="AJ26" s="727"/>
      <c r="AK26" s="727"/>
      <c r="AL26" s="727"/>
      <c r="AM26" s="727"/>
      <c r="AN26" s="727"/>
      <c r="AO26" s="727"/>
      <c r="AP26" s="727"/>
      <c r="AQ26" s="727"/>
      <c r="AR26" s="727"/>
      <c r="AS26" s="727"/>
      <c r="AT26" s="727"/>
      <c r="AU26" s="727"/>
      <c r="AV26" s="727"/>
      <c r="AW26" s="727"/>
      <c r="AX26" s="727"/>
      <c r="AY26" s="727"/>
      <c r="AZ26" s="727"/>
      <c r="BA26" s="727"/>
      <c r="BB26" s="727"/>
      <c r="BC26" s="727"/>
      <c r="BD26" s="727"/>
      <c r="BE26" s="727"/>
      <c r="BF26" s="727"/>
      <c r="BG26" s="727"/>
      <c r="BH26" s="727"/>
      <c r="BI26" s="727"/>
      <c r="BJ26" s="727"/>
      <c r="BK26" s="727"/>
      <c r="BL26" s="727"/>
      <c r="BM26" s="727"/>
    </row>
    <row r="27" spans="1:65">
      <c r="A27" s="326"/>
      <c r="B27" s="752">
        <v>75</v>
      </c>
      <c r="C27" s="765">
        <v>3.8594999999999997E-2</v>
      </c>
      <c r="D27" s="753">
        <v>1.0258000000000001E-3</v>
      </c>
      <c r="E27" s="766">
        <v>4.1288999999999998</v>
      </c>
      <c r="F27" s="755">
        <v>313.99</v>
      </c>
      <c r="G27" s="755">
        <v>2475.1999999999998</v>
      </c>
      <c r="H27" s="754">
        <v>314.02999999999997</v>
      </c>
      <c r="I27" s="755">
        <f t="shared" si="0"/>
        <v>2320.5699999999997</v>
      </c>
      <c r="J27" s="755">
        <v>2634.6</v>
      </c>
      <c r="K27" s="752">
        <v>1.0158</v>
      </c>
      <c r="L27" s="756">
        <f t="shared" si="1"/>
        <v>6.6654</v>
      </c>
      <c r="M27" s="752">
        <v>7.6811999999999996</v>
      </c>
      <c r="N27" s="760">
        <f t="shared" si="2"/>
        <v>974.84889842074472</v>
      </c>
      <c r="O27" s="760">
        <f t="shared" si="3"/>
        <v>0.24219525781685197</v>
      </c>
      <c r="P27" s="727"/>
      <c r="Q27" s="727"/>
      <c r="R27" s="727"/>
      <c r="S27" s="727"/>
      <c r="T27" s="727"/>
      <c r="U27" s="727"/>
      <c r="V27" s="727"/>
      <c r="W27" s="727"/>
      <c r="X27" s="727"/>
      <c r="Y27" s="727"/>
      <c r="Z27" s="727"/>
      <c r="AA27" s="727"/>
      <c r="AB27" s="727"/>
      <c r="AC27" s="727"/>
      <c r="AD27" s="727"/>
      <c r="AE27" s="727"/>
      <c r="AF27" s="727"/>
      <c r="AG27" s="727"/>
      <c r="AH27" s="727"/>
      <c r="AI27" s="727"/>
      <c r="AJ27" s="727"/>
      <c r="AK27" s="727"/>
      <c r="AL27" s="727"/>
      <c r="AM27" s="727"/>
      <c r="AN27" s="727"/>
      <c r="AO27" s="727"/>
      <c r="AP27" s="727"/>
      <c r="AQ27" s="727"/>
      <c r="AR27" s="727"/>
      <c r="AS27" s="727"/>
      <c r="AT27" s="727"/>
      <c r="AU27" s="727"/>
      <c r="AV27" s="727"/>
      <c r="AW27" s="727"/>
      <c r="AX27" s="727"/>
      <c r="AY27" s="727"/>
      <c r="AZ27" s="727"/>
      <c r="BA27" s="727"/>
      <c r="BB27" s="727"/>
      <c r="BC27" s="727"/>
      <c r="BD27" s="727"/>
      <c r="BE27" s="727"/>
      <c r="BF27" s="727"/>
      <c r="BG27" s="727"/>
      <c r="BH27" s="727"/>
      <c r="BI27" s="727"/>
      <c r="BJ27" s="727"/>
      <c r="BK27" s="727"/>
      <c r="BL27" s="727"/>
      <c r="BM27" s="727"/>
    </row>
    <row r="28" spans="1:65">
      <c r="A28" s="326"/>
      <c r="B28" s="746">
        <v>80</v>
      </c>
      <c r="C28" s="764">
        <v>4.7413999999999998E-2</v>
      </c>
      <c r="D28" s="747">
        <v>1.0291E-3</v>
      </c>
      <c r="E28" s="767">
        <v>3.4051999999999998</v>
      </c>
      <c r="F28" s="749">
        <v>334.96</v>
      </c>
      <c r="G28" s="749">
        <v>2481.6</v>
      </c>
      <c r="H28" s="748">
        <v>335.01</v>
      </c>
      <c r="I28" s="749">
        <f t="shared" si="0"/>
        <v>2307.9899999999998</v>
      </c>
      <c r="J28" s="749">
        <v>2643</v>
      </c>
      <c r="K28" s="746">
        <v>1.0755999999999999</v>
      </c>
      <c r="L28" s="750">
        <f t="shared" si="1"/>
        <v>6.5355000000000008</v>
      </c>
      <c r="M28" s="746">
        <v>7.6111000000000004</v>
      </c>
      <c r="N28" s="738">
        <f t="shared" si="2"/>
        <v>971.72286463900491</v>
      </c>
      <c r="O28" s="738">
        <f t="shared" si="3"/>
        <v>0.29366850698931046</v>
      </c>
      <c r="P28" s="727"/>
      <c r="Q28" s="751" t="s">
        <v>1407</v>
      </c>
      <c r="R28" s="727"/>
      <c r="S28" s="727"/>
      <c r="T28" s="727"/>
      <c r="U28" s="727"/>
      <c r="V28" s="727"/>
      <c r="W28" s="727"/>
      <c r="X28" s="727"/>
      <c r="Y28" s="727"/>
      <c r="Z28" s="727"/>
      <c r="AA28" s="727"/>
      <c r="AB28" s="727"/>
      <c r="AC28" s="727"/>
      <c r="AD28" s="727"/>
      <c r="AE28" s="727"/>
      <c r="AG28" s="727"/>
      <c r="AH28" s="727"/>
      <c r="AI28" s="727"/>
      <c r="AJ28" s="727"/>
      <c r="AK28" s="727"/>
      <c r="AL28" s="727"/>
      <c r="AM28" s="727"/>
      <c r="AN28" s="727"/>
      <c r="AO28" s="727"/>
      <c r="AP28" s="727"/>
      <c r="AQ28" s="727"/>
      <c r="AR28" s="727"/>
      <c r="AS28" s="727"/>
      <c r="AT28" s="727"/>
      <c r="AU28" s="727"/>
      <c r="AV28" s="727"/>
      <c r="AW28" s="727"/>
      <c r="AX28" s="727"/>
      <c r="AY28" s="727"/>
      <c r="AZ28" s="727"/>
      <c r="BA28" s="727"/>
      <c r="BB28" s="727"/>
      <c r="BC28" s="727"/>
      <c r="BD28" s="727"/>
      <c r="BE28" s="727"/>
      <c r="BF28" s="727"/>
      <c r="BG28" s="727"/>
      <c r="BH28" s="727"/>
      <c r="BI28" s="727"/>
      <c r="BJ28" s="727"/>
      <c r="BK28" s="727"/>
      <c r="BL28" s="727"/>
      <c r="BM28" s="727"/>
    </row>
    <row r="29" spans="1:65">
      <c r="A29" s="326"/>
      <c r="B29" s="752">
        <v>85</v>
      </c>
      <c r="C29" s="765">
        <v>5.7867000000000002E-2</v>
      </c>
      <c r="D29" s="753">
        <v>1.0323999999999999E-3</v>
      </c>
      <c r="E29" s="766">
        <v>2.8258000000000001</v>
      </c>
      <c r="F29" s="755">
        <v>355.95</v>
      </c>
      <c r="G29" s="755">
        <v>2487.8000000000002</v>
      </c>
      <c r="H29" s="754">
        <v>356.01</v>
      </c>
      <c r="I29" s="755">
        <f t="shared" si="0"/>
        <v>2295.29</v>
      </c>
      <c r="J29" s="755">
        <v>2651.3</v>
      </c>
      <c r="K29" s="752">
        <v>1.1346000000000001</v>
      </c>
      <c r="L29" s="756">
        <f t="shared" si="1"/>
        <v>6.4088000000000003</v>
      </c>
      <c r="M29" s="752">
        <v>7.5434000000000001</v>
      </c>
      <c r="N29" s="760">
        <f t="shared" si="2"/>
        <v>968.6168151879117</v>
      </c>
      <c r="O29" s="760">
        <f t="shared" si="3"/>
        <v>0.35388208648878194</v>
      </c>
      <c r="P29" s="727"/>
      <c r="Q29" s="727"/>
      <c r="R29" s="727"/>
      <c r="S29" s="727"/>
      <c r="T29" s="757" t="s">
        <v>903</v>
      </c>
      <c r="U29" s="731" t="s">
        <v>898</v>
      </c>
      <c r="V29" s="727"/>
      <c r="W29" s="727"/>
      <c r="X29" s="727"/>
      <c r="Y29" s="727"/>
      <c r="Z29" s="727"/>
      <c r="AA29" s="727"/>
      <c r="AB29" s="727"/>
      <c r="AC29" s="727"/>
      <c r="AD29" s="727"/>
      <c r="AE29" s="727"/>
      <c r="AF29" s="727"/>
      <c r="AG29" s="727"/>
      <c r="AH29" s="727"/>
      <c r="AI29" s="727"/>
      <c r="AJ29" s="727"/>
      <c r="AK29" s="727"/>
      <c r="AL29" s="727"/>
      <c r="AM29" s="727"/>
      <c r="AN29" s="727"/>
      <c r="AO29" s="727"/>
      <c r="AP29" s="727"/>
      <c r="AQ29" s="727"/>
      <c r="AR29" s="727"/>
      <c r="AS29" s="727"/>
      <c r="AT29" s="727"/>
      <c r="AU29" s="727"/>
      <c r="AV29" s="727"/>
      <c r="AW29" s="727"/>
      <c r="AX29" s="727"/>
      <c r="AY29" s="727"/>
      <c r="AZ29" s="727"/>
      <c r="BA29" s="727"/>
      <c r="BB29" s="727"/>
      <c r="BC29" s="727"/>
      <c r="BD29" s="727"/>
      <c r="BE29" s="727"/>
      <c r="BF29" s="727"/>
      <c r="BG29" s="727"/>
      <c r="BH29" s="727"/>
      <c r="BI29" s="727"/>
      <c r="BJ29" s="727"/>
      <c r="BK29" s="727"/>
      <c r="BL29" s="727"/>
      <c r="BM29" s="727"/>
    </row>
    <row r="30" spans="1:65">
      <c r="A30" s="326"/>
      <c r="B30" s="746">
        <v>90</v>
      </c>
      <c r="C30" s="764">
        <v>7.0181999999999994E-2</v>
      </c>
      <c r="D30" s="747">
        <v>1.036E-3</v>
      </c>
      <c r="E30" s="767">
        <v>2.3591000000000002</v>
      </c>
      <c r="F30" s="749">
        <v>376.97</v>
      </c>
      <c r="G30" s="749">
        <v>2494</v>
      </c>
      <c r="H30" s="748">
        <v>377.04</v>
      </c>
      <c r="I30" s="749">
        <f t="shared" si="0"/>
        <v>2282.46</v>
      </c>
      <c r="J30" s="749">
        <v>2659.5</v>
      </c>
      <c r="K30" s="746">
        <v>1.1929000000000001</v>
      </c>
      <c r="L30" s="750">
        <f t="shared" si="1"/>
        <v>6.2852000000000006</v>
      </c>
      <c r="M30" s="746">
        <v>7.4781000000000004</v>
      </c>
      <c r="N30" s="738">
        <f t="shared" si="2"/>
        <v>965.25096525096524</v>
      </c>
      <c r="O30" s="738">
        <f t="shared" si="3"/>
        <v>0.4238904667034038</v>
      </c>
      <c r="P30" s="727"/>
      <c r="Q30" s="727"/>
      <c r="R30" s="727"/>
      <c r="S30" s="758" t="s">
        <v>952</v>
      </c>
      <c r="T30" s="759">
        <f>INDEX($C$12:$C$60,MATCH($T31,$C$12:$C$60,1))</f>
        <v>3.3469000000000002</v>
      </c>
      <c r="U30" s="887">
        <f>VLOOKUP(T30,$C$12:$J$60,8,FALSE)</f>
        <v>2803</v>
      </c>
      <c r="V30" s="727"/>
      <c r="W30" s="727"/>
      <c r="X30" s="727"/>
      <c r="Y30" s="727"/>
      <c r="Z30" s="727"/>
      <c r="AA30" s="727"/>
      <c r="AB30" s="727"/>
      <c r="AC30" s="727"/>
      <c r="AD30" s="727"/>
      <c r="AE30" s="727"/>
      <c r="AF30" s="727"/>
      <c r="AG30" s="727"/>
      <c r="AH30" s="727"/>
      <c r="AI30" s="727"/>
      <c r="AJ30" s="727"/>
      <c r="AK30" s="727"/>
      <c r="AL30" s="727"/>
      <c r="AM30" s="727"/>
      <c r="AN30" s="727"/>
      <c r="AO30" s="727"/>
      <c r="AP30" s="727"/>
      <c r="AQ30" s="727"/>
      <c r="AR30" s="727"/>
      <c r="AS30" s="727"/>
      <c r="AT30" s="727"/>
      <c r="AU30" s="727"/>
      <c r="AV30" s="727"/>
      <c r="AW30" s="727"/>
      <c r="AX30" s="727"/>
      <c r="AY30" s="727"/>
      <c r="AZ30" s="727"/>
      <c r="BA30" s="727"/>
      <c r="BB30" s="727"/>
      <c r="BC30" s="727"/>
      <c r="BD30" s="727"/>
      <c r="BE30" s="727"/>
      <c r="BF30" s="727"/>
      <c r="BG30" s="727"/>
      <c r="BH30" s="727"/>
      <c r="BI30" s="727"/>
      <c r="BJ30" s="727"/>
      <c r="BK30" s="727"/>
      <c r="BL30" s="727"/>
      <c r="BM30" s="727"/>
    </row>
    <row r="31" spans="1:65">
      <c r="A31" s="326"/>
      <c r="B31" s="752">
        <v>95</v>
      </c>
      <c r="C31" s="765">
        <v>8.4608000000000003E-2</v>
      </c>
      <c r="D31" s="753">
        <v>1.0395999999999999E-3</v>
      </c>
      <c r="E31" s="766">
        <v>1.9805999999999999</v>
      </c>
      <c r="F31" s="755">
        <v>398</v>
      </c>
      <c r="G31" s="755">
        <v>2500</v>
      </c>
      <c r="H31" s="754">
        <v>398.09</v>
      </c>
      <c r="I31" s="755">
        <f t="shared" si="0"/>
        <v>2269.5099999999998</v>
      </c>
      <c r="J31" s="755">
        <v>2667.6</v>
      </c>
      <c r="K31" s="752">
        <v>1.2504</v>
      </c>
      <c r="L31" s="756">
        <f t="shared" si="1"/>
        <v>6.1646999999999998</v>
      </c>
      <c r="M31" s="752">
        <v>7.4150999999999998</v>
      </c>
      <c r="N31" s="760">
        <f t="shared" si="2"/>
        <v>961.90842631781459</v>
      </c>
      <c r="O31" s="760">
        <f t="shared" si="3"/>
        <v>0.50489750580632131</v>
      </c>
      <c r="P31" s="727"/>
      <c r="Q31" s="727"/>
      <c r="S31" s="758" t="s">
        <v>951</v>
      </c>
      <c r="T31" s="882">
        <f>$N$4/1000000</f>
        <v>3.5</v>
      </c>
      <c r="U31" s="798">
        <f>U30+(T31-T30)*(U32-U30)/(T32-T30)</f>
        <v>2802.4890989988876</v>
      </c>
      <c r="V31" s="763" t="s">
        <v>869</v>
      </c>
      <c r="W31" s="727"/>
      <c r="X31" s="727"/>
      <c r="Y31" s="727"/>
      <c r="Z31" s="727"/>
      <c r="AA31" s="727"/>
      <c r="AB31" s="727"/>
      <c r="AC31" s="727"/>
      <c r="AD31" s="727"/>
      <c r="AE31" s="727"/>
      <c r="AF31" s="727"/>
      <c r="AG31" s="727"/>
      <c r="AH31" s="727"/>
      <c r="AI31" s="727"/>
      <c r="AJ31" s="727"/>
      <c r="AK31" s="727"/>
      <c r="AL31" s="727"/>
      <c r="AM31" s="727"/>
      <c r="AN31" s="727"/>
      <c r="AO31" s="727"/>
      <c r="AP31" s="727"/>
      <c r="AQ31" s="727"/>
      <c r="AR31" s="727"/>
      <c r="AS31" s="727"/>
      <c r="AT31" s="727"/>
      <c r="AU31" s="727"/>
      <c r="AV31" s="727"/>
      <c r="AW31" s="727"/>
      <c r="AX31" s="727"/>
      <c r="AY31" s="727"/>
      <c r="AZ31" s="727"/>
      <c r="BA31" s="727"/>
      <c r="BB31" s="727"/>
      <c r="BC31" s="727"/>
      <c r="BD31" s="727"/>
      <c r="BE31" s="727"/>
      <c r="BF31" s="727"/>
      <c r="BG31" s="727"/>
      <c r="BH31" s="727"/>
      <c r="BI31" s="727"/>
      <c r="BJ31" s="727"/>
      <c r="BK31" s="727"/>
      <c r="BL31" s="727"/>
      <c r="BM31" s="727"/>
    </row>
    <row r="32" spans="1:65">
      <c r="A32" s="326"/>
      <c r="B32" s="746">
        <v>100</v>
      </c>
      <c r="C32" s="750">
        <v>0.10142</v>
      </c>
      <c r="D32" s="747">
        <v>1.0434999999999999E-3</v>
      </c>
      <c r="E32" s="767">
        <v>1.6718</v>
      </c>
      <c r="F32" s="749">
        <v>419.06</v>
      </c>
      <c r="G32" s="749">
        <v>2506</v>
      </c>
      <c r="H32" s="748">
        <v>419.17</v>
      </c>
      <c r="I32" s="749">
        <f t="shared" si="0"/>
        <v>2256.4299999999998</v>
      </c>
      <c r="J32" s="749">
        <v>2675.6</v>
      </c>
      <c r="K32" s="746">
        <v>1.3071999999999999</v>
      </c>
      <c r="L32" s="750">
        <f t="shared" si="1"/>
        <v>6.0468999999999999</v>
      </c>
      <c r="M32" s="746">
        <v>7.3540999999999999</v>
      </c>
      <c r="N32" s="738">
        <f t="shared" si="2"/>
        <v>958.31336847149021</v>
      </c>
      <c r="O32" s="738">
        <f t="shared" si="3"/>
        <v>0.59815767436296208</v>
      </c>
      <c r="P32" s="727"/>
      <c r="Q32" s="727"/>
      <c r="R32" s="727"/>
      <c r="S32" s="758" t="s">
        <v>952</v>
      </c>
      <c r="T32" s="759">
        <f>INDEX($C$12:$C$60,MATCH($T31,$C$12:$C$60,1)+1)</f>
        <v>3.9762</v>
      </c>
      <c r="U32" s="887">
        <f>VLOOKUP(T32,$C$12:$J$60,8,FALSE)</f>
        <v>2800.9</v>
      </c>
      <c r="V32" s="727"/>
      <c r="W32" s="727"/>
      <c r="X32" s="727"/>
      <c r="Y32" s="727"/>
      <c r="Z32" s="727"/>
      <c r="AA32" s="727"/>
      <c r="AB32" s="727"/>
      <c r="AC32" s="727"/>
      <c r="AD32" s="727"/>
      <c r="AE32" s="727"/>
      <c r="AF32" s="727"/>
      <c r="AG32" s="727"/>
      <c r="AH32" s="727"/>
      <c r="AI32" s="727"/>
      <c r="AJ32" s="727"/>
      <c r="AK32" s="727"/>
      <c r="AL32" s="727"/>
      <c r="AM32" s="727"/>
      <c r="AN32" s="727"/>
      <c r="AO32" s="727"/>
      <c r="AP32" s="727"/>
      <c r="AQ32" s="727"/>
      <c r="AR32" s="727"/>
      <c r="AS32" s="727"/>
      <c r="AT32" s="727"/>
      <c r="AU32" s="727"/>
      <c r="AV32" s="727"/>
      <c r="AW32" s="727"/>
      <c r="AX32" s="727"/>
      <c r="AY32" s="727"/>
      <c r="AZ32" s="727"/>
      <c r="BA32" s="727"/>
      <c r="BB32" s="727"/>
      <c r="BC32" s="727"/>
      <c r="BD32" s="727"/>
      <c r="BE32" s="727"/>
      <c r="BF32" s="727"/>
      <c r="BG32" s="727"/>
      <c r="BH32" s="727"/>
      <c r="BI32" s="727"/>
      <c r="BJ32" s="727"/>
      <c r="BK32" s="727"/>
      <c r="BL32" s="727"/>
      <c r="BM32" s="727"/>
    </row>
    <row r="33" spans="1:65">
      <c r="A33" s="326"/>
      <c r="B33" s="752">
        <v>110</v>
      </c>
      <c r="C33" s="756">
        <v>0.14338000000000001</v>
      </c>
      <c r="D33" s="753">
        <v>1.0516E-3</v>
      </c>
      <c r="E33" s="766">
        <v>1.2093</v>
      </c>
      <c r="F33" s="755">
        <v>461.26</v>
      </c>
      <c r="G33" s="755">
        <v>2517.6999999999998</v>
      </c>
      <c r="H33" s="754">
        <v>461.42</v>
      </c>
      <c r="I33" s="755">
        <f t="shared" si="0"/>
        <v>2229.6799999999998</v>
      </c>
      <c r="J33" s="755">
        <v>2691.1</v>
      </c>
      <c r="K33" s="752">
        <v>1.4188000000000001</v>
      </c>
      <c r="L33" s="756">
        <f t="shared" si="1"/>
        <v>5.8193000000000001</v>
      </c>
      <c r="M33" s="752">
        <v>7.2381000000000002</v>
      </c>
      <c r="N33" s="760">
        <f t="shared" si="2"/>
        <v>950.93191327500949</v>
      </c>
      <c r="O33" s="760">
        <f t="shared" si="3"/>
        <v>0.82692466716282143</v>
      </c>
      <c r="P33" s="727"/>
      <c r="Q33" s="727"/>
      <c r="R33" s="727"/>
      <c r="S33" s="727"/>
      <c r="T33" s="727"/>
      <c r="U33" s="727"/>
      <c r="V33" s="727"/>
      <c r="W33" s="727"/>
      <c r="X33" s="727"/>
      <c r="Y33" s="731" t="s">
        <v>1426</v>
      </c>
      <c r="Z33" s="727"/>
      <c r="AA33" s="727"/>
      <c r="AB33" s="727"/>
      <c r="AC33" s="727"/>
      <c r="AD33" s="727"/>
      <c r="AE33" s="727"/>
      <c r="AF33" s="727"/>
      <c r="AG33" s="727"/>
      <c r="AH33" s="727"/>
      <c r="AI33" s="727"/>
      <c r="AJ33" s="727"/>
      <c r="AK33" s="727"/>
      <c r="AL33" s="727"/>
      <c r="AM33" s="727"/>
      <c r="AN33" s="727"/>
      <c r="AO33" s="727"/>
      <c r="AP33" s="727"/>
      <c r="AQ33" s="727"/>
      <c r="AR33" s="727"/>
      <c r="AS33" s="727"/>
      <c r="AT33" s="727"/>
      <c r="AU33" s="727"/>
      <c r="AV33" s="727"/>
      <c r="AW33" s="727"/>
      <c r="AX33" s="727"/>
      <c r="AY33" s="727"/>
      <c r="AZ33" s="727"/>
      <c r="BA33" s="727"/>
      <c r="BB33" s="727"/>
      <c r="BC33" s="727"/>
      <c r="BD33" s="727"/>
      <c r="BE33" s="727"/>
      <c r="BF33" s="727"/>
      <c r="BG33" s="727"/>
      <c r="BH33" s="727"/>
      <c r="BI33" s="727"/>
      <c r="BJ33" s="727"/>
      <c r="BK33" s="727"/>
      <c r="BL33" s="727"/>
      <c r="BM33" s="727"/>
    </row>
    <row r="34" spans="1:65">
      <c r="A34" s="326"/>
      <c r="B34" s="746">
        <v>120</v>
      </c>
      <c r="C34" s="750">
        <v>0.19867000000000001</v>
      </c>
      <c r="D34" s="747">
        <v>1.0602999999999999E-3</v>
      </c>
      <c r="E34" s="750">
        <v>0.89120999999999995</v>
      </c>
      <c r="F34" s="749">
        <v>503.6</v>
      </c>
      <c r="G34" s="749">
        <v>2528.9</v>
      </c>
      <c r="H34" s="748">
        <v>503.81</v>
      </c>
      <c r="I34" s="749">
        <f t="shared" si="0"/>
        <v>2202.09</v>
      </c>
      <c r="J34" s="749">
        <v>2705.9</v>
      </c>
      <c r="K34" s="746">
        <v>1.5279</v>
      </c>
      <c r="L34" s="750">
        <f t="shared" si="1"/>
        <v>5.6012000000000004</v>
      </c>
      <c r="M34" s="746">
        <v>7.1291000000000002</v>
      </c>
      <c r="N34" s="738">
        <f t="shared" si="2"/>
        <v>943.12930302744519</v>
      </c>
      <c r="O34" s="738">
        <f t="shared" si="3"/>
        <v>1.1220699947262711</v>
      </c>
      <c r="P34" s="727"/>
      <c r="Q34" s="727"/>
      <c r="R34" s="727"/>
      <c r="S34" s="727"/>
      <c r="T34" s="727"/>
      <c r="U34" s="727"/>
      <c r="V34" s="727"/>
      <c r="W34" s="727"/>
      <c r="X34" s="727"/>
      <c r="Y34" s="727"/>
      <c r="Z34" s="727"/>
      <c r="AA34" s="727"/>
      <c r="AB34" s="727"/>
      <c r="AC34" s="727"/>
      <c r="AD34" s="727"/>
      <c r="AE34" s="727"/>
      <c r="AF34" s="727"/>
      <c r="AG34" s="727"/>
      <c r="AH34" s="727"/>
      <c r="AI34" s="727"/>
      <c r="AJ34" s="727"/>
      <c r="AK34" s="727"/>
      <c r="AL34" s="727"/>
      <c r="AM34" s="727"/>
      <c r="AN34" s="727"/>
      <c r="AO34" s="727"/>
      <c r="AP34" s="727"/>
      <c r="AQ34" s="727"/>
      <c r="AR34" s="727"/>
      <c r="AS34" s="727"/>
      <c r="AT34" s="727"/>
      <c r="AU34" s="727"/>
      <c r="AV34" s="727"/>
      <c r="AW34" s="727"/>
      <c r="AX34" s="727"/>
      <c r="AY34" s="727"/>
      <c r="AZ34" s="727"/>
      <c r="BA34" s="727"/>
      <c r="BB34" s="727"/>
      <c r="BC34" s="727"/>
      <c r="BD34" s="727"/>
      <c r="BE34" s="727"/>
      <c r="BF34" s="768" t="s">
        <v>901</v>
      </c>
      <c r="BH34" s="727"/>
      <c r="BI34" s="727"/>
      <c r="BJ34" s="727"/>
      <c r="BK34" s="727"/>
      <c r="BL34" s="727"/>
      <c r="BM34" s="727"/>
    </row>
    <row r="35" spans="1:65">
      <c r="A35" s="326"/>
      <c r="B35" s="752">
        <v>130</v>
      </c>
      <c r="C35" s="756">
        <v>0.27028000000000002</v>
      </c>
      <c r="D35" s="753">
        <v>1.0697E-3</v>
      </c>
      <c r="E35" s="756">
        <v>0.66800000000000004</v>
      </c>
      <c r="F35" s="755">
        <v>546.09</v>
      </c>
      <c r="G35" s="755">
        <v>2539.5</v>
      </c>
      <c r="H35" s="754">
        <v>546.38</v>
      </c>
      <c r="I35" s="755">
        <f t="shared" si="0"/>
        <v>2173.7199999999998</v>
      </c>
      <c r="J35" s="755">
        <v>2720.1</v>
      </c>
      <c r="K35" s="752">
        <v>1.6346000000000001</v>
      </c>
      <c r="L35" s="756">
        <f t="shared" si="1"/>
        <v>5.3917999999999999</v>
      </c>
      <c r="M35" s="752">
        <v>7.0263999999999998</v>
      </c>
      <c r="N35" s="760">
        <f t="shared" si="2"/>
        <v>934.8415443582312</v>
      </c>
      <c r="O35" s="760">
        <f t="shared" si="3"/>
        <v>1.4970059880239519</v>
      </c>
      <c r="P35" s="727"/>
      <c r="Q35" s="751" t="s">
        <v>1408</v>
      </c>
      <c r="S35" s="727"/>
      <c r="T35" s="727"/>
      <c r="U35" s="727"/>
      <c r="V35" s="727"/>
      <c r="W35" s="727"/>
      <c r="X35" s="727"/>
      <c r="Y35" s="751" t="s">
        <v>1427</v>
      </c>
      <c r="AA35" s="727"/>
      <c r="AB35" s="727"/>
      <c r="AC35" s="727"/>
      <c r="AD35" s="727"/>
      <c r="AE35" s="727"/>
      <c r="AF35" s="727"/>
      <c r="AG35" s="727"/>
      <c r="AH35" s="727"/>
      <c r="AI35" s="727"/>
      <c r="AJ35" s="727"/>
      <c r="AK35" s="727"/>
      <c r="AL35" s="727"/>
      <c r="AM35" s="727"/>
      <c r="AN35" s="727"/>
      <c r="AO35" s="727"/>
      <c r="AP35" s="727"/>
      <c r="AQ35" s="727"/>
      <c r="AR35" s="727"/>
      <c r="AS35" s="727"/>
      <c r="AT35" s="727"/>
      <c r="AU35" s="727"/>
      <c r="AV35" s="727"/>
      <c r="AW35" s="727"/>
      <c r="AX35" s="727"/>
      <c r="AY35" s="727"/>
      <c r="AZ35" s="727"/>
      <c r="BA35" s="727"/>
      <c r="BB35" s="727"/>
      <c r="BC35" s="727"/>
      <c r="BD35" s="727"/>
      <c r="BE35" s="727"/>
      <c r="BF35" s="757" t="s">
        <v>900</v>
      </c>
      <c r="BG35" s="769">
        <f>$I$4</f>
        <v>295</v>
      </c>
      <c r="BH35" s="770"/>
      <c r="BI35" s="727"/>
      <c r="BJ35" s="727"/>
      <c r="BK35" s="727"/>
      <c r="BL35" s="727"/>
      <c r="BM35" s="727"/>
    </row>
    <row r="36" spans="1:65">
      <c r="A36" s="326"/>
      <c r="B36" s="746">
        <v>140</v>
      </c>
      <c r="C36" s="750">
        <v>0.36153999999999997</v>
      </c>
      <c r="D36" s="747">
        <v>1.0797999999999999E-3</v>
      </c>
      <c r="E36" s="750">
        <v>0.50844999999999996</v>
      </c>
      <c r="F36" s="749">
        <v>588.77</v>
      </c>
      <c r="G36" s="749">
        <v>2549.6</v>
      </c>
      <c r="H36" s="748">
        <v>589.16</v>
      </c>
      <c r="I36" s="749">
        <f t="shared" si="0"/>
        <v>2144.2400000000002</v>
      </c>
      <c r="J36" s="749">
        <v>2733.4</v>
      </c>
      <c r="K36" s="746">
        <v>1.7392000000000001</v>
      </c>
      <c r="L36" s="750">
        <f t="shared" si="1"/>
        <v>5.1900999999999993</v>
      </c>
      <c r="M36" s="746">
        <v>6.9292999999999996</v>
      </c>
      <c r="N36" s="738">
        <f t="shared" si="2"/>
        <v>926.0974254491573</v>
      </c>
      <c r="O36" s="738">
        <f t="shared" si="3"/>
        <v>1.9667617268167963</v>
      </c>
      <c r="P36" s="727"/>
      <c r="Q36" s="727"/>
      <c r="R36" s="727"/>
      <c r="S36" s="727"/>
      <c r="T36" s="757" t="s">
        <v>903</v>
      </c>
      <c r="U36" s="731" t="s">
        <v>898</v>
      </c>
      <c r="V36" s="727"/>
      <c r="W36" s="727"/>
      <c r="X36" s="727"/>
      <c r="Y36" s="727"/>
      <c r="Z36" s="727"/>
      <c r="AA36" s="727"/>
      <c r="AB36" s="757" t="s">
        <v>903</v>
      </c>
      <c r="AC36" s="731" t="s">
        <v>1428</v>
      </c>
      <c r="AD36" s="727"/>
      <c r="AE36" s="727"/>
      <c r="AF36" s="727"/>
      <c r="AG36" s="727"/>
      <c r="AH36" s="727"/>
      <c r="AI36" s="727"/>
      <c r="AJ36" s="727"/>
      <c r="AK36" s="727"/>
      <c r="AL36" s="727"/>
      <c r="AM36" s="727"/>
      <c r="AN36" s="727"/>
      <c r="AO36" s="727"/>
      <c r="AP36" s="727"/>
      <c r="AQ36" s="727"/>
      <c r="AR36" s="727"/>
      <c r="AS36" s="727"/>
      <c r="AT36" s="727"/>
      <c r="AU36" s="727"/>
      <c r="AV36" s="727"/>
      <c r="AW36" s="727"/>
      <c r="AX36" s="727"/>
      <c r="AY36" s="727"/>
      <c r="AZ36" s="727"/>
      <c r="BA36" s="727"/>
      <c r="BB36" s="727"/>
      <c r="BC36" s="727"/>
      <c r="BD36" s="727"/>
      <c r="BE36" s="727"/>
      <c r="BF36" s="757" t="s">
        <v>899</v>
      </c>
      <c r="BG36" s="771">
        <f>0.000000000010666*BG35^6-0.000000010521*BG35^5+0.0000038951*BG35^4-0.00066065*BG35^3+0.051134*BG35^2+2.6699*BG35+9.3767</f>
        <v>1309.7161172360304</v>
      </c>
      <c r="BH36" s="763" t="s">
        <v>79</v>
      </c>
      <c r="BI36" s="727"/>
      <c r="BJ36" s="727"/>
      <c r="BK36" s="727"/>
      <c r="BL36" s="772" t="str">
        <f>IF(OR(BG36&gt;1.1*BG37,BG36&lt;0.9*BG37),"error &gt; 10%", "OK, error within 10%")</f>
        <v>OK, error within 10%</v>
      </c>
      <c r="BM36" s="772"/>
    </row>
    <row r="37" spans="1:65">
      <c r="A37" s="326"/>
      <c r="B37" s="752">
        <v>150</v>
      </c>
      <c r="C37" s="756">
        <v>0.47616000000000003</v>
      </c>
      <c r="D37" s="753">
        <v>1.0905000000000001E-3</v>
      </c>
      <c r="E37" s="756">
        <v>0.39245000000000002</v>
      </c>
      <c r="F37" s="755">
        <v>631.66</v>
      </c>
      <c r="G37" s="755">
        <v>2559.1</v>
      </c>
      <c r="H37" s="754">
        <v>632.17999999999995</v>
      </c>
      <c r="I37" s="755">
        <f t="shared" si="0"/>
        <v>2113.7200000000003</v>
      </c>
      <c r="J37" s="755">
        <v>2745.9</v>
      </c>
      <c r="K37" s="752">
        <v>1.8418000000000001</v>
      </c>
      <c r="L37" s="756">
        <f t="shared" si="1"/>
        <v>4.9953000000000003</v>
      </c>
      <c r="M37" s="752">
        <v>6.8371000000000004</v>
      </c>
      <c r="N37" s="760">
        <f t="shared" si="2"/>
        <v>917.01054562127456</v>
      </c>
      <c r="O37" s="760">
        <f t="shared" si="3"/>
        <v>2.5480952987641738</v>
      </c>
      <c r="P37" s="727"/>
      <c r="Q37" s="727"/>
      <c r="R37" s="727"/>
      <c r="S37" s="758" t="s">
        <v>952</v>
      </c>
      <c r="T37" s="759">
        <f>INDEX($C$12:$C$60,MATCH(T38,$C$12:$C$60,1))</f>
        <v>0.47616000000000003</v>
      </c>
      <c r="U37" s="887">
        <f>VLOOKUP(T37,$C$12:$J$60,6,FALSE)</f>
        <v>632.17999999999995</v>
      </c>
      <c r="V37" s="727"/>
      <c r="W37" s="727"/>
      <c r="X37" s="727"/>
      <c r="Y37" s="727"/>
      <c r="Z37" s="727"/>
      <c r="AA37" s="758" t="s">
        <v>952</v>
      </c>
      <c r="AB37" s="759">
        <f>INDEX($C$12:$C$60,MATCH(AB38,$C$12:$C$60,1))</f>
        <v>0.47616000000000003</v>
      </c>
      <c r="AC37" s="799">
        <f>INDEX(B12:B60,MATCH(AB37,C12:C60,0))</f>
        <v>150</v>
      </c>
      <c r="AD37" s="727"/>
      <c r="AE37" s="727"/>
      <c r="AF37" s="727"/>
      <c r="AG37" s="727"/>
      <c r="AH37" s="727"/>
      <c r="AI37" s="727"/>
      <c r="AJ37" s="727"/>
      <c r="AK37" s="727"/>
      <c r="AL37" s="727"/>
      <c r="AM37" s="727"/>
      <c r="AN37" s="727"/>
      <c r="AO37" s="727"/>
      <c r="AP37" s="727"/>
      <c r="AQ37" s="727"/>
      <c r="AR37" s="727"/>
      <c r="AS37" s="727"/>
      <c r="AT37" s="727"/>
      <c r="AU37" s="727"/>
      <c r="AV37" s="727"/>
      <c r="AW37" s="727"/>
      <c r="AX37" s="727"/>
      <c r="AY37" s="727"/>
      <c r="AZ37" s="727"/>
      <c r="BA37" s="727"/>
      <c r="BB37" s="727"/>
      <c r="BC37" s="727"/>
      <c r="BD37" s="727"/>
      <c r="BE37" s="727"/>
      <c r="BF37" s="757" t="s">
        <v>899</v>
      </c>
      <c r="BG37" s="773">
        <f>H51+(BG35-B51)*(H52-H51)/(B52-B51)</f>
        <v>1317.5</v>
      </c>
      <c r="BH37" s="763" t="s">
        <v>869</v>
      </c>
      <c r="BI37" s="727"/>
      <c r="BJ37" s="727"/>
      <c r="BK37" s="727"/>
      <c r="BL37" s="727"/>
      <c r="BM37" s="727"/>
    </row>
    <row r="38" spans="1:65">
      <c r="A38" s="326"/>
      <c r="B38" s="746">
        <v>160</v>
      </c>
      <c r="C38" s="750">
        <v>0.61822999999999995</v>
      </c>
      <c r="D38" s="747">
        <v>1.1019999999999999E-3</v>
      </c>
      <c r="E38" s="750">
        <v>0.30678</v>
      </c>
      <c r="F38" s="749">
        <v>674.79</v>
      </c>
      <c r="G38" s="749">
        <v>2567.8000000000002</v>
      </c>
      <c r="H38" s="748">
        <v>675.47</v>
      </c>
      <c r="I38" s="749">
        <f t="shared" si="0"/>
        <v>2081.9300000000003</v>
      </c>
      <c r="J38" s="749">
        <v>2757.4</v>
      </c>
      <c r="K38" s="746">
        <v>1.9426000000000001</v>
      </c>
      <c r="L38" s="750">
        <f t="shared" si="1"/>
        <v>4.8064999999999998</v>
      </c>
      <c r="M38" s="746">
        <v>6.7491000000000003</v>
      </c>
      <c r="N38" s="738">
        <f t="shared" si="2"/>
        <v>907.44101633393836</v>
      </c>
      <c r="O38" s="738">
        <f t="shared" si="3"/>
        <v>3.2596649064476173</v>
      </c>
      <c r="P38" s="727"/>
      <c r="Q38" s="727"/>
      <c r="R38" s="727"/>
      <c r="S38" s="758" t="s">
        <v>951</v>
      </c>
      <c r="T38" s="762">
        <f>$I$6/1000000</f>
        <v>0.5</v>
      </c>
      <c r="U38" s="798">
        <f>U37+(T38-T37)*(U39-U37)/(T39-T37)</f>
        <v>639.44426127965085</v>
      </c>
      <c r="V38" s="763" t="s">
        <v>869</v>
      </c>
      <c r="W38" s="727"/>
      <c r="X38" s="727"/>
      <c r="Y38" s="727"/>
      <c r="Z38" s="727"/>
      <c r="AA38" s="758" t="s">
        <v>951</v>
      </c>
      <c r="AB38" s="762">
        <f>$I$6/1000000</f>
        <v>0.5</v>
      </c>
      <c r="AC38" s="800">
        <f>AC37+(AB38-AB37)*(AC39-AC37)/(AB39-AB37)</f>
        <v>151.67804603364539</v>
      </c>
      <c r="AD38" s="763" t="s">
        <v>869</v>
      </c>
      <c r="AE38" s="727"/>
      <c r="AF38" s="727"/>
      <c r="AG38" s="727"/>
      <c r="AH38" s="727"/>
      <c r="AI38" s="727"/>
      <c r="AJ38" s="727"/>
      <c r="AK38" s="727"/>
      <c r="AL38" s="727"/>
      <c r="AM38" s="727"/>
      <c r="AN38" s="727"/>
      <c r="AO38" s="727"/>
      <c r="AP38" s="727"/>
      <c r="AQ38" s="727"/>
      <c r="AR38" s="727"/>
      <c r="AS38" s="727"/>
      <c r="AT38" s="727"/>
      <c r="AU38" s="727"/>
      <c r="AV38" s="727"/>
      <c r="AW38" s="727"/>
      <c r="AX38" s="727"/>
      <c r="AY38" s="727"/>
      <c r="AZ38" s="727"/>
      <c r="BA38" s="727"/>
      <c r="BB38" s="727"/>
      <c r="BC38" s="727"/>
      <c r="BD38" s="727"/>
      <c r="BE38" s="727"/>
      <c r="BF38" s="727"/>
      <c r="BG38" s="727"/>
      <c r="BH38" s="727"/>
      <c r="BI38" s="727"/>
      <c r="BJ38" s="727"/>
      <c r="BK38" s="727"/>
      <c r="BL38" s="727"/>
      <c r="BM38" s="727"/>
    </row>
    <row r="39" spans="1:65">
      <c r="A39" s="326"/>
      <c r="B39" s="752">
        <v>170</v>
      </c>
      <c r="C39" s="756">
        <v>0.79218999999999995</v>
      </c>
      <c r="D39" s="753">
        <v>1.1142999999999999E-3</v>
      </c>
      <c r="E39" s="756">
        <v>0.24259</v>
      </c>
      <c r="F39" s="755">
        <v>718.2</v>
      </c>
      <c r="G39" s="755">
        <v>2575.6999999999998</v>
      </c>
      <c r="H39" s="754">
        <v>719.08</v>
      </c>
      <c r="I39" s="755">
        <f t="shared" si="0"/>
        <v>2048.8200000000002</v>
      </c>
      <c r="J39" s="755">
        <v>2767.9</v>
      </c>
      <c r="K39" s="752">
        <v>2.0417000000000001</v>
      </c>
      <c r="L39" s="756">
        <f t="shared" si="1"/>
        <v>4.6233000000000004</v>
      </c>
      <c r="M39" s="756">
        <v>6.665</v>
      </c>
      <c r="N39" s="760">
        <f t="shared" si="2"/>
        <v>897.42439199497448</v>
      </c>
      <c r="O39" s="760">
        <f t="shared" si="3"/>
        <v>4.1221814584278</v>
      </c>
      <c r="P39" s="727"/>
      <c r="Q39" s="727"/>
      <c r="R39" s="727"/>
      <c r="S39" s="758" t="s">
        <v>952</v>
      </c>
      <c r="T39" s="759">
        <f>INDEX($C$12:$C$60,MATCH(T38,$C$12:$C$60,1)+1)</f>
        <v>0.61822999999999995</v>
      </c>
      <c r="U39" s="887">
        <f>VLOOKUP(T39,$C$12:$J$60,6,FALSE)</f>
        <v>675.47</v>
      </c>
      <c r="V39" s="727"/>
      <c r="W39" s="727"/>
      <c r="X39" s="727"/>
      <c r="Y39" s="727"/>
      <c r="Z39" s="727"/>
      <c r="AA39" s="758" t="s">
        <v>952</v>
      </c>
      <c r="AB39" s="759">
        <f>INDEX($C$12:$C$60,MATCH(AB38,$C$12:$C$60,1)+1)</f>
        <v>0.61822999999999995</v>
      </c>
      <c r="AC39" s="799">
        <f>INDEX(B14:B62,MATCH(AB39,C14:C62,0))</f>
        <v>160</v>
      </c>
      <c r="AD39" s="727"/>
      <c r="AE39" s="727"/>
      <c r="AF39" s="727"/>
      <c r="AG39" s="727"/>
      <c r="AH39" s="727"/>
      <c r="AI39" s="727"/>
      <c r="AJ39" s="727"/>
      <c r="AK39" s="727"/>
      <c r="AL39" s="727"/>
      <c r="AM39" s="727"/>
      <c r="AN39" s="727"/>
      <c r="AO39" s="727"/>
      <c r="AP39" s="727"/>
      <c r="AQ39" s="727"/>
      <c r="AR39" s="727"/>
      <c r="AS39" s="727"/>
      <c r="AT39" s="727"/>
      <c r="AU39" s="727"/>
      <c r="AV39" s="727"/>
      <c r="AW39" s="727"/>
      <c r="AX39" s="727"/>
      <c r="AY39" s="727"/>
      <c r="AZ39" s="727"/>
      <c r="BA39" s="727"/>
      <c r="BB39" s="727"/>
      <c r="BC39" s="727"/>
      <c r="BD39" s="727"/>
      <c r="BE39" s="727"/>
      <c r="BF39" s="727"/>
      <c r="BG39" s="727"/>
      <c r="BH39" s="727"/>
      <c r="BI39" s="727"/>
      <c r="BJ39" s="727"/>
      <c r="BK39" s="727"/>
      <c r="BL39" s="727"/>
      <c r="BM39" s="727"/>
    </row>
    <row r="40" spans="1:65">
      <c r="A40" s="326"/>
      <c r="B40" s="746">
        <v>180</v>
      </c>
      <c r="C40" s="750">
        <v>1.0027999999999999</v>
      </c>
      <c r="D40" s="747">
        <v>1.1274E-3</v>
      </c>
      <c r="E40" s="750">
        <v>0.19384000000000001</v>
      </c>
      <c r="F40" s="749">
        <v>761.92</v>
      </c>
      <c r="G40" s="749">
        <v>2582.8000000000002</v>
      </c>
      <c r="H40" s="748">
        <v>763.05</v>
      </c>
      <c r="I40" s="749">
        <f t="shared" si="0"/>
        <v>2014.1499999999999</v>
      </c>
      <c r="J40" s="749">
        <v>2777.2</v>
      </c>
      <c r="K40" s="746">
        <v>2.1392000000000002</v>
      </c>
      <c r="L40" s="750">
        <f t="shared" si="1"/>
        <v>4.444799999999999</v>
      </c>
      <c r="M40" s="750">
        <v>6.5839999999999996</v>
      </c>
      <c r="N40" s="738">
        <f t="shared" si="2"/>
        <v>886.99662941280826</v>
      </c>
      <c r="O40" s="738">
        <f t="shared" si="3"/>
        <v>5.1588939331407344</v>
      </c>
      <c r="P40" s="727"/>
      <c r="Q40" s="727"/>
      <c r="R40" s="727"/>
      <c r="S40" s="727"/>
      <c r="T40" s="727"/>
      <c r="U40" s="727"/>
      <c r="V40" s="727"/>
      <c r="W40" s="727"/>
      <c r="X40" s="727"/>
      <c r="Y40" s="727"/>
      <c r="Z40" s="727"/>
      <c r="AA40" s="727"/>
      <c r="AB40" s="727"/>
      <c r="AC40" s="727"/>
      <c r="AD40" s="727"/>
      <c r="AE40" s="727"/>
      <c r="AF40" s="727"/>
      <c r="AG40" s="727"/>
      <c r="AH40" s="727"/>
      <c r="AI40" s="727"/>
      <c r="AJ40" s="727"/>
      <c r="AK40" s="727"/>
      <c r="AL40" s="727"/>
      <c r="AM40" s="727"/>
      <c r="AN40" s="727"/>
      <c r="AO40" s="727"/>
      <c r="AP40" s="727"/>
      <c r="AQ40" s="727"/>
      <c r="AR40" s="727"/>
      <c r="AS40" s="727"/>
      <c r="AT40" s="727"/>
      <c r="AU40" s="727"/>
      <c r="AV40" s="727"/>
      <c r="AW40" s="727"/>
      <c r="AX40" s="727"/>
      <c r="AY40" s="727"/>
      <c r="AZ40" s="727"/>
      <c r="BA40" s="727"/>
      <c r="BB40" s="727"/>
      <c r="BC40" s="727"/>
      <c r="BD40" s="727"/>
      <c r="BE40" s="727"/>
      <c r="BF40" s="727"/>
      <c r="BG40" s="727"/>
      <c r="BH40" s="727"/>
      <c r="BI40" s="727"/>
      <c r="BJ40" s="727"/>
      <c r="BK40" s="727"/>
      <c r="BL40" s="727"/>
      <c r="BM40" s="727"/>
    </row>
    <row r="41" spans="1:65">
      <c r="A41" s="326"/>
      <c r="B41" s="752">
        <v>190</v>
      </c>
      <c r="C41" s="756">
        <v>1.2552000000000001</v>
      </c>
      <c r="D41" s="753">
        <v>1.1414999999999999E-3</v>
      </c>
      <c r="E41" s="756">
        <v>0.15636</v>
      </c>
      <c r="F41" s="755">
        <v>806</v>
      </c>
      <c r="G41" s="755">
        <v>2589</v>
      </c>
      <c r="H41" s="754">
        <v>807.43</v>
      </c>
      <c r="I41" s="755">
        <f t="shared" si="0"/>
        <v>1977.8700000000003</v>
      </c>
      <c r="J41" s="755">
        <v>2785.3</v>
      </c>
      <c r="K41" s="752">
        <v>2.2355</v>
      </c>
      <c r="L41" s="756">
        <f t="shared" si="1"/>
        <v>4.2703999999999995</v>
      </c>
      <c r="M41" s="752">
        <v>6.5058999999999996</v>
      </c>
      <c r="N41" s="760">
        <f t="shared" si="2"/>
        <v>876.0402978537013</v>
      </c>
      <c r="O41" s="760">
        <f t="shared" si="3"/>
        <v>6.3954975697109235</v>
      </c>
      <c r="P41" s="727"/>
      <c r="Q41" s="727"/>
      <c r="R41" s="727"/>
      <c r="S41" s="727"/>
      <c r="T41" s="727"/>
      <c r="U41" s="727"/>
      <c r="V41" s="727"/>
      <c r="W41" s="727"/>
      <c r="X41" s="727"/>
      <c r="Y41" s="727"/>
      <c r="Z41" s="727"/>
      <c r="AA41" s="727"/>
      <c r="AB41" s="727"/>
      <c r="AC41" s="727"/>
      <c r="AD41" s="727"/>
      <c r="AE41" s="727"/>
      <c r="AF41" s="727"/>
      <c r="AG41" s="727"/>
      <c r="AH41" s="727"/>
      <c r="AI41" s="727"/>
      <c r="AJ41" s="727"/>
      <c r="AK41" s="727"/>
      <c r="AL41" s="727"/>
      <c r="AM41" s="727"/>
      <c r="AN41" s="727"/>
      <c r="AO41" s="727"/>
      <c r="AP41" s="727"/>
      <c r="AQ41" s="727"/>
      <c r="AR41" s="727"/>
      <c r="AS41" s="727"/>
      <c r="AT41" s="727"/>
      <c r="AU41" s="727"/>
      <c r="AV41" s="727"/>
      <c r="AW41" s="727"/>
      <c r="AX41" s="727"/>
      <c r="AY41" s="727"/>
      <c r="AZ41" s="727"/>
      <c r="BA41" s="727"/>
      <c r="BB41" s="727"/>
      <c r="BC41" s="727"/>
      <c r="BD41" s="727"/>
      <c r="BE41" s="727"/>
      <c r="BF41" s="727"/>
      <c r="BG41" s="727"/>
      <c r="BH41" s="727"/>
      <c r="BI41" s="727"/>
      <c r="BJ41" s="727"/>
      <c r="BK41" s="727"/>
      <c r="BL41" s="727"/>
      <c r="BM41" s="727"/>
    </row>
    <row r="42" spans="1:65">
      <c r="A42" s="326"/>
      <c r="B42" s="746">
        <v>200</v>
      </c>
      <c r="C42" s="750">
        <v>1.5548999999999999</v>
      </c>
      <c r="D42" s="747">
        <v>1.1565E-3</v>
      </c>
      <c r="E42" s="750">
        <v>0.12720999999999999</v>
      </c>
      <c r="F42" s="749">
        <v>850.47</v>
      </c>
      <c r="G42" s="749">
        <v>2594.1999999999998</v>
      </c>
      <c r="H42" s="748">
        <v>852.27</v>
      </c>
      <c r="I42" s="749">
        <f t="shared" si="0"/>
        <v>1939.73</v>
      </c>
      <c r="J42" s="749">
        <v>2792</v>
      </c>
      <c r="K42" s="746">
        <v>2.3304999999999998</v>
      </c>
      <c r="L42" s="750">
        <f t="shared" si="1"/>
        <v>4.0997000000000003</v>
      </c>
      <c r="M42" s="746">
        <v>6.4302000000000001</v>
      </c>
      <c r="N42" s="738">
        <f t="shared" si="2"/>
        <v>864.6779074794639</v>
      </c>
      <c r="O42" s="738">
        <f t="shared" si="3"/>
        <v>7.8610172156277027</v>
      </c>
      <c r="P42" s="727"/>
      <c r="Q42" s="751" t="s">
        <v>1409</v>
      </c>
      <c r="R42" s="727"/>
      <c r="S42" s="727"/>
      <c r="T42" s="727"/>
      <c r="U42" s="727"/>
      <c r="V42" s="727"/>
      <c r="W42" s="727"/>
      <c r="X42" s="727"/>
      <c r="Y42" s="727"/>
      <c r="Z42" s="727"/>
      <c r="AA42" s="727"/>
      <c r="AB42" s="727"/>
      <c r="AC42" s="727"/>
      <c r="AD42" s="727"/>
      <c r="AE42" s="727"/>
      <c r="AF42" s="727"/>
      <c r="AG42" s="727"/>
      <c r="AH42" s="727"/>
      <c r="AI42" s="727"/>
      <c r="AJ42" s="727"/>
      <c r="AK42" s="727"/>
      <c r="AL42" s="727"/>
      <c r="AM42" s="727"/>
      <c r="AN42" s="727"/>
      <c r="AO42" s="727"/>
      <c r="AP42" s="727"/>
      <c r="AQ42" s="727"/>
      <c r="AR42" s="727"/>
      <c r="AS42" s="727"/>
      <c r="AT42" s="727"/>
      <c r="AU42" s="727"/>
      <c r="AV42" s="727"/>
      <c r="AW42" s="727"/>
      <c r="AX42" s="727"/>
      <c r="AY42" s="727"/>
      <c r="AZ42" s="727"/>
      <c r="BA42" s="727"/>
      <c r="BB42" s="727"/>
      <c r="BC42" s="727"/>
      <c r="BD42" s="727"/>
      <c r="BE42" s="727"/>
      <c r="BF42" s="727"/>
      <c r="BG42" s="727"/>
      <c r="BH42" s="727"/>
      <c r="BI42" s="727"/>
      <c r="BJ42" s="727"/>
      <c r="BK42" s="727"/>
      <c r="BL42" s="727"/>
      <c r="BM42" s="727"/>
    </row>
    <row r="43" spans="1:65">
      <c r="A43" s="326"/>
      <c r="B43" s="752">
        <v>210</v>
      </c>
      <c r="C43" s="756">
        <v>1.9077</v>
      </c>
      <c r="D43" s="753">
        <v>1.1727E-3</v>
      </c>
      <c r="E43" s="756">
        <v>0.10428999999999999</v>
      </c>
      <c r="F43" s="755">
        <v>895.39</v>
      </c>
      <c r="G43" s="755">
        <v>2598.3000000000002</v>
      </c>
      <c r="H43" s="754">
        <v>897.63</v>
      </c>
      <c r="I43" s="755">
        <f t="shared" si="0"/>
        <v>1899.67</v>
      </c>
      <c r="J43" s="755">
        <v>2797.3</v>
      </c>
      <c r="K43" s="752">
        <v>2.4245000000000001</v>
      </c>
      <c r="L43" s="756">
        <f t="shared" si="1"/>
        <v>3.9318</v>
      </c>
      <c r="M43" s="752">
        <v>6.3563000000000001</v>
      </c>
      <c r="N43" s="760">
        <f t="shared" si="2"/>
        <v>852.73300929478978</v>
      </c>
      <c r="O43" s="760">
        <f t="shared" si="3"/>
        <v>9.5886470419023873</v>
      </c>
      <c r="P43" s="727"/>
      <c r="Q43" s="727"/>
      <c r="R43" s="727"/>
      <c r="S43" s="727"/>
      <c r="T43" s="757" t="s">
        <v>903</v>
      </c>
      <c r="U43" s="731" t="s">
        <v>898</v>
      </c>
      <c r="V43" s="727"/>
      <c r="W43" s="727"/>
      <c r="X43" s="727"/>
      <c r="Y43" s="727"/>
      <c r="Z43" s="727"/>
      <c r="AA43" s="727"/>
      <c r="AB43" s="727"/>
      <c r="AC43" s="727"/>
      <c r="AD43" s="727"/>
      <c r="AE43" s="727"/>
      <c r="AF43" s="727"/>
      <c r="AG43" s="727"/>
      <c r="AH43" s="727"/>
      <c r="AI43" s="727"/>
      <c r="AJ43" s="727"/>
      <c r="AK43" s="727"/>
      <c r="AL43" s="727"/>
      <c r="AM43" s="727"/>
      <c r="AN43" s="727"/>
      <c r="AO43" s="727"/>
      <c r="AP43" s="727"/>
      <c r="AQ43" s="727"/>
      <c r="AR43" s="727"/>
      <c r="AS43" s="727"/>
      <c r="AT43" s="727"/>
      <c r="AU43" s="727"/>
      <c r="AV43" s="727"/>
      <c r="AW43" s="727"/>
      <c r="AX43" s="727"/>
      <c r="AY43" s="727"/>
      <c r="AZ43" s="727"/>
      <c r="BA43" s="727"/>
      <c r="BB43" s="727"/>
      <c r="BC43" s="727"/>
      <c r="BD43" s="727"/>
      <c r="BE43" s="727"/>
      <c r="BF43" s="727"/>
      <c r="BG43" s="727"/>
      <c r="BH43" s="727"/>
      <c r="BI43" s="727"/>
      <c r="BJ43" s="727"/>
      <c r="BK43" s="727"/>
      <c r="BL43" s="727"/>
      <c r="BM43" s="727"/>
    </row>
    <row r="44" spans="1:65">
      <c r="A44" s="326"/>
      <c r="B44" s="746">
        <v>220</v>
      </c>
      <c r="C44" s="750">
        <v>2.3195999999999999</v>
      </c>
      <c r="D44" s="747">
        <v>1.1902E-3</v>
      </c>
      <c r="E44" s="764">
        <v>8.6092000000000002E-2</v>
      </c>
      <c r="F44" s="749">
        <v>940.82</v>
      </c>
      <c r="G44" s="749">
        <v>2601.1999999999998</v>
      </c>
      <c r="H44" s="748">
        <v>943.58</v>
      </c>
      <c r="I44" s="749">
        <f t="shared" si="0"/>
        <v>1857.3200000000002</v>
      </c>
      <c r="J44" s="749">
        <v>2800.9</v>
      </c>
      <c r="K44" s="746">
        <v>2.5177</v>
      </c>
      <c r="L44" s="750">
        <f t="shared" si="1"/>
        <v>3.7662999999999998</v>
      </c>
      <c r="M44" s="750">
        <v>6.2839999999999998</v>
      </c>
      <c r="N44" s="738">
        <f t="shared" si="2"/>
        <v>840.1949252226517</v>
      </c>
      <c r="O44" s="738">
        <f t="shared" si="3"/>
        <v>11.615481113227709</v>
      </c>
      <c r="P44" s="727"/>
      <c r="Q44" s="727"/>
      <c r="R44" s="727"/>
      <c r="S44" s="758" t="s">
        <v>952</v>
      </c>
      <c r="T44" s="759">
        <f>INDEX($C$12:$C$60,MATCH(T45,$C$12:$C$60,1))</f>
        <v>0.47616000000000003</v>
      </c>
      <c r="U44" s="887">
        <f>VLOOKUP(T44,$C$12:$J$60,7,FALSE)</f>
        <v>2113.7200000000003</v>
      </c>
      <c r="V44" s="727"/>
      <c r="W44" s="727"/>
      <c r="X44" s="727"/>
      <c r="Y44" s="727"/>
      <c r="Z44" s="727"/>
      <c r="AA44" s="727"/>
      <c r="AB44" s="727"/>
      <c r="AC44" s="727"/>
      <c r="AD44" s="727"/>
      <c r="AE44" s="727"/>
      <c r="AF44" s="727"/>
      <c r="AG44" s="727"/>
      <c r="AH44" s="727"/>
      <c r="AI44" s="727"/>
      <c r="AJ44" s="727"/>
      <c r="AK44" s="727"/>
      <c r="AL44" s="727"/>
      <c r="AM44" s="727"/>
      <c r="AN44" s="727"/>
      <c r="AO44" s="727"/>
      <c r="AP44" s="727"/>
      <c r="AQ44" s="727"/>
      <c r="AR44" s="727"/>
      <c r="AS44" s="727"/>
      <c r="AT44" s="727"/>
      <c r="AU44" s="727"/>
      <c r="AV44" s="727"/>
      <c r="AW44" s="727"/>
      <c r="AX44" s="727"/>
      <c r="AY44" s="727"/>
      <c r="AZ44" s="727"/>
      <c r="BA44" s="727"/>
      <c r="BB44" s="727"/>
      <c r="BC44" s="727"/>
      <c r="BD44" s="727"/>
      <c r="BE44" s="727"/>
      <c r="BF44" s="727"/>
      <c r="BG44" s="727"/>
      <c r="BH44" s="727"/>
      <c r="BI44" s="727"/>
      <c r="BJ44" s="727"/>
      <c r="BK44" s="727"/>
      <c r="BL44" s="727"/>
      <c r="BM44" s="727"/>
    </row>
    <row r="45" spans="1:65">
      <c r="A45" s="326"/>
      <c r="B45" s="752">
        <v>230</v>
      </c>
      <c r="C45" s="756">
        <v>2.7970999999999999</v>
      </c>
      <c r="D45" s="753">
        <v>1.209E-3</v>
      </c>
      <c r="E45" s="765">
        <v>7.1502999999999997E-2</v>
      </c>
      <c r="F45" s="755">
        <v>986.81</v>
      </c>
      <c r="G45" s="755">
        <v>2602.9</v>
      </c>
      <c r="H45" s="754">
        <v>990.19</v>
      </c>
      <c r="I45" s="755">
        <f t="shared" si="0"/>
        <v>1812.71</v>
      </c>
      <c r="J45" s="755">
        <v>2802.9</v>
      </c>
      <c r="K45" s="752">
        <v>2.6101000000000001</v>
      </c>
      <c r="L45" s="756">
        <f t="shared" si="1"/>
        <v>3.6026999999999996</v>
      </c>
      <c r="M45" s="752">
        <v>6.2127999999999997</v>
      </c>
      <c r="N45" s="760">
        <f t="shared" si="2"/>
        <v>827.12985938792394</v>
      </c>
      <c r="O45" s="760">
        <f t="shared" si="3"/>
        <v>13.985427184873362</v>
      </c>
      <c r="P45" s="727"/>
      <c r="Q45" s="727"/>
      <c r="S45" s="758" t="s">
        <v>951</v>
      </c>
      <c r="T45" s="762">
        <f>$I$6/1000000</f>
        <v>0.5</v>
      </c>
      <c r="U45" s="798">
        <f>U44+(T45-T44)*(U46-U44)/(T46-T44)</f>
        <v>2108.3854916590417</v>
      </c>
      <c r="V45" s="763" t="s">
        <v>869</v>
      </c>
      <c r="W45" s="727"/>
      <c r="X45" s="727"/>
      <c r="Y45" s="727"/>
      <c r="Z45" s="727"/>
      <c r="AA45" s="727"/>
      <c r="AB45" s="727"/>
      <c r="AC45" s="727"/>
      <c r="AD45" s="727"/>
      <c r="AE45" s="727"/>
      <c r="AF45" s="727"/>
      <c r="AG45" s="727"/>
      <c r="AH45" s="727"/>
      <c r="AI45" s="727"/>
      <c r="AJ45" s="727"/>
      <c r="AK45" s="727"/>
      <c r="AL45" s="727"/>
      <c r="AM45" s="727"/>
      <c r="AN45" s="727"/>
      <c r="AO45" s="727"/>
      <c r="AP45" s="727"/>
      <c r="AQ45" s="727"/>
      <c r="AR45" s="727"/>
      <c r="AS45" s="727"/>
      <c r="AT45" s="727"/>
      <c r="AU45" s="727"/>
      <c r="AV45" s="727"/>
      <c r="AW45" s="727"/>
      <c r="AX45" s="727"/>
      <c r="AY45" s="727"/>
      <c r="AZ45" s="727"/>
      <c r="BA45" s="727"/>
      <c r="BB45" s="727"/>
      <c r="BC45" s="727"/>
      <c r="BD45" s="727"/>
      <c r="BE45" s="727"/>
      <c r="BF45" s="727"/>
      <c r="BG45" s="727"/>
      <c r="BH45" s="727"/>
      <c r="BI45" s="727"/>
      <c r="BJ45" s="727"/>
      <c r="BK45" s="727"/>
      <c r="BL45" s="727"/>
      <c r="BM45" s="727"/>
    </row>
    <row r="46" spans="1:65">
      <c r="A46" s="326"/>
      <c r="B46" s="746">
        <v>240</v>
      </c>
      <c r="C46" s="750">
        <v>3.3469000000000002</v>
      </c>
      <c r="D46" s="747">
        <v>1.2294999999999999E-3</v>
      </c>
      <c r="E46" s="764">
        <v>5.9705000000000001E-2</v>
      </c>
      <c r="F46" s="749">
        <v>1033.4000000000001</v>
      </c>
      <c r="G46" s="749">
        <v>2603.1</v>
      </c>
      <c r="H46" s="748">
        <v>1037.5999999999999</v>
      </c>
      <c r="I46" s="749">
        <f t="shared" si="0"/>
        <v>1765.4</v>
      </c>
      <c r="J46" s="749">
        <v>2803</v>
      </c>
      <c r="K46" s="750">
        <v>2.702</v>
      </c>
      <c r="L46" s="750">
        <f t="shared" si="1"/>
        <v>3.4402999999999997</v>
      </c>
      <c r="M46" s="746">
        <v>6.1422999999999996</v>
      </c>
      <c r="N46" s="738">
        <f t="shared" si="2"/>
        <v>813.33875559170406</v>
      </c>
      <c r="O46" s="738">
        <f t="shared" si="3"/>
        <v>16.749015995310277</v>
      </c>
      <c r="P46" s="727"/>
      <c r="Q46" s="727"/>
      <c r="R46" s="727"/>
      <c r="S46" s="758" t="s">
        <v>952</v>
      </c>
      <c r="T46" s="759">
        <f>INDEX($C$12:$C$60,MATCH(T45,$C$12:$C$60,1)+1)</f>
        <v>0.61822999999999995</v>
      </c>
      <c r="U46" s="887">
        <f>VLOOKUP(T46,$C$12:$J$60,7,FALSE)</f>
        <v>2081.9300000000003</v>
      </c>
      <c r="V46" s="727"/>
      <c r="W46" s="727"/>
      <c r="X46" s="727"/>
      <c r="Y46" s="727"/>
      <c r="Z46" s="727"/>
      <c r="AA46" s="727"/>
      <c r="AB46" s="727"/>
      <c r="AC46" s="727"/>
      <c r="AD46" s="727"/>
      <c r="AE46" s="727"/>
      <c r="AF46" s="727"/>
      <c r="AG46" s="727"/>
      <c r="AH46" s="727"/>
      <c r="AI46" s="727"/>
      <c r="AJ46" s="727"/>
      <c r="AK46" s="727"/>
      <c r="AL46" s="727"/>
      <c r="AM46" s="727"/>
      <c r="AN46" s="727"/>
      <c r="AO46" s="727"/>
      <c r="AP46" s="727"/>
      <c r="AQ46" s="727"/>
      <c r="AR46" s="727"/>
      <c r="AS46" s="727"/>
      <c r="AT46" s="727"/>
      <c r="AU46" s="727"/>
      <c r="AV46" s="727"/>
      <c r="AW46" s="727"/>
      <c r="AX46" s="727"/>
      <c r="AY46" s="727"/>
      <c r="AZ46" s="727"/>
      <c r="BA46" s="727"/>
      <c r="BB46" s="727"/>
      <c r="BC46" s="727"/>
      <c r="BD46" s="727"/>
      <c r="BE46" s="727"/>
      <c r="BF46" s="727"/>
      <c r="BG46" s="727"/>
      <c r="BH46" s="727"/>
      <c r="BI46" s="727"/>
      <c r="BJ46" s="727"/>
      <c r="BK46" s="727"/>
      <c r="BL46" s="727"/>
      <c r="BM46" s="727"/>
    </row>
    <row r="47" spans="1:65">
      <c r="A47" s="326"/>
      <c r="B47" s="752">
        <v>250</v>
      </c>
      <c r="C47" s="756">
        <v>3.9762</v>
      </c>
      <c r="D47" s="753">
        <v>1.2516999999999999E-3</v>
      </c>
      <c r="E47" s="765">
        <v>5.0083000000000003E-2</v>
      </c>
      <c r="F47" s="755">
        <v>1080.8</v>
      </c>
      <c r="G47" s="755">
        <v>2601.8000000000002</v>
      </c>
      <c r="H47" s="754">
        <v>1085.8</v>
      </c>
      <c r="I47" s="755">
        <f t="shared" si="0"/>
        <v>1715.1000000000001</v>
      </c>
      <c r="J47" s="755">
        <v>2800.9</v>
      </c>
      <c r="K47" s="752">
        <v>2.7934999999999999</v>
      </c>
      <c r="L47" s="756">
        <f t="shared" si="1"/>
        <v>3.2786</v>
      </c>
      <c r="M47" s="752">
        <v>6.0720999999999998</v>
      </c>
      <c r="N47" s="760">
        <f t="shared" si="2"/>
        <v>798.91347767036837</v>
      </c>
      <c r="O47" s="760">
        <f t="shared" si="3"/>
        <v>19.966855020665694</v>
      </c>
      <c r="P47" s="727"/>
      <c r="Q47" s="727"/>
      <c r="R47" s="727"/>
      <c r="S47" s="727"/>
      <c r="T47" s="727"/>
      <c r="U47" s="727"/>
      <c r="V47" s="727"/>
      <c r="W47" s="727"/>
      <c r="X47" s="727"/>
      <c r="Y47" s="727"/>
      <c r="Z47" s="727"/>
      <c r="AA47" s="727"/>
      <c r="AB47" s="727"/>
      <c r="AC47" s="727"/>
      <c r="AD47" s="727"/>
      <c r="AE47" s="727"/>
      <c r="AF47" s="727"/>
      <c r="AG47" s="727"/>
      <c r="AH47" s="727"/>
      <c r="AI47" s="727"/>
      <c r="AJ47" s="727"/>
      <c r="AK47" s="727"/>
      <c r="AL47" s="727"/>
      <c r="AM47" s="727"/>
      <c r="AN47" s="727"/>
      <c r="AO47" s="727"/>
      <c r="AP47" s="727"/>
      <c r="AQ47" s="727"/>
      <c r="AR47" s="727"/>
      <c r="AS47" s="727"/>
      <c r="AT47" s="727"/>
      <c r="AU47" s="727"/>
      <c r="AV47" s="727"/>
      <c r="AW47" s="727"/>
      <c r="AX47" s="727"/>
      <c r="AY47" s="727"/>
      <c r="AZ47" s="727"/>
      <c r="BA47" s="727"/>
      <c r="BB47" s="727"/>
      <c r="BC47" s="727"/>
      <c r="BD47" s="727"/>
      <c r="BE47" s="727"/>
      <c r="BF47" s="727"/>
      <c r="BG47" s="727"/>
      <c r="BH47" s="727"/>
      <c r="BI47" s="727"/>
      <c r="BJ47" s="727"/>
      <c r="BK47" s="727"/>
      <c r="BL47" s="727"/>
      <c r="BM47" s="727"/>
    </row>
    <row r="48" spans="1:65">
      <c r="A48" s="326"/>
      <c r="B48" s="746">
        <v>260</v>
      </c>
      <c r="C48" s="750">
        <v>4.6923000000000004</v>
      </c>
      <c r="D48" s="747">
        <v>1.2761000000000001E-3</v>
      </c>
      <c r="E48" s="764">
        <v>4.2173000000000002E-2</v>
      </c>
      <c r="F48" s="749">
        <v>1129</v>
      </c>
      <c r="G48" s="749">
        <v>2598.6999999999998</v>
      </c>
      <c r="H48" s="748">
        <v>1135</v>
      </c>
      <c r="I48" s="749">
        <f t="shared" si="0"/>
        <v>1661.6</v>
      </c>
      <c r="J48" s="749">
        <v>2796.6</v>
      </c>
      <c r="K48" s="746">
        <v>2.8849</v>
      </c>
      <c r="L48" s="750">
        <f t="shared" si="1"/>
        <v>3.1166999999999998</v>
      </c>
      <c r="M48" s="746">
        <v>6.0015999999999998</v>
      </c>
      <c r="N48" s="738">
        <f t="shared" si="2"/>
        <v>783.63764595251155</v>
      </c>
      <c r="O48" s="738">
        <f t="shared" si="3"/>
        <v>23.711853555592441</v>
      </c>
      <c r="P48" s="727"/>
      <c r="Q48" s="727"/>
      <c r="R48" s="727"/>
      <c r="S48" s="727"/>
      <c r="T48" s="727"/>
      <c r="U48" s="727"/>
      <c r="V48" s="727"/>
      <c r="W48" s="727"/>
      <c r="X48" s="727"/>
      <c r="Y48" s="727"/>
      <c r="Z48" s="727"/>
      <c r="AA48" s="727"/>
      <c r="AB48" s="727"/>
      <c r="AC48" s="727"/>
      <c r="AD48" s="727"/>
      <c r="AE48" s="727"/>
      <c r="AF48" s="727"/>
      <c r="AG48" s="727"/>
      <c r="AH48" s="727"/>
      <c r="AI48" s="727"/>
      <c r="AJ48" s="727"/>
      <c r="AK48" s="727"/>
      <c r="AL48" s="727"/>
      <c r="AM48" s="727"/>
      <c r="AN48" s="727"/>
      <c r="AO48" s="727"/>
      <c r="AP48" s="727"/>
      <c r="AQ48" s="727"/>
      <c r="AR48" s="727"/>
      <c r="AS48" s="727"/>
      <c r="AT48" s="727"/>
      <c r="AU48" s="727"/>
      <c r="AV48" s="727"/>
      <c r="AW48" s="727"/>
      <c r="AX48" s="727"/>
      <c r="AY48" s="727"/>
      <c r="AZ48" s="727"/>
      <c r="BA48" s="727"/>
      <c r="BB48" s="727"/>
      <c r="BC48" s="727"/>
      <c r="BD48" s="727"/>
      <c r="BE48" s="727"/>
      <c r="BF48" s="727"/>
      <c r="BG48" s="727"/>
      <c r="BH48" s="727"/>
      <c r="BI48" s="727"/>
      <c r="BJ48" s="727"/>
      <c r="BK48" s="727"/>
      <c r="BL48" s="727"/>
      <c r="BM48" s="727"/>
    </row>
    <row r="49" spans="1:65">
      <c r="A49" s="326"/>
      <c r="B49" s="752">
        <v>270</v>
      </c>
      <c r="C49" s="756">
        <v>5.5030000000000001</v>
      </c>
      <c r="D49" s="753">
        <v>1.3029999999999999E-3</v>
      </c>
      <c r="E49" s="765">
        <v>3.5621E-2</v>
      </c>
      <c r="F49" s="755">
        <v>1178.0999999999999</v>
      </c>
      <c r="G49" s="755">
        <v>2593.6999999999998</v>
      </c>
      <c r="H49" s="754">
        <v>1185.3</v>
      </c>
      <c r="I49" s="755">
        <f t="shared" si="0"/>
        <v>1604.3999999999999</v>
      </c>
      <c r="J49" s="755">
        <v>2789.7</v>
      </c>
      <c r="K49" s="752">
        <v>2.9765000000000001</v>
      </c>
      <c r="L49" s="756">
        <f t="shared" si="1"/>
        <v>2.9538999999999995</v>
      </c>
      <c r="M49" s="752">
        <v>5.9303999999999997</v>
      </c>
      <c r="N49" s="760">
        <f t="shared" si="2"/>
        <v>767.45970836531092</v>
      </c>
      <c r="O49" s="760">
        <f t="shared" si="3"/>
        <v>28.073327531512309</v>
      </c>
      <c r="P49" s="727"/>
      <c r="Q49" s="751" t="s">
        <v>1410</v>
      </c>
      <c r="R49" s="727"/>
      <c r="S49" s="727"/>
      <c r="T49" s="727"/>
      <c r="U49" s="727"/>
      <c r="V49" s="727"/>
      <c r="W49" s="727"/>
      <c r="X49" s="727"/>
      <c r="Y49" s="727"/>
      <c r="Z49" s="727"/>
      <c r="AA49" s="727"/>
      <c r="AB49" s="727"/>
      <c r="AC49" s="727"/>
      <c r="AD49" s="727"/>
      <c r="AE49" s="727"/>
      <c r="AF49" s="727"/>
      <c r="AG49" s="727"/>
      <c r="AH49" s="727"/>
      <c r="AI49" s="727"/>
      <c r="AJ49" s="727"/>
      <c r="AK49" s="727"/>
      <c r="AL49" s="727"/>
      <c r="AM49" s="727"/>
      <c r="AN49" s="727"/>
      <c r="AO49" s="727"/>
      <c r="AP49" s="727"/>
      <c r="AQ49" s="727"/>
      <c r="AR49" s="727"/>
      <c r="AS49" s="727"/>
      <c r="AT49" s="727"/>
      <c r="AU49" s="727"/>
      <c r="AV49" s="727"/>
      <c r="AW49" s="727"/>
      <c r="AX49" s="727"/>
      <c r="AY49" s="727"/>
      <c r="AZ49" s="727"/>
      <c r="BA49" s="727"/>
      <c r="BB49" s="727"/>
      <c r="BC49" s="727"/>
      <c r="BD49" s="727"/>
      <c r="BE49" s="727"/>
      <c r="BF49" s="727"/>
      <c r="BG49" s="727"/>
      <c r="BH49" s="727"/>
      <c r="BI49" s="727"/>
      <c r="BJ49" s="727"/>
      <c r="BK49" s="727"/>
      <c r="BL49" s="727"/>
      <c r="BM49" s="727"/>
    </row>
    <row r="50" spans="1:65">
      <c r="A50" s="326"/>
      <c r="B50" s="746">
        <v>280</v>
      </c>
      <c r="C50" s="750">
        <v>6.4165999999999999</v>
      </c>
      <c r="D50" s="747">
        <v>1.3328000000000001E-3</v>
      </c>
      <c r="E50" s="764">
        <v>3.0152999999999999E-2</v>
      </c>
      <c r="F50" s="749">
        <v>1228.3</v>
      </c>
      <c r="G50" s="749">
        <v>2586.4</v>
      </c>
      <c r="H50" s="748">
        <v>1236.9000000000001</v>
      </c>
      <c r="I50" s="749">
        <f t="shared" si="0"/>
        <v>1543</v>
      </c>
      <c r="J50" s="749">
        <v>2779.9</v>
      </c>
      <c r="K50" s="746">
        <v>3.0684999999999998</v>
      </c>
      <c r="L50" s="750">
        <f t="shared" si="1"/>
        <v>2.7894000000000001</v>
      </c>
      <c r="M50" s="746">
        <v>5.8578999999999999</v>
      </c>
      <c r="N50" s="738">
        <f t="shared" si="2"/>
        <v>750.30012004801915</v>
      </c>
      <c r="O50" s="738">
        <f t="shared" si="3"/>
        <v>33.164195934069582</v>
      </c>
      <c r="P50" s="727"/>
      <c r="Q50" s="727"/>
      <c r="R50" s="727"/>
      <c r="S50" s="727"/>
      <c r="T50" s="757" t="s">
        <v>903</v>
      </c>
      <c r="U50" s="731" t="s">
        <v>898</v>
      </c>
      <c r="V50" s="727"/>
      <c r="W50" s="727"/>
      <c r="X50" s="727"/>
      <c r="Y50" s="727"/>
      <c r="Z50" s="727"/>
      <c r="AA50" s="727"/>
      <c r="AB50" s="727"/>
      <c r="AC50" s="727"/>
      <c r="AD50" s="727"/>
      <c r="AE50" s="727"/>
      <c r="AF50" s="727"/>
      <c r="AG50" s="727"/>
      <c r="AH50" s="727"/>
      <c r="AI50" s="727"/>
      <c r="AJ50" s="727"/>
      <c r="AK50" s="727"/>
      <c r="AL50" s="727"/>
      <c r="AM50" s="727"/>
      <c r="AN50" s="727"/>
      <c r="AO50" s="727"/>
      <c r="AP50" s="727"/>
      <c r="AQ50" s="727"/>
      <c r="AR50" s="727"/>
      <c r="AS50" s="727"/>
      <c r="AT50" s="727"/>
      <c r="AU50" s="727"/>
      <c r="AV50" s="727"/>
      <c r="AW50" s="727"/>
      <c r="AX50" s="727"/>
      <c r="AY50" s="727"/>
      <c r="AZ50" s="727"/>
      <c r="BA50" s="727"/>
      <c r="BB50" s="727"/>
      <c r="BC50" s="727"/>
      <c r="BD50" s="727"/>
      <c r="BE50" s="727"/>
      <c r="BF50" s="727"/>
      <c r="BG50" s="727"/>
      <c r="BH50" s="727"/>
      <c r="BI50" s="727"/>
      <c r="BJ50" s="727"/>
      <c r="BK50" s="727"/>
      <c r="BL50" s="727"/>
      <c r="BM50" s="727"/>
    </row>
    <row r="51" spans="1:65">
      <c r="A51" s="326"/>
      <c r="B51" s="752">
        <v>290</v>
      </c>
      <c r="C51" s="756">
        <v>7.4417999999999997</v>
      </c>
      <c r="D51" s="753">
        <v>1.3663E-3</v>
      </c>
      <c r="E51" s="765">
        <v>2.5555000000000001E-2</v>
      </c>
      <c r="F51" s="755">
        <v>1279.9000000000001</v>
      </c>
      <c r="G51" s="755">
        <v>2576.5</v>
      </c>
      <c r="H51" s="754">
        <v>1290</v>
      </c>
      <c r="I51" s="755">
        <f t="shared" si="0"/>
        <v>1476.6999999999998</v>
      </c>
      <c r="J51" s="755">
        <v>2766.7</v>
      </c>
      <c r="K51" s="752">
        <v>3.1612</v>
      </c>
      <c r="L51" s="756">
        <f t="shared" si="1"/>
        <v>2.6222000000000003</v>
      </c>
      <c r="M51" s="752">
        <v>5.7834000000000003</v>
      </c>
      <c r="N51" s="760">
        <f t="shared" si="2"/>
        <v>731.90368147551783</v>
      </c>
      <c r="O51" s="760">
        <f t="shared" si="3"/>
        <v>39.131285462727448</v>
      </c>
      <c r="P51" s="727"/>
      <c r="Q51" s="727"/>
      <c r="R51" s="727"/>
      <c r="S51" s="758" t="s">
        <v>952</v>
      </c>
      <c r="T51" s="759">
        <f>INDEX($C$12:$C$60,MATCH(T52,$C$12:$C$60,1))</f>
        <v>0.47616000000000003</v>
      </c>
      <c r="U51" s="887">
        <f>VLOOKUP(T51,$C$12:$J$60,8,FALSE)</f>
        <v>2745.9</v>
      </c>
      <c r="V51" s="727"/>
      <c r="W51" s="727"/>
      <c r="X51" s="727"/>
      <c r="Y51" s="727"/>
      <c r="Z51" s="727"/>
      <c r="AA51" s="727"/>
      <c r="AB51" s="727"/>
      <c r="AC51" s="727"/>
      <c r="AD51" s="727"/>
      <c r="AE51" s="727"/>
      <c r="AF51" s="727"/>
      <c r="AG51" s="727"/>
      <c r="AH51" s="727"/>
      <c r="AI51" s="727"/>
      <c r="AJ51" s="727"/>
      <c r="AK51" s="727"/>
      <c r="AL51" s="727"/>
      <c r="AM51" s="727"/>
      <c r="AN51" s="727"/>
      <c r="AO51" s="727"/>
      <c r="AP51" s="727"/>
      <c r="AQ51" s="727"/>
      <c r="AR51" s="727"/>
      <c r="AS51" s="727"/>
      <c r="AT51" s="727"/>
      <c r="AU51" s="727"/>
      <c r="AV51" s="727"/>
      <c r="AW51" s="727"/>
      <c r="AX51" s="727"/>
      <c r="AY51" s="727"/>
      <c r="AZ51" s="727"/>
      <c r="BA51" s="727"/>
      <c r="BB51" s="727"/>
      <c r="BC51" s="727"/>
      <c r="BD51" s="727"/>
      <c r="BE51" s="727"/>
      <c r="BF51" s="727"/>
      <c r="BG51" s="727"/>
      <c r="BH51" s="727"/>
      <c r="BI51" s="727"/>
      <c r="BJ51" s="727"/>
      <c r="BK51" s="727"/>
      <c r="BL51" s="727"/>
      <c r="BM51" s="727"/>
    </row>
    <row r="52" spans="1:65">
      <c r="A52" s="326"/>
      <c r="B52" s="746">
        <v>300</v>
      </c>
      <c r="C52" s="750">
        <v>8.5878999999999994</v>
      </c>
      <c r="D52" s="747">
        <v>1.4042E-3</v>
      </c>
      <c r="E52" s="764">
        <v>2.1659999999999999E-2</v>
      </c>
      <c r="F52" s="749">
        <v>1332.9</v>
      </c>
      <c r="G52" s="749">
        <v>2563.6</v>
      </c>
      <c r="H52" s="748">
        <v>1345</v>
      </c>
      <c r="I52" s="749">
        <f t="shared" si="0"/>
        <v>1404.6</v>
      </c>
      <c r="J52" s="749">
        <v>2749.6</v>
      </c>
      <c r="K52" s="746">
        <v>3.2551999999999999</v>
      </c>
      <c r="L52" s="750">
        <f t="shared" si="1"/>
        <v>2.4506999999999999</v>
      </c>
      <c r="M52" s="746">
        <v>5.7058999999999997</v>
      </c>
      <c r="N52" s="738">
        <f t="shared" si="2"/>
        <v>712.14926648625556</v>
      </c>
      <c r="O52" s="738">
        <f t="shared" si="3"/>
        <v>46.168051708217916</v>
      </c>
      <c r="P52" s="727"/>
      <c r="Q52" s="727"/>
      <c r="S52" s="758" t="s">
        <v>951</v>
      </c>
      <c r="T52" s="762">
        <f>$I$6/1000000</f>
        <v>0.5</v>
      </c>
      <c r="U52" s="798">
        <f>U51+(T52-T51)*(U53-U51)/(T53-T51)</f>
        <v>2747.8297529386923</v>
      </c>
      <c r="V52" s="763" t="s">
        <v>869</v>
      </c>
      <c r="W52" s="727"/>
      <c r="X52" s="727"/>
      <c r="Y52" s="727"/>
      <c r="Z52" s="727"/>
      <c r="AA52" s="727"/>
      <c r="AB52" s="727"/>
      <c r="AC52" s="727"/>
      <c r="AD52" s="727"/>
      <c r="AE52" s="727"/>
      <c r="AF52" s="727"/>
      <c r="AG52" s="727"/>
      <c r="AH52" s="727"/>
      <c r="AI52" s="727"/>
      <c r="AJ52" s="727"/>
      <c r="AK52" s="727"/>
      <c r="AL52" s="727"/>
      <c r="AM52" s="727"/>
      <c r="AN52" s="727"/>
      <c r="AO52" s="727"/>
      <c r="AP52" s="727"/>
      <c r="AQ52" s="727"/>
      <c r="AR52" s="727"/>
      <c r="AS52" s="727"/>
      <c r="AT52" s="727"/>
      <c r="AU52" s="727"/>
      <c r="AV52" s="727"/>
      <c r="AW52" s="727"/>
      <c r="AX52" s="727"/>
      <c r="AY52" s="727"/>
      <c r="AZ52" s="727"/>
      <c r="BA52" s="727"/>
      <c r="BB52" s="727"/>
      <c r="BC52" s="727"/>
      <c r="BD52" s="727"/>
      <c r="BE52" s="727"/>
      <c r="BF52" s="727"/>
      <c r="BG52" s="727"/>
      <c r="BH52" s="727"/>
      <c r="BI52" s="727"/>
      <c r="BJ52" s="727"/>
      <c r="BK52" s="727"/>
      <c r="BL52" s="727"/>
      <c r="BM52" s="727"/>
    </row>
    <row r="53" spans="1:65">
      <c r="A53" s="326"/>
      <c r="B53" s="752">
        <v>310</v>
      </c>
      <c r="C53" s="756">
        <v>9.8651</v>
      </c>
      <c r="D53" s="753">
        <v>1.4479E-3</v>
      </c>
      <c r="E53" s="765">
        <v>1.8335000000000001E-2</v>
      </c>
      <c r="F53" s="755">
        <v>1387.9</v>
      </c>
      <c r="G53" s="755">
        <v>2547.1</v>
      </c>
      <c r="H53" s="754">
        <v>1402.2</v>
      </c>
      <c r="I53" s="755">
        <f t="shared" si="0"/>
        <v>1325.7</v>
      </c>
      <c r="J53" s="755">
        <v>2727.9</v>
      </c>
      <c r="K53" s="756">
        <v>3.351</v>
      </c>
      <c r="L53" s="756">
        <f t="shared" si="1"/>
        <v>2.2733999999999996</v>
      </c>
      <c r="M53" s="752">
        <v>5.6243999999999996</v>
      </c>
      <c r="N53" s="760">
        <f t="shared" si="2"/>
        <v>690.65543200497268</v>
      </c>
      <c r="O53" s="760">
        <f t="shared" si="3"/>
        <v>54.540496318516496</v>
      </c>
      <c r="P53" s="727"/>
      <c r="Q53" s="727"/>
      <c r="R53" s="727"/>
      <c r="S53" s="758" t="s">
        <v>952</v>
      </c>
      <c r="T53" s="759">
        <f>INDEX($C$12:$C$60,MATCH(T52,$C$12:$C$60,1)+1)</f>
        <v>0.61822999999999995</v>
      </c>
      <c r="U53" s="887">
        <f>VLOOKUP(T53,$C$12:$J$60,8,FALSE)</f>
        <v>2757.4</v>
      </c>
      <c r="V53" s="727"/>
      <c r="W53" s="727"/>
      <c r="X53" s="727"/>
      <c r="Y53" s="727"/>
      <c r="Z53" s="727"/>
      <c r="AA53" s="727"/>
      <c r="AB53" s="727"/>
      <c r="AC53" s="727"/>
      <c r="AD53" s="727"/>
      <c r="AE53" s="727"/>
      <c r="AF53" s="727"/>
      <c r="AG53" s="727"/>
      <c r="AH53" s="727"/>
      <c r="AI53" s="727"/>
      <c r="AJ53" s="727"/>
      <c r="AK53" s="727"/>
      <c r="AL53" s="727"/>
      <c r="AM53" s="727"/>
      <c r="AN53" s="727"/>
      <c r="AO53" s="727"/>
      <c r="AP53" s="727"/>
      <c r="AQ53" s="727"/>
      <c r="AR53" s="727"/>
      <c r="AS53" s="727"/>
      <c r="AT53" s="727"/>
      <c r="AU53" s="727"/>
      <c r="AV53" s="727"/>
      <c r="AW53" s="727"/>
      <c r="AX53" s="727"/>
      <c r="AY53" s="727"/>
      <c r="AZ53" s="727"/>
      <c r="BA53" s="727"/>
      <c r="BB53" s="727"/>
      <c r="BC53" s="727"/>
      <c r="BD53" s="727"/>
      <c r="BE53" s="727"/>
      <c r="BF53" s="727"/>
      <c r="BG53" s="727"/>
      <c r="BH53" s="727"/>
      <c r="BI53" s="727"/>
      <c r="BJ53" s="727"/>
      <c r="BK53" s="727"/>
      <c r="BL53" s="727"/>
      <c r="BM53" s="727"/>
    </row>
    <row r="54" spans="1:65">
      <c r="A54" s="326"/>
      <c r="B54" s="746">
        <v>320</v>
      </c>
      <c r="C54" s="746">
        <v>11.284000000000001</v>
      </c>
      <c r="D54" s="747">
        <v>1.4989999999999999E-3</v>
      </c>
      <c r="E54" s="764">
        <v>1.5471E-2</v>
      </c>
      <c r="F54" s="749">
        <v>1445.3</v>
      </c>
      <c r="G54" s="749">
        <v>2526</v>
      </c>
      <c r="H54" s="748">
        <v>1462.2</v>
      </c>
      <c r="I54" s="749">
        <f t="shared" si="0"/>
        <v>1238.3999999999999</v>
      </c>
      <c r="J54" s="749">
        <v>2700.6</v>
      </c>
      <c r="K54" s="746">
        <v>3.4493999999999998</v>
      </c>
      <c r="L54" s="750">
        <f t="shared" si="1"/>
        <v>2.0878000000000005</v>
      </c>
      <c r="M54" s="746">
        <v>5.5372000000000003</v>
      </c>
      <c r="N54" s="738">
        <f t="shared" si="2"/>
        <v>667.1114076050701</v>
      </c>
      <c r="O54" s="738">
        <f t="shared" si="3"/>
        <v>64.637062891862186</v>
      </c>
      <c r="P54" s="727"/>
      <c r="Q54" s="727"/>
      <c r="R54" s="727"/>
      <c r="S54" s="727"/>
      <c r="T54" s="727"/>
      <c r="U54" s="727"/>
      <c r="V54" s="727"/>
      <c r="W54" s="727"/>
      <c r="X54" s="727"/>
      <c r="Y54" s="727"/>
      <c r="Z54" s="727"/>
      <c r="AA54" s="727"/>
      <c r="AB54" s="727"/>
      <c r="AC54" s="727"/>
      <c r="AD54" s="727"/>
      <c r="AE54" s="727"/>
      <c r="AF54" s="727"/>
      <c r="AG54" s="727"/>
      <c r="AH54" s="727"/>
      <c r="AI54" s="727"/>
      <c r="AJ54" s="727"/>
      <c r="AK54" s="727"/>
      <c r="AL54" s="727"/>
      <c r="AM54" s="727"/>
      <c r="AN54" s="727"/>
      <c r="AO54" s="727"/>
      <c r="AP54" s="727"/>
      <c r="AQ54" s="727"/>
      <c r="AR54" s="727"/>
      <c r="AS54" s="727"/>
      <c r="AT54" s="727"/>
      <c r="AU54" s="727"/>
      <c r="AV54" s="727"/>
      <c r="AW54" s="727"/>
      <c r="AX54" s="727"/>
      <c r="AY54" s="727"/>
      <c r="AZ54" s="727"/>
      <c r="BA54" s="727"/>
      <c r="BB54" s="727"/>
      <c r="BC54" s="727"/>
      <c r="BD54" s="727"/>
      <c r="BE54" s="727"/>
      <c r="BF54" s="727"/>
      <c r="BG54" s="727"/>
      <c r="BH54" s="727"/>
      <c r="BI54" s="727"/>
      <c r="BJ54" s="727"/>
      <c r="BK54" s="727"/>
      <c r="BL54" s="727"/>
      <c r="BM54" s="727"/>
    </row>
    <row r="55" spans="1:65">
      <c r="A55" s="326"/>
      <c r="B55" s="752">
        <v>330</v>
      </c>
      <c r="C55" s="752">
        <v>12.858000000000001</v>
      </c>
      <c r="D55" s="753">
        <v>1.5606000000000001E-3</v>
      </c>
      <c r="E55" s="765">
        <v>1.2978999999999999E-2</v>
      </c>
      <c r="F55" s="755">
        <v>1505.8</v>
      </c>
      <c r="G55" s="755">
        <v>2499.1999999999998</v>
      </c>
      <c r="H55" s="754">
        <v>1525.9</v>
      </c>
      <c r="I55" s="755">
        <f t="shared" si="0"/>
        <v>1140.0999999999999</v>
      </c>
      <c r="J55" s="755">
        <v>2666</v>
      </c>
      <c r="K55" s="752">
        <v>3.5518000000000001</v>
      </c>
      <c r="L55" s="756">
        <f t="shared" si="1"/>
        <v>1.8903999999999996</v>
      </c>
      <c r="M55" s="752">
        <v>5.4421999999999997</v>
      </c>
      <c r="N55" s="760">
        <f t="shared" si="2"/>
        <v>640.77918749199023</v>
      </c>
      <c r="O55" s="760">
        <f t="shared" si="3"/>
        <v>77.047538331150321</v>
      </c>
      <c r="P55" s="727"/>
      <c r="Q55" s="727"/>
      <c r="R55" s="727"/>
      <c r="S55" s="727"/>
      <c r="T55" s="727"/>
      <c r="U55" s="727"/>
      <c r="V55" s="727"/>
      <c r="W55" s="727"/>
      <c r="X55" s="727"/>
      <c r="Y55" s="727"/>
      <c r="Z55" s="727"/>
      <c r="AA55" s="727"/>
      <c r="AB55" s="727"/>
      <c r="AC55" s="727"/>
      <c r="AD55" s="727"/>
      <c r="AE55" s="727"/>
      <c r="AF55" s="727"/>
      <c r="AG55" s="727"/>
      <c r="AH55" s="727"/>
      <c r="AI55" s="727"/>
      <c r="AJ55" s="727"/>
      <c r="AK55" s="727"/>
      <c r="AL55" s="727"/>
      <c r="AM55" s="727"/>
      <c r="AN55" s="727"/>
      <c r="AO55" s="727"/>
      <c r="AP55" s="727"/>
      <c r="AQ55" s="727"/>
      <c r="AR55" s="727"/>
      <c r="AS55" s="727"/>
      <c r="AT55" s="727"/>
      <c r="AU55" s="727"/>
      <c r="AV55" s="727"/>
      <c r="AW55" s="727"/>
      <c r="AX55" s="727"/>
      <c r="AY55" s="727"/>
      <c r="AZ55" s="727"/>
      <c r="BA55" s="727"/>
      <c r="BB55" s="727"/>
      <c r="BC55" s="727"/>
      <c r="BD55" s="727"/>
      <c r="BE55" s="727"/>
      <c r="BF55" s="727"/>
      <c r="BG55" s="727"/>
      <c r="BH55" s="727"/>
      <c r="BI55" s="727"/>
      <c r="BJ55" s="727"/>
      <c r="BK55" s="727"/>
      <c r="BL55" s="727"/>
      <c r="BM55" s="727"/>
    </row>
    <row r="56" spans="1:65">
      <c r="A56" s="326"/>
      <c r="B56" s="746">
        <v>340</v>
      </c>
      <c r="C56" s="746">
        <v>14.601000000000001</v>
      </c>
      <c r="D56" s="747">
        <v>1.6375999999999999E-3</v>
      </c>
      <c r="E56" s="764">
        <v>1.0781000000000001E-2</v>
      </c>
      <c r="F56" s="749">
        <v>1570.6</v>
      </c>
      <c r="G56" s="749">
        <v>2464.4</v>
      </c>
      <c r="H56" s="748">
        <v>1594.5</v>
      </c>
      <c r="I56" s="749">
        <f t="shared" si="0"/>
        <v>1027.3000000000002</v>
      </c>
      <c r="J56" s="749">
        <v>2621.8</v>
      </c>
      <c r="K56" s="746">
        <v>3.6600999999999999</v>
      </c>
      <c r="L56" s="750">
        <f t="shared" si="1"/>
        <v>1.6755000000000004</v>
      </c>
      <c r="M56" s="746">
        <v>5.3356000000000003</v>
      </c>
      <c r="N56" s="738">
        <f t="shared" si="2"/>
        <v>610.6497313141183</v>
      </c>
      <c r="O56" s="738">
        <f t="shared" si="3"/>
        <v>92.75577404693442</v>
      </c>
      <c r="P56" s="727"/>
      <c r="Q56" s="727"/>
      <c r="R56" s="727"/>
      <c r="S56" s="727"/>
      <c r="T56" s="727"/>
      <c r="U56" s="727"/>
      <c r="V56" s="727"/>
      <c r="W56" s="727"/>
      <c r="X56" s="727"/>
      <c r="Y56" s="727"/>
      <c r="Z56" s="727"/>
      <c r="AA56" s="727"/>
      <c r="AB56" s="727"/>
      <c r="AC56" s="727"/>
      <c r="AD56" s="727"/>
      <c r="AE56" s="727"/>
      <c r="AF56" s="727"/>
      <c r="AG56" s="727"/>
      <c r="AH56" s="727"/>
      <c r="AI56" s="727"/>
      <c r="AJ56" s="727"/>
      <c r="AK56" s="727"/>
      <c r="AL56" s="727"/>
      <c r="AM56" s="727"/>
      <c r="AN56" s="727"/>
      <c r="AO56" s="727"/>
      <c r="AP56" s="727"/>
      <c r="AQ56" s="727"/>
      <c r="AR56" s="727"/>
      <c r="AS56" s="727"/>
      <c r="AT56" s="727"/>
      <c r="AU56" s="727"/>
      <c r="AV56" s="727"/>
      <c r="AW56" s="727"/>
      <c r="AX56" s="727"/>
      <c r="AY56" s="727"/>
      <c r="AZ56" s="727"/>
      <c r="BA56" s="727"/>
      <c r="BB56" s="727"/>
      <c r="BC56" s="727"/>
      <c r="BD56" s="727"/>
      <c r="BE56" s="727"/>
      <c r="BF56" s="727"/>
      <c r="BG56" s="727"/>
      <c r="BH56" s="727"/>
      <c r="BI56" s="727"/>
      <c r="BJ56" s="727"/>
      <c r="BK56" s="727"/>
      <c r="BL56" s="727"/>
      <c r="BM56" s="727"/>
    </row>
    <row r="57" spans="1:65">
      <c r="A57" s="326"/>
      <c r="B57" s="752">
        <v>350</v>
      </c>
      <c r="C57" s="752">
        <v>16.529</v>
      </c>
      <c r="D57" s="753">
        <v>1.74E-3</v>
      </c>
      <c r="E57" s="753">
        <v>8.8024000000000002E-3</v>
      </c>
      <c r="F57" s="755">
        <v>1642.1</v>
      </c>
      <c r="G57" s="755">
        <v>2418.1</v>
      </c>
      <c r="H57" s="754">
        <v>1670.9</v>
      </c>
      <c r="I57" s="755">
        <f t="shared" si="0"/>
        <v>892.69999999999982</v>
      </c>
      <c r="J57" s="755">
        <v>2563.6</v>
      </c>
      <c r="K57" s="752">
        <v>3.7784</v>
      </c>
      <c r="L57" s="756">
        <f t="shared" si="1"/>
        <v>1.4326000000000003</v>
      </c>
      <c r="M57" s="756">
        <v>5.2110000000000003</v>
      </c>
      <c r="N57" s="760">
        <f t="shared" si="2"/>
        <v>574.71264367816093</v>
      </c>
      <c r="O57" s="760">
        <f t="shared" si="3"/>
        <v>113.60538035081342</v>
      </c>
      <c r="P57" s="727"/>
      <c r="Q57" s="727"/>
      <c r="R57" s="727"/>
      <c r="S57" s="727"/>
      <c r="T57" s="727"/>
      <c r="U57" s="727"/>
      <c r="V57" s="727"/>
      <c r="W57" s="727"/>
      <c r="X57" s="727"/>
      <c r="Y57" s="727"/>
      <c r="Z57" s="727"/>
      <c r="AA57" s="727"/>
      <c r="AB57" s="727"/>
      <c r="AC57" s="727"/>
      <c r="AD57" s="727"/>
      <c r="AE57" s="727"/>
      <c r="AF57" s="727"/>
      <c r="AG57" s="727"/>
      <c r="AH57" s="727"/>
      <c r="AI57" s="727"/>
      <c r="AJ57" s="727"/>
      <c r="AK57" s="727"/>
      <c r="AL57" s="727"/>
      <c r="AM57" s="727"/>
      <c r="AN57" s="727"/>
      <c r="AO57" s="727"/>
      <c r="AP57" s="727"/>
      <c r="AQ57" s="727"/>
      <c r="AR57" s="727"/>
      <c r="AS57" s="727"/>
      <c r="AT57" s="727"/>
      <c r="AU57" s="727"/>
      <c r="AV57" s="727"/>
      <c r="AW57" s="727"/>
      <c r="AX57" s="727"/>
      <c r="AY57" s="727"/>
      <c r="AZ57" s="727"/>
      <c r="BA57" s="727"/>
      <c r="BB57" s="727"/>
      <c r="BC57" s="727"/>
      <c r="BD57" s="727"/>
      <c r="BE57" s="727"/>
      <c r="BF57" s="727"/>
      <c r="BG57" s="727"/>
      <c r="BH57" s="727"/>
      <c r="BI57" s="727"/>
      <c r="BJ57" s="727"/>
      <c r="BK57" s="727"/>
      <c r="BL57" s="727"/>
      <c r="BM57" s="727"/>
    </row>
    <row r="58" spans="1:65">
      <c r="A58" s="326"/>
      <c r="B58" s="746">
        <v>360</v>
      </c>
      <c r="C58" s="746">
        <v>18.666</v>
      </c>
      <c r="D58" s="747">
        <v>1.8954E-3</v>
      </c>
      <c r="E58" s="747">
        <v>6.9493000000000003E-3</v>
      </c>
      <c r="F58" s="749">
        <v>1726.3</v>
      </c>
      <c r="G58" s="749">
        <v>2351.8000000000002</v>
      </c>
      <c r="H58" s="748">
        <v>1761.7</v>
      </c>
      <c r="I58" s="749">
        <f t="shared" si="0"/>
        <v>719.8</v>
      </c>
      <c r="J58" s="749">
        <v>2481.5</v>
      </c>
      <c r="K58" s="746">
        <v>3.9167000000000001</v>
      </c>
      <c r="L58" s="750">
        <f t="shared" si="1"/>
        <v>1.1369000000000002</v>
      </c>
      <c r="M58" s="746">
        <v>5.0536000000000003</v>
      </c>
      <c r="N58" s="738">
        <f t="shared" si="2"/>
        <v>527.59312018571279</v>
      </c>
      <c r="O58" s="738">
        <f t="shared" si="3"/>
        <v>143.8993855496237</v>
      </c>
      <c r="P58" s="727"/>
      <c r="Q58" s="727"/>
      <c r="R58" s="727"/>
      <c r="S58" s="727"/>
      <c r="T58" s="727"/>
      <c r="U58" s="727"/>
      <c r="V58" s="727"/>
      <c r="W58" s="727"/>
      <c r="X58" s="727"/>
      <c r="Y58" s="727"/>
      <c r="Z58" s="727"/>
      <c r="AA58" s="727"/>
      <c r="AB58" s="727"/>
      <c r="AC58" s="727"/>
      <c r="AD58" s="727"/>
      <c r="AE58" s="727"/>
      <c r="AF58" s="727"/>
      <c r="AG58" s="727"/>
      <c r="AH58" s="727"/>
      <c r="AI58" s="727"/>
      <c r="AJ58" s="727"/>
      <c r="AK58" s="727"/>
      <c r="AL58" s="727"/>
      <c r="AM58" s="727"/>
      <c r="AN58" s="727"/>
      <c r="AO58" s="727"/>
      <c r="AP58" s="727"/>
      <c r="AQ58" s="727"/>
      <c r="AR58" s="727"/>
      <c r="AS58" s="727"/>
      <c r="AT58" s="727"/>
      <c r="AU58" s="727"/>
      <c r="AV58" s="727"/>
      <c r="AW58" s="727"/>
      <c r="AX58" s="727"/>
      <c r="AY58" s="727"/>
      <c r="AZ58" s="727"/>
      <c r="BA58" s="727"/>
      <c r="BB58" s="727"/>
      <c r="BC58" s="727"/>
      <c r="BD58" s="727"/>
      <c r="BE58" s="727"/>
      <c r="BF58" s="727"/>
      <c r="BG58" s="727"/>
      <c r="BH58" s="727"/>
      <c r="BI58" s="727"/>
      <c r="BJ58" s="727"/>
      <c r="BK58" s="727"/>
      <c r="BL58" s="727"/>
      <c r="BM58" s="727"/>
    </row>
    <row r="59" spans="1:65">
      <c r="A59" s="326"/>
      <c r="B59" s="752">
        <v>370</v>
      </c>
      <c r="C59" s="752">
        <v>21.044</v>
      </c>
      <c r="D59" s="753">
        <v>2.2152000000000001E-3</v>
      </c>
      <c r="E59" s="753">
        <v>4.9544000000000003E-3</v>
      </c>
      <c r="F59" s="755">
        <v>1844.1</v>
      </c>
      <c r="G59" s="755">
        <v>2230.3000000000002</v>
      </c>
      <c r="H59" s="754">
        <v>1890.7</v>
      </c>
      <c r="I59" s="755">
        <f t="shared" si="0"/>
        <v>443.79999999999995</v>
      </c>
      <c r="J59" s="755">
        <v>2334.5</v>
      </c>
      <c r="K59" s="752">
        <v>4.1112000000000002</v>
      </c>
      <c r="L59" s="756">
        <f t="shared" si="1"/>
        <v>0.6899999999999995</v>
      </c>
      <c r="M59" s="752">
        <v>4.8011999999999997</v>
      </c>
      <c r="N59" s="760">
        <f t="shared" si="2"/>
        <v>451.42650776453593</v>
      </c>
      <c r="O59" s="760">
        <f t="shared" si="3"/>
        <v>201.84078798643628</v>
      </c>
      <c r="P59" s="727"/>
      <c r="Q59" s="727"/>
      <c r="R59" s="727"/>
      <c r="S59" s="727"/>
      <c r="T59" s="727"/>
      <c r="U59" s="727"/>
      <c r="V59" s="727"/>
      <c r="W59" s="727"/>
      <c r="X59" s="727"/>
      <c r="Y59" s="727"/>
      <c r="Z59" s="727"/>
      <c r="AA59" s="727"/>
      <c r="AB59" s="727"/>
      <c r="AC59" s="727"/>
      <c r="AD59" s="727"/>
      <c r="AE59" s="727"/>
      <c r="AF59" s="727"/>
      <c r="AG59" s="727"/>
      <c r="AH59" s="727"/>
      <c r="AI59" s="727"/>
      <c r="AJ59" s="727"/>
      <c r="AK59" s="727"/>
      <c r="AL59" s="727"/>
      <c r="AM59" s="727"/>
      <c r="AN59" s="727"/>
      <c r="AO59" s="727"/>
      <c r="AP59" s="727"/>
      <c r="AQ59" s="727"/>
      <c r="AR59" s="727"/>
      <c r="AS59" s="727"/>
      <c r="AT59" s="727"/>
      <c r="AU59" s="727"/>
      <c r="AV59" s="727"/>
      <c r="AW59" s="727"/>
      <c r="AX59" s="727"/>
      <c r="AY59" s="727"/>
      <c r="AZ59" s="727"/>
      <c r="BA59" s="727"/>
      <c r="BB59" s="727"/>
      <c r="BC59" s="727"/>
      <c r="BD59" s="727"/>
      <c r="BE59" s="727"/>
      <c r="BF59" s="768" t="s">
        <v>902</v>
      </c>
      <c r="BH59" s="727"/>
      <c r="BI59" s="727"/>
      <c r="BJ59" s="727"/>
      <c r="BK59" s="727"/>
      <c r="BL59" s="727"/>
      <c r="BM59" s="727"/>
    </row>
    <row r="60" spans="1:65">
      <c r="A60" s="326"/>
      <c r="B60" s="746">
        <v>373.95</v>
      </c>
      <c r="C60" s="746">
        <v>22.064</v>
      </c>
      <c r="D60" s="747">
        <v>3.1056E-3</v>
      </c>
      <c r="E60" s="747">
        <v>3.1056E-3</v>
      </c>
      <c r="F60" s="749">
        <v>2015.7</v>
      </c>
      <c r="G60" s="749">
        <v>2015.7</v>
      </c>
      <c r="H60" s="748">
        <v>2084.3000000000002</v>
      </c>
      <c r="I60" s="749">
        <v>0</v>
      </c>
      <c r="J60" s="749">
        <v>2084.3000000000002</v>
      </c>
      <c r="K60" s="750">
        <v>4.407</v>
      </c>
      <c r="L60" s="749">
        <v>0</v>
      </c>
      <c r="M60" s="750">
        <v>4.407</v>
      </c>
      <c r="N60" s="738">
        <f t="shared" si="2"/>
        <v>321.99896960329727</v>
      </c>
      <c r="O60" s="738">
        <f t="shared" si="3"/>
        <v>321.99896960329727</v>
      </c>
      <c r="P60" s="727"/>
      <c r="Q60" s="727"/>
      <c r="R60" s="727"/>
      <c r="S60" s="727"/>
      <c r="T60" s="727"/>
      <c r="U60" s="727"/>
      <c r="V60" s="727"/>
      <c r="W60" s="727"/>
      <c r="X60" s="727"/>
      <c r="Y60" s="727"/>
      <c r="Z60" s="727"/>
      <c r="AA60" s="727"/>
      <c r="AB60" s="727"/>
      <c r="AC60" s="727"/>
      <c r="AD60" s="727"/>
      <c r="AE60" s="727"/>
      <c r="AF60" s="727"/>
      <c r="AG60" s="727"/>
      <c r="AH60" s="727"/>
      <c r="AI60" s="727"/>
      <c r="AJ60" s="727"/>
      <c r="AK60" s="727"/>
      <c r="AL60" s="727"/>
      <c r="AM60" s="727"/>
      <c r="AN60" s="727"/>
      <c r="AO60" s="727"/>
      <c r="AP60" s="727"/>
      <c r="AQ60" s="727"/>
      <c r="AR60" s="727"/>
      <c r="AS60" s="727"/>
      <c r="AT60" s="727"/>
      <c r="AU60" s="727"/>
      <c r="AV60" s="727"/>
      <c r="AW60" s="727"/>
      <c r="AX60" s="727"/>
      <c r="AY60" s="727"/>
      <c r="AZ60" s="727"/>
      <c r="BA60" s="727"/>
      <c r="BB60" s="727"/>
      <c r="BC60" s="727"/>
      <c r="BD60" s="727"/>
      <c r="BE60" s="727"/>
      <c r="BF60" s="757" t="s">
        <v>903</v>
      </c>
      <c r="BG60" s="839">
        <f>$N$4/1000000</f>
        <v>3.5</v>
      </c>
      <c r="BH60" s="770"/>
      <c r="BI60" s="727"/>
      <c r="BJ60" s="727"/>
      <c r="BK60" s="727"/>
      <c r="BL60" s="727"/>
      <c r="BM60" s="727"/>
    </row>
    <row r="61" spans="1:65">
      <c r="A61" s="326"/>
      <c r="B61" s="727"/>
      <c r="C61" s="805" t="s">
        <v>895</v>
      </c>
      <c r="D61" s="892" t="s">
        <v>896</v>
      </c>
      <c r="E61" s="805"/>
      <c r="F61" s="805" t="s">
        <v>897</v>
      </c>
      <c r="G61" s="805"/>
      <c r="H61" s="805"/>
      <c r="J61" s="805"/>
      <c r="K61" s="727"/>
      <c r="L61" s="727"/>
      <c r="M61" s="727"/>
      <c r="N61" s="727"/>
      <c r="O61" s="727"/>
      <c r="P61" s="727"/>
      <c r="Q61" s="727"/>
      <c r="R61" s="727"/>
      <c r="S61" s="727"/>
      <c r="T61" s="727"/>
      <c r="U61" s="727"/>
      <c r="V61" s="727"/>
      <c r="W61" s="727"/>
      <c r="X61" s="727"/>
      <c r="Y61" s="727"/>
      <c r="Z61" s="727"/>
      <c r="AA61" s="727"/>
      <c r="AB61" s="727"/>
      <c r="AC61" s="727"/>
      <c r="AD61" s="727"/>
      <c r="AE61" s="727"/>
      <c r="AF61" s="727"/>
      <c r="AG61" s="727"/>
      <c r="AH61" s="727"/>
      <c r="AI61" s="727"/>
      <c r="AJ61" s="727"/>
      <c r="AK61" s="727"/>
      <c r="AL61" s="727"/>
      <c r="AM61" s="727"/>
      <c r="AN61" s="727"/>
      <c r="AO61" s="727"/>
      <c r="AP61" s="727"/>
      <c r="AQ61" s="727"/>
      <c r="AR61" s="727"/>
      <c r="AS61" s="727"/>
      <c r="AT61" s="727"/>
      <c r="AU61" s="727"/>
      <c r="AV61" s="727"/>
      <c r="AW61" s="727"/>
      <c r="AX61" s="727"/>
      <c r="AY61" s="727"/>
      <c r="AZ61" s="727"/>
      <c r="BA61" s="727"/>
      <c r="BB61" s="727"/>
      <c r="BC61" s="727"/>
      <c r="BD61" s="727"/>
      <c r="BE61" s="727"/>
      <c r="BF61" s="757" t="s">
        <v>899</v>
      </c>
      <c r="BG61" s="771">
        <f>-0.0013576*BG60^6+0.097509*BG60^5-2.6803*BG60^4+35.325*BG60^3-229.2*BG60^2+722.11*BG60+219.21</f>
        <v>1099.9597819312505</v>
      </c>
      <c r="BH61" s="763" t="s">
        <v>79</v>
      </c>
      <c r="BI61" s="727"/>
      <c r="BJ61" s="727"/>
      <c r="BK61" s="727"/>
      <c r="BL61" s="772" t="str">
        <f>IF(OR(BG61&gt;1.1*BF62,BG61&lt;0.9*BF62),"error &gt; 10%", "OK, error within 10%")</f>
        <v>OK, error within 10%</v>
      </c>
      <c r="BM61" s="727"/>
    </row>
    <row r="62" spans="1:65">
      <c r="A62" s="326"/>
      <c r="B62" s="727"/>
      <c r="C62" s="805" t="s">
        <v>1387</v>
      </c>
      <c r="D62" s="805" t="s">
        <v>1386</v>
      </c>
      <c r="E62" s="805"/>
      <c r="F62" s="892"/>
      <c r="G62" s="805"/>
      <c r="H62" s="805"/>
      <c r="I62" s="805"/>
      <c r="J62" s="805"/>
      <c r="K62" s="727"/>
      <c r="L62" s="727"/>
      <c r="M62" s="727"/>
      <c r="N62" s="727"/>
      <c r="O62" s="727"/>
      <c r="P62" s="727"/>
      <c r="Q62" s="727"/>
      <c r="R62" s="727"/>
      <c r="S62" s="727"/>
      <c r="T62" s="727"/>
      <c r="U62" s="727"/>
      <c r="V62" s="727"/>
      <c r="W62" s="727"/>
      <c r="X62" s="727"/>
      <c r="Y62" s="727"/>
      <c r="Z62" s="727"/>
      <c r="AA62" s="727"/>
      <c r="AB62" s="727"/>
      <c r="AC62" s="727"/>
      <c r="AD62" s="727"/>
      <c r="AE62" s="727"/>
      <c r="AF62" s="727"/>
      <c r="AG62" s="727"/>
      <c r="AH62" s="727"/>
      <c r="AI62" s="727"/>
      <c r="AJ62" s="727"/>
      <c r="AK62" s="727"/>
      <c r="AL62" s="727"/>
      <c r="AM62" s="727"/>
      <c r="AN62" s="727"/>
      <c r="AO62" s="727"/>
      <c r="AP62" s="727"/>
      <c r="AQ62" s="727"/>
      <c r="AR62" s="727"/>
      <c r="AS62" s="727"/>
      <c r="AT62" s="727"/>
      <c r="AU62" s="727"/>
      <c r="AV62" s="727"/>
      <c r="AW62" s="727"/>
      <c r="AX62" s="727"/>
      <c r="AY62" s="727"/>
      <c r="AZ62" s="727"/>
      <c r="BA62" s="727"/>
      <c r="BB62" s="727"/>
      <c r="BC62" s="727"/>
      <c r="BD62" s="727"/>
      <c r="BE62" s="757" t="s">
        <v>899</v>
      </c>
      <c r="BF62" s="773">
        <f>H41+(BG60-C41)*(H42-H41)/(C42-C41)</f>
        <v>1143.2886319652989</v>
      </c>
      <c r="BG62" s="763" t="s">
        <v>869</v>
      </c>
      <c r="BH62" s="727"/>
      <c r="BI62" s="727"/>
      <c r="BJ62" s="727"/>
      <c r="BK62" s="727"/>
      <c r="BL62" s="727"/>
      <c r="BM62" s="727"/>
    </row>
    <row r="63" spans="1:65" ht="13.8" thickBot="1">
      <c r="A63" s="326"/>
      <c r="B63" s="727"/>
      <c r="C63" s="727"/>
      <c r="D63" s="727"/>
      <c r="E63" s="727"/>
      <c r="F63" s="727"/>
      <c r="G63" s="727"/>
      <c r="H63" s="727"/>
      <c r="I63" s="727"/>
      <c r="J63" s="727"/>
      <c r="K63" s="727"/>
      <c r="L63" s="727"/>
      <c r="M63" s="727"/>
      <c r="N63" s="727"/>
      <c r="O63" s="727"/>
      <c r="P63" s="727"/>
      <c r="Q63" s="727"/>
      <c r="R63" s="727"/>
      <c r="S63" s="727"/>
      <c r="T63" s="727"/>
      <c r="U63" s="727"/>
      <c r="V63" s="727"/>
      <c r="W63" s="727"/>
      <c r="X63" s="727"/>
      <c r="Y63" s="727"/>
      <c r="Z63" s="727"/>
      <c r="AA63" s="727"/>
      <c r="AB63" s="727"/>
      <c r="AC63" s="727"/>
      <c r="AD63" s="727"/>
      <c r="AE63" s="727"/>
      <c r="AF63" s="727"/>
      <c r="AG63" s="727"/>
      <c r="AH63" s="727"/>
      <c r="AI63" s="727"/>
      <c r="AJ63" s="727"/>
      <c r="AK63" s="727"/>
      <c r="AL63" s="727"/>
      <c r="AM63" s="727"/>
      <c r="AN63" s="727"/>
      <c r="AO63" s="727"/>
      <c r="AP63" s="727"/>
      <c r="AQ63" s="727"/>
      <c r="AR63" s="727"/>
      <c r="AS63" s="727"/>
      <c r="AT63" s="727"/>
      <c r="AU63" s="727"/>
      <c r="AV63" s="727"/>
      <c r="AW63" s="727"/>
      <c r="AX63" s="727"/>
      <c r="AY63" s="727"/>
      <c r="AZ63" s="727"/>
      <c r="BA63" s="727"/>
      <c r="BB63" s="727"/>
      <c r="BC63" s="727"/>
      <c r="BD63" s="727"/>
      <c r="BE63" s="727"/>
      <c r="BF63" s="727"/>
      <c r="BG63" s="727"/>
      <c r="BH63" s="727"/>
      <c r="BI63" s="727"/>
      <c r="BK63" s="727"/>
      <c r="BL63" s="727"/>
      <c r="BM63" s="727"/>
    </row>
    <row r="64" spans="1:65" ht="13.8" thickBot="1">
      <c r="A64" s="326"/>
      <c r="B64" s="509"/>
      <c r="C64" s="510"/>
      <c r="D64" s="510"/>
      <c r="E64" s="510"/>
      <c r="F64" s="510"/>
      <c r="G64" s="510"/>
      <c r="H64" s="510"/>
      <c r="I64" s="510"/>
      <c r="J64" s="510"/>
      <c r="K64" s="510"/>
      <c r="L64" s="510"/>
      <c r="M64" s="510"/>
      <c r="N64" s="510"/>
      <c r="O64" s="510"/>
      <c r="P64" s="510"/>
      <c r="Q64" s="510"/>
      <c r="R64" s="510"/>
      <c r="S64" s="510"/>
      <c r="T64" s="510"/>
      <c r="U64" s="510"/>
      <c r="V64" s="510"/>
      <c r="W64" s="510"/>
      <c r="X64" s="510"/>
      <c r="Y64" s="510"/>
      <c r="Z64" s="510"/>
      <c r="AA64" s="510"/>
      <c r="AB64" s="510"/>
      <c r="AC64" s="510"/>
      <c r="AD64" s="510"/>
      <c r="AE64" s="510"/>
      <c r="AF64" s="510"/>
      <c r="AG64" s="539"/>
      <c r="AH64" s="727"/>
      <c r="AI64" s="727"/>
      <c r="AJ64" s="727"/>
      <c r="AK64" s="727"/>
      <c r="AL64" s="727"/>
      <c r="AM64" s="727"/>
      <c r="AN64" s="727"/>
      <c r="AO64" s="727"/>
      <c r="AP64" s="727"/>
      <c r="AQ64" s="727"/>
      <c r="AR64" s="727"/>
      <c r="AS64" s="727"/>
      <c r="AT64" s="727"/>
      <c r="AU64" s="727"/>
      <c r="AV64" s="727"/>
      <c r="AW64" s="727"/>
      <c r="AX64" s="727"/>
      <c r="AY64" s="727"/>
      <c r="AZ64" s="727"/>
      <c r="BA64" s="727"/>
      <c r="BB64" s="727"/>
      <c r="BC64" s="727"/>
      <c r="BD64" s="727"/>
      <c r="BE64" s="727"/>
      <c r="BF64" s="727"/>
      <c r="BG64" s="727"/>
      <c r="BH64" s="727"/>
      <c r="BI64" s="727"/>
      <c r="BJ64" s="727"/>
      <c r="BK64" s="727"/>
      <c r="BL64" s="727"/>
      <c r="BM64" s="727"/>
    </row>
    <row r="65" spans="1:65">
      <c r="A65" s="326"/>
      <c r="B65" s="326"/>
      <c r="C65" s="326"/>
      <c r="D65" s="326"/>
      <c r="E65" s="326"/>
      <c r="F65" s="326"/>
      <c r="G65" s="326"/>
      <c r="H65" s="326"/>
      <c r="I65" s="326"/>
      <c r="J65" s="326"/>
      <c r="K65" s="326"/>
      <c r="L65" s="326"/>
      <c r="M65" s="326"/>
      <c r="N65" s="326"/>
      <c r="O65" s="326"/>
      <c r="P65" s="326"/>
      <c r="Q65" s="326"/>
      <c r="R65" s="326"/>
      <c r="S65" s="326"/>
      <c r="T65" s="326"/>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727"/>
      <c r="AZ65" s="727"/>
      <c r="BA65" s="727"/>
      <c r="BB65" s="727"/>
      <c r="BC65" s="727"/>
      <c r="BD65" s="727"/>
      <c r="BE65" s="727"/>
      <c r="BF65" s="727"/>
      <c r="BG65" s="727"/>
      <c r="BH65" s="727"/>
      <c r="BI65" s="727"/>
      <c r="BJ65" s="727"/>
      <c r="BK65" s="727"/>
      <c r="BL65" s="727"/>
      <c r="BM65" s="727"/>
    </row>
    <row r="66" spans="1:65">
      <c r="A66" s="326"/>
      <c r="B66" s="730" t="s">
        <v>1392</v>
      </c>
      <c r="C66" s="727"/>
      <c r="D66" s="727"/>
      <c r="E66" s="727"/>
      <c r="F66" s="727"/>
      <c r="G66" s="727"/>
      <c r="H66" s="727"/>
      <c r="I66" s="727"/>
      <c r="J66" s="727"/>
      <c r="K66" s="727"/>
      <c r="L66" s="727"/>
      <c r="M66" s="727"/>
      <c r="N66" s="727"/>
      <c r="O66" s="727"/>
      <c r="P66" s="727"/>
      <c r="Q66" s="727"/>
      <c r="R66" s="727"/>
      <c r="S66" s="727"/>
      <c r="T66" s="727"/>
      <c r="U66" s="727"/>
      <c r="V66" s="727"/>
      <c r="W66" s="727"/>
      <c r="X66" s="727"/>
      <c r="Y66" s="727"/>
      <c r="Z66" s="727"/>
      <c r="AA66" s="727"/>
      <c r="AB66" s="727"/>
      <c r="AC66" s="727"/>
      <c r="AD66" s="727"/>
      <c r="AE66" s="727"/>
      <c r="AF66" s="727"/>
      <c r="AG66" s="727"/>
      <c r="AH66" s="727"/>
      <c r="AI66" s="727"/>
      <c r="AJ66" s="727"/>
      <c r="AK66" s="727"/>
      <c r="AL66" s="727"/>
      <c r="AM66" s="727"/>
      <c r="AN66" s="727"/>
      <c r="AO66" s="727"/>
      <c r="AP66" s="727"/>
      <c r="AQ66" s="727"/>
      <c r="AR66" s="727"/>
      <c r="AS66" s="727"/>
      <c r="AT66" s="727"/>
      <c r="AU66" s="727"/>
      <c r="AV66" s="727"/>
      <c r="AW66" s="727"/>
      <c r="AX66" s="727"/>
      <c r="AY66" s="727"/>
      <c r="AZ66" s="727"/>
      <c r="BA66" s="727"/>
      <c r="BB66" s="727"/>
      <c r="BC66" s="727"/>
      <c r="BD66" s="727"/>
      <c r="BE66" s="727"/>
      <c r="BF66" s="727"/>
      <c r="BG66" s="727"/>
      <c r="BH66" s="727"/>
      <c r="BI66" s="727"/>
      <c r="BJ66" s="727"/>
      <c r="BK66" s="727"/>
      <c r="BL66" s="727"/>
      <c r="BM66" s="727"/>
    </row>
    <row r="67" spans="1:65" ht="30" customHeight="1">
      <c r="A67" s="326"/>
      <c r="B67" s="1209" t="s">
        <v>1003</v>
      </c>
      <c r="C67" s="1209" t="s">
        <v>999</v>
      </c>
      <c r="D67" s="1207" t="s">
        <v>56</v>
      </c>
      <c r="E67" s="1208"/>
      <c r="F67" s="1209" t="s">
        <v>1004</v>
      </c>
      <c r="G67" s="1207" t="s">
        <v>1005</v>
      </c>
      <c r="H67" s="1208"/>
      <c r="I67" s="1207" t="s">
        <v>1008</v>
      </c>
      <c r="J67" s="1208"/>
      <c r="K67" s="1207" t="s">
        <v>1009</v>
      </c>
      <c r="L67" s="1208"/>
      <c r="M67" s="1207" t="s">
        <v>1010</v>
      </c>
      <c r="N67" s="1208"/>
      <c r="O67" s="774" t="s">
        <v>1011</v>
      </c>
      <c r="P67" s="727"/>
      <c r="Q67" s="727"/>
      <c r="R67" s="727"/>
      <c r="S67" s="727"/>
      <c r="T67" s="727"/>
      <c r="U67" s="727"/>
      <c r="W67" s="727"/>
      <c r="X67" s="727"/>
      <c r="Y67" s="727"/>
      <c r="Z67" s="727"/>
      <c r="AA67" s="727"/>
      <c r="AB67" s="727"/>
      <c r="AC67" s="727"/>
      <c r="AD67" s="727"/>
      <c r="AE67" s="727"/>
      <c r="AF67" s="727"/>
      <c r="AG67" s="727"/>
      <c r="AH67" s="727"/>
      <c r="AI67" s="727"/>
      <c r="AJ67" s="727"/>
      <c r="AK67" s="727"/>
      <c r="AL67" s="727"/>
      <c r="AM67" s="727"/>
      <c r="AN67" s="727"/>
      <c r="AO67" s="727"/>
      <c r="AP67" s="727"/>
      <c r="AQ67" s="727"/>
      <c r="AR67" s="727"/>
      <c r="AS67" s="727"/>
      <c r="AT67" s="727"/>
      <c r="AU67" s="727"/>
      <c r="AV67" s="727"/>
      <c r="AW67" s="727"/>
      <c r="AX67" s="727"/>
      <c r="AY67" s="727"/>
      <c r="AZ67" s="727"/>
      <c r="BA67" s="727"/>
      <c r="BB67" s="727"/>
      <c r="BC67" s="727"/>
      <c r="BD67" s="727"/>
      <c r="BE67" s="727"/>
      <c r="BF67" s="727"/>
      <c r="BG67" s="727"/>
      <c r="BH67" s="727"/>
      <c r="BI67" s="727"/>
      <c r="BJ67" s="727"/>
      <c r="BK67" s="727"/>
      <c r="BL67" s="727"/>
      <c r="BM67" s="727"/>
    </row>
    <row r="68" spans="1:65">
      <c r="A68" s="326"/>
      <c r="B68" s="1210"/>
      <c r="C68" s="1210"/>
      <c r="D68" s="775" t="s">
        <v>1006</v>
      </c>
      <c r="E68" s="775" t="s">
        <v>1007</v>
      </c>
      <c r="F68" s="1210"/>
      <c r="G68" s="775" t="s">
        <v>1006</v>
      </c>
      <c r="H68" s="775" t="s">
        <v>1007</v>
      </c>
      <c r="I68" s="775" t="s">
        <v>1006</v>
      </c>
      <c r="J68" s="775" t="s">
        <v>1007</v>
      </c>
      <c r="K68" s="775" t="s">
        <v>1006</v>
      </c>
      <c r="L68" s="775" t="s">
        <v>1007</v>
      </c>
      <c r="M68" s="775" t="s">
        <v>1006</v>
      </c>
      <c r="N68" s="775" t="s">
        <v>1007</v>
      </c>
      <c r="O68" s="775" t="s">
        <v>1006</v>
      </c>
      <c r="P68" s="727"/>
      <c r="Q68" s="731" t="s">
        <v>1389</v>
      </c>
      <c r="R68" s="727"/>
      <c r="S68" s="727"/>
      <c r="T68" s="727"/>
      <c r="U68" s="727"/>
      <c r="V68" s="727"/>
      <c r="W68" s="727"/>
      <c r="X68" s="727"/>
      <c r="Y68" s="731" t="s">
        <v>1400</v>
      </c>
      <c r="Z68" s="727"/>
      <c r="AA68" s="727"/>
      <c r="AB68" s="727"/>
      <c r="AC68" s="727"/>
      <c r="AD68" s="727"/>
      <c r="AE68" s="727"/>
      <c r="AF68" s="727"/>
      <c r="AG68" s="727"/>
      <c r="AH68" s="727"/>
      <c r="AI68" s="727"/>
      <c r="AJ68" s="727"/>
      <c r="AK68" s="727"/>
      <c r="AL68" s="727"/>
      <c r="AM68" s="727"/>
      <c r="AN68" s="727"/>
      <c r="AO68" s="727"/>
      <c r="AP68" s="727"/>
      <c r="AQ68" s="727"/>
      <c r="AR68" s="727"/>
      <c r="AS68" s="727"/>
      <c r="AT68" s="727"/>
      <c r="AU68" s="727"/>
      <c r="AV68" s="727"/>
      <c r="AW68" s="727"/>
      <c r="AX68" s="727"/>
      <c r="AY68" s="727"/>
      <c r="AZ68" s="727"/>
      <c r="BA68" s="727"/>
      <c r="BB68" s="727"/>
      <c r="BC68" s="727"/>
      <c r="BD68" s="727"/>
      <c r="BE68" s="727"/>
      <c r="BF68" s="727"/>
      <c r="BG68" s="727"/>
      <c r="BH68" s="727"/>
      <c r="BI68" s="727"/>
      <c r="BJ68" s="727"/>
      <c r="BK68" s="727"/>
      <c r="BL68" s="727"/>
      <c r="BM68" s="727"/>
    </row>
    <row r="69" spans="1:65">
      <c r="A69" s="326"/>
      <c r="B69" s="776">
        <v>0.01</v>
      </c>
      <c r="C69" s="776">
        <v>0.61129999999999995</v>
      </c>
      <c r="D69" s="776">
        <v>999.8</v>
      </c>
      <c r="E69" s="776">
        <v>4.7999999999999996E-3</v>
      </c>
      <c r="F69" s="776">
        <v>2501</v>
      </c>
      <c r="G69" s="776">
        <v>4217</v>
      </c>
      <c r="H69" s="776">
        <v>1854</v>
      </c>
      <c r="I69" s="776">
        <v>0.56100000000000005</v>
      </c>
      <c r="J69" s="776">
        <v>1.7100000000000001E-2</v>
      </c>
      <c r="K69" s="777">
        <v>1.792E-3</v>
      </c>
      <c r="L69" s="778">
        <v>9.2200000000000015E-6</v>
      </c>
      <c r="M69" s="776">
        <v>13.5</v>
      </c>
      <c r="N69" s="776">
        <v>1</v>
      </c>
      <c r="O69" s="777">
        <v>-6.8000000000000013E-5</v>
      </c>
      <c r="P69" s="727"/>
      <c r="Q69" s="727"/>
      <c r="R69" s="727"/>
      <c r="S69" s="727"/>
      <c r="T69" s="727"/>
      <c r="U69" s="727"/>
      <c r="V69" s="727"/>
      <c r="W69" s="727"/>
      <c r="X69" s="727"/>
      <c r="Y69" s="727"/>
      <c r="Z69" s="727"/>
      <c r="AA69" s="727"/>
      <c r="AB69" s="727"/>
      <c r="AC69" s="727"/>
      <c r="AD69" s="727"/>
      <c r="AE69" s="727"/>
      <c r="AF69" s="727"/>
      <c r="AG69" s="727"/>
      <c r="AH69" s="727"/>
      <c r="AI69" s="727"/>
      <c r="AJ69" s="727"/>
      <c r="AK69" s="727"/>
      <c r="AL69" s="727"/>
      <c r="AM69" s="727"/>
      <c r="AN69" s="727"/>
      <c r="AO69" s="727"/>
      <c r="AP69" s="727"/>
      <c r="AQ69" s="727"/>
      <c r="AR69" s="727"/>
      <c r="AS69" s="727"/>
      <c r="AT69" s="727"/>
      <c r="AU69" s="727"/>
      <c r="AV69" s="727"/>
      <c r="AW69" s="727"/>
      <c r="AX69" s="727"/>
      <c r="AY69" s="727"/>
      <c r="AZ69" s="727"/>
      <c r="BA69" s="727"/>
      <c r="BB69" s="727"/>
      <c r="BC69" s="727"/>
      <c r="BD69" s="727"/>
      <c r="BE69" s="727"/>
      <c r="BF69" s="727"/>
      <c r="BG69" s="727"/>
      <c r="BH69" s="727"/>
      <c r="BI69" s="727"/>
      <c r="BJ69" s="727"/>
      <c r="BK69" s="727"/>
      <c r="BL69" s="727"/>
      <c r="BM69" s="727"/>
    </row>
    <row r="70" spans="1:65">
      <c r="A70" s="326"/>
      <c r="B70" s="779">
        <v>5</v>
      </c>
      <c r="C70" s="779">
        <v>0.87209999999999999</v>
      </c>
      <c r="D70" s="779">
        <v>999.9</v>
      </c>
      <c r="E70" s="779">
        <v>6.7999999999999996E-3</v>
      </c>
      <c r="F70" s="779">
        <v>2490</v>
      </c>
      <c r="G70" s="779">
        <v>4205</v>
      </c>
      <c r="H70" s="779">
        <v>1857</v>
      </c>
      <c r="I70" s="779">
        <v>0.57099999999999995</v>
      </c>
      <c r="J70" s="779">
        <v>1.7299999999999999E-2</v>
      </c>
      <c r="K70" s="780">
        <v>1.519E-3</v>
      </c>
      <c r="L70" s="781">
        <v>9.3400000000000021E-6</v>
      </c>
      <c r="M70" s="779">
        <v>11.2</v>
      </c>
      <c r="N70" s="779">
        <v>1</v>
      </c>
      <c r="O70" s="780">
        <v>1.5E-5</v>
      </c>
      <c r="P70" s="727"/>
      <c r="Q70" s="751" t="s">
        <v>1413</v>
      </c>
      <c r="R70" s="727"/>
      <c r="S70" s="727"/>
      <c r="T70" s="727"/>
      <c r="U70" s="727"/>
      <c r="V70" s="727"/>
      <c r="W70" s="727"/>
      <c r="X70" s="727"/>
      <c r="Y70" s="751" t="s">
        <v>1415</v>
      </c>
      <c r="Z70" s="727"/>
      <c r="AA70" s="727"/>
      <c r="AB70" s="727"/>
      <c r="AC70" s="727"/>
      <c r="AD70" s="727"/>
      <c r="AE70" s="727"/>
      <c r="AF70" s="727"/>
      <c r="AG70" s="727"/>
      <c r="AH70" s="727"/>
      <c r="AI70" s="727"/>
      <c r="AJ70" s="727"/>
      <c r="AK70" s="727"/>
      <c r="AL70" s="727"/>
      <c r="AM70" s="727"/>
      <c r="AN70" s="727"/>
      <c r="AO70" s="727"/>
      <c r="AP70" s="727"/>
      <c r="AQ70" s="727"/>
      <c r="AR70" s="727"/>
      <c r="AS70" s="727"/>
      <c r="AT70" s="727"/>
      <c r="AU70" s="727"/>
      <c r="AV70" s="727"/>
      <c r="AW70" s="727"/>
      <c r="AX70" s="727"/>
      <c r="AY70" s="727"/>
      <c r="AZ70" s="727"/>
      <c r="BA70" s="727"/>
      <c r="BB70" s="727"/>
      <c r="BC70" s="727"/>
      <c r="BD70" s="727"/>
      <c r="BE70" s="727"/>
      <c r="BF70" s="727"/>
      <c r="BG70" s="727"/>
      <c r="BH70" s="727"/>
      <c r="BI70" s="727"/>
      <c r="BJ70" s="727"/>
      <c r="BK70" s="727"/>
      <c r="BL70" s="727"/>
      <c r="BM70" s="727"/>
    </row>
    <row r="71" spans="1:65">
      <c r="A71" s="326"/>
      <c r="B71" s="776">
        <v>10</v>
      </c>
      <c r="C71" s="776">
        <v>1.2276</v>
      </c>
      <c r="D71" s="776">
        <v>999.7</v>
      </c>
      <c r="E71" s="776">
        <v>9.4000000000000004E-3</v>
      </c>
      <c r="F71" s="776">
        <v>2478</v>
      </c>
      <c r="G71" s="776">
        <v>4194</v>
      </c>
      <c r="H71" s="776">
        <v>1862</v>
      </c>
      <c r="I71" s="776">
        <v>0.57999999999999996</v>
      </c>
      <c r="J71" s="776">
        <v>1.7600000000000001E-2</v>
      </c>
      <c r="K71" s="777">
        <v>1.307E-3</v>
      </c>
      <c r="L71" s="778">
        <v>9.4600000000000009E-6</v>
      </c>
      <c r="M71" s="776">
        <v>9.4499999999999993</v>
      </c>
      <c r="N71" s="776">
        <v>1</v>
      </c>
      <c r="O71" s="777">
        <v>7.3300000000000004E-4</v>
      </c>
      <c r="P71" s="727"/>
      <c r="Q71" s="727"/>
      <c r="R71" s="727"/>
      <c r="S71" s="727"/>
      <c r="T71" s="757" t="s">
        <v>1105</v>
      </c>
      <c r="U71" s="731" t="s">
        <v>56</v>
      </c>
      <c r="V71" s="727"/>
      <c r="W71" s="727"/>
      <c r="X71" s="727"/>
      <c r="Y71" s="727"/>
      <c r="Z71" s="727"/>
      <c r="AA71" s="727"/>
      <c r="AB71" s="757" t="s">
        <v>1105</v>
      </c>
      <c r="AC71" s="731" t="s">
        <v>1014</v>
      </c>
      <c r="AD71" s="727"/>
      <c r="AE71" s="727"/>
      <c r="AF71" s="727"/>
      <c r="AG71" s="727"/>
      <c r="AH71" s="727"/>
      <c r="AI71" s="727"/>
      <c r="AJ71" s="727"/>
      <c r="AK71" s="727"/>
      <c r="AL71" s="727"/>
      <c r="AM71" s="727"/>
      <c r="AN71" s="727"/>
      <c r="AO71" s="727"/>
      <c r="AP71" s="727"/>
      <c r="AQ71" s="727"/>
      <c r="AR71" s="727"/>
      <c r="AS71" s="727"/>
      <c r="AT71" s="727"/>
      <c r="AU71" s="727"/>
      <c r="AV71" s="727"/>
      <c r="AW71" s="727"/>
      <c r="AX71" s="727"/>
      <c r="AY71" s="727"/>
      <c r="AZ71" s="727"/>
      <c r="BA71" s="727"/>
      <c r="BB71" s="727"/>
      <c r="BC71" s="727"/>
      <c r="BD71" s="727"/>
      <c r="BE71" s="727"/>
      <c r="BF71" s="727"/>
      <c r="BG71" s="727"/>
      <c r="BH71" s="727"/>
      <c r="BI71" s="727"/>
      <c r="BJ71" s="727"/>
      <c r="BK71" s="727"/>
      <c r="BL71" s="727"/>
      <c r="BM71" s="727"/>
    </row>
    <row r="72" spans="1:65">
      <c r="A72" s="326"/>
      <c r="B72" s="779">
        <v>15</v>
      </c>
      <c r="C72" s="779">
        <v>1.7051000000000001</v>
      </c>
      <c r="D72" s="779">
        <v>999.1</v>
      </c>
      <c r="E72" s="779">
        <v>1.2800000000000001E-2</v>
      </c>
      <c r="F72" s="779">
        <v>2466</v>
      </c>
      <c r="G72" s="779">
        <v>4185</v>
      </c>
      <c r="H72" s="779">
        <v>1863</v>
      </c>
      <c r="I72" s="779">
        <v>0.58899999999999997</v>
      </c>
      <c r="J72" s="779">
        <v>1.7899999999999999E-2</v>
      </c>
      <c r="K72" s="780">
        <v>1.1379999999999999E-3</v>
      </c>
      <c r="L72" s="781">
        <v>9.5899999999999997E-6</v>
      </c>
      <c r="M72" s="779">
        <v>8.09</v>
      </c>
      <c r="N72" s="779">
        <v>1</v>
      </c>
      <c r="O72" s="780">
        <v>1.3800000000000002E-4</v>
      </c>
      <c r="P72" s="727"/>
      <c r="Q72" s="727"/>
      <c r="R72" s="727"/>
      <c r="S72" s="758" t="s">
        <v>952</v>
      </c>
      <c r="T72" s="759">
        <f>INDEX($B$69:$B$108,MATCH($T73,$B$69:$B$108,1))</f>
        <v>280</v>
      </c>
      <c r="U72" s="883">
        <f>VLOOKUP(T72,$B$69:$L$108,3,FALSE)</f>
        <v>750.8</v>
      </c>
      <c r="V72" s="727"/>
      <c r="W72" s="727"/>
      <c r="X72" s="727"/>
      <c r="Y72" s="727"/>
      <c r="Z72" s="727"/>
      <c r="AA72" s="758" t="s">
        <v>952</v>
      </c>
      <c r="AB72" s="759">
        <f>INDEX($B$69:$B$108,MATCH($AB73,$B$69:$B$108,1))</f>
        <v>280</v>
      </c>
      <c r="AC72" s="782">
        <f>VLOOKUP(AB72,$B$69:$L$108,10,FALSE)</f>
        <v>9.4000000000000008E-5</v>
      </c>
      <c r="AD72" s="727"/>
      <c r="AE72" s="727"/>
      <c r="AF72" s="727"/>
      <c r="AG72" s="727"/>
      <c r="AH72" s="727"/>
      <c r="AI72" s="727"/>
      <c r="AJ72" s="727"/>
      <c r="AK72" s="727"/>
      <c r="AL72" s="727"/>
      <c r="AM72" s="727"/>
      <c r="AN72" s="727"/>
      <c r="AO72" s="727"/>
      <c r="AP72" s="727"/>
      <c r="AQ72" s="727"/>
      <c r="AR72" s="727"/>
      <c r="AS72" s="727"/>
      <c r="AT72" s="727"/>
      <c r="AU72" s="727"/>
      <c r="AV72" s="727"/>
      <c r="AW72" s="727"/>
      <c r="AX72" s="727"/>
      <c r="AY72" s="727"/>
      <c r="AZ72" s="727"/>
      <c r="BA72" s="727"/>
      <c r="BB72" s="727"/>
      <c r="BC72" s="727"/>
      <c r="BD72" s="727"/>
      <c r="BE72" s="727"/>
      <c r="BF72" s="727"/>
      <c r="BG72" s="727"/>
      <c r="BH72" s="727"/>
      <c r="BI72" s="727"/>
      <c r="BJ72" s="727"/>
      <c r="BK72" s="727"/>
      <c r="BL72" s="727"/>
      <c r="BM72" s="727"/>
    </row>
    <row r="73" spans="1:65">
      <c r="A73" s="326"/>
      <c r="B73" s="776">
        <v>20</v>
      </c>
      <c r="C73" s="776">
        <v>2.339</v>
      </c>
      <c r="D73" s="776">
        <v>998</v>
      </c>
      <c r="E73" s="776">
        <v>1.7299999999999999E-2</v>
      </c>
      <c r="F73" s="776">
        <v>2454</v>
      </c>
      <c r="G73" s="776">
        <v>4182</v>
      </c>
      <c r="H73" s="776">
        <v>1867</v>
      </c>
      <c r="I73" s="776">
        <v>0.59799999999999998</v>
      </c>
      <c r="J73" s="776">
        <v>1.8200000000000001E-2</v>
      </c>
      <c r="K73" s="777">
        <v>1.0020000000000001E-3</v>
      </c>
      <c r="L73" s="778">
        <v>9.73E-6</v>
      </c>
      <c r="M73" s="776">
        <v>7.01</v>
      </c>
      <c r="N73" s="776">
        <v>1</v>
      </c>
      <c r="O73" s="777">
        <v>1.9500000000000002E-4</v>
      </c>
      <c r="P73" s="727"/>
      <c r="Q73" s="727"/>
      <c r="S73" s="758" t="s">
        <v>951</v>
      </c>
      <c r="T73" s="762">
        <f>$I$4</f>
        <v>295</v>
      </c>
      <c r="U73" s="884">
        <f>U72+(T73-T72)*(U74-U72)/(T74-T72)</f>
        <v>723.05</v>
      </c>
      <c r="V73" s="763" t="s">
        <v>869</v>
      </c>
      <c r="W73" s="727"/>
      <c r="X73" s="727"/>
      <c r="Y73" s="727"/>
      <c r="AA73" s="758" t="s">
        <v>951</v>
      </c>
      <c r="AB73" s="762">
        <f>$I$4</f>
        <v>295</v>
      </c>
      <c r="AC73" s="783">
        <f>AC72+(AB73-AB72)*(AC74-AC72)/(AB74-AB72)</f>
        <v>8.7999999999999998E-5</v>
      </c>
      <c r="AD73" s="763" t="s">
        <v>869</v>
      </c>
      <c r="AE73" s="727"/>
      <c r="AF73" s="727"/>
      <c r="AG73" s="727"/>
      <c r="AH73" s="727"/>
      <c r="AI73" s="727"/>
      <c r="AJ73" s="727"/>
      <c r="AK73" s="727"/>
      <c r="AL73" s="727"/>
      <c r="AM73" s="727"/>
      <c r="AN73" s="727"/>
      <c r="AO73" s="727"/>
      <c r="AP73" s="727"/>
      <c r="AQ73" s="727"/>
      <c r="AR73" s="727"/>
      <c r="AS73" s="727"/>
      <c r="AT73" s="727"/>
      <c r="AU73" s="727"/>
      <c r="AV73" s="727"/>
      <c r="AW73" s="727"/>
      <c r="AX73" s="727"/>
      <c r="AY73" s="727"/>
      <c r="AZ73" s="727"/>
      <c r="BA73" s="727"/>
      <c r="BB73" s="727"/>
      <c r="BC73" s="727"/>
      <c r="BD73" s="727"/>
      <c r="BE73" s="727"/>
      <c r="BF73" s="727"/>
      <c r="BG73" s="727"/>
      <c r="BH73" s="727"/>
      <c r="BI73" s="727"/>
      <c r="BJ73" s="727"/>
      <c r="BK73" s="727"/>
      <c r="BL73" s="727"/>
      <c r="BM73" s="727"/>
    </row>
    <row r="74" spans="1:65">
      <c r="A74" s="326"/>
      <c r="B74" s="779">
        <v>25</v>
      </c>
      <c r="C74" s="779">
        <v>3.169</v>
      </c>
      <c r="D74" s="779">
        <v>997</v>
      </c>
      <c r="E74" s="779">
        <v>2.3099999999999999E-2</v>
      </c>
      <c r="F74" s="779">
        <v>2442</v>
      </c>
      <c r="G74" s="779">
        <v>4180</v>
      </c>
      <c r="H74" s="779">
        <v>1870</v>
      </c>
      <c r="I74" s="779">
        <v>0.60699999999999998</v>
      </c>
      <c r="J74" s="779">
        <v>1.8599999999999998E-2</v>
      </c>
      <c r="K74" s="780">
        <v>8.9100000000000008E-4</v>
      </c>
      <c r="L74" s="781">
        <v>9.8700000000000004E-6</v>
      </c>
      <c r="M74" s="779">
        <v>6.14</v>
      </c>
      <c r="N74" s="779">
        <v>1</v>
      </c>
      <c r="O74" s="780">
        <v>2.4699999999999999E-4</v>
      </c>
      <c r="P74" s="727"/>
      <c r="Q74" s="727"/>
      <c r="R74" s="727"/>
      <c r="S74" s="758" t="s">
        <v>952</v>
      </c>
      <c r="T74" s="759">
        <f>INDEX($B$69:$B$108,MATCH($T73,$B$69:$B$108,1)+1)</f>
        <v>300</v>
      </c>
      <c r="U74" s="883">
        <f>VLOOKUP(T74,$B$69:$L$108,3,FALSE)</f>
        <v>713.8</v>
      </c>
      <c r="V74" s="727"/>
      <c r="W74" s="727"/>
      <c r="X74" s="727"/>
      <c r="Y74" s="727"/>
      <c r="Z74" s="727"/>
      <c r="AA74" s="758" t="s">
        <v>952</v>
      </c>
      <c r="AB74" s="759">
        <f>INDEX($B$69:$B$108,MATCH($AB73,$B$69:$B$108,1)+1)</f>
        <v>300</v>
      </c>
      <c r="AC74" s="782">
        <f>VLOOKUP(AB74,$B$69:$L$108,10,FALSE)</f>
        <v>8.599999999999999E-5</v>
      </c>
      <c r="AD74" s="727"/>
      <c r="AE74" s="727"/>
      <c r="AF74" s="727"/>
      <c r="AG74" s="727"/>
      <c r="AH74" s="727"/>
      <c r="AI74" s="727"/>
      <c r="AJ74" s="727"/>
      <c r="AK74" s="727"/>
      <c r="AL74" s="727"/>
      <c r="AM74" s="727"/>
      <c r="AN74" s="727"/>
      <c r="AO74" s="727"/>
      <c r="AP74" s="727"/>
      <c r="AQ74" s="727"/>
      <c r="AR74" s="727"/>
      <c r="AS74" s="727"/>
      <c r="AT74" s="727"/>
      <c r="AU74" s="727"/>
      <c r="AV74" s="727"/>
      <c r="AW74" s="727"/>
      <c r="AX74" s="727"/>
      <c r="AY74" s="727"/>
      <c r="AZ74" s="727"/>
      <c r="BA74" s="727"/>
      <c r="BB74" s="727"/>
      <c r="BC74" s="727"/>
      <c r="BD74" s="727"/>
      <c r="BE74" s="727"/>
      <c r="BF74" s="727"/>
      <c r="BG74" s="727"/>
      <c r="BH74" s="727"/>
      <c r="BI74" s="727"/>
      <c r="BJ74" s="727"/>
      <c r="BK74" s="727"/>
      <c r="BL74" s="727"/>
      <c r="BM74" s="727"/>
    </row>
    <row r="75" spans="1:65">
      <c r="A75" s="326"/>
      <c r="B75" s="776">
        <v>30</v>
      </c>
      <c r="C75" s="776">
        <v>4.2460000000000004</v>
      </c>
      <c r="D75" s="776">
        <v>996</v>
      </c>
      <c r="E75" s="776">
        <v>3.04E-2</v>
      </c>
      <c r="F75" s="776">
        <v>2431</v>
      </c>
      <c r="G75" s="776">
        <v>4178</v>
      </c>
      <c r="H75" s="776">
        <v>1875</v>
      </c>
      <c r="I75" s="776">
        <v>0.61499999999999999</v>
      </c>
      <c r="J75" s="776">
        <v>1.89E-2</v>
      </c>
      <c r="K75" s="777">
        <v>7.980000000000001E-4</v>
      </c>
      <c r="L75" s="778">
        <v>1.0009999999999999E-5</v>
      </c>
      <c r="M75" s="776">
        <v>5.42</v>
      </c>
      <c r="N75" s="776">
        <v>1</v>
      </c>
      <c r="O75" s="777">
        <v>2.9399999999999999E-4</v>
      </c>
      <c r="P75" s="727"/>
      <c r="Q75" s="727"/>
      <c r="R75" s="727"/>
      <c r="S75" s="727"/>
      <c r="T75" s="784"/>
      <c r="U75" s="727"/>
      <c r="V75" s="727"/>
      <c r="W75" s="727"/>
      <c r="X75" s="727"/>
      <c r="Y75" s="727"/>
      <c r="Z75" s="727"/>
      <c r="AA75" s="727"/>
      <c r="AB75" s="784"/>
      <c r="AC75" s="727"/>
      <c r="AD75" s="727"/>
      <c r="AE75" s="727"/>
      <c r="AF75" s="727"/>
      <c r="AG75" s="727"/>
      <c r="AH75" s="727"/>
      <c r="AI75" s="727"/>
      <c r="AJ75" s="727"/>
      <c r="AK75" s="727"/>
      <c r="AL75" s="727"/>
      <c r="AM75" s="727"/>
      <c r="AN75" s="727"/>
      <c r="AO75" s="727"/>
      <c r="AP75" s="727"/>
      <c r="AQ75" s="727"/>
      <c r="AR75" s="727"/>
      <c r="AS75" s="727"/>
      <c r="AT75" s="727"/>
      <c r="AU75" s="727"/>
      <c r="AV75" s="727"/>
      <c r="AW75" s="727"/>
      <c r="AX75" s="727"/>
      <c r="AY75" s="727"/>
      <c r="AZ75" s="727"/>
      <c r="BA75" s="727"/>
      <c r="BB75" s="727"/>
      <c r="BC75" s="727"/>
      <c r="BD75" s="727"/>
      <c r="BE75" s="727"/>
      <c r="BF75" s="727"/>
      <c r="BG75" s="727"/>
      <c r="BH75" s="727"/>
      <c r="BI75" s="727"/>
      <c r="BJ75" s="727"/>
      <c r="BK75" s="727"/>
      <c r="BL75" s="727"/>
      <c r="BM75" s="727"/>
    </row>
    <row r="76" spans="1:65">
      <c r="A76" s="326"/>
      <c r="B76" s="779">
        <v>35</v>
      </c>
      <c r="C76" s="779">
        <v>5.6280000000000001</v>
      </c>
      <c r="D76" s="779">
        <v>994</v>
      </c>
      <c r="E76" s="779">
        <v>3.9699999999999999E-2</v>
      </c>
      <c r="F76" s="779">
        <v>2419</v>
      </c>
      <c r="G76" s="779">
        <v>4178</v>
      </c>
      <c r="H76" s="779">
        <v>1880</v>
      </c>
      <c r="I76" s="779">
        <v>0.623</v>
      </c>
      <c r="J76" s="779">
        <v>1.9199999999999998E-2</v>
      </c>
      <c r="K76" s="780">
        <v>7.1999999999999994E-4</v>
      </c>
      <c r="L76" s="781">
        <v>1.0160000000000001E-5</v>
      </c>
      <c r="M76" s="779">
        <v>4.83</v>
      </c>
      <c r="N76" s="779">
        <v>1</v>
      </c>
      <c r="O76" s="780">
        <v>3.3700000000000001E-4</v>
      </c>
      <c r="P76" s="727"/>
      <c r="Q76" s="727"/>
      <c r="R76" s="727"/>
      <c r="S76" s="727"/>
      <c r="T76" s="784"/>
      <c r="U76" s="727"/>
      <c r="V76" s="727"/>
      <c r="W76" s="727"/>
      <c r="X76" s="727"/>
      <c r="Y76" s="727"/>
      <c r="Z76" s="727"/>
      <c r="AA76" s="727"/>
      <c r="AB76" s="784"/>
      <c r="AC76" s="727"/>
      <c r="AD76" s="727"/>
      <c r="AE76" s="727"/>
      <c r="AF76" s="727"/>
      <c r="AG76" s="727"/>
      <c r="AH76" s="727"/>
      <c r="AI76" s="727"/>
      <c r="AJ76" s="727"/>
      <c r="AK76" s="727"/>
      <c r="AL76" s="727"/>
      <c r="AM76" s="727"/>
      <c r="AN76" s="727"/>
      <c r="AO76" s="727"/>
      <c r="AP76" s="727"/>
      <c r="AQ76" s="727"/>
      <c r="AR76" s="727"/>
      <c r="AS76" s="727"/>
      <c r="AT76" s="727"/>
      <c r="AU76" s="727"/>
      <c r="AV76" s="727"/>
      <c r="AW76" s="727"/>
      <c r="AX76" s="727"/>
      <c r="AY76" s="727"/>
      <c r="AZ76" s="727"/>
      <c r="BA76" s="727"/>
      <c r="BB76" s="727"/>
      <c r="BC76" s="727"/>
      <c r="BD76" s="727"/>
      <c r="BE76" s="727"/>
      <c r="BF76" s="727"/>
      <c r="BG76" s="727"/>
      <c r="BH76" s="727"/>
      <c r="BI76" s="727"/>
      <c r="BJ76" s="727"/>
      <c r="BK76" s="727"/>
      <c r="BL76" s="727"/>
      <c r="BM76" s="727"/>
    </row>
    <row r="77" spans="1:65">
      <c r="A77" s="326"/>
      <c r="B77" s="776">
        <v>40</v>
      </c>
      <c r="C77" s="776">
        <v>7.3840000000000003</v>
      </c>
      <c r="D77" s="776">
        <v>992.1</v>
      </c>
      <c r="E77" s="776">
        <v>5.1200000000000002E-2</v>
      </c>
      <c r="F77" s="776">
        <v>2407</v>
      </c>
      <c r="G77" s="776">
        <v>4179</v>
      </c>
      <c r="H77" s="776">
        <v>1885</v>
      </c>
      <c r="I77" s="776">
        <v>0.63100000000000001</v>
      </c>
      <c r="J77" s="776">
        <v>1.9599999999999999E-2</v>
      </c>
      <c r="K77" s="777">
        <v>6.5300000000000004E-4</v>
      </c>
      <c r="L77" s="778">
        <v>1.031E-5</v>
      </c>
      <c r="M77" s="776">
        <v>4.32</v>
      </c>
      <c r="N77" s="776">
        <v>1</v>
      </c>
      <c r="O77" s="777">
        <v>3.77E-4</v>
      </c>
      <c r="P77" s="727"/>
      <c r="Q77" s="751" t="s">
        <v>1414</v>
      </c>
      <c r="R77" s="727"/>
      <c r="S77" s="727"/>
      <c r="T77" s="727"/>
      <c r="U77" s="727"/>
      <c r="V77" s="727"/>
      <c r="W77" s="727"/>
      <c r="X77" s="727"/>
      <c r="Y77" s="751" t="s">
        <v>1439</v>
      </c>
      <c r="Z77" s="727"/>
      <c r="AA77" s="727"/>
      <c r="AB77" s="727"/>
      <c r="AC77" s="727"/>
      <c r="AD77" s="727"/>
      <c r="AE77" s="727"/>
      <c r="AF77" s="727"/>
      <c r="AG77" s="727"/>
      <c r="AH77" s="727"/>
      <c r="AI77" s="727"/>
      <c r="AJ77" s="727"/>
      <c r="AK77" s="727"/>
      <c r="AL77" s="727"/>
      <c r="AM77" s="727"/>
      <c r="AN77" s="727"/>
      <c r="AO77" s="727"/>
      <c r="AP77" s="727"/>
      <c r="AQ77" s="727"/>
      <c r="AR77" s="727"/>
      <c r="AS77" s="727"/>
      <c r="AT77" s="727"/>
      <c r="AU77" s="727"/>
      <c r="AV77" s="727"/>
      <c r="AW77" s="727"/>
      <c r="AX77" s="727"/>
      <c r="AY77" s="727"/>
      <c r="AZ77" s="727"/>
      <c r="BA77" s="727"/>
      <c r="BB77" s="727"/>
      <c r="BC77" s="727"/>
      <c r="BD77" s="727"/>
      <c r="BE77" s="727"/>
      <c r="BF77" s="727"/>
      <c r="BG77" s="727"/>
      <c r="BH77" s="727"/>
      <c r="BI77" s="727"/>
      <c r="BJ77" s="727"/>
      <c r="BK77" s="727"/>
      <c r="BL77" s="727"/>
      <c r="BM77" s="727"/>
    </row>
    <row r="78" spans="1:65">
      <c r="A78" s="326"/>
      <c r="B78" s="779">
        <v>45</v>
      </c>
      <c r="C78" s="779">
        <v>9.593</v>
      </c>
      <c r="D78" s="779">
        <v>990.1</v>
      </c>
      <c r="E78" s="779">
        <v>6.5500000000000003E-2</v>
      </c>
      <c r="F78" s="779">
        <v>2395</v>
      </c>
      <c r="G78" s="779">
        <v>4180</v>
      </c>
      <c r="H78" s="779">
        <v>1892</v>
      </c>
      <c r="I78" s="779">
        <v>0.63700000000000001</v>
      </c>
      <c r="J78" s="779">
        <v>0.02</v>
      </c>
      <c r="K78" s="780">
        <v>5.9599999999999996E-4</v>
      </c>
      <c r="L78" s="781">
        <v>1.0460000000000001E-5</v>
      </c>
      <c r="M78" s="779">
        <v>3.91</v>
      </c>
      <c r="N78" s="779">
        <v>1</v>
      </c>
      <c r="O78" s="780">
        <v>4.15E-4</v>
      </c>
      <c r="P78" s="727"/>
      <c r="Q78" s="727"/>
      <c r="R78" s="727"/>
      <c r="S78" s="727"/>
      <c r="T78" s="757" t="s">
        <v>1105</v>
      </c>
      <c r="U78" s="731" t="s">
        <v>56</v>
      </c>
      <c r="V78" s="727"/>
      <c r="W78" s="727"/>
      <c r="X78" s="727"/>
      <c r="Y78" s="727"/>
      <c r="Z78" s="727"/>
      <c r="AA78" s="727"/>
      <c r="AB78" s="757" t="s">
        <v>1105</v>
      </c>
      <c r="AC78" s="731" t="s">
        <v>1014</v>
      </c>
      <c r="AD78" s="727"/>
      <c r="AE78" s="727"/>
      <c r="AF78" s="727"/>
      <c r="AG78" s="727"/>
      <c r="AH78" s="727"/>
      <c r="AI78" s="727"/>
      <c r="AJ78" s="727"/>
      <c r="AK78" s="727"/>
      <c r="AL78" s="727"/>
      <c r="AM78" s="727"/>
      <c r="AN78" s="727"/>
      <c r="AO78" s="727"/>
      <c r="AP78" s="727"/>
      <c r="AQ78" s="727"/>
      <c r="AR78" s="727"/>
      <c r="AS78" s="727"/>
      <c r="AT78" s="727"/>
      <c r="AU78" s="727"/>
      <c r="AV78" s="727"/>
      <c r="AW78" s="727"/>
      <c r="AX78" s="727"/>
      <c r="AY78" s="727"/>
      <c r="AZ78" s="727"/>
      <c r="BA78" s="727"/>
      <c r="BB78" s="727"/>
      <c r="BC78" s="727"/>
      <c r="BD78" s="727"/>
      <c r="BE78" s="727"/>
      <c r="BF78" s="727"/>
      <c r="BG78" s="727"/>
      <c r="BH78" s="727"/>
      <c r="BI78" s="727"/>
      <c r="BJ78" s="727"/>
      <c r="BK78" s="727"/>
      <c r="BL78" s="727"/>
      <c r="BM78" s="727"/>
    </row>
    <row r="79" spans="1:65">
      <c r="A79" s="326"/>
      <c r="B79" s="776">
        <v>50</v>
      </c>
      <c r="C79" s="776">
        <v>12.35</v>
      </c>
      <c r="D79" s="776">
        <v>988.1</v>
      </c>
      <c r="E79" s="776">
        <v>8.3099999999999993E-2</v>
      </c>
      <c r="F79" s="776">
        <v>2383</v>
      </c>
      <c r="G79" s="776">
        <v>4181</v>
      </c>
      <c r="H79" s="776">
        <v>1900</v>
      </c>
      <c r="I79" s="776">
        <v>0.64400000000000002</v>
      </c>
      <c r="J79" s="776">
        <v>2.0400000000000001E-2</v>
      </c>
      <c r="K79" s="777">
        <v>5.4700000000000007E-4</v>
      </c>
      <c r="L79" s="778">
        <v>1.0620000000000002E-5</v>
      </c>
      <c r="M79" s="776">
        <v>3.55</v>
      </c>
      <c r="N79" s="776">
        <v>1</v>
      </c>
      <c r="O79" s="777">
        <v>4.5100000000000001E-4</v>
      </c>
      <c r="P79" s="727"/>
      <c r="Q79" s="727"/>
      <c r="R79" s="727"/>
      <c r="S79" s="758" t="s">
        <v>952</v>
      </c>
      <c r="T79" s="759">
        <f>INDEX($B$69:$B$108,MATCH($T80,$B$69:$B$108,1))</f>
        <v>280</v>
      </c>
      <c r="U79" s="883">
        <f>VLOOKUP(T79,$B$69:$L$108,4,FALSE)</f>
        <v>33.15</v>
      </c>
      <c r="V79" s="727"/>
      <c r="W79" s="727"/>
      <c r="X79" s="727"/>
      <c r="Y79" s="727"/>
      <c r="Z79" s="727"/>
      <c r="AA79" s="758" t="s">
        <v>952</v>
      </c>
      <c r="AB79" s="759">
        <f>INDEX($B$69:$B$108,MATCH($AB80,$B$69:$B$108,1))</f>
        <v>150</v>
      </c>
      <c r="AC79" s="782">
        <f>VLOOKUP(AB79,$B$69:$L$108,10,FALSE)</f>
        <v>1.83E-4</v>
      </c>
      <c r="AD79" s="727"/>
      <c r="AE79" s="727"/>
      <c r="AF79" s="727"/>
      <c r="AG79" s="727"/>
      <c r="AH79" s="727"/>
      <c r="AI79" s="727"/>
      <c r="AJ79" s="727"/>
      <c r="AK79" s="727"/>
      <c r="AL79" s="727"/>
      <c r="AM79" s="727"/>
      <c r="AN79" s="727"/>
      <c r="AO79" s="727"/>
      <c r="AP79" s="727"/>
      <c r="AQ79" s="727"/>
      <c r="AR79" s="727"/>
      <c r="AS79" s="727"/>
      <c r="AT79" s="727"/>
      <c r="AU79" s="727"/>
      <c r="AV79" s="727"/>
      <c r="AW79" s="727"/>
      <c r="AX79" s="727"/>
      <c r="AY79" s="727"/>
      <c r="AZ79" s="727"/>
      <c r="BA79" s="727"/>
      <c r="BB79" s="727"/>
      <c r="BC79" s="727"/>
      <c r="BD79" s="727"/>
      <c r="BE79" s="727"/>
      <c r="BF79" s="727"/>
      <c r="BG79" s="727"/>
      <c r="BH79" s="727"/>
      <c r="BI79" s="727"/>
      <c r="BJ79" s="727"/>
      <c r="BK79" s="727"/>
      <c r="BL79" s="727"/>
      <c r="BM79" s="727"/>
    </row>
    <row r="80" spans="1:65">
      <c r="A80" s="326"/>
      <c r="B80" s="779">
        <v>55</v>
      </c>
      <c r="C80" s="779">
        <v>15.76</v>
      </c>
      <c r="D80" s="779">
        <v>985.2</v>
      </c>
      <c r="E80" s="779">
        <v>0.1045</v>
      </c>
      <c r="F80" s="779">
        <v>2371</v>
      </c>
      <c r="G80" s="779">
        <v>4183</v>
      </c>
      <c r="H80" s="779">
        <v>1908</v>
      </c>
      <c r="I80" s="779">
        <v>0.64900000000000002</v>
      </c>
      <c r="J80" s="779">
        <v>2.0799999999999999E-2</v>
      </c>
      <c r="K80" s="780">
        <v>5.04E-4</v>
      </c>
      <c r="L80" s="781">
        <v>1.077E-5</v>
      </c>
      <c r="M80" s="779">
        <v>3.25</v>
      </c>
      <c r="N80" s="779">
        <v>1</v>
      </c>
      <c r="O80" s="780">
        <v>4.84E-4</v>
      </c>
      <c r="P80" s="727"/>
      <c r="Q80" s="727"/>
      <c r="S80" s="758" t="s">
        <v>951</v>
      </c>
      <c r="T80" s="762">
        <f>$I$4</f>
        <v>295</v>
      </c>
      <c r="U80" s="798">
        <f>U79+(T80-T79)*(U81-U79)/(T81-T79)</f>
        <v>42.9</v>
      </c>
      <c r="V80" s="763" t="s">
        <v>869</v>
      </c>
      <c r="W80" s="727"/>
      <c r="X80" s="727"/>
      <c r="Y80" s="727"/>
      <c r="AA80" s="758" t="s">
        <v>951</v>
      </c>
      <c r="AB80" s="882">
        <f>$AC$38</f>
        <v>151.67804603364539</v>
      </c>
      <c r="AC80" s="783">
        <f>AC79+(AB80-AB79)*(AC81-AC79)/(AB81-AB79)</f>
        <v>1.8081854015626099E-4</v>
      </c>
      <c r="AD80" s="763" t="s">
        <v>869</v>
      </c>
      <c r="AE80" s="727"/>
      <c r="AF80" s="727"/>
      <c r="AG80" s="727"/>
      <c r="AH80" s="727"/>
      <c r="AI80" s="727"/>
      <c r="AJ80" s="727"/>
      <c r="AK80" s="727"/>
      <c r="AL80" s="727"/>
      <c r="AM80" s="727"/>
      <c r="AN80" s="727"/>
      <c r="AO80" s="727"/>
      <c r="AP80" s="727"/>
      <c r="AQ80" s="727"/>
      <c r="AR80" s="727"/>
      <c r="AS80" s="727"/>
      <c r="AT80" s="727"/>
      <c r="AU80" s="727"/>
      <c r="AV80" s="727"/>
      <c r="AW80" s="727"/>
      <c r="AX80" s="727"/>
      <c r="AY80" s="727"/>
      <c r="AZ80" s="727"/>
      <c r="BA80" s="727"/>
      <c r="BB80" s="727"/>
      <c r="BC80" s="727"/>
      <c r="BD80" s="727"/>
      <c r="BE80" s="727"/>
      <c r="BF80" s="727"/>
      <c r="BG80" s="727"/>
      <c r="BH80" s="727"/>
      <c r="BI80" s="727"/>
      <c r="BJ80" s="727"/>
      <c r="BK80" s="727"/>
      <c r="BL80" s="727"/>
      <c r="BM80" s="727"/>
    </row>
    <row r="81" spans="1:65">
      <c r="A81" s="326"/>
      <c r="B81" s="776">
        <v>60</v>
      </c>
      <c r="C81" s="776">
        <v>19.940000000000001</v>
      </c>
      <c r="D81" s="776">
        <v>983.3</v>
      </c>
      <c r="E81" s="776">
        <v>0.13039999999999999</v>
      </c>
      <c r="F81" s="776">
        <v>2359</v>
      </c>
      <c r="G81" s="776">
        <v>4185</v>
      </c>
      <c r="H81" s="776">
        <v>1916</v>
      </c>
      <c r="I81" s="776">
        <v>0.65400000000000003</v>
      </c>
      <c r="J81" s="776">
        <v>2.12E-2</v>
      </c>
      <c r="K81" s="777">
        <v>4.6700000000000002E-4</v>
      </c>
      <c r="L81" s="778">
        <v>1.093E-5</v>
      </c>
      <c r="M81" s="776">
        <v>2.99</v>
      </c>
      <c r="N81" s="776">
        <v>1</v>
      </c>
      <c r="O81" s="777">
        <v>5.1699999999999999E-4</v>
      </c>
      <c r="P81" s="727"/>
      <c r="Q81" s="727"/>
      <c r="R81" s="727"/>
      <c r="S81" s="758" t="s">
        <v>952</v>
      </c>
      <c r="T81" s="759">
        <f>INDEX($B$69:$B$108,MATCH($T80,$B$69:$B$108,1)+1)</f>
        <v>300</v>
      </c>
      <c r="U81" s="883">
        <f>VLOOKUP(T81,$B$69:$L$108,4,FALSE)</f>
        <v>46.15</v>
      </c>
      <c r="V81" s="727"/>
      <c r="W81" s="727"/>
      <c r="X81" s="727"/>
      <c r="Y81" s="727"/>
      <c r="Z81" s="727"/>
      <c r="AA81" s="758" t="s">
        <v>952</v>
      </c>
      <c r="AB81" s="759">
        <f>INDEX($B$69:$B$108,MATCH($AB80,$B$69:$B$108,1)+1)</f>
        <v>160</v>
      </c>
      <c r="AC81" s="782">
        <f>VLOOKUP(AB81,$B$69:$L$108,10,FALSE)</f>
        <v>1.7000000000000001E-4</v>
      </c>
      <c r="AD81" s="727"/>
      <c r="AE81" s="727"/>
      <c r="AF81" s="727"/>
      <c r="AG81" s="727"/>
      <c r="AH81" s="727"/>
      <c r="AI81" s="727"/>
      <c r="AJ81" s="727"/>
      <c r="AK81" s="727"/>
      <c r="AL81" s="727"/>
      <c r="AM81" s="727"/>
      <c r="AN81" s="727"/>
      <c r="AO81" s="727"/>
      <c r="AP81" s="727"/>
      <c r="AQ81" s="727"/>
      <c r="AR81" s="727"/>
      <c r="AS81" s="727"/>
      <c r="AT81" s="727"/>
      <c r="AU81" s="727"/>
      <c r="AV81" s="727"/>
      <c r="AW81" s="727"/>
      <c r="AX81" s="727"/>
      <c r="AY81" s="727"/>
      <c r="AZ81" s="727"/>
      <c r="BA81" s="727"/>
      <c r="BB81" s="727"/>
      <c r="BC81" s="727"/>
      <c r="BD81" s="727"/>
      <c r="BE81" s="727"/>
      <c r="BF81" s="727"/>
      <c r="BG81" s="727"/>
      <c r="BH81" s="727"/>
      <c r="BI81" s="727"/>
      <c r="BJ81" s="727"/>
      <c r="BK81" s="727"/>
      <c r="BL81" s="727"/>
      <c r="BM81" s="727"/>
    </row>
    <row r="82" spans="1:65">
      <c r="A82" s="326"/>
      <c r="B82" s="779">
        <v>65</v>
      </c>
      <c r="C82" s="779">
        <v>25.03</v>
      </c>
      <c r="D82" s="779">
        <v>980.4</v>
      </c>
      <c r="E82" s="779">
        <v>0.16139999999999999</v>
      </c>
      <c r="F82" s="779">
        <v>2346</v>
      </c>
      <c r="G82" s="779">
        <v>4187</v>
      </c>
      <c r="H82" s="779">
        <v>1926</v>
      </c>
      <c r="I82" s="779">
        <v>0.65900000000000003</v>
      </c>
      <c r="J82" s="779">
        <v>2.1600000000000001E-2</v>
      </c>
      <c r="K82" s="780">
        <v>4.3300000000000001E-4</v>
      </c>
      <c r="L82" s="781">
        <v>1.1100000000000002E-5</v>
      </c>
      <c r="M82" s="779">
        <v>2.75</v>
      </c>
      <c r="N82" s="779">
        <v>1</v>
      </c>
      <c r="O82" s="780">
        <v>5.4800000000000009E-4</v>
      </c>
      <c r="P82" s="727"/>
      <c r="Q82" s="727"/>
      <c r="R82" s="727"/>
      <c r="S82" s="727"/>
      <c r="T82" s="784"/>
      <c r="U82" s="727"/>
      <c r="V82" s="727"/>
      <c r="W82" s="727"/>
      <c r="X82" s="727"/>
      <c r="Y82" s="727"/>
      <c r="Z82" s="727"/>
      <c r="AA82" s="727"/>
      <c r="AB82" s="727"/>
      <c r="AC82" s="727"/>
      <c r="AD82" s="727"/>
      <c r="AE82" s="727"/>
      <c r="AF82" s="727"/>
      <c r="AG82" s="727"/>
      <c r="AH82" s="727"/>
      <c r="AI82" s="727"/>
      <c r="AJ82" s="727"/>
      <c r="AK82" s="727"/>
      <c r="AL82" s="727"/>
      <c r="AM82" s="727"/>
      <c r="AN82" s="727"/>
      <c r="AO82" s="727"/>
      <c r="AP82" s="727"/>
      <c r="AQ82" s="727"/>
      <c r="AR82" s="727"/>
      <c r="AS82" s="727"/>
      <c r="AT82" s="727"/>
      <c r="AU82" s="727"/>
      <c r="AV82" s="727"/>
      <c r="AW82" s="727"/>
      <c r="AX82" s="727"/>
      <c r="AY82" s="727"/>
      <c r="AZ82" s="727"/>
      <c r="BA82" s="727"/>
      <c r="BB82" s="727"/>
      <c r="BC82" s="727"/>
      <c r="BD82" s="727"/>
      <c r="BE82" s="727"/>
      <c r="BF82" s="727"/>
      <c r="BG82" s="727"/>
      <c r="BH82" s="727"/>
      <c r="BI82" s="727"/>
      <c r="BJ82" s="727"/>
      <c r="BK82" s="727"/>
      <c r="BL82" s="727"/>
      <c r="BM82" s="727"/>
    </row>
    <row r="83" spans="1:65">
      <c r="A83" s="326"/>
      <c r="B83" s="776">
        <v>70</v>
      </c>
      <c r="C83" s="776">
        <v>31.19</v>
      </c>
      <c r="D83" s="776">
        <v>977.5</v>
      </c>
      <c r="E83" s="776">
        <v>0.1983</v>
      </c>
      <c r="F83" s="776">
        <v>2334</v>
      </c>
      <c r="G83" s="776">
        <v>4190</v>
      </c>
      <c r="H83" s="776">
        <v>1936</v>
      </c>
      <c r="I83" s="776">
        <v>0.66300000000000003</v>
      </c>
      <c r="J83" s="776">
        <v>2.2100000000000002E-2</v>
      </c>
      <c r="K83" s="777">
        <v>4.0400000000000001E-4</v>
      </c>
      <c r="L83" s="778">
        <v>1.1260000000000001E-5</v>
      </c>
      <c r="M83" s="776">
        <v>2.5499999999999998</v>
      </c>
      <c r="N83" s="776">
        <v>1</v>
      </c>
      <c r="O83" s="777">
        <v>5.7799999999999995E-4</v>
      </c>
      <c r="P83" s="727"/>
      <c r="Q83" s="727"/>
      <c r="R83" s="727"/>
      <c r="S83" s="727"/>
      <c r="T83" s="784"/>
      <c r="U83" s="727"/>
      <c r="V83" s="727"/>
      <c r="W83" s="727"/>
      <c r="X83" s="727"/>
      <c r="Y83" s="727"/>
      <c r="Z83" s="727"/>
      <c r="AA83" s="727"/>
      <c r="AB83" s="727"/>
      <c r="AC83" s="727"/>
      <c r="AD83" s="727"/>
      <c r="AE83" s="727"/>
      <c r="AF83" s="727"/>
      <c r="AG83" s="727"/>
      <c r="AH83" s="727"/>
      <c r="AI83" s="727"/>
      <c r="AJ83" s="727"/>
      <c r="AK83" s="727"/>
      <c r="AL83" s="727"/>
      <c r="AM83" s="727"/>
      <c r="AN83" s="727"/>
      <c r="AO83" s="727"/>
      <c r="AP83" s="727"/>
      <c r="AQ83" s="727"/>
      <c r="AR83" s="727"/>
      <c r="AS83" s="727"/>
      <c r="AT83" s="727"/>
      <c r="AU83" s="727"/>
      <c r="AV83" s="727"/>
      <c r="AW83" s="727"/>
      <c r="AX83" s="727"/>
      <c r="AY83" s="727"/>
      <c r="AZ83" s="727"/>
      <c r="BA83" s="727"/>
      <c r="BB83" s="727"/>
      <c r="BC83" s="727"/>
      <c r="BD83" s="727"/>
      <c r="BE83" s="727"/>
      <c r="BF83" s="727"/>
      <c r="BG83" s="727"/>
      <c r="BH83" s="727"/>
      <c r="BI83" s="727"/>
      <c r="BJ83" s="727"/>
      <c r="BK83" s="727"/>
      <c r="BL83" s="727"/>
      <c r="BM83" s="727"/>
    </row>
    <row r="84" spans="1:65">
      <c r="A84" s="326"/>
      <c r="B84" s="779">
        <v>75</v>
      </c>
      <c r="C84" s="779">
        <v>38.58</v>
      </c>
      <c r="D84" s="779">
        <v>974.7</v>
      </c>
      <c r="E84" s="779">
        <v>0.24210000000000001</v>
      </c>
      <c r="F84" s="779">
        <v>2321</v>
      </c>
      <c r="G84" s="779">
        <v>4193</v>
      </c>
      <c r="H84" s="779">
        <v>1948</v>
      </c>
      <c r="I84" s="779">
        <v>0.66700000000000004</v>
      </c>
      <c r="J84" s="779">
        <v>2.2499999999999999E-2</v>
      </c>
      <c r="K84" s="780">
        <v>3.7800000000000003E-4</v>
      </c>
      <c r="L84" s="781">
        <v>1.1420000000000001E-5</v>
      </c>
      <c r="M84" s="779">
        <v>2.38</v>
      </c>
      <c r="N84" s="779">
        <v>1</v>
      </c>
      <c r="O84" s="780">
        <v>6.0700000000000001E-4</v>
      </c>
      <c r="P84" s="727"/>
      <c r="Q84" s="751" t="s">
        <v>1433</v>
      </c>
      <c r="R84" s="727"/>
      <c r="S84" s="727"/>
      <c r="T84" s="727"/>
      <c r="U84" s="727"/>
      <c r="V84" s="727"/>
      <c r="W84" s="727"/>
      <c r="X84" s="727"/>
      <c r="Y84" s="727"/>
      <c r="Z84" s="727"/>
      <c r="AA84" s="727"/>
      <c r="AB84" s="727"/>
      <c r="AC84" s="727"/>
      <c r="AD84" s="727"/>
      <c r="AE84" s="727"/>
      <c r="AF84" s="727"/>
      <c r="AG84" s="727"/>
      <c r="AH84" s="727"/>
      <c r="AI84" s="727"/>
      <c r="AJ84" s="727"/>
      <c r="AK84" s="727"/>
      <c r="AL84" s="727"/>
      <c r="AM84" s="727"/>
      <c r="AN84" s="727"/>
      <c r="AO84" s="727"/>
      <c r="AP84" s="727"/>
      <c r="AQ84" s="727"/>
      <c r="AR84" s="727"/>
      <c r="AS84" s="727"/>
      <c r="AT84" s="727"/>
      <c r="AU84" s="727"/>
      <c r="AV84" s="727"/>
      <c r="AW84" s="727"/>
      <c r="AX84" s="727"/>
      <c r="AY84" s="727"/>
      <c r="AZ84" s="727"/>
      <c r="BA84" s="727"/>
      <c r="BB84" s="727"/>
      <c r="BC84" s="727"/>
      <c r="BD84" s="727"/>
      <c r="BE84" s="727"/>
      <c r="BF84" s="727"/>
      <c r="BG84" s="727"/>
      <c r="BH84" s="727"/>
      <c r="BI84" s="727"/>
      <c r="BJ84" s="727"/>
      <c r="BK84" s="727"/>
      <c r="BL84" s="727"/>
      <c r="BM84" s="727"/>
    </row>
    <row r="85" spans="1:65">
      <c r="A85" s="326"/>
      <c r="B85" s="776">
        <v>80</v>
      </c>
      <c r="C85" s="776">
        <v>47.39</v>
      </c>
      <c r="D85" s="776">
        <v>971.8</v>
      </c>
      <c r="E85" s="776">
        <v>0.29349999999999998</v>
      </c>
      <c r="F85" s="776">
        <v>2309</v>
      </c>
      <c r="G85" s="776">
        <v>4197</v>
      </c>
      <c r="H85" s="776">
        <v>1962</v>
      </c>
      <c r="I85" s="776">
        <v>0.67</v>
      </c>
      <c r="J85" s="776">
        <v>2.3E-2</v>
      </c>
      <c r="K85" s="777">
        <v>3.5500000000000001E-4</v>
      </c>
      <c r="L85" s="778">
        <v>1.1590000000000001E-5</v>
      </c>
      <c r="M85" s="776">
        <v>2.2200000000000002</v>
      </c>
      <c r="N85" s="776">
        <v>1</v>
      </c>
      <c r="O85" s="777">
        <v>6.5300000000000004E-4</v>
      </c>
      <c r="P85" s="727"/>
      <c r="Q85" s="727"/>
      <c r="R85" s="727"/>
      <c r="S85" s="727"/>
      <c r="T85" s="757" t="s">
        <v>1468</v>
      </c>
      <c r="U85" s="731" t="s">
        <v>56</v>
      </c>
      <c r="V85" s="727"/>
      <c r="W85" s="727"/>
      <c r="X85" s="727"/>
      <c r="Y85" s="727"/>
      <c r="Z85" s="727"/>
      <c r="AA85" s="727"/>
      <c r="AB85" s="727"/>
      <c r="AC85" s="727"/>
      <c r="AD85" s="727"/>
      <c r="AE85" s="727"/>
      <c r="AF85" s="727"/>
      <c r="AG85" s="727"/>
      <c r="AH85" s="727"/>
      <c r="AI85" s="727"/>
      <c r="AJ85" s="727"/>
      <c r="AK85" s="727"/>
      <c r="AL85" s="727"/>
      <c r="AM85" s="727"/>
      <c r="AN85" s="727"/>
      <c r="AO85" s="727"/>
      <c r="AP85" s="727"/>
      <c r="AQ85" s="727"/>
      <c r="AR85" s="727"/>
      <c r="AS85" s="727"/>
      <c r="AT85" s="727"/>
      <c r="AU85" s="727"/>
      <c r="AV85" s="727"/>
      <c r="AW85" s="727"/>
      <c r="AX85" s="727"/>
      <c r="AY85" s="727"/>
      <c r="AZ85" s="727"/>
      <c r="BA85" s="727"/>
      <c r="BB85" s="727"/>
      <c r="BC85" s="727"/>
      <c r="BD85" s="727"/>
      <c r="BE85" s="727"/>
      <c r="BF85" s="727"/>
      <c r="BG85" s="727"/>
      <c r="BH85" s="727"/>
      <c r="BI85" s="727"/>
      <c r="BJ85" s="727"/>
      <c r="BK85" s="727"/>
      <c r="BL85" s="727"/>
      <c r="BM85" s="727"/>
    </row>
    <row r="86" spans="1:65">
      <c r="A86" s="326"/>
      <c r="B86" s="779">
        <v>85</v>
      </c>
      <c r="C86" s="779">
        <v>57.83</v>
      </c>
      <c r="D86" s="779">
        <v>968.1</v>
      </c>
      <c r="E86" s="779">
        <v>0.35360000000000003</v>
      </c>
      <c r="F86" s="779">
        <v>2296</v>
      </c>
      <c r="G86" s="779">
        <v>4201</v>
      </c>
      <c r="H86" s="779">
        <v>1977</v>
      </c>
      <c r="I86" s="779">
        <v>0.67300000000000004</v>
      </c>
      <c r="J86" s="779">
        <v>2.35E-2</v>
      </c>
      <c r="K86" s="780">
        <v>3.3300000000000002E-4</v>
      </c>
      <c r="L86" s="781">
        <v>1.1760000000000001E-5</v>
      </c>
      <c r="M86" s="779">
        <v>2.08</v>
      </c>
      <c r="N86" s="779">
        <v>1</v>
      </c>
      <c r="O86" s="780">
        <v>6.7000000000000002E-4</v>
      </c>
      <c r="P86" s="727"/>
      <c r="Q86" s="727"/>
      <c r="R86" s="727"/>
      <c r="S86" s="758" t="s">
        <v>952</v>
      </c>
      <c r="T86" s="759">
        <f>INDEX($B$69:$B$108,MATCH($T87,$B$69:$B$108,1))</f>
        <v>150</v>
      </c>
      <c r="U86" s="883">
        <f>VLOOKUP(T86,$B$69:$L$108,3,FALSE)</f>
        <v>916.6</v>
      </c>
      <c r="V86" s="727"/>
      <c r="W86" s="727"/>
      <c r="X86" s="727"/>
      <c r="Y86" s="727"/>
      <c r="Z86" s="727"/>
      <c r="AA86" s="727"/>
      <c r="AB86" s="727"/>
      <c r="AC86" s="727"/>
      <c r="AD86" s="727"/>
      <c r="AE86" s="727"/>
      <c r="AF86" s="727"/>
      <c r="AG86" s="727"/>
      <c r="AH86" s="727"/>
      <c r="AI86" s="727"/>
      <c r="AJ86" s="727"/>
      <c r="AK86" s="727"/>
      <c r="AL86" s="727"/>
      <c r="AM86" s="727"/>
      <c r="AN86" s="727"/>
      <c r="AO86" s="727"/>
      <c r="AP86" s="727"/>
      <c r="AQ86" s="727"/>
      <c r="AR86" s="727"/>
      <c r="AS86" s="727"/>
      <c r="AT86" s="727"/>
      <c r="AU86" s="727"/>
      <c r="AV86" s="727"/>
      <c r="AW86" s="727"/>
      <c r="AX86" s="727"/>
      <c r="AY86" s="727"/>
      <c r="AZ86" s="727"/>
      <c r="BA86" s="727"/>
      <c r="BB86" s="727"/>
      <c r="BC86" s="727"/>
      <c r="BD86" s="727"/>
      <c r="BE86" s="727"/>
      <c r="BF86" s="727"/>
      <c r="BG86" s="727"/>
      <c r="BH86" s="727"/>
      <c r="BI86" s="727"/>
      <c r="BJ86" s="727"/>
      <c r="BK86" s="727"/>
      <c r="BL86" s="727"/>
      <c r="BM86" s="727"/>
    </row>
    <row r="87" spans="1:65">
      <c r="A87" s="326"/>
      <c r="B87" s="776">
        <v>90</v>
      </c>
      <c r="C87" s="776">
        <v>70.14</v>
      </c>
      <c r="D87" s="776">
        <v>965.3</v>
      </c>
      <c r="E87" s="776">
        <v>0.42349999999999999</v>
      </c>
      <c r="F87" s="776">
        <v>2283</v>
      </c>
      <c r="G87" s="776">
        <v>4206</v>
      </c>
      <c r="H87" s="776">
        <v>1993</v>
      </c>
      <c r="I87" s="776">
        <v>0.67500000000000004</v>
      </c>
      <c r="J87" s="776">
        <v>2.4E-2</v>
      </c>
      <c r="K87" s="777">
        <v>3.1500000000000001E-4</v>
      </c>
      <c r="L87" s="778">
        <v>1.1930000000000001E-5</v>
      </c>
      <c r="M87" s="776">
        <v>1.96</v>
      </c>
      <c r="N87" s="776">
        <v>1</v>
      </c>
      <c r="O87" s="777">
        <v>7.0199999999999993E-4</v>
      </c>
      <c r="P87" s="727"/>
      <c r="Q87" s="727"/>
      <c r="S87" s="758" t="s">
        <v>951</v>
      </c>
      <c r="T87" s="882">
        <f>$AC$38</f>
        <v>151.67804603364539</v>
      </c>
      <c r="U87" s="798">
        <f>U86+(T87-T86)*(U88-U86)/(T88-T86)</f>
        <v>915.05619764904623</v>
      </c>
      <c r="V87" s="763" t="s">
        <v>869</v>
      </c>
      <c r="W87" s="727"/>
      <c r="X87" s="727"/>
      <c r="Y87" s="727"/>
      <c r="Z87" s="727"/>
      <c r="AA87" s="727"/>
      <c r="AB87" s="727"/>
      <c r="AC87" s="727"/>
      <c r="AD87" s="727"/>
      <c r="AE87" s="727"/>
      <c r="AF87" s="727"/>
      <c r="AG87" s="727"/>
      <c r="AH87" s="727"/>
      <c r="AI87" s="727"/>
      <c r="AJ87" s="727"/>
      <c r="AK87" s="727"/>
      <c r="AL87" s="727"/>
      <c r="AM87" s="727"/>
      <c r="AN87" s="727"/>
      <c r="AO87" s="727"/>
      <c r="AP87" s="727"/>
      <c r="AQ87" s="727"/>
      <c r="AR87" s="727"/>
      <c r="AS87" s="727"/>
      <c r="AT87" s="727"/>
      <c r="AU87" s="727"/>
      <c r="AV87" s="727"/>
      <c r="AW87" s="727"/>
      <c r="AX87" s="727"/>
      <c r="AY87" s="727"/>
      <c r="AZ87" s="727"/>
      <c r="BA87" s="727"/>
      <c r="BB87" s="727"/>
      <c r="BC87" s="727"/>
      <c r="BD87" s="727"/>
      <c r="BE87" s="727"/>
      <c r="BF87" s="768" t="s">
        <v>902</v>
      </c>
      <c r="BH87" s="727"/>
      <c r="BI87" s="727"/>
      <c r="BJ87" s="727"/>
      <c r="BK87" s="727"/>
      <c r="BL87" s="727"/>
      <c r="BM87" s="727"/>
    </row>
    <row r="88" spans="1:65">
      <c r="A88" s="326"/>
      <c r="B88" s="779">
        <v>95</v>
      </c>
      <c r="C88" s="779">
        <v>84.55</v>
      </c>
      <c r="D88" s="779">
        <v>961.5</v>
      </c>
      <c r="E88" s="779">
        <v>0.50449999999999995</v>
      </c>
      <c r="F88" s="779">
        <v>2270</v>
      </c>
      <c r="G88" s="779">
        <v>4212</v>
      </c>
      <c r="H88" s="779">
        <v>2010</v>
      </c>
      <c r="I88" s="779">
        <v>0.67700000000000005</v>
      </c>
      <c r="J88" s="779">
        <v>2.46E-2</v>
      </c>
      <c r="K88" s="780">
        <v>2.9700000000000001E-4</v>
      </c>
      <c r="L88" s="781">
        <v>1.2100000000000001E-5</v>
      </c>
      <c r="M88" s="779">
        <v>1.85</v>
      </c>
      <c r="N88" s="779">
        <v>1</v>
      </c>
      <c r="O88" s="780">
        <v>7.1599999999999995E-4</v>
      </c>
      <c r="P88" s="727"/>
      <c r="Q88" s="727"/>
      <c r="R88" s="727"/>
      <c r="S88" s="758" t="s">
        <v>952</v>
      </c>
      <c r="T88" s="759">
        <f>INDEX($B$69:$B$108,MATCH($T87,$B$69:$B$108,1)+1)</f>
        <v>160</v>
      </c>
      <c r="U88" s="883">
        <f>VLOOKUP(T88,$B$69:$L$108,3,FALSE)</f>
        <v>907.4</v>
      </c>
      <c r="V88" s="727"/>
      <c r="W88" s="727"/>
      <c r="X88" s="727"/>
      <c r="Y88" s="727"/>
      <c r="Z88" s="727"/>
      <c r="AA88" s="727"/>
      <c r="AB88" s="727"/>
      <c r="AC88" s="727"/>
      <c r="AD88" s="727"/>
      <c r="AE88" s="727"/>
      <c r="AF88" s="727"/>
      <c r="AG88" s="727"/>
      <c r="AH88" s="727"/>
      <c r="AI88" s="727"/>
      <c r="AJ88" s="727"/>
      <c r="AK88" s="727"/>
      <c r="AL88" s="727"/>
      <c r="AM88" s="727"/>
      <c r="AN88" s="727"/>
      <c r="AO88" s="727"/>
      <c r="AP88" s="727"/>
      <c r="AQ88" s="727"/>
      <c r="AR88" s="727"/>
      <c r="AS88" s="727"/>
      <c r="AT88" s="727"/>
      <c r="AU88" s="727"/>
      <c r="AV88" s="727"/>
      <c r="AW88" s="727"/>
      <c r="AX88" s="727"/>
      <c r="AY88" s="727"/>
      <c r="AZ88" s="727"/>
      <c r="BA88" s="727"/>
      <c r="BB88" s="727"/>
      <c r="BC88" s="727"/>
      <c r="BD88" s="727"/>
      <c r="BE88" s="727"/>
      <c r="BF88" s="757" t="s">
        <v>903</v>
      </c>
      <c r="BG88" s="839">
        <f>$N$4/1000000</f>
        <v>3.5</v>
      </c>
      <c r="BH88" s="770"/>
      <c r="BI88" s="727"/>
      <c r="BJ88" s="727"/>
      <c r="BK88" s="727"/>
      <c r="BL88" s="727"/>
      <c r="BM88" s="727"/>
    </row>
    <row r="89" spans="1:65">
      <c r="A89" s="326"/>
      <c r="B89" s="776">
        <v>100</v>
      </c>
      <c r="C89" s="776">
        <v>101.33</v>
      </c>
      <c r="D89" s="776">
        <v>957.9</v>
      </c>
      <c r="E89" s="776">
        <v>0.5978</v>
      </c>
      <c r="F89" s="776">
        <v>2257</v>
      </c>
      <c r="G89" s="776">
        <v>4217</v>
      </c>
      <c r="H89" s="776">
        <v>2029</v>
      </c>
      <c r="I89" s="776">
        <v>0.67900000000000005</v>
      </c>
      <c r="J89" s="776">
        <v>2.5100000000000001E-2</v>
      </c>
      <c r="K89" s="777">
        <v>2.8199999999999997E-4</v>
      </c>
      <c r="L89" s="778">
        <v>1.2270000000000001E-5</v>
      </c>
      <c r="M89" s="776">
        <v>1.75</v>
      </c>
      <c r="N89" s="776">
        <v>1</v>
      </c>
      <c r="O89" s="777">
        <v>7.5000000000000002E-4</v>
      </c>
      <c r="P89" s="727"/>
      <c r="Q89" s="727"/>
      <c r="R89" s="727"/>
      <c r="S89" s="727"/>
      <c r="T89" s="784"/>
      <c r="U89" s="727"/>
      <c r="V89" s="727"/>
      <c r="W89" s="727"/>
      <c r="X89" s="727"/>
      <c r="Y89" s="727"/>
      <c r="Z89" s="727"/>
      <c r="AA89" s="727"/>
      <c r="AB89" s="727"/>
      <c r="AC89" s="727"/>
      <c r="AD89" s="727"/>
      <c r="AE89" s="727"/>
      <c r="AF89" s="727"/>
      <c r="AG89" s="727"/>
      <c r="AH89" s="727"/>
      <c r="AI89" s="727"/>
      <c r="AJ89" s="727"/>
      <c r="AK89" s="727"/>
      <c r="AL89" s="727"/>
      <c r="AM89" s="727"/>
      <c r="AN89" s="727"/>
      <c r="AO89" s="727"/>
      <c r="AP89" s="727"/>
      <c r="AQ89" s="727"/>
      <c r="AR89" s="727"/>
      <c r="AS89" s="727"/>
      <c r="AT89" s="727"/>
      <c r="AU89" s="727"/>
      <c r="AV89" s="727"/>
      <c r="AW89" s="727"/>
      <c r="AX89" s="727"/>
      <c r="AY89" s="727"/>
      <c r="AZ89" s="727"/>
      <c r="BA89" s="727"/>
      <c r="BB89" s="727"/>
      <c r="BC89" s="727"/>
      <c r="BD89" s="727"/>
      <c r="BE89" s="727"/>
      <c r="BF89" s="757" t="s">
        <v>899</v>
      </c>
      <c r="BG89" s="771">
        <f>-0.0008844*BG88^6+0.058307*BG88^5-1.4745*BG88^4+17.855*BG88^3-106.21*BG88^2+271.54*BG88+2594</f>
        <v>2816.5816362875003</v>
      </c>
      <c r="BH89" s="763" t="s">
        <v>79</v>
      </c>
      <c r="BI89" s="727"/>
      <c r="BJ89" s="727"/>
      <c r="BK89" s="727"/>
      <c r="BL89" s="772" t="str">
        <f>IF(OR(BG89&gt;1.1*BG90,BG89&lt;0.9*BG90),"error &gt; 10%", "OK, error within 10%")</f>
        <v>OK, error within 10%</v>
      </c>
      <c r="BM89" s="727"/>
    </row>
    <row r="90" spans="1:65">
      <c r="A90" s="326"/>
      <c r="B90" s="779">
        <v>110</v>
      </c>
      <c r="C90" s="779">
        <v>143.27000000000001</v>
      </c>
      <c r="D90" s="779">
        <v>950.6</v>
      </c>
      <c r="E90" s="779">
        <v>0.82630000000000003</v>
      </c>
      <c r="F90" s="779">
        <v>2230</v>
      </c>
      <c r="G90" s="779">
        <v>4229</v>
      </c>
      <c r="H90" s="779">
        <v>2071</v>
      </c>
      <c r="I90" s="779">
        <v>0.68200000000000005</v>
      </c>
      <c r="J90" s="779">
        <v>2.6200000000000001E-2</v>
      </c>
      <c r="K90" s="780">
        <v>2.5500000000000002E-4</v>
      </c>
      <c r="L90" s="781">
        <v>1.261E-5</v>
      </c>
      <c r="M90" s="779">
        <v>1.58</v>
      </c>
      <c r="N90" s="779">
        <v>1</v>
      </c>
      <c r="O90" s="780">
        <v>7.980000000000001E-4</v>
      </c>
      <c r="P90" s="727"/>
      <c r="Q90" s="727"/>
      <c r="R90" s="727"/>
      <c r="S90" s="727"/>
      <c r="T90" s="784"/>
      <c r="U90" s="727"/>
      <c r="V90" s="727"/>
      <c r="W90" s="727"/>
      <c r="X90" s="727"/>
      <c r="Y90" s="727"/>
      <c r="Z90" s="727"/>
      <c r="AA90" s="727"/>
      <c r="AB90" s="727"/>
      <c r="AC90" s="727"/>
      <c r="AD90" s="727"/>
      <c r="AE90" s="727"/>
      <c r="AF90" s="727"/>
      <c r="AG90" s="727"/>
      <c r="AH90" s="727"/>
      <c r="AI90" s="727"/>
      <c r="AJ90" s="727"/>
      <c r="AK90" s="727"/>
      <c r="AL90" s="727"/>
      <c r="AM90" s="727"/>
      <c r="AN90" s="727"/>
      <c r="AO90" s="727"/>
      <c r="AP90" s="727"/>
      <c r="AQ90" s="727"/>
      <c r="AR90" s="727"/>
      <c r="AS90" s="727"/>
      <c r="AT90" s="727"/>
      <c r="AU90" s="727"/>
      <c r="AV90" s="727"/>
      <c r="AW90" s="727"/>
      <c r="AX90" s="727"/>
      <c r="AY90" s="727"/>
      <c r="AZ90" s="727"/>
      <c r="BA90" s="727"/>
      <c r="BB90" s="727"/>
      <c r="BC90" s="727"/>
      <c r="BD90" s="727"/>
      <c r="BE90" s="727"/>
      <c r="BF90" s="757" t="s">
        <v>899</v>
      </c>
      <c r="BG90" s="773">
        <f>J41+(BG88-C41)*(J42-J41)/(C42-C41)</f>
        <v>2835.4840507173831</v>
      </c>
      <c r="BH90" s="763" t="s">
        <v>869</v>
      </c>
      <c r="BI90" s="727"/>
      <c r="BJ90" s="727"/>
      <c r="BK90" s="727"/>
      <c r="BL90" s="727"/>
      <c r="BM90" s="727"/>
    </row>
    <row r="91" spans="1:65">
      <c r="A91" s="326"/>
      <c r="B91" s="776">
        <v>120</v>
      </c>
      <c r="C91" s="776">
        <v>198.53</v>
      </c>
      <c r="D91" s="776">
        <v>943.4</v>
      </c>
      <c r="E91" s="776">
        <v>1.121</v>
      </c>
      <c r="F91" s="776">
        <v>2203</v>
      </c>
      <c r="G91" s="776">
        <v>4244</v>
      </c>
      <c r="H91" s="776">
        <v>2120</v>
      </c>
      <c r="I91" s="776">
        <v>0.68300000000000005</v>
      </c>
      <c r="J91" s="776">
        <v>2.75E-2</v>
      </c>
      <c r="K91" s="777">
        <v>2.3200000000000003E-4</v>
      </c>
      <c r="L91" s="778">
        <v>1.2960000000000001E-5</v>
      </c>
      <c r="M91" s="776">
        <v>1.44</v>
      </c>
      <c r="N91" s="776">
        <v>1</v>
      </c>
      <c r="O91" s="777">
        <v>8.5800000000000004E-4</v>
      </c>
      <c r="P91" s="727"/>
      <c r="Q91" s="727"/>
      <c r="R91" s="727"/>
      <c r="S91" s="727"/>
      <c r="T91" s="784"/>
      <c r="U91" s="727"/>
      <c r="V91" s="727"/>
      <c r="W91" s="727"/>
      <c r="X91" s="727"/>
      <c r="Y91" s="727"/>
      <c r="Z91" s="727"/>
      <c r="AA91" s="727"/>
      <c r="AB91" s="727"/>
      <c r="AC91" s="727"/>
      <c r="AD91" s="727"/>
      <c r="AE91" s="727"/>
      <c r="AF91" s="727"/>
      <c r="AG91" s="727"/>
      <c r="AH91" s="727"/>
      <c r="AI91" s="727"/>
      <c r="AJ91" s="727"/>
      <c r="AK91" s="727"/>
      <c r="AL91" s="727"/>
      <c r="AM91" s="727"/>
      <c r="AN91" s="727"/>
      <c r="AO91" s="727"/>
      <c r="AP91" s="727"/>
      <c r="AQ91" s="727"/>
      <c r="AR91" s="727"/>
      <c r="AS91" s="727"/>
      <c r="AT91" s="727"/>
      <c r="AU91" s="727"/>
      <c r="AV91" s="727"/>
      <c r="AW91" s="727"/>
      <c r="AX91" s="727"/>
      <c r="AY91" s="727"/>
      <c r="AZ91" s="727"/>
      <c r="BA91" s="727"/>
      <c r="BB91" s="727"/>
      <c r="BC91" s="727"/>
      <c r="BD91" s="727"/>
      <c r="BE91" s="727"/>
      <c r="BF91" s="727"/>
      <c r="BG91" s="727"/>
      <c r="BH91" s="727"/>
      <c r="BI91" s="727"/>
      <c r="BJ91" s="727"/>
      <c r="BK91" s="727"/>
      <c r="BL91" s="727"/>
      <c r="BM91" s="727"/>
    </row>
    <row r="92" spans="1:65" ht="15" customHeight="1">
      <c r="A92" s="326"/>
      <c r="B92" s="779">
        <v>130</v>
      </c>
      <c r="C92" s="779">
        <v>270.10000000000002</v>
      </c>
      <c r="D92" s="779">
        <v>934.6</v>
      </c>
      <c r="E92" s="779">
        <v>1.496</v>
      </c>
      <c r="F92" s="779">
        <v>2174</v>
      </c>
      <c r="G92" s="779">
        <v>4263</v>
      </c>
      <c r="H92" s="779">
        <v>2177</v>
      </c>
      <c r="I92" s="779">
        <v>0.68400000000000005</v>
      </c>
      <c r="J92" s="779">
        <v>2.8799999999999999E-2</v>
      </c>
      <c r="K92" s="780">
        <v>2.13E-4</v>
      </c>
      <c r="L92" s="781">
        <v>1.3300000000000001E-5</v>
      </c>
      <c r="M92" s="779">
        <v>1.33</v>
      </c>
      <c r="N92" s="779">
        <v>1.01</v>
      </c>
      <c r="O92" s="780">
        <v>9.1300000000000007E-4</v>
      </c>
      <c r="P92" s="727"/>
      <c r="Q92" s="727"/>
      <c r="R92" s="727"/>
      <c r="S92" s="727"/>
      <c r="T92" s="784"/>
      <c r="U92" s="727"/>
      <c r="V92" s="727"/>
      <c r="W92" s="727"/>
      <c r="X92" s="727"/>
      <c r="Y92" s="727"/>
      <c r="Z92" s="727"/>
      <c r="AA92" s="727"/>
      <c r="AB92" s="727"/>
      <c r="AC92" s="727"/>
      <c r="AD92" s="727"/>
      <c r="AE92" s="727"/>
      <c r="AF92" s="727"/>
      <c r="AG92" s="727"/>
      <c r="AH92" s="727"/>
      <c r="AI92" s="727"/>
      <c r="AJ92" s="727"/>
      <c r="AK92" s="727"/>
      <c r="AL92" s="727"/>
      <c r="AM92" s="727"/>
      <c r="AN92" s="727"/>
      <c r="AO92" s="727"/>
      <c r="AP92" s="727"/>
      <c r="AQ92" s="727"/>
      <c r="AR92" s="727"/>
      <c r="AS92" s="727"/>
      <c r="AT92" s="727"/>
      <c r="AU92" s="727"/>
      <c r="AV92" s="727"/>
      <c r="AW92" s="727"/>
      <c r="AX92" s="727"/>
      <c r="AY92" s="727"/>
      <c r="AZ92" s="727"/>
      <c r="BA92" s="727"/>
      <c r="BB92" s="727"/>
      <c r="BC92" s="727"/>
      <c r="BD92" s="727"/>
      <c r="BE92" s="727"/>
      <c r="BF92" s="727"/>
      <c r="BG92" s="727"/>
      <c r="BH92" s="727"/>
      <c r="BI92" s="727"/>
      <c r="BJ92" s="727"/>
      <c r="BK92" s="727"/>
      <c r="BL92" s="727"/>
      <c r="BM92" s="727"/>
    </row>
    <row r="93" spans="1:65">
      <c r="A93" s="326"/>
      <c r="B93" s="776">
        <v>140</v>
      </c>
      <c r="C93" s="776">
        <v>361.3</v>
      </c>
      <c r="D93" s="776">
        <v>921.7</v>
      </c>
      <c r="E93" s="776">
        <v>1.9650000000000001</v>
      </c>
      <c r="F93" s="776">
        <v>2145</v>
      </c>
      <c r="G93" s="776">
        <v>4286</v>
      </c>
      <c r="H93" s="776">
        <v>2244</v>
      </c>
      <c r="I93" s="776">
        <v>0.68300000000000005</v>
      </c>
      <c r="J93" s="776">
        <v>3.0099999999999998E-2</v>
      </c>
      <c r="K93" s="777">
        <v>1.9700000000000002E-4</v>
      </c>
      <c r="L93" s="778">
        <v>1.3650000000000001E-5</v>
      </c>
      <c r="M93" s="776">
        <v>1.24</v>
      </c>
      <c r="N93" s="776">
        <v>1.02</v>
      </c>
      <c r="O93" s="777">
        <v>9.6999999999999994E-4</v>
      </c>
      <c r="P93" s="727"/>
      <c r="Q93" s="727"/>
      <c r="R93" s="727"/>
      <c r="S93" s="727"/>
      <c r="T93" s="784"/>
      <c r="U93" s="727"/>
      <c r="V93" s="727"/>
      <c r="W93" s="727"/>
      <c r="X93" s="727"/>
      <c r="Y93" s="727"/>
      <c r="Z93" s="727"/>
      <c r="AA93" s="727"/>
      <c r="AB93" s="727"/>
      <c r="AC93" s="727"/>
      <c r="AD93" s="727"/>
      <c r="AE93" s="727"/>
      <c r="AF93" s="727"/>
      <c r="AG93" s="727"/>
      <c r="AH93" s="727"/>
      <c r="AI93" s="727"/>
      <c r="AJ93" s="727"/>
      <c r="AK93" s="727"/>
      <c r="AL93" s="727"/>
      <c r="AM93" s="727"/>
      <c r="AN93" s="727"/>
      <c r="AO93" s="727"/>
      <c r="AP93" s="727"/>
      <c r="AQ93" s="727"/>
      <c r="AR93" s="727"/>
      <c r="AS93" s="727"/>
      <c r="AT93" s="727"/>
      <c r="AU93" s="727"/>
      <c r="AV93" s="727"/>
      <c r="AW93" s="727"/>
      <c r="AX93" s="727"/>
      <c r="AY93" s="727"/>
      <c r="AZ93" s="727"/>
      <c r="BA93" s="727"/>
      <c r="BB93" s="727"/>
    </row>
    <row r="94" spans="1:65">
      <c r="A94" s="326"/>
      <c r="B94" s="779">
        <v>150</v>
      </c>
      <c r="C94" s="779">
        <v>475.8</v>
      </c>
      <c r="D94" s="779">
        <v>916.6</v>
      </c>
      <c r="E94" s="779">
        <v>2.5459999999999998</v>
      </c>
      <c r="F94" s="779">
        <v>2114</v>
      </c>
      <c r="G94" s="779">
        <v>4311</v>
      </c>
      <c r="H94" s="779">
        <v>2314</v>
      </c>
      <c r="I94" s="779">
        <v>0.68200000000000005</v>
      </c>
      <c r="J94" s="779">
        <v>3.1600000000000003E-2</v>
      </c>
      <c r="K94" s="780">
        <v>1.83E-4</v>
      </c>
      <c r="L94" s="781">
        <v>1.3990000000000002E-5</v>
      </c>
      <c r="M94" s="779">
        <v>1.1599999999999999</v>
      </c>
      <c r="N94" s="779">
        <v>1.02</v>
      </c>
      <c r="O94" s="780">
        <v>1.0249999999999999E-3</v>
      </c>
      <c r="P94" s="727"/>
      <c r="Q94" s="727"/>
      <c r="R94" s="727"/>
      <c r="S94" s="727"/>
      <c r="T94" s="784"/>
      <c r="U94" s="727"/>
      <c r="V94" s="727"/>
      <c r="W94" s="727"/>
      <c r="X94" s="727"/>
      <c r="Y94" s="727"/>
      <c r="Z94" s="727"/>
      <c r="AA94" s="727"/>
      <c r="AB94" s="727"/>
      <c r="AC94" s="727"/>
      <c r="AD94" s="727"/>
      <c r="AE94" s="727"/>
      <c r="AF94" s="727"/>
      <c r="AG94" s="727"/>
      <c r="AH94" s="727"/>
      <c r="AI94" s="727"/>
      <c r="AJ94" s="727"/>
      <c r="AK94" s="727"/>
      <c r="AL94" s="727"/>
      <c r="AM94" s="727"/>
      <c r="AN94" s="727"/>
      <c r="AO94" s="727"/>
      <c r="AP94" s="727"/>
      <c r="AQ94" s="727"/>
      <c r="AR94" s="727"/>
      <c r="AS94" s="727"/>
      <c r="AT94" s="727"/>
      <c r="AU94" s="727"/>
      <c r="AV94" s="727"/>
      <c r="AW94" s="727"/>
      <c r="AX94" s="727"/>
      <c r="AY94" s="727"/>
      <c r="AZ94" s="727"/>
      <c r="BA94" s="727"/>
      <c r="BB94" s="727"/>
    </row>
    <row r="95" spans="1:65">
      <c r="A95" s="326"/>
      <c r="B95" s="776">
        <v>160</v>
      </c>
      <c r="C95" s="776">
        <v>617.79999999999995</v>
      </c>
      <c r="D95" s="776">
        <v>907.4</v>
      </c>
      <c r="E95" s="776">
        <v>3.2559999999999998</v>
      </c>
      <c r="F95" s="776">
        <v>2083</v>
      </c>
      <c r="G95" s="776">
        <v>4340</v>
      </c>
      <c r="H95" s="776">
        <v>2420</v>
      </c>
      <c r="I95" s="776">
        <v>0.68</v>
      </c>
      <c r="J95" s="776">
        <v>3.3099999999999997E-2</v>
      </c>
      <c r="K95" s="777">
        <v>1.7000000000000001E-4</v>
      </c>
      <c r="L95" s="778">
        <v>1.434E-5</v>
      </c>
      <c r="M95" s="776">
        <v>1.0900000000000001</v>
      </c>
      <c r="N95" s="776">
        <v>1.05</v>
      </c>
      <c r="O95" s="777">
        <v>1.145E-3</v>
      </c>
      <c r="P95" s="727"/>
      <c r="Q95" s="731" t="s">
        <v>1404</v>
      </c>
      <c r="R95" s="727"/>
      <c r="S95" s="727"/>
      <c r="T95" s="784"/>
      <c r="U95" s="727"/>
      <c r="V95" s="727"/>
      <c r="W95" s="727"/>
      <c r="X95" s="727"/>
      <c r="Y95" s="731" t="s">
        <v>369</v>
      </c>
      <c r="Z95" s="727"/>
      <c r="AA95" s="727"/>
      <c r="AB95" s="784"/>
      <c r="AC95" s="727"/>
      <c r="AD95" s="727"/>
      <c r="AE95" s="727"/>
      <c r="AF95" s="727"/>
      <c r="AG95" s="727"/>
      <c r="AH95" s="727"/>
      <c r="AI95" s="727"/>
      <c r="AJ95" s="727"/>
      <c r="AK95" s="727"/>
      <c r="AL95" s="727"/>
      <c r="AM95" s="727"/>
      <c r="AN95" s="727"/>
      <c r="AO95" s="727"/>
      <c r="AP95" s="727"/>
      <c r="AQ95" s="727"/>
      <c r="AR95" s="727"/>
      <c r="AS95" s="727"/>
      <c r="AT95" s="727"/>
      <c r="AU95" s="727"/>
      <c r="AV95" s="727"/>
      <c r="AW95" s="727"/>
      <c r="AX95" s="727"/>
      <c r="AY95" s="727"/>
      <c r="AZ95" s="727"/>
      <c r="BA95" s="727"/>
      <c r="BB95" s="727"/>
    </row>
    <row r="96" spans="1:65">
      <c r="A96" s="326"/>
      <c r="B96" s="779">
        <v>170</v>
      </c>
      <c r="C96" s="779">
        <v>791.7</v>
      </c>
      <c r="D96" s="779">
        <v>897.7</v>
      </c>
      <c r="E96" s="779">
        <v>4.1189999999999998</v>
      </c>
      <c r="F96" s="779">
        <v>2050</v>
      </c>
      <c r="G96" s="779">
        <v>4370</v>
      </c>
      <c r="H96" s="779">
        <v>2490</v>
      </c>
      <c r="I96" s="779">
        <v>0.67700000000000005</v>
      </c>
      <c r="J96" s="779">
        <v>3.4700000000000002E-2</v>
      </c>
      <c r="K96" s="780">
        <v>1.6000000000000001E-4</v>
      </c>
      <c r="L96" s="781">
        <v>1.4680000000000002E-5</v>
      </c>
      <c r="M96" s="779">
        <v>1.03</v>
      </c>
      <c r="N96" s="779">
        <v>1.05</v>
      </c>
      <c r="O96" s="780">
        <v>1.178E-3</v>
      </c>
      <c r="P96" s="727"/>
      <c r="Q96" s="727"/>
      <c r="R96" s="727"/>
      <c r="S96" s="727"/>
      <c r="T96" s="784"/>
      <c r="U96" s="727"/>
      <c r="V96" s="727"/>
      <c r="W96" s="727"/>
      <c r="X96" s="727"/>
      <c r="Y96" s="727"/>
      <c r="Z96" s="727"/>
      <c r="AA96" s="727"/>
      <c r="AB96" s="784"/>
      <c r="AC96" s="727"/>
      <c r="AD96" s="727"/>
      <c r="AE96" s="727"/>
      <c r="AF96" s="727"/>
      <c r="AG96" s="727"/>
      <c r="AH96" s="727"/>
      <c r="AI96" s="727"/>
      <c r="AJ96" s="727"/>
      <c r="AK96" s="727"/>
      <c r="AL96" s="727"/>
      <c r="AM96" s="727"/>
      <c r="AN96" s="727"/>
      <c r="AO96" s="727"/>
      <c r="AP96" s="727"/>
      <c r="AQ96" s="727"/>
      <c r="AR96" s="727"/>
      <c r="AS96" s="727"/>
      <c r="AT96" s="727"/>
      <c r="AU96" s="727"/>
      <c r="AV96" s="727"/>
      <c r="AW96" s="727"/>
      <c r="AX96" s="727"/>
      <c r="AY96" s="727"/>
      <c r="AZ96" s="727"/>
      <c r="BA96" s="727"/>
      <c r="BB96" s="727"/>
    </row>
    <row r="97" spans="1:54">
      <c r="A97" s="326"/>
      <c r="B97" s="776">
        <v>180</v>
      </c>
      <c r="C97" s="786">
        <v>1002.1</v>
      </c>
      <c r="D97" s="776">
        <v>887.3</v>
      </c>
      <c r="E97" s="776">
        <v>5.1529999999999996</v>
      </c>
      <c r="F97" s="776">
        <v>2015</v>
      </c>
      <c r="G97" s="776">
        <v>4410</v>
      </c>
      <c r="H97" s="776">
        <v>2590</v>
      </c>
      <c r="I97" s="776">
        <v>0.67300000000000004</v>
      </c>
      <c r="J97" s="776">
        <v>3.6400000000000002E-2</v>
      </c>
      <c r="K97" s="777">
        <v>1.4999999999999999E-4</v>
      </c>
      <c r="L97" s="778">
        <v>1.5020000000000002E-5</v>
      </c>
      <c r="M97" s="776">
        <v>0.98299999999999998</v>
      </c>
      <c r="N97" s="776">
        <v>1.07</v>
      </c>
      <c r="O97" s="777">
        <v>1.2099999999999999E-3</v>
      </c>
      <c r="P97" s="727"/>
      <c r="Q97" s="751" t="s">
        <v>1383</v>
      </c>
      <c r="R97" s="727"/>
      <c r="S97" s="727"/>
      <c r="T97" s="727"/>
      <c r="U97" s="727"/>
      <c r="V97" s="727"/>
      <c r="W97" s="727"/>
      <c r="X97" s="727"/>
      <c r="Y97" s="751" t="s">
        <v>1501</v>
      </c>
      <c r="Z97" s="727"/>
      <c r="AA97" s="727"/>
      <c r="AB97" s="727"/>
      <c r="AC97" s="727"/>
      <c r="AD97" s="727"/>
      <c r="AE97" s="727"/>
      <c r="AF97" s="727"/>
      <c r="AG97" s="727"/>
      <c r="AH97" s="727"/>
      <c r="AI97" s="727"/>
      <c r="AJ97" s="727"/>
      <c r="AK97" s="727"/>
      <c r="AL97" s="727"/>
      <c r="AM97" s="727"/>
      <c r="AN97" s="727"/>
      <c r="AO97" s="727"/>
      <c r="AP97" s="727"/>
      <c r="AQ97" s="727"/>
      <c r="AR97" s="727"/>
      <c r="AS97" s="727"/>
      <c r="AT97" s="727"/>
      <c r="AU97" s="727"/>
      <c r="AV97" s="727"/>
      <c r="AW97" s="727"/>
      <c r="AX97" s="727"/>
      <c r="AY97" s="727"/>
      <c r="AZ97" s="727"/>
      <c r="BA97" s="727"/>
      <c r="BB97" s="727"/>
    </row>
    <row r="98" spans="1:54">
      <c r="A98" s="326"/>
      <c r="B98" s="779">
        <v>190</v>
      </c>
      <c r="C98" s="787">
        <v>1254.4000000000001</v>
      </c>
      <c r="D98" s="779">
        <v>876.4</v>
      </c>
      <c r="E98" s="779">
        <v>6.3879999999999999</v>
      </c>
      <c r="F98" s="779">
        <v>1979</v>
      </c>
      <c r="G98" s="779">
        <v>4460</v>
      </c>
      <c r="H98" s="779">
        <v>2710</v>
      </c>
      <c r="I98" s="779">
        <v>0.66900000000000004</v>
      </c>
      <c r="J98" s="779">
        <v>3.8199999999999998E-2</v>
      </c>
      <c r="K98" s="780">
        <v>1.4199999999999998E-4</v>
      </c>
      <c r="L98" s="781">
        <v>1.537E-5</v>
      </c>
      <c r="M98" s="779">
        <v>0.94699999999999995</v>
      </c>
      <c r="N98" s="779">
        <v>1.0900000000000001</v>
      </c>
      <c r="O98" s="780">
        <v>1.2800000000000001E-3</v>
      </c>
      <c r="P98" s="727"/>
      <c r="Q98" s="727"/>
      <c r="R98" s="727"/>
      <c r="S98" s="727"/>
      <c r="T98" s="757" t="s">
        <v>1105</v>
      </c>
      <c r="U98" s="731" t="s">
        <v>1081</v>
      </c>
      <c r="V98" s="727"/>
      <c r="W98" s="727"/>
      <c r="X98" s="727"/>
      <c r="Y98" s="727"/>
      <c r="Z98" s="727"/>
      <c r="AA98" s="727"/>
      <c r="AB98" s="757" t="s">
        <v>1105</v>
      </c>
      <c r="AC98" s="731" t="s">
        <v>1081</v>
      </c>
      <c r="AD98" s="727"/>
      <c r="AE98" s="727"/>
      <c r="AF98" s="727"/>
      <c r="AG98" s="727"/>
      <c r="AH98" s="727"/>
      <c r="AI98" s="727"/>
      <c r="AJ98" s="727"/>
      <c r="AK98" s="727"/>
      <c r="AL98" s="727"/>
      <c r="AM98" s="727"/>
      <c r="AN98" s="727"/>
      <c r="AO98" s="727"/>
      <c r="AP98" s="727"/>
      <c r="AQ98" s="727"/>
      <c r="AR98" s="727"/>
      <c r="AS98" s="727"/>
      <c r="AT98" s="727"/>
      <c r="AU98" s="727"/>
      <c r="AV98" s="727"/>
      <c r="AW98" s="727"/>
      <c r="AX98" s="727"/>
      <c r="AY98" s="727"/>
      <c r="AZ98" s="727"/>
      <c r="BA98" s="727"/>
      <c r="BB98" s="727"/>
    </row>
    <row r="99" spans="1:54">
      <c r="A99" s="326"/>
      <c r="B99" s="776">
        <v>200</v>
      </c>
      <c r="C99" s="786">
        <v>1553.8</v>
      </c>
      <c r="D99" s="776">
        <v>864.3</v>
      </c>
      <c r="E99" s="776">
        <v>7.8520000000000003</v>
      </c>
      <c r="F99" s="776">
        <v>1941</v>
      </c>
      <c r="G99" s="776">
        <v>4500</v>
      </c>
      <c r="H99" s="776">
        <v>2840</v>
      </c>
      <c r="I99" s="776">
        <v>0.66300000000000003</v>
      </c>
      <c r="J99" s="776">
        <v>4.0099999999999997E-2</v>
      </c>
      <c r="K99" s="777">
        <v>1.34E-4</v>
      </c>
      <c r="L99" s="778">
        <v>1.571E-5</v>
      </c>
      <c r="M99" s="776">
        <v>0.91</v>
      </c>
      <c r="N99" s="776">
        <v>1.1100000000000001</v>
      </c>
      <c r="O99" s="777">
        <v>1.3500000000000001E-3</v>
      </c>
      <c r="P99" s="727"/>
      <c r="Q99" s="727"/>
      <c r="R99" s="727"/>
      <c r="S99" s="758" t="s">
        <v>952</v>
      </c>
      <c r="T99" s="759">
        <f>INDEX($B$69:$B$108,MATCH($T100,$B$69:$B$108,1))</f>
        <v>280</v>
      </c>
      <c r="U99" s="782">
        <f>VLOOKUP(T99,$B$69:$L$108,2,FALSE)</f>
        <v>6412</v>
      </c>
      <c r="V99" s="727"/>
      <c r="W99" s="727"/>
      <c r="X99" s="727"/>
      <c r="Y99" s="727"/>
      <c r="Z99" s="727"/>
      <c r="AA99" s="758" t="s">
        <v>952</v>
      </c>
      <c r="AB99" s="759">
        <f>INDEX($B$69:$B$108,MATCH($T100,$B$69:$B$108,1))</f>
        <v>280</v>
      </c>
      <c r="AC99" s="782">
        <f>VLOOKUP(AB99,$B$69:$H$108,6,FALSE)</f>
        <v>5280</v>
      </c>
      <c r="AD99" s="727"/>
      <c r="AE99" s="727"/>
      <c r="AF99" s="727"/>
      <c r="AG99" s="727"/>
      <c r="AH99" s="727"/>
      <c r="AI99" s="727"/>
      <c r="AJ99" s="727"/>
      <c r="AK99" s="727"/>
      <c r="AL99" s="727"/>
      <c r="AM99" s="727"/>
      <c r="AN99" s="727"/>
      <c r="AO99" s="727"/>
      <c r="AP99" s="727"/>
      <c r="AQ99" s="727"/>
      <c r="AR99" s="727"/>
      <c r="AS99" s="727"/>
      <c r="AT99" s="727"/>
      <c r="AU99" s="727"/>
      <c r="AV99" s="727"/>
      <c r="AW99" s="727"/>
      <c r="AX99" s="727"/>
      <c r="AY99" s="727"/>
      <c r="AZ99" s="727"/>
      <c r="BA99" s="727"/>
      <c r="BB99" s="727"/>
    </row>
    <row r="100" spans="1:54">
      <c r="A100" s="326"/>
      <c r="B100" s="779">
        <v>220</v>
      </c>
      <c r="C100" s="788">
        <v>2318</v>
      </c>
      <c r="D100" s="779">
        <v>840.3</v>
      </c>
      <c r="E100" s="779">
        <v>11.6</v>
      </c>
      <c r="F100" s="779">
        <v>1859</v>
      </c>
      <c r="G100" s="779">
        <v>4610</v>
      </c>
      <c r="H100" s="779">
        <v>3110</v>
      </c>
      <c r="I100" s="779">
        <v>0.65</v>
      </c>
      <c r="J100" s="779">
        <v>4.4200000000000003E-2</v>
      </c>
      <c r="K100" s="780">
        <v>1.22E-4</v>
      </c>
      <c r="L100" s="781">
        <v>1.641E-5</v>
      </c>
      <c r="M100" s="779">
        <v>0.86499999999999999</v>
      </c>
      <c r="N100" s="779">
        <v>1.1499999999999999</v>
      </c>
      <c r="O100" s="780">
        <v>1.5200000000000001E-3</v>
      </c>
      <c r="P100" s="727"/>
      <c r="Q100" s="727"/>
      <c r="S100" s="758" t="s">
        <v>951</v>
      </c>
      <c r="T100" s="762">
        <f>$I$4</f>
        <v>295</v>
      </c>
      <c r="U100" s="783">
        <f>U99+(T100-T99)*(U101-U99)/(T101-T99)</f>
        <v>8038.75</v>
      </c>
      <c r="V100" s="763" t="s">
        <v>869</v>
      </c>
      <c r="W100" s="727"/>
      <c r="X100" s="727"/>
      <c r="Y100" s="727"/>
      <c r="AA100" s="758" t="s">
        <v>951</v>
      </c>
      <c r="AB100" s="762">
        <f>$I$4</f>
        <v>295</v>
      </c>
      <c r="AC100" s="783">
        <f>AC99+(AB100-AB99)*(AC101-AC99)/(AB101-AB99)</f>
        <v>5632.5</v>
      </c>
      <c r="AD100" s="763" t="s">
        <v>869</v>
      </c>
      <c r="AE100" s="727"/>
      <c r="AF100" s="727"/>
      <c r="AG100" s="727"/>
      <c r="AH100" s="727"/>
      <c r="AI100" s="727"/>
      <c r="AJ100" s="727"/>
      <c r="AK100" s="727"/>
      <c r="AL100" s="727"/>
      <c r="AM100" s="727"/>
      <c r="AN100" s="727"/>
      <c r="AO100" s="727"/>
      <c r="AP100" s="727"/>
      <c r="AQ100" s="727"/>
      <c r="AR100" s="727"/>
      <c r="AS100" s="727"/>
      <c r="AT100" s="727"/>
      <c r="AU100" s="727"/>
      <c r="AV100" s="727"/>
      <c r="AW100" s="727"/>
      <c r="AX100" s="727"/>
      <c r="AY100" s="727"/>
      <c r="AZ100" s="727"/>
      <c r="BA100" s="727"/>
      <c r="BB100" s="727"/>
    </row>
    <row r="101" spans="1:54">
      <c r="A101" s="326"/>
      <c r="B101" s="776">
        <v>240</v>
      </c>
      <c r="C101" s="789">
        <v>3344</v>
      </c>
      <c r="D101" s="776">
        <v>813.7</v>
      </c>
      <c r="E101" s="776">
        <v>16.73</v>
      </c>
      <c r="F101" s="776">
        <v>1767</v>
      </c>
      <c r="G101" s="776">
        <v>4760</v>
      </c>
      <c r="H101" s="776">
        <v>3520</v>
      </c>
      <c r="I101" s="776">
        <v>0.63200000000000001</v>
      </c>
      <c r="J101" s="776">
        <v>4.87E-2</v>
      </c>
      <c r="K101" s="777">
        <v>1.11E-4</v>
      </c>
      <c r="L101" s="778">
        <v>1.7120000000000002E-5</v>
      </c>
      <c r="M101" s="776">
        <v>0.83599999999999997</v>
      </c>
      <c r="N101" s="776">
        <v>1.24</v>
      </c>
      <c r="O101" s="777">
        <v>1.72E-3</v>
      </c>
      <c r="P101" s="727"/>
      <c r="Q101" s="727"/>
      <c r="R101" s="727"/>
      <c r="S101" s="758" t="s">
        <v>952</v>
      </c>
      <c r="T101" s="759">
        <f>INDEX($B$69:$B$108,MATCH($T100,$B$69:$B$108,1)+1)</f>
        <v>300</v>
      </c>
      <c r="U101" s="782">
        <f>VLOOKUP(T101,$B$69:$L$108,2,FALSE)</f>
        <v>8581</v>
      </c>
      <c r="V101" s="727"/>
      <c r="W101" s="727"/>
      <c r="X101" s="727"/>
      <c r="Y101" s="727"/>
      <c r="Z101" s="727"/>
      <c r="AA101" s="758" t="s">
        <v>952</v>
      </c>
      <c r="AB101" s="759">
        <f>INDEX($B$69:$B$108,MATCH($T100,$B$69:$B$108,1)+1)</f>
        <v>300</v>
      </c>
      <c r="AC101" s="782">
        <f>VLOOKUP(AB101,$B$69:$H$108,6,FALSE)</f>
        <v>5750</v>
      </c>
      <c r="AD101" s="727"/>
      <c r="AE101" s="727"/>
      <c r="AF101" s="727"/>
      <c r="AG101" s="727"/>
      <c r="AH101" s="727"/>
      <c r="AI101" s="727"/>
      <c r="AJ101" s="727"/>
      <c r="AK101" s="727"/>
      <c r="AL101" s="727"/>
      <c r="AM101" s="727"/>
      <c r="AN101" s="727"/>
      <c r="AO101" s="727"/>
      <c r="AP101" s="727"/>
      <c r="AQ101" s="727"/>
      <c r="AR101" s="727"/>
      <c r="AS101" s="727"/>
      <c r="AT101" s="727"/>
      <c r="AU101" s="727"/>
      <c r="AV101" s="727"/>
      <c r="AW101" s="727"/>
      <c r="AX101" s="727"/>
      <c r="AY101" s="727"/>
      <c r="AZ101" s="727"/>
      <c r="BA101" s="727"/>
      <c r="BB101" s="727"/>
    </row>
    <row r="102" spans="1:54">
      <c r="A102" s="326"/>
      <c r="B102" s="779">
        <v>260</v>
      </c>
      <c r="C102" s="788">
        <v>4688</v>
      </c>
      <c r="D102" s="779">
        <v>783.7</v>
      </c>
      <c r="E102" s="779">
        <v>23.69</v>
      </c>
      <c r="F102" s="779">
        <v>1663</v>
      </c>
      <c r="G102" s="779">
        <v>4970</v>
      </c>
      <c r="H102" s="779">
        <v>4070</v>
      </c>
      <c r="I102" s="779">
        <v>0.60899999999999999</v>
      </c>
      <c r="J102" s="779">
        <v>5.3999999999999999E-2</v>
      </c>
      <c r="K102" s="780">
        <v>1.02E-4</v>
      </c>
      <c r="L102" s="781">
        <v>1.7880000000000002E-5</v>
      </c>
      <c r="M102" s="779">
        <v>0.83199999999999996</v>
      </c>
      <c r="N102" s="779">
        <v>1.35</v>
      </c>
      <c r="O102" s="780">
        <v>2E-3</v>
      </c>
      <c r="P102" s="727"/>
      <c r="Q102" s="727"/>
      <c r="R102" s="727"/>
      <c r="S102" s="727"/>
      <c r="T102" s="784"/>
      <c r="U102" s="727"/>
      <c r="V102" s="727"/>
      <c r="W102" s="727"/>
      <c r="X102" s="727"/>
      <c r="Y102" s="727"/>
      <c r="Z102" s="727"/>
      <c r="AA102" s="727"/>
      <c r="AB102" s="727"/>
      <c r="AC102" s="727"/>
      <c r="AD102" s="727"/>
      <c r="AE102" s="727"/>
      <c r="AF102" s="727"/>
      <c r="AG102" s="727"/>
      <c r="AH102" s="727"/>
      <c r="AI102" s="727"/>
      <c r="AJ102" s="727"/>
      <c r="AK102" s="727"/>
      <c r="AL102" s="727"/>
      <c r="AM102" s="727"/>
      <c r="AN102" s="727"/>
      <c r="AO102" s="727"/>
      <c r="AP102" s="727"/>
      <c r="AQ102" s="727"/>
      <c r="AR102" s="727"/>
      <c r="AS102" s="727"/>
      <c r="AT102" s="727"/>
      <c r="AU102" s="727"/>
      <c r="AV102" s="727"/>
      <c r="AW102" s="727"/>
      <c r="AX102" s="727"/>
      <c r="AY102" s="727"/>
      <c r="AZ102" s="727"/>
      <c r="BA102" s="727"/>
      <c r="BB102" s="727"/>
    </row>
    <row r="103" spans="1:54">
      <c r="A103" s="326"/>
      <c r="B103" s="776">
        <v>280</v>
      </c>
      <c r="C103" s="789">
        <v>6412</v>
      </c>
      <c r="D103" s="776">
        <v>750.8</v>
      </c>
      <c r="E103" s="776">
        <v>33.15</v>
      </c>
      <c r="F103" s="776">
        <v>1544</v>
      </c>
      <c r="G103" s="776">
        <v>5280</v>
      </c>
      <c r="H103" s="776">
        <v>4835</v>
      </c>
      <c r="I103" s="776">
        <v>0.58099999999999996</v>
      </c>
      <c r="J103" s="776">
        <v>6.0499999999999998E-2</v>
      </c>
      <c r="K103" s="777">
        <v>9.4000000000000008E-5</v>
      </c>
      <c r="L103" s="778">
        <v>1.8700000000000004E-5</v>
      </c>
      <c r="M103" s="776">
        <v>0.85399999999999998</v>
      </c>
      <c r="N103" s="776">
        <v>1.49</v>
      </c>
      <c r="O103" s="777">
        <v>2.3799999999999997E-3</v>
      </c>
      <c r="P103" s="727"/>
      <c r="Q103" s="727"/>
      <c r="R103" s="727"/>
      <c r="S103" s="727"/>
      <c r="T103" s="784"/>
      <c r="U103" s="727"/>
      <c r="V103" s="727"/>
      <c r="W103" s="727"/>
      <c r="X103" s="727"/>
      <c r="Y103" s="727"/>
      <c r="Z103" s="727"/>
      <c r="AA103" s="727"/>
      <c r="AB103" s="727"/>
      <c r="AC103" s="727"/>
      <c r="AD103" s="727"/>
      <c r="AE103" s="727"/>
      <c r="AF103" s="727"/>
      <c r="AG103" s="727"/>
      <c r="AH103" s="727"/>
      <c r="AI103" s="727"/>
      <c r="AJ103" s="727"/>
      <c r="AK103" s="727"/>
      <c r="AL103" s="727"/>
      <c r="AM103" s="727"/>
      <c r="AN103" s="727"/>
      <c r="AO103" s="727"/>
      <c r="AP103" s="727"/>
      <c r="AQ103" s="727"/>
      <c r="AR103" s="727"/>
      <c r="AS103" s="727"/>
      <c r="AT103" s="727"/>
      <c r="AU103" s="727"/>
      <c r="AV103" s="727"/>
      <c r="AW103" s="727"/>
      <c r="AX103" s="727"/>
      <c r="AY103" s="727"/>
      <c r="AZ103" s="727"/>
      <c r="BA103" s="727"/>
      <c r="BB103" s="727"/>
    </row>
    <row r="104" spans="1:54">
      <c r="A104" s="326"/>
      <c r="B104" s="779">
        <v>300</v>
      </c>
      <c r="C104" s="788">
        <v>8581</v>
      </c>
      <c r="D104" s="779">
        <v>713.8</v>
      </c>
      <c r="E104" s="779">
        <v>46.15</v>
      </c>
      <c r="F104" s="779">
        <v>1405</v>
      </c>
      <c r="G104" s="779">
        <v>5750</v>
      </c>
      <c r="H104" s="779">
        <v>5980</v>
      </c>
      <c r="I104" s="779">
        <v>0.54800000000000004</v>
      </c>
      <c r="J104" s="779">
        <v>6.9500000000000006E-2</v>
      </c>
      <c r="K104" s="780">
        <v>8.599999999999999E-5</v>
      </c>
      <c r="L104" s="781">
        <v>1.9650000000000003E-5</v>
      </c>
      <c r="M104" s="779">
        <v>0.90200000000000002</v>
      </c>
      <c r="N104" s="779">
        <v>1.69</v>
      </c>
      <c r="O104" s="780">
        <v>2.9500000000000004E-3</v>
      </c>
      <c r="P104" s="727"/>
      <c r="Q104" s="727"/>
      <c r="R104" s="727"/>
      <c r="S104" s="727"/>
      <c r="T104" s="784"/>
      <c r="U104" s="727"/>
      <c r="V104" s="727"/>
      <c r="W104" s="727"/>
      <c r="X104" s="727"/>
      <c r="Y104" s="727"/>
      <c r="Z104" s="727"/>
      <c r="AA104" s="727"/>
      <c r="AB104" s="727"/>
      <c r="AC104" s="727"/>
      <c r="AD104" s="727"/>
      <c r="AE104" s="727"/>
      <c r="AF104" s="727"/>
      <c r="AG104" s="727"/>
      <c r="AH104" s="727"/>
      <c r="AI104" s="727"/>
      <c r="AJ104" s="727"/>
      <c r="AK104" s="727"/>
      <c r="AL104" s="727"/>
      <c r="AM104" s="727"/>
      <c r="AN104" s="727"/>
      <c r="AO104" s="727"/>
      <c r="AP104" s="727"/>
      <c r="AQ104" s="727"/>
      <c r="AR104" s="727"/>
      <c r="AS104" s="727"/>
      <c r="AT104" s="727"/>
      <c r="AU104" s="727"/>
      <c r="AV104" s="727"/>
      <c r="AW104" s="727"/>
      <c r="AX104" s="727"/>
      <c r="AY104" s="727"/>
      <c r="AZ104" s="727"/>
      <c r="BA104" s="727"/>
      <c r="BB104" s="727"/>
    </row>
    <row r="105" spans="1:54">
      <c r="A105" s="326"/>
      <c r="B105" s="776">
        <v>320</v>
      </c>
      <c r="C105" s="789">
        <v>11274</v>
      </c>
      <c r="D105" s="776">
        <v>667.1</v>
      </c>
      <c r="E105" s="776">
        <v>64.569999999999993</v>
      </c>
      <c r="F105" s="776">
        <v>1239</v>
      </c>
      <c r="G105" s="776">
        <v>6540</v>
      </c>
      <c r="H105" s="776">
        <v>7900</v>
      </c>
      <c r="I105" s="776">
        <v>0.50900000000000001</v>
      </c>
      <c r="J105" s="776">
        <v>8.3599999999999994E-2</v>
      </c>
      <c r="K105" s="777">
        <v>7.7999999999999999E-5</v>
      </c>
      <c r="L105" s="778">
        <v>2.0840000000000004E-5</v>
      </c>
      <c r="M105" s="776">
        <v>1</v>
      </c>
      <c r="N105" s="776">
        <v>1.97</v>
      </c>
      <c r="O105" s="776"/>
      <c r="P105" s="727"/>
      <c r="Q105" s="727"/>
      <c r="R105" s="727"/>
      <c r="S105" s="727"/>
      <c r="T105" s="784"/>
      <c r="U105" s="727"/>
      <c r="V105" s="727"/>
      <c r="W105" s="727"/>
      <c r="X105" s="727"/>
      <c r="Y105" s="727"/>
      <c r="Z105" s="727"/>
      <c r="AA105" s="727"/>
      <c r="AB105" s="727"/>
      <c r="AC105" s="727"/>
      <c r="AD105" s="727"/>
      <c r="AE105" s="727"/>
      <c r="AF105" s="727"/>
      <c r="AG105" s="727"/>
      <c r="AH105" s="727"/>
      <c r="AI105" s="727"/>
      <c r="AJ105" s="727"/>
      <c r="AK105" s="727"/>
      <c r="AL105" s="727"/>
      <c r="AM105" s="727"/>
      <c r="AN105" s="727"/>
      <c r="AO105" s="727"/>
      <c r="AP105" s="727"/>
      <c r="AQ105" s="727"/>
      <c r="AR105" s="727"/>
      <c r="AS105" s="727"/>
      <c r="AT105" s="727"/>
      <c r="AU105" s="727"/>
      <c r="AV105" s="727"/>
      <c r="AW105" s="727"/>
      <c r="AX105" s="727"/>
      <c r="AY105" s="727"/>
      <c r="AZ105" s="727"/>
      <c r="BA105" s="727"/>
      <c r="BB105" s="727"/>
    </row>
    <row r="106" spans="1:54">
      <c r="A106" s="326"/>
      <c r="B106" s="779">
        <v>340</v>
      </c>
      <c r="C106" s="788">
        <v>14586</v>
      </c>
      <c r="D106" s="779">
        <v>610.5</v>
      </c>
      <c r="E106" s="779">
        <v>92.62</v>
      </c>
      <c r="F106" s="779">
        <v>1028</v>
      </c>
      <c r="G106" s="779">
        <v>8240</v>
      </c>
      <c r="H106" s="788">
        <v>11870</v>
      </c>
      <c r="I106" s="779">
        <v>0.46899999999999997</v>
      </c>
      <c r="J106" s="779">
        <v>0.11</v>
      </c>
      <c r="K106" s="780">
        <v>7.0000000000000007E-5</v>
      </c>
      <c r="L106" s="781">
        <v>2.2549999999999999E-5</v>
      </c>
      <c r="M106" s="779">
        <v>1.23</v>
      </c>
      <c r="N106" s="779">
        <v>2.4300000000000002</v>
      </c>
      <c r="O106" s="779"/>
      <c r="P106" s="727"/>
      <c r="Q106" s="727"/>
      <c r="R106" s="727"/>
      <c r="S106" s="727"/>
      <c r="T106" s="784"/>
      <c r="U106" s="727"/>
      <c r="V106" s="727"/>
      <c r="W106" s="727"/>
      <c r="X106" s="727"/>
      <c r="Y106" s="727"/>
      <c r="Z106" s="727"/>
      <c r="AA106" s="727"/>
      <c r="AB106" s="727"/>
      <c r="AC106" s="727"/>
      <c r="AD106" s="727"/>
      <c r="AE106" s="727"/>
      <c r="AF106" s="727"/>
      <c r="AG106" s="727"/>
      <c r="AH106" s="727"/>
      <c r="AI106" s="727"/>
      <c r="AJ106" s="727"/>
      <c r="AK106" s="727"/>
      <c r="AL106" s="727"/>
      <c r="AM106" s="727"/>
      <c r="AN106" s="727"/>
      <c r="AO106" s="727"/>
      <c r="AP106" s="727"/>
      <c r="AQ106" s="727"/>
      <c r="AR106" s="727"/>
      <c r="AS106" s="727"/>
      <c r="AT106" s="727"/>
      <c r="AU106" s="727"/>
      <c r="AV106" s="727"/>
      <c r="AW106" s="727"/>
      <c r="AX106" s="727"/>
      <c r="AY106" s="727"/>
      <c r="AZ106" s="727"/>
      <c r="BA106" s="727"/>
      <c r="BB106" s="727"/>
    </row>
    <row r="107" spans="1:54">
      <c r="A107" s="326"/>
      <c r="B107" s="776">
        <v>360</v>
      </c>
      <c r="C107" s="789">
        <v>18651</v>
      </c>
      <c r="D107" s="776">
        <v>528.29999999999995</v>
      </c>
      <c r="E107" s="776">
        <v>144</v>
      </c>
      <c r="F107" s="776">
        <v>720</v>
      </c>
      <c r="G107" s="789">
        <v>14690</v>
      </c>
      <c r="H107" s="789">
        <v>25800</v>
      </c>
      <c r="I107" s="776">
        <v>0.42699999999999999</v>
      </c>
      <c r="J107" s="776">
        <v>0.17799999999999999</v>
      </c>
      <c r="K107" s="777">
        <v>6.0000000000000002E-5</v>
      </c>
      <c r="L107" s="778">
        <v>2.5710000000000003E-5</v>
      </c>
      <c r="M107" s="776">
        <v>2.06</v>
      </c>
      <c r="N107" s="776">
        <v>3.73</v>
      </c>
      <c r="O107" s="776"/>
      <c r="P107" s="727"/>
      <c r="Q107" s="727"/>
      <c r="R107" s="727"/>
      <c r="S107" s="727"/>
      <c r="T107" s="784"/>
      <c r="U107" s="727"/>
      <c r="V107" s="727"/>
      <c r="W107" s="727"/>
      <c r="X107" s="727"/>
      <c r="Y107" s="727"/>
      <c r="Z107" s="727"/>
      <c r="AA107" s="727"/>
      <c r="AB107" s="727"/>
      <c r="AC107" s="727"/>
      <c r="AD107" s="727"/>
      <c r="AE107" s="727"/>
      <c r="AF107" s="727"/>
      <c r="AG107" s="727"/>
      <c r="AH107" s="727"/>
      <c r="AI107" s="727"/>
      <c r="AJ107" s="727"/>
      <c r="AK107" s="727"/>
      <c r="AL107" s="727"/>
      <c r="AM107" s="727"/>
      <c r="AN107" s="727"/>
      <c r="AO107" s="727"/>
      <c r="AP107" s="727"/>
      <c r="AQ107" s="727"/>
      <c r="AR107" s="727"/>
      <c r="AS107" s="727"/>
      <c r="AT107" s="727"/>
      <c r="AU107" s="727"/>
      <c r="AV107" s="727"/>
      <c r="AW107" s="727"/>
      <c r="AX107" s="727"/>
      <c r="AY107" s="727"/>
      <c r="AZ107" s="727"/>
      <c r="BA107" s="727"/>
      <c r="BB107" s="727"/>
    </row>
    <row r="108" spans="1:54">
      <c r="A108" s="326"/>
      <c r="B108" s="779">
        <v>374.14</v>
      </c>
      <c r="C108" s="788">
        <v>22090</v>
      </c>
      <c r="D108" s="779">
        <v>317</v>
      </c>
      <c r="E108" s="779">
        <v>317</v>
      </c>
      <c r="F108" s="779">
        <v>0</v>
      </c>
      <c r="G108" s="779" t="s">
        <v>1002</v>
      </c>
      <c r="H108" s="779" t="s">
        <v>1002</v>
      </c>
      <c r="I108" s="779" t="s">
        <v>1002</v>
      </c>
      <c r="J108" s="779" t="s">
        <v>1002</v>
      </c>
      <c r="K108" s="780">
        <v>4.2999999999999995E-5</v>
      </c>
      <c r="L108" s="781">
        <v>4.3130000000000002E-5</v>
      </c>
      <c r="M108" s="779"/>
      <c r="N108" s="779"/>
      <c r="O108" s="779"/>
      <c r="P108" s="727"/>
      <c r="Q108" s="727"/>
      <c r="R108" s="727"/>
      <c r="S108" s="727"/>
      <c r="T108" s="784"/>
      <c r="U108" s="727"/>
      <c r="V108" s="727"/>
      <c r="W108" s="727"/>
      <c r="X108" s="727"/>
      <c r="Y108" s="727"/>
      <c r="Z108" s="727"/>
      <c r="AA108" s="727"/>
      <c r="AB108" s="727"/>
      <c r="AC108" s="727"/>
      <c r="AD108" s="727"/>
      <c r="AE108" s="727"/>
      <c r="AF108" s="727"/>
      <c r="AG108" s="727"/>
      <c r="AH108" s="727"/>
      <c r="AI108" s="727"/>
      <c r="AJ108" s="727"/>
      <c r="AK108" s="727"/>
      <c r="AL108" s="727"/>
      <c r="AM108" s="727"/>
      <c r="AN108" s="727"/>
      <c r="AO108" s="727"/>
      <c r="AP108" s="727"/>
      <c r="AQ108" s="727"/>
      <c r="AR108" s="727"/>
      <c r="AS108" s="727"/>
      <c r="AT108" s="727"/>
      <c r="AU108" s="727"/>
      <c r="AV108" s="727"/>
      <c r="AW108" s="727"/>
      <c r="AX108" s="727"/>
      <c r="AY108" s="727"/>
      <c r="AZ108" s="727"/>
      <c r="BA108" s="727"/>
      <c r="BB108" s="727"/>
    </row>
    <row r="109" spans="1:54">
      <c r="A109" s="326"/>
      <c r="B109" s="727"/>
      <c r="C109" s="805" t="s">
        <v>1028</v>
      </c>
      <c r="D109" s="805"/>
      <c r="E109" s="805" t="s">
        <v>1384</v>
      </c>
      <c r="F109" s="891" t="s">
        <v>1385</v>
      </c>
      <c r="G109" s="727"/>
      <c r="H109" s="727"/>
      <c r="I109" s="727"/>
      <c r="J109" s="727"/>
      <c r="K109" s="727"/>
      <c r="L109" s="727"/>
      <c r="M109" s="727"/>
      <c r="N109" s="727"/>
      <c r="O109" s="727"/>
      <c r="P109" s="727"/>
      <c r="Q109" s="727"/>
      <c r="R109" s="727"/>
      <c r="S109" s="727"/>
      <c r="T109" s="727"/>
      <c r="U109" s="727"/>
      <c r="V109" s="727"/>
      <c r="W109" s="727"/>
      <c r="X109" s="727"/>
      <c r="Y109" s="727"/>
      <c r="Z109" s="727"/>
      <c r="AA109" s="727"/>
      <c r="AB109" s="727"/>
      <c r="AC109" s="727"/>
      <c r="AD109" s="727"/>
      <c r="AE109" s="727"/>
      <c r="AF109" s="727"/>
      <c r="AG109" s="727"/>
      <c r="AH109" s="727"/>
      <c r="AI109" s="727"/>
      <c r="AJ109" s="727"/>
      <c r="AK109" s="727"/>
      <c r="AL109" s="727"/>
      <c r="AM109" s="727"/>
      <c r="AN109" s="727"/>
      <c r="AO109" s="727"/>
      <c r="AP109" s="727"/>
      <c r="AQ109" s="727"/>
      <c r="AR109" s="727"/>
      <c r="AS109" s="727"/>
      <c r="AT109" s="727"/>
      <c r="AU109" s="727"/>
      <c r="AV109" s="727"/>
      <c r="AW109" s="727"/>
      <c r="AX109" s="727"/>
      <c r="AY109" s="727"/>
      <c r="AZ109" s="727"/>
      <c r="BA109" s="727"/>
      <c r="BB109" s="727"/>
    </row>
    <row r="110" spans="1:54" ht="15" customHeight="1">
      <c r="A110" s="326"/>
      <c r="B110" s="727"/>
      <c r="C110" s="1206" t="s">
        <v>1072</v>
      </c>
      <c r="D110" s="1206"/>
      <c r="E110" s="1206"/>
      <c r="F110" s="1206"/>
      <c r="G110" s="1206"/>
      <c r="H110" s="1206"/>
      <c r="I110" s="1206"/>
      <c r="J110" s="1206"/>
      <c r="K110" s="1206"/>
      <c r="L110" s="1206"/>
      <c r="M110" s="1206"/>
      <c r="N110" s="1206"/>
      <c r="O110" s="1206"/>
      <c r="P110" s="727"/>
      <c r="Q110" s="727"/>
      <c r="R110" s="727"/>
      <c r="S110" s="727"/>
      <c r="T110" s="727"/>
      <c r="U110" s="727"/>
      <c r="V110" s="727"/>
      <c r="W110" s="727"/>
      <c r="X110" s="727"/>
      <c r="Y110" s="727"/>
      <c r="Z110" s="727"/>
      <c r="AA110" s="727"/>
      <c r="AB110" s="727"/>
      <c r="AC110" s="727"/>
      <c r="AD110" s="727"/>
      <c r="AE110" s="727"/>
      <c r="AF110" s="727"/>
      <c r="AG110" s="727"/>
      <c r="AH110" s="727"/>
      <c r="AI110" s="727"/>
      <c r="AJ110" s="727"/>
      <c r="AK110" s="727"/>
      <c r="AL110" s="727"/>
      <c r="AM110" s="727"/>
      <c r="AN110" s="727"/>
      <c r="AO110" s="727"/>
      <c r="AP110" s="727"/>
      <c r="AQ110" s="727"/>
      <c r="AR110" s="727"/>
      <c r="AS110" s="727"/>
      <c r="AT110" s="727"/>
      <c r="AU110" s="727"/>
      <c r="AV110" s="727"/>
      <c r="AW110" s="727"/>
      <c r="AX110" s="727"/>
      <c r="AY110" s="727"/>
      <c r="AZ110" s="727"/>
      <c r="BA110" s="727"/>
      <c r="BB110" s="727"/>
    </row>
    <row r="111" spans="1:54">
      <c r="A111" s="326"/>
      <c r="B111" s="727"/>
      <c r="C111" s="1206"/>
      <c r="D111" s="1206"/>
      <c r="E111" s="1206"/>
      <c r="F111" s="1206"/>
      <c r="G111" s="1206"/>
      <c r="H111" s="1206"/>
      <c r="I111" s="1206"/>
      <c r="J111" s="1206"/>
      <c r="K111" s="1206"/>
      <c r="L111" s="1206"/>
      <c r="M111" s="1206"/>
      <c r="N111" s="1206"/>
      <c r="O111" s="1206"/>
      <c r="P111" s="727"/>
      <c r="Q111" s="727"/>
      <c r="R111" s="727"/>
      <c r="S111" s="727"/>
      <c r="T111" s="727"/>
      <c r="U111" s="727"/>
      <c r="V111" s="727"/>
      <c r="W111" s="727"/>
      <c r="X111" s="727"/>
      <c r="Y111" s="727"/>
      <c r="Z111" s="727"/>
      <c r="AA111" s="727"/>
      <c r="AB111" s="727"/>
      <c r="AC111" s="727"/>
      <c r="AD111" s="727"/>
      <c r="AE111" s="727"/>
      <c r="AF111" s="727"/>
      <c r="AG111" s="727"/>
      <c r="AH111" s="727"/>
      <c r="AI111" s="727"/>
      <c r="AJ111" s="727"/>
      <c r="AK111" s="727"/>
      <c r="AL111" s="727"/>
      <c r="AM111" s="727"/>
      <c r="AN111" s="727"/>
      <c r="AO111" s="727"/>
      <c r="AP111" s="727"/>
      <c r="AQ111" s="727"/>
      <c r="AR111" s="727"/>
      <c r="AS111" s="727"/>
      <c r="AT111" s="727"/>
      <c r="AU111" s="727"/>
      <c r="AV111" s="727"/>
      <c r="AW111" s="727"/>
      <c r="AX111" s="727"/>
      <c r="AY111" s="727"/>
      <c r="AZ111" s="727"/>
      <c r="BA111" s="727"/>
      <c r="BB111" s="727"/>
    </row>
    <row r="112" spans="1:54">
      <c r="A112" s="326"/>
      <c r="B112" s="727"/>
      <c r="C112" s="805" t="s">
        <v>1012</v>
      </c>
      <c r="D112" s="727"/>
      <c r="E112" s="727"/>
      <c r="F112" s="727"/>
      <c r="G112" s="727"/>
      <c r="H112" s="727"/>
      <c r="I112" s="727"/>
      <c r="J112" s="727"/>
      <c r="K112" s="727"/>
      <c r="L112" s="727"/>
      <c r="M112" s="727"/>
      <c r="N112" s="727"/>
      <c r="O112" s="727"/>
      <c r="P112" s="727"/>
      <c r="Q112" s="727"/>
      <c r="R112" s="727"/>
      <c r="S112" s="727"/>
      <c r="T112" s="727"/>
      <c r="U112" s="727"/>
      <c r="V112" s="727"/>
      <c r="W112" s="727"/>
      <c r="X112" s="727"/>
      <c r="Y112" s="727"/>
      <c r="Z112" s="727"/>
      <c r="AA112" s="727"/>
      <c r="AB112" s="727"/>
      <c r="AC112" s="727"/>
      <c r="AD112" s="727"/>
      <c r="AE112" s="727"/>
      <c r="AF112" s="727"/>
      <c r="AG112" s="727"/>
      <c r="AH112" s="727"/>
      <c r="AI112" s="727"/>
      <c r="AJ112" s="727"/>
      <c r="AK112" s="727"/>
      <c r="AL112" s="727"/>
      <c r="AM112" s="727"/>
      <c r="AN112" s="727"/>
      <c r="AO112" s="727"/>
      <c r="AP112" s="727"/>
      <c r="AQ112" s="727"/>
      <c r="AR112" s="727"/>
      <c r="AS112" s="727"/>
      <c r="AT112" s="727"/>
      <c r="AU112" s="727"/>
      <c r="AV112" s="727"/>
      <c r="AW112" s="727"/>
      <c r="AX112" s="727"/>
      <c r="AY112" s="727"/>
      <c r="AZ112" s="727"/>
      <c r="BA112" s="727"/>
      <c r="BB112" s="727"/>
    </row>
    <row r="113" spans="1:54">
      <c r="A113" s="326"/>
      <c r="B113" s="727"/>
      <c r="C113" s="806" t="s">
        <v>1013</v>
      </c>
      <c r="D113" s="805"/>
      <c r="E113" s="805"/>
      <c r="F113" s="805"/>
      <c r="G113" s="805"/>
      <c r="H113" s="805"/>
      <c r="I113" s="805"/>
      <c r="J113" s="805"/>
      <c r="K113" s="805"/>
      <c r="L113" s="805"/>
      <c r="M113" s="805"/>
      <c r="N113" s="805"/>
      <c r="O113" s="805"/>
      <c r="P113" s="727"/>
      <c r="Q113" s="727"/>
      <c r="R113" s="727"/>
      <c r="S113" s="727"/>
      <c r="T113" s="727"/>
      <c r="U113" s="727"/>
      <c r="V113" s="727"/>
      <c r="W113" s="727"/>
      <c r="X113" s="727"/>
      <c r="Y113" s="727"/>
      <c r="Z113" s="727"/>
      <c r="AA113" s="727"/>
      <c r="AB113" s="727"/>
      <c r="AC113" s="727"/>
      <c r="AD113" s="727"/>
      <c r="AE113" s="727"/>
      <c r="AF113" s="727"/>
      <c r="AG113" s="727"/>
      <c r="AH113" s="727"/>
      <c r="AI113" s="727"/>
      <c r="AJ113" s="727"/>
      <c r="AK113" s="727"/>
      <c r="AL113" s="727"/>
      <c r="AM113" s="727"/>
      <c r="AN113" s="727"/>
      <c r="AO113" s="727"/>
      <c r="AP113" s="727"/>
      <c r="AQ113" s="727"/>
      <c r="AR113" s="727"/>
      <c r="AS113" s="727"/>
      <c r="AT113" s="727"/>
      <c r="AU113" s="727"/>
      <c r="AV113" s="727"/>
      <c r="AW113" s="727"/>
      <c r="AX113" s="727"/>
      <c r="AY113" s="727"/>
      <c r="AZ113" s="727"/>
      <c r="BA113" s="727"/>
      <c r="BB113" s="727"/>
    </row>
    <row r="114" spans="1:54">
      <c r="A114" s="326"/>
      <c r="B114" s="727"/>
      <c r="C114" s="727"/>
      <c r="D114" s="805"/>
      <c r="E114" s="805"/>
      <c r="F114" s="805"/>
      <c r="G114" s="805"/>
      <c r="H114" s="805"/>
      <c r="I114" s="805"/>
      <c r="J114" s="805"/>
      <c r="K114" s="805"/>
      <c r="L114" s="805"/>
      <c r="M114" s="805"/>
      <c r="N114" s="805"/>
      <c r="O114" s="805"/>
      <c r="P114" s="727"/>
      <c r="Q114" s="727"/>
      <c r="R114" s="727"/>
      <c r="S114" s="727"/>
      <c r="T114" s="727"/>
      <c r="U114" s="727"/>
      <c r="V114" s="727"/>
      <c r="W114" s="727"/>
      <c r="X114" s="727"/>
      <c r="Y114" s="727"/>
      <c r="Z114" s="727"/>
      <c r="AA114" s="727"/>
      <c r="AB114" s="727"/>
      <c r="AC114" s="727"/>
      <c r="AD114" s="727"/>
      <c r="AE114" s="727"/>
      <c r="AF114" s="727"/>
      <c r="AG114" s="727"/>
      <c r="AH114" s="727"/>
      <c r="AI114" s="727"/>
      <c r="AJ114" s="727"/>
      <c r="AK114" s="727"/>
      <c r="AL114" s="727"/>
      <c r="AM114" s="727"/>
      <c r="AN114" s="727"/>
      <c r="AO114" s="727"/>
      <c r="AP114" s="727"/>
      <c r="AQ114" s="727"/>
      <c r="AR114" s="727"/>
      <c r="AS114" s="727"/>
      <c r="AT114" s="727"/>
      <c r="AU114" s="727"/>
      <c r="AV114" s="727"/>
      <c r="AW114" s="727"/>
      <c r="AX114" s="727"/>
      <c r="AY114" s="727"/>
      <c r="AZ114" s="727"/>
      <c r="BA114" s="727"/>
      <c r="BB114" s="727"/>
    </row>
    <row r="115" spans="1:54">
      <c r="A115" s="326"/>
      <c r="B115" s="727"/>
      <c r="C115" s="727"/>
      <c r="D115" s="727"/>
      <c r="E115" s="727"/>
      <c r="F115" s="727"/>
      <c r="G115" s="727"/>
      <c r="H115" s="727"/>
      <c r="I115" s="727"/>
      <c r="J115" s="727"/>
      <c r="K115" s="727"/>
      <c r="L115" s="727"/>
      <c r="M115" s="727"/>
      <c r="N115" s="727"/>
      <c r="O115" s="727"/>
      <c r="P115" s="727"/>
      <c r="Q115" s="727"/>
      <c r="R115" s="727"/>
      <c r="S115" s="727"/>
      <c r="T115" s="727"/>
      <c r="U115" s="727"/>
      <c r="V115" s="727"/>
      <c r="W115" s="727"/>
      <c r="X115" s="727"/>
      <c r="Y115" s="727"/>
      <c r="Z115" s="727"/>
      <c r="AA115" s="727"/>
      <c r="AB115" s="727"/>
      <c r="AC115" s="727"/>
      <c r="AD115" s="727"/>
      <c r="AE115" s="727"/>
      <c r="AF115" s="727"/>
      <c r="AG115" s="727"/>
      <c r="AH115" s="727"/>
      <c r="AI115" s="727"/>
      <c r="AJ115" s="727"/>
      <c r="AK115" s="727"/>
      <c r="AL115" s="727"/>
      <c r="AM115" s="727"/>
      <c r="AN115" s="727"/>
      <c r="AO115" s="727"/>
      <c r="AP115" s="727"/>
      <c r="AQ115" s="727"/>
      <c r="AR115" s="727"/>
      <c r="AS115" s="727"/>
      <c r="AT115" s="727"/>
      <c r="AU115" s="727"/>
      <c r="AV115" s="727"/>
      <c r="AW115" s="727"/>
      <c r="AX115" s="727"/>
      <c r="AY115" s="727"/>
      <c r="AZ115" s="727"/>
      <c r="BA115" s="727"/>
      <c r="BB115" s="727"/>
    </row>
    <row r="116" spans="1:54" ht="13.8" thickBot="1">
      <c r="A116" s="326"/>
      <c r="B116" s="31" t="s">
        <v>1073</v>
      </c>
      <c r="C116" s="723">
        <f>Cashflow!C$30</f>
        <v>2017</v>
      </c>
      <c r="D116" s="723">
        <f>Cashflow!D$30</f>
        <v>2018</v>
      </c>
      <c r="E116" s="723">
        <f>Cashflow!E$30</f>
        <v>2019</v>
      </c>
      <c r="F116" s="723">
        <f>Cashflow!F$30</f>
        <v>2020</v>
      </c>
      <c r="G116" s="723">
        <f>Cashflow!G$30</f>
        <v>2021</v>
      </c>
      <c r="H116" s="723">
        <f>Cashflow!H$30</f>
        <v>2022</v>
      </c>
      <c r="I116" s="723">
        <f>Cashflow!I$30</f>
        <v>2023</v>
      </c>
      <c r="J116" s="723">
        <f>Cashflow!J$30</f>
        <v>2024</v>
      </c>
      <c r="K116" s="723">
        <f>Cashflow!K$30</f>
        <v>2025</v>
      </c>
      <c r="L116" s="723">
        <f>Cashflow!L$30</f>
        <v>2026</v>
      </c>
      <c r="M116" s="723">
        <f>Cashflow!M$30</f>
        <v>2027</v>
      </c>
      <c r="N116" s="723">
        <f>Cashflow!N$30</f>
        <v>2028</v>
      </c>
      <c r="O116" s="723">
        <f>Cashflow!O$30</f>
        <v>2029</v>
      </c>
      <c r="P116" s="723">
        <f>Cashflow!P$30</f>
        <v>2030</v>
      </c>
      <c r="Q116" s="723">
        <f>Cashflow!Q$30</f>
        <v>2031</v>
      </c>
      <c r="R116" s="723">
        <f>Cashflow!R$30</f>
        <v>2032</v>
      </c>
      <c r="S116" s="723">
        <f>Cashflow!S$30</f>
        <v>2033</v>
      </c>
      <c r="T116" s="723">
        <f>Cashflow!T$30</f>
        <v>2034</v>
      </c>
      <c r="U116" s="723">
        <f>Cashflow!U$30</f>
        <v>2035</v>
      </c>
      <c r="V116" s="723">
        <f>Cashflow!V$30</f>
        <v>2036</v>
      </c>
      <c r="W116" s="723">
        <f>Cashflow!W$30</f>
        <v>2037</v>
      </c>
      <c r="X116" s="723">
        <f>Cashflow!X$30</f>
        <v>2038</v>
      </c>
      <c r="Y116" s="723">
        <f>Cashflow!Y$30</f>
        <v>2039</v>
      </c>
      <c r="Z116" s="723">
        <f>Cashflow!Z$30</f>
        <v>2040</v>
      </c>
      <c r="AA116" s="723">
        <f>Cashflow!AA$30</f>
        <v>2041</v>
      </c>
      <c r="AB116" s="723">
        <f>Cashflow!AB$30</f>
        <v>2042</v>
      </c>
      <c r="AC116" s="723">
        <f>Cashflow!AC$30</f>
        <v>2043</v>
      </c>
      <c r="AD116" s="723">
        <f>Cashflow!AD$30</f>
        <v>2044</v>
      </c>
      <c r="AE116" s="723">
        <f>Cashflow!AE$30</f>
        <v>2045</v>
      </c>
      <c r="AF116" s="723">
        <f>Cashflow!AF$30</f>
        <v>2046</v>
      </c>
      <c r="AG116" s="723">
        <f>Cashflow!AG$30</f>
        <v>2047</v>
      </c>
      <c r="AH116" s="727"/>
      <c r="AI116" s="727"/>
      <c r="AJ116" s="727"/>
      <c r="AK116" s="727"/>
      <c r="AL116" s="727"/>
      <c r="AM116" s="727"/>
      <c r="AN116" s="727"/>
      <c r="AO116" s="727"/>
      <c r="AP116" s="727"/>
      <c r="AQ116" s="727"/>
      <c r="AR116" s="727"/>
      <c r="AS116" s="727"/>
      <c r="AT116" s="727"/>
      <c r="AU116" s="727"/>
      <c r="AV116" s="727"/>
      <c r="AW116" s="727"/>
      <c r="AX116" s="727"/>
      <c r="AY116" s="727"/>
      <c r="AZ116" s="727"/>
      <c r="BA116" s="727"/>
      <c r="BB116" s="727"/>
    </row>
    <row r="117" spans="1:54" ht="13.8" thickTop="1">
      <c r="A117" s="326"/>
      <c r="B117" s="98" t="s">
        <v>1069</v>
      </c>
      <c r="C117" s="808">
        <f>Cashflow!C58</f>
        <v>0</v>
      </c>
      <c r="D117" s="808">
        <f>Cashflow!D58</f>
        <v>0</v>
      </c>
      <c r="E117" s="808">
        <f>Cashflow!E58</f>
        <v>0</v>
      </c>
      <c r="F117" s="808">
        <f>Cashflow!F58</f>
        <v>0</v>
      </c>
      <c r="G117" s="808">
        <f>Cashflow!G58</f>
        <v>0</v>
      </c>
      <c r="H117" s="808">
        <f>Cashflow!H58</f>
        <v>0</v>
      </c>
      <c r="I117" s="808">
        <f>Cashflow!I58</f>
        <v>0</v>
      </c>
      <c r="J117" s="808">
        <f>Cashflow!J58</f>
        <v>0</v>
      </c>
      <c r="K117" s="808">
        <f>Cashflow!K58</f>
        <v>280</v>
      </c>
      <c r="L117" s="808">
        <f ca="1">Cashflow!L58</f>
        <v>280</v>
      </c>
      <c r="M117" s="808">
        <f ca="1">Cashflow!M58</f>
        <v>280</v>
      </c>
      <c r="N117" s="808">
        <f ca="1">Cashflow!N58</f>
        <v>280</v>
      </c>
      <c r="O117" s="808">
        <f ca="1">Cashflow!O58</f>
        <v>280</v>
      </c>
      <c r="P117" s="808">
        <f ca="1">Cashflow!P58</f>
        <v>280</v>
      </c>
      <c r="Q117" s="808">
        <f ca="1">Cashflow!Q58</f>
        <v>280</v>
      </c>
      <c r="R117" s="808">
        <f ca="1">Cashflow!R58</f>
        <v>280</v>
      </c>
      <c r="S117" s="808">
        <f ca="1">Cashflow!S58</f>
        <v>280</v>
      </c>
      <c r="T117" s="808">
        <f ca="1">Cashflow!T58</f>
        <v>275.71891784600189</v>
      </c>
      <c r="U117" s="808">
        <f ca="1">Cashflow!U58</f>
        <v>271.25054815487272</v>
      </c>
      <c r="V117" s="808">
        <f ca="1">Cashflow!V58</f>
        <v>266.9694660008746</v>
      </c>
      <c r="W117" s="808">
        <f ca="1">Cashflow!W58</f>
        <v>262.50109630974544</v>
      </c>
      <c r="X117" s="808">
        <f ca="1">Cashflow!X58</f>
        <v>258.22001415574738</v>
      </c>
      <c r="Y117" s="808">
        <f ca="1">Cashflow!Y58</f>
        <v>253.75164446461818</v>
      </c>
      <c r="Z117" s="808">
        <f ca="1">Cashflow!Z58</f>
        <v>249.4705623106201</v>
      </c>
      <c r="AA117" s="808">
        <f ca="1">Cashflow!AA58</f>
        <v>245.0021926194909</v>
      </c>
      <c r="AB117" s="808">
        <f ca="1">Cashflow!AB58</f>
        <v>240.72111046549281</v>
      </c>
      <c r="AC117" s="808">
        <f ca="1">Cashflow!AC58</f>
        <v>236.25274077436364</v>
      </c>
      <c r="AD117" s="808">
        <f ca="1">Cashflow!AD58</f>
        <v>231.97165862036553</v>
      </c>
      <c r="AE117" s="808">
        <f ca="1">Cashflow!AE58</f>
        <v>227.50328892923636</v>
      </c>
      <c r="AF117" s="808">
        <f ca="1">Cashflow!AF58</f>
        <v>223.22220677523825</v>
      </c>
      <c r="AG117" s="808">
        <f ca="1">Cashflow!AG58</f>
        <v>218.75383708410908</v>
      </c>
      <c r="AH117" s="727"/>
      <c r="AI117" s="727"/>
      <c r="AJ117" s="727"/>
      <c r="AK117" s="727"/>
      <c r="AL117" s="727"/>
      <c r="AM117" s="727"/>
      <c r="AN117" s="727"/>
      <c r="AO117" s="727"/>
      <c r="AP117" s="727"/>
      <c r="AQ117" s="727"/>
      <c r="AR117" s="727"/>
      <c r="AS117" s="727"/>
      <c r="AT117" s="727"/>
      <c r="AU117" s="727"/>
      <c r="AV117" s="727"/>
      <c r="AW117" s="727"/>
      <c r="AX117" s="727"/>
      <c r="AY117" s="727"/>
      <c r="AZ117" s="727"/>
      <c r="BA117" s="727"/>
      <c r="BB117" s="727"/>
    </row>
    <row r="118" spans="1:54">
      <c r="A118" s="326"/>
      <c r="B118" s="98" t="s">
        <v>1070</v>
      </c>
      <c r="C118" s="728" t="str">
        <f t="shared" ref="C118:AG118" si="4">IF(C$117=0,"",INDEX($B$69:$B$108,MATCH(C$117,$B$69:$B$108,1)))</f>
        <v/>
      </c>
      <c r="D118" s="728" t="str">
        <f t="shared" si="4"/>
        <v/>
      </c>
      <c r="E118" s="728" t="str">
        <f t="shared" si="4"/>
        <v/>
      </c>
      <c r="F118" s="728" t="str">
        <f t="shared" si="4"/>
        <v/>
      </c>
      <c r="G118" s="728" t="str">
        <f t="shared" si="4"/>
        <v/>
      </c>
      <c r="H118" s="728" t="str">
        <f t="shared" si="4"/>
        <v/>
      </c>
      <c r="I118" s="728" t="str">
        <f t="shared" si="4"/>
        <v/>
      </c>
      <c r="J118" s="728" t="str">
        <f t="shared" si="4"/>
        <v/>
      </c>
      <c r="K118" s="728">
        <f t="shared" si="4"/>
        <v>280</v>
      </c>
      <c r="L118" s="728">
        <f t="shared" ca="1" si="4"/>
        <v>280</v>
      </c>
      <c r="M118" s="728">
        <f t="shared" ca="1" si="4"/>
        <v>280</v>
      </c>
      <c r="N118" s="728">
        <f t="shared" ca="1" si="4"/>
        <v>280</v>
      </c>
      <c r="O118" s="728">
        <f t="shared" ca="1" si="4"/>
        <v>280</v>
      </c>
      <c r="P118" s="728">
        <f t="shared" ca="1" si="4"/>
        <v>280</v>
      </c>
      <c r="Q118" s="728">
        <f t="shared" ca="1" si="4"/>
        <v>280</v>
      </c>
      <c r="R118" s="728">
        <f t="shared" ca="1" si="4"/>
        <v>280</v>
      </c>
      <c r="S118" s="728">
        <f t="shared" ca="1" si="4"/>
        <v>280</v>
      </c>
      <c r="T118" s="728">
        <f t="shared" ca="1" si="4"/>
        <v>260</v>
      </c>
      <c r="U118" s="728">
        <f t="shared" ca="1" si="4"/>
        <v>260</v>
      </c>
      <c r="V118" s="728">
        <f t="shared" ca="1" si="4"/>
        <v>260</v>
      </c>
      <c r="W118" s="728">
        <f t="shared" ca="1" si="4"/>
        <v>260</v>
      </c>
      <c r="X118" s="728">
        <f t="shared" ca="1" si="4"/>
        <v>240</v>
      </c>
      <c r="Y118" s="728">
        <f t="shared" ca="1" si="4"/>
        <v>240</v>
      </c>
      <c r="Z118" s="728">
        <f t="shared" ca="1" si="4"/>
        <v>240</v>
      </c>
      <c r="AA118" s="728">
        <f t="shared" ca="1" si="4"/>
        <v>240</v>
      </c>
      <c r="AB118" s="728">
        <f t="shared" ca="1" si="4"/>
        <v>240</v>
      </c>
      <c r="AC118" s="728">
        <f t="shared" ca="1" si="4"/>
        <v>220</v>
      </c>
      <c r="AD118" s="728">
        <f t="shared" ca="1" si="4"/>
        <v>220</v>
      </c>
      <c r="AE118" s="728">
        <f t="shared" ca="1" si="4"/>
        <v>220</v>
      </c>
      <c r="AF118" s="728">
        <f t="shared" ca="1" si="4"/>
        <v>220</v>
      </c>
      <c r="AG118" s="728">
        <f t="shared" ca="1" si="4"/>
        <v>200</v>
      </c>
      <c r="AH118" s="727"/>
      <c r="AI118" s="727"/>
      <c r="AJ118" s="727"/>
      <c r="AK118" s="727"/>
      <c r="AL118" s="727"/>
      <c r="AM118" s="727"/>
      <c r="AN118" s="727"/>
      <c r="AO118" s="727"/>
      <c r="AP118" s="727"/>
      <c r="AQ118" s="727"/>
      <c r="AR118" s="727"/>
      <c r="AS118" s="727"/>
      <c r="AT118" s="727"/>
      <c r="AU118" s="727"/>
      <c r="AV118" s="727"/>
      <c r="AW118" s="727"/>
      <c r="AX118" s="727"/>
      <c r="AY118" s="727"/>
      <c r="AZ118" s="727"/>
      <c r="BA118" s="727"/>
      <c r="BB118" s="727"/>
    </row>
    <row r="119" spans="1:54">
      <c r="A119" s="326"/>
      <c r="B119" s="98" t="s">
        <v>1071</v>
      </c>
      <c r="C119" s="728" t="str">
        <f t="shared" ref="C119:AG119" si="5">IF(C$117=0,"",INDEX($B$69:$B$108,MATCH(C$117,$B$69:$B$108,1)+1))</f>
        <v/>
      </c>
      <c r="D119" s="728" t="str">
        <f t="shared" si="5"/>
        <v/>
      </c>
      <c r="E119" s="728" t="str">
        <f t="shared" si="5"/>
        <v/>
      </c>
      <c r="F119" s="728" t="str">
        <f t="shared" si="5"/>
        <v/>
      </c>
      <c r="G119" s="728" t="str">
        <f t="shared" si="5"/>
        <v/>
      </c>
      <c r="H119" s="728" t="str">
        <f t="shared" si="5"/>
        <v/>
      </c>
      <c r="I119" s="728" t="str">
        <f t="shared" si="5"/>
        <v/>
      </c>
      <c r="J119" s="728" t="str">
        <f t="shared" si="5"/>
        <v/>
      </c>
      <c r="K119" s="728">
        <f t="shared" si="5"/>
        <v>300</v>
      </c>
      <c r="L119" s="728">
        <f t="shared" ca="1" si="5"/>
        <v>300</v>
      </c>
      <c r="M119" s="728">
        <f t="shared" ca="1" si="5"/>
        <v>300</v>
      </c>
      <c r="N119" s="728">
        <f t="shared" ca="1" si="5"/>
        <v>300</v>
      </c>
      <c r="O119" s="728">
        <f t="shared" ca="1" si="5"/>
        <v>300</v>
      </c>
      <c r="P119" s="728">
        <f t="shared" ca="1" si="5"/>
        <v>300</v>
      </c>
      <c r="Q119" s="728">
        <f t="shared" ca="1" si="5"/>
        <v>300</v>
      </c>
      <c r="R119" s="728">
        <f t="shared" ca="1" si="5"/>
        <v>300</v>
      </c>
      <c r="S119" s="728">
        <f t="shared" ca="1" si="5"/>
        <v>300</v>
      </c>
      <c r="T119" s="728">
        <f t="shared" ca="1" si="5"/>
        <v>280</v>
      </c>
      <c r="U119" s="728">
        <f t="shared" ca="1" si="5"/>
        <v>280</v>
      </c>
      <c r="V119" s="728">
        <f t="shared" ca="1" si="5"/>
        <v>280</v>
      </c>
      <c r="W119" s="728">
        <f t="shared" ca="1" si="5"/>
        <v>280</v>
      </c>
      <c r="X119" s="728">
        <f t="shared" ca="1" si="5"/>
        <v>260</v>
      </c>
      <c r="Y119" s="728">
        <f t="shared" ca="1" si="5"/>
        <v>260</v>
      </c>
      <c r="Z119" s="728">
        <f t="shared" ca="1" si="5"/>
        <v>260</v>
      </c>
      <c r="AA119" s="728">
        <f t="shared" ca="1" si="5"/>
        <v>260</v>
      </c>
      <c r="AB119" s="728">
        <f t="shared" ca="1" si="5"/>
        <v>260</v>
      </c>
      <c r="AC119" s="728">
        <f t="shared" ca="1" si="5"/>
        <v>240</v>
      </c>
      <c r="AD119" s="728">
        <f t="shared" ca="1" si="5"/>
        <v>240</v>
      </c>
      <c r="AE119" s="728">
        <f t="shared" ca="1" si="5"/>
        <v>240</v>
      </c>
      <c r="AF119" s="728">
        <f t="shared" ca="1" si="5"/>
        <v>240</v>
      </c>
      <c r="AG119" s="728">
        <f t="shared" ca="1" si="5"/>
        <v>220</v>
      </c>
      <c r="AH119" s="727"/>
      <c r="AI119" s="727"/>
      <c r="AJ119" s="727"/>
      <c r="AK119" s="727"/>
      <c r="AL119" s="727"/>
      <c r="AM119" s="727"/>
      <c r="AN119" s="727"/>
      <c r="AO119" s="727"/>
      <c r="AP119" s="727"/>
      <c r="AQ119" s="727"/>
      <c r="AR119" s="727"/>
      <c r="AS119" s="727"/>
      <c r="AT119" s="727"/>
      <c r="AU119" s="727"/>
      <c r="AV119" s="727"/>
      <c r="AW119" s="727"/>
      <c r="AX119" s="727"/>
      <c r="AY119" s="727"/>
      <c r="AZ119" s="727"/>
      <c r="BA119" s="727"/>
      <c r="BB119" s="727"/>
    </row>
    <row r="120" spans="1:54">
      <c r="A120" s="326"/>
      <c r="B120" s="98" t="s">
        <v>1417</v>
      </c>
      <c r="C120" s="725" t="str">
        <f t="shared" ref="C120:AG120" si="6">IF(C$117=0,"",VLOOKUP(C$118,$B$69:$L$108,3,FALSE))</f>
        <v/>
      </c>
      <c r="D120" s="725" t="str">
        <f t="shared" si="6"/>
        <v/>
      </c>
      <c r="E120" s="725" t="str">
        <f t="shared" si="6"/>
        <v/>
      </c>
      <c r="F120" s="725" t="str">
        <f t="shared" si="6"/>
        <v/>
      </c>
      <c r="G120" s="725" t="str">
        <f t="shared" si="6"/>
        <v/>
      </c>
      <c r="H120" s="725" t="str">
        <f t="shared" si="6"/>
        <v/>
      </c>
      <c r="I120" s="725" t="str">
        <f t="shared" si="6"/>
        <v/>
      </c>
      <c r="J120" s="725" t="str">
        <f t="shared" si="6"/>
        <v/>
      </c>
      <c r="K120" s="725">
        <f t="shared" si="6"/>
        <v>750.8</v>
      </c>
      <c r="L120" s="725">
        <f t="shared" ca="1" si="6"/>
        <v>750.8</v>
      </c>
      <c r="M120" s="725">
        <f t="shared" ca="1" si="6"/>
        <v>750.8</v>
      </c>
      <c r="N120" s="725">
        <f t="shared" ca="1" si="6"/>
        <v>750.8</v>
      </c>
      <c r="O120" s="725">
        <f t="shared" ca="1" si="6"/>
        <v>750.8</v>
      </c>
      <c r="P120" s="725">
        <f t="shared" ca="1" si="6"/>
        <v>750.8</v>
      </c>
      <c r="Q120" s="725">
        <f t="shared" ca="1" si="6"/>
        <v>750.8</v>
      </c>
      <c r="R120" s="725">
        <f t="shared" ca="1" si="6"/>
        <v>750.8</v>
      </c>
      <c r="S120" s="725">
        <f t="shared" ca="1" si="6"/>
        <v>750.8</v>
      </c>
      <c r="T120" s="725">
        <f t="shared" ca="1" si="6"/>
        <v>783.7</v>
      </c>
      <c r="U120" s="725">
        <f t="shared" ca="1" si="6"/>
        <v>783.7</v>
      </c>
      <c r="V120" s="725">
        <f t="shared" ca="1" si="6"/>
        <v>783.7</v>
      </c>
      <c r="W120" s="725">
        <f t="shared" ca="1" si="6"/>
        <v>783.7</v>
      </c>
      <c r="X120" s="725">
        <f t="shared" ca="1" si="6"/>
        <v>813.7</v>
      </c>
      <c r="Y120" s="725">
        <f t="shared" ca="1" si="6"/>
        <v>813.7</v>
      </c>
      <c r="Z120" s="725">
        <f t="shared" ca="1" si="6"/>
        <v>813.7</v>
      </c>
      <c r="AA120" s="725">
        <f t="shared" ca="1" si="6"/>
        <v>813.7</v>
      </c>
      <c r="AB120" s="725">
        <f t="shared" ca="1" si="6"/>
        <v>813.7</v>
      </c>
      <c r="AC120" s="725">
        <f t="shared" ca="1" si="6"/>
        <v>840.3</v>
      </c>
      <c r="AD120" s="725">
        <f t="shared" ca="1" si="6"/>
        <v>840.3</v>
      </c>
      <c r="AE120" s="725">
        <f t="shared" ca="1" si="6"/>
        <v>840.3</v>
      </c>
      <c r="AF120" s="725">
        <f t="shared" ca="1" si="6"/>
        <v>840.3</v>
      </c>
      <c r="AG120" s="725">
        <f t="shared" ca="1" si="6"/>
        <v>864.3</v>
      </c>
      <c r="AH120" s="727"/>
      <c r="AI120" s="727"/>
      <c r="AJ120" s="727"/>
      <c r="AK120" s="727"/>
      <c r="AL120" s="727"/>
      <c r="AM120" s="727"/>
      <c r="AN120" s="727"/>
      <c r="AO120" s="727"/>
      <c r="AP120" s="727"/>
      <c r="AQ120" s="727"/>
      <c r="AR120" s="727"/>
      <c r="AS120" s="727"/>
      <c r="AT120" s="727"/>
      <c r="AU120" s="727"/>
      <c r="AV120" s="727"/>
      <c r="AW120" s="727"/>
      <c r="AX120" s="727"/>
      <c r="AY120" s="727"/>
      <c r="AZ120" s="727"/>
      <c r="BA120" s="727"/>
      <c r="BB120" s="727"/>
    </row>
    <row r="121" spans="1:54">
      <c r="A121" s="326"/>
      <c r="B121" s="98" t="s">
        <v>1418</v>
      </c>
      <c r="C121" s="725" t="str">
        <f t="shared" ref="C121:AG121" si="7">IF(C$117=0,"",VLOOKUP(C$119,$B$69:$L$108,3,FALSE))</f>
        <v/>
      </c>
      <c r="D121" s="725" t="str">
        <f t="shared" si="7"/>
        <v/>
      </c>
      <c r="E121" s="725" t="str">
        <f t="shared" si="7"/>
        <v/>
      </c>
      <c r="F121" s="725" t="str">
        <f t="shared" si="7"/>
        <v/>
      </c>
      <c r="G121" s="725" t="str">
        <f t="shared" si="7"/>
        <v/>
      </c>
      <c r="H121" s="725" t="str">
        <f t="shared" si="7"/>
        <v/>
      </c>
      <c r="I121" s="725" t="str">
        <f t="shared" si="7"/>
        <v/>
      </c>
      <c r="J121" s="725" t="str">
        <f t="shared" si="7"/>
        <v/>
      </c>
      <c r="K121" s="725">
        <f t="shared" si="7"/>
        <v>713.8</v>
      </c>
      <c r="L121" s="725">
        <f t="shared" ca="1" si="7"/>
        <v>713.8</v>
      </c>
      <c r="M121" s="725">
        <f t="shared" ca="1" si="7"/>
        <v>713.8</v>
      </c>
      <c r="N121" s="725">
        <f t="shared" ca="1" si="7"/>
        <v>713.8</v>
      </c>
      <c r="O121" s="725">
        <f t="shared" ca="1" si="7"/>
        <v>713.8</v>
      </c>
      <c r="P121" s="725">
        <f t="shared" ca="1" si="7"/>
        <v>713.8</v>
      </c>
      <c r="Q121" s="725">
        <f t="shared" ca="1" si="7"/>
        <v>713.8</v>
      </c>
      <c r="R121" s="725">
        <f t="shared" ca="1" si="7"/>
        <v>713.8</v>
      </c>
      <c r="S121" s="725">
        <f t="shared" ca="1" si="7"/>
        <v>713.8</v>
      </c>
      <c r="T121" s="725">
        <f t="shared" ca="1" si="7"/>
        <v>750.8</v>
      </c>
      <c r="U121" s="725">
        <f t="shared" ca="1" si="7"/>
        <v>750.8</v>
      </c>
      <c r="V121" s="725">
        <f t="shared" ca="1" si="7"/>
        <v>750.8</v>
      </c>
      <c r="W121" s="725">
        <f t="shared" ca="1" si="7"/>
        <v>750.8</v>
      </c>
      <c r="X121" s="725">
        <f t="shared" ca="1" si="7"/>
        <v>783.7</v>
      </c>
      <c r="Y121" s="725">
        <f t="shared" ca="1" si="7"/>
        <v>783.7</v>
      </c>
      <c r="Z121" s="725">
        <f t="shared" ca="1" si="7"/>
        <v>783.7</v>
      </c>
      <c r="AA121" s="725">
        <f t="shared" ca="1" si="7"/>
        <v>783.7</v>
      </c>
      <c r="AB121" s="725">
        <f t="shared" ca="1" si="7"/>
        <v>783.7</v>
      </c>
      <c r="AC121" s="725">
        <f t="shared" ca="1" si="7"/>
        <v>813.7</v>
      </c>
      <c r="AD121" s="725">
        <f t="shared" ca="1" si="7"/>
        <v>813.7</v>
      </c>
      <c r="AE121" s="725">
        <f t="shared" ca="1" si="7"/>
        <v>813.7</v>
      </c>
      <c r="AF121" s="725">
        <f t="shared" ca="1" si="7"/>
        <v>813.7</v>
      </c>
      <c r="AG121" s="725">
        <f t="shared" ca="1" si="7"/>
        <v>840.3</v>
      </c>
      <c r="AH121" s="727"/>
      <c r="AI121" s="727"/>
      <c r="AJ121" s="727"/>
      <c r="AK121" s="727"/>
      <c r="AL121" s="727"/>
      <c r="AM121" s="727"/>
      <c r="AN121" s="727"/>
      <c r="AO121" s="727"/>
      <c r="AP121" s="727"/>
      <c r="AQ121" s="727"/>
      <c r="AR121" s="727"/>
      <c r="AS121" s="727"/>
      <c r="AT121" s="727"/>
      <c r="AU121" s="727"/>
      <c r="AV121" s="727"/>
      <c r="AW121" s="727"/>
      <c r="AX121" s="727"/>
      <c r="AY121" s="727"/>
      <c r="AZ121" s="727"/>
      <c r="BA121" s="727"/>
      <c r="BB121" s="727"/>
    </row>
    <row r="122" spans="1:54">
      <c r="A122" s="326"/>
      <c r="B122" s="98" t="s">
        <v>1074</v>
      </c>
      <c r="C122" s="726">
        <f t="shared" ref="C122:AG122" si="8">IF(C$117=0,0,IF(C$117&gt;MAX($B$69:$B$108),C120,C120+(C$117-C$118)*(C121-C120)/(C$119-C$118)))</f>
        <v>0</v>
      </c>
      <c r="D122" s="726">
        <f t="shared" si="8"/>
        <v>0</v>
      </c>
      <c r="E122" s="726">
        <f t="shared" si="8"/>
        <v>0</v>
      </c>
      <c r="F122" s="726">
        <f t="shared" si="8"/>
        <v>0</v>
      </c>
      <c r="G122" s="726">
        <f t="shared" si="8"/>
        <v>0</v>
      </c>
      <c r="H122" s="726">
        <f t="shared" si="8"/>
        <v>0</v>
      </c>
      <c r="I122" s="726">
        <f t="shared" si="8"/>
        <v>0</v>
      </c>
      <c r="J122" s="726">
        <f t="shared" si="8"/>
        <v>0</v>
      </c>
      <c r="K122" s="726">
        <f t="shared" si="8"/>
        <v>750.8</v>
      </c>
      <c r="L122" s="726">
        <f t="shared" ca="1" si="8"/>
        <v>750.8</v>
      </c>
      <c r="M122" s="726">
        <f t="shared" ca="1" si="8"/>
        <v>750.8</v>
      </c>
      <c r="N122" s="726">
        <f t="shared" ca="1" si="8"/>
        <v>750.8</v>
      </c>
      <c r="O122" s="726">
        <f t="shared" ca="1" si="8"/>
        <v>750.8</v>
      </c>
      <c r="P122" s="726">
        <f t="shared" ca="1" si="8"/>
        <v>750.8</v>
      </c>
      <c r="Q122" s="726">
        <f t="shared" ca="1" si="8"/>
        <v>750.8</v>
      </c>
      <c r="R122" s="726">
        <f t="shared" ca="1" si="8"/>
        <v>750.8</v>
      </c>
      <c r="S122" s="726">
        <f t="shared" ca="1" si="8"/>
        <v>750.8</v>
      </c>
      <c r="T122" s="726">
        <f t="shared" ca="1" si="8"/>
        <v>757.84238014332686</v>
      </c>
      <c r="U122" s="726">
        <f t="shared" ca="1" si="8"/>
        <v>765.19284828523439</v>
      </c>
      <c r="V122" s="726">
        <f t="shared" ca="1" si="8"/>
        <v>772.2352284285613</v>
      </c>
      <c r="W122" s="726">
        <f t="shared" ca="1" si="8"/>
        <v>779.58569657046883</v>
      </c>
      <c r="X122" s="726">
        <f t="shared" ca="1" si="8"/>
        <v>786.36997876637895</v>
      </c>
      <c r="Y122" s="726">
        <f t="shared" ca="1" si="8"/>
        <v>793.07253330307276</v>
      </c>
      <c r="Z122" s="726">
        <f t="shared" ca="1" si="8"/>
        <v>799.49415653406993</v>
      </c>
      <c r="AA122" s="726">
        <f t="shared" ca="1" si="8"/>
        <v>806.19671107076374</v>
      </c>
      <c r="AB122" s="726">
        <f t="shared" ca="1" si="8"/>
        <v>812.6183343017608</v>
      </c>
      <c r="AC122" s="726">
        <f t="shared" ca="1" si="8"/>
        <v>818.68385477009633</v>
      </c>
      <c r="AD122" s="726">
        <f t="shared" ca="1" si="8"/>
        <v>824.37769403491382</v>
      </c>
      <c r="AE122" s="726">
        <f t="shared" ca="1" si="8"/>
        <v>830.32062572411564</v>
      </c>
      <c r="AF122" s="726">
        <f t="shared" ca="1" si="8"/>
        <v>836.01446498893313</v>
      </c>
      <c r="AG122" s="726">
        <f t="shared" ca="1" si="8"/>
        <v>841.79539549906906</v>
      </c>
      <c r="AH122" s="727"/>
      <c r="AI122" s="727"/>
      <c r="AJ122" s="727"/>
      <c r="AK122" s="727"/>
      <c r="AL122" s="727"/>
      <c r="AM122" s="727"/>
      <c r="AN122" s="727"/>
      <c r="AO122" s="727"/>
      <c r="AP122" s="727"/>
      <c r="AQ122" s="727"/>
      <c r="AR122" s="727"/>
      <c r="AS122" s="727"/>
      <c r="AT122" s="727"/>
      <c r="AU122" s="727"/>
      <c r="AV122" s="727"/>
      <c r="AW122" s="727"/>
      <c r="AX122" s="727"/>
      <c r="AY122" s="727"/>
      <c r="AZ122" s="727"/>
      <c r="BA122" s="727"/>
      <c r="BB122" s="727"/>
    </row>
    <row r="123" spans="1:54">
      <c r="A123" s="326"/>
      <c r="B123" s="98" t="s">
        <v>1419</v>
      </c>
      <c r="C123" s="809" t="str">
        <f t="shared" ref="C123:AG123" si="9">IF(C$117=0,"",VLOOKUP(C$118,$B$69:$L$108,10,FALSE))</f>
        <v/>
      </c>
      <c r="D123" s="809" t="str">
        <f t="shared" si="9"/>
        <v/>
      </c>
      <c r="E123" s="809" t="str">
        <f t="shared" si="9"/>
        <v/>
      </c>
      <c r="F123" s="809" t="str">
        <f t="shared" si="9"/>
        <v/>
      </c>
      <c r="G123" s="809" t="str">
        <f t="shared" si="9"/>
        <v/>
      </c>
      <c r="H123" s="809" t="str">
        <f t="shared" si="9"/>
        <v/>
      </c>
      <c r="I123" s="809" t="str">
        <f t="shared" si="9"/>
        <v/>
      </c>
      <c r="J123" s="809" t="str">
        <f t="shared" si="9"/>
        <v/>
      </c>
      <c r="K123" s="809">
        <f t="shared" si="9"/>
        <v>9.4000000000000008E-5</v>
      </c>
      <c r="L123" s="809">
        <f t="shared" ca="1" si="9"/>
        <v>9.4000000000000008E-5</v>
      </c>
      <c r="M123" s="809">
        <f t="shared" ca="1" si="9"/>
        <v>9.4000000000000008E-5</v>
      </c>
      <c r="N123" s="809">
        <f t="shared" ca="1" si="9"/>
        <v>9.4000000000000008E-5</v>
      </c>
      <c r="O123" s="809">
        <f t="shared" ca="1" si="9"/>
        <v>9.4000000000000008E-5</v>
      </c>
      <c r="P123" s="809">
        <f t="shared" ca="1" si="9"/>
        <v>9.4000000000000008E-5</v>
      </c>
      <c r="Q123" s="809">
        <f t="shared" ca="1" si="9"/>
        <v>9.4000000000000008E-5</v>
      </c>
      <c r="R123" s="809">
        <f t="shared" ca="1" si="9"/>
        <v>9.4000000000000008E-5</v>
      </c>
      <c r="S123" s="809">
        <f t="shared" ca="1" si="9"/>
        <v>9.4000000000000008E-5</v>
      </c>
      <c r="T123" s="809">
        <f t="shared" ca="1" si="9"/>
        <v>1.02E-4</v>
      </c>
      <c r="U123" s="809">
        <f t="shared" ca="1" si="9"/>
        <v>1.02E-4</v>
      </c>
      <c r="V123" s="809">
        <f t="shared" ca="1" si="9"/>
        <v>1.02E-4</v>
      </c>
      <c r="W123" s="809">
        <f t="shared" ca="1" si="9"/>
        <v>1.02E-4</v>
      </c>
      <c r="X123" s="809">
        <f t="shared" ca="1" si="9"/>
        <v>1.11E-4</v>
      </c>
      <c r="Y123" s="809">
        <f t="shared" ca="1" si="9"/>
        <v>1.11E-4</v>
      </c>
      <c r="Z123" s="809">
        <f t="shared" ca="1" si="9"/>
        <v>1.11E-4</v>
      </c>
      <c r="AA123" s="809">
        <f t="shared" ca="1" si="9"/>
        <v>1.11E-4</v>
      </c>
      <c r="AB123" s="809">
        <f t="shared" ca="1" si="9"/>
        <v>1.11E-4</v>
      </c>
      <c r="AC123" s="809">
        <f t="shared" ca="1" si="9"/>
        <v>1.22E-4</v>
      </c>
      <c r="AD123" s="809">
        <f t="shared" ca="1" si="9"/>
        <v>1.22E-4</v>
      </c>
      <c r="AE123" s="809">
        <f t="shared" ca="1" si="9"/>
        <v>1.22E-4</v>
      </c>
      <c r="AF123" s="809">
        <f t="shared" ca="1" si="9"/>
        <v>1.22E-4</v>
      </c>
      <c r="AG123" s="809">
        <f t="shared" ca="1" si="9"/>
        <v>1.34E-4</v>
      </c>
      <c r="AH123" s="727"/>
      <c r="AI123" s="727"/>
      <c r="AJ123" s="727"/>
      <c r="AK123" s="727"/>
      <c r="AL123" s="727"/>
      <c r="AM123" s="727"/>
      <c r="AN123" s="727"/>
      <c r="AO123" s="727"/>
      <c r="AP123" s="727"/>
      <c r="AQ123" s="727"/>
      <c r="AR123" s="727"/>
      <c r="AS123" s="727"/>
      <c r="AT123" s="727"/>
      <c r="AU123" s="727"/>
      <c r="AV123" s="727"/>
      <c r="AW123" s="727"/>
      <c r="AX123" s="727"/>
      <c r="AY123" s="727"/>
      <c r="AZ123" s="727"/>
      <c r="BA123" s="727"/>
      <c r="BB123" s="727"/>
    </row>
    <row r="124" spans="1:54">
      <c r="A124" s="326"/>
      <c r="B124" s="98" t="s">
        <v>1420</v>
      </c>
      <c r="C124" s="809" t="str">
        <f t="shared" ref="C124:AG124" si="10">IF(C$117=0,"",VLOOKUP(C$119,$B$69:$L$108,10,FALSE))</f>
        <v/>
      </c>
      <c r="D124" s="809" t="str">
        <f t="shared" si="10"/>
        <v/>
      </c>
      <c r="E124" s="809" t="str">
        <f t="shared" si="10"/>
        <v/>
      </c>
      <c r="F124" s="809" t="str">
        <f t="shared" si="10"/>
        <v/>
      </c>
      <c r="G124" s="809" t="str">
        <f t="shared" si="10"/>
        <v/>
      </c>
      <c r="H124" s="809" t="str">
        <f t="shared" si="10"/>
        <v/>
      </c>
      <c r="I124" s="809" t="str">
        <f t="shared" si="10"/>
        <v/>
      </c>
      <c r="J124" s="809" t="str">
        <f t="shared" si="10"/>
        <v/>
      </c>
      <c r="K124" s="809">
        <f t="shared" si="10"/>
        <v>8.599999999999999E-5</v>
      </c>
      <c r="L124" s="809">
        <f t="shared" ca="1" si="10"/>
        <v>8.599999999999999E-5</v>
      </c>
      <c r="M124" s="809">
        <f t="shared" ca="1" si="10"/>
        <v>8.599999999999999E-5</v>
      </c>
      <c r="N124" s="809">
        <f t="shared" ca="1" si="10"/>
        <v>8.599999999999999E-5</v>
      </c>
      <c r="O124" s="809">
        <f t="shared" ca="1" si="10"/>
        <v>8.599999999999999E-5</v>
      </c>
      <c r="P124" s="809">
        <f t="shared" ca="1" si="10"/>
        <v>8.599999999999999E-5</v>
      </c>
      <c r="Q124" s="809">
        <f t="shared" ca="1" si="10"/>
        <v>8.599999999999999E-5</v>
      </c>
      <c r="R124" s="809">
        <f t="shared" ca="1" si="10"/>
        <v>8.599999999999999E-5</v>
      </c>
      <c r="S124" s="809">
        <f t="shared" ca="1" si="10"/>
        <v>8.599999999999999E-5</v>
      </c>
      <c r="T124" s="809">
        <f t="shared" ca="1" si="10"/>
        <v>9.4000000000000008E-5</v>
      </c>
      <c r="U124" s="809">
        <f t="shared" ca="1" si="10"/>
        <v>9.4000000000000008E-5</v>
      </c>
      <c r="V124" s="809">
        <f t="shared" ca="1" si="10"/>
        <v>9.4000000000000008E-5</v>
      </c>
      <c r="W124" s="809">
        <f t="shared" ca="1" si="10"/>
        <v>9.4000000000000008E-5</v>
      </c>
      <c r="X124" s="809">
        <f t="shared" ca="1" si="10"/>
        <v>1.02E-4</v>
      </c>
      <c r="Y124" s="809">
        <f t="shared" ca="1" si="10"/>
        <v>1.02E-4</v>
      </c>
      <c r="Z124" s="809">
        <f t="shared" ca="1" si="10"/>
        <v>1.02E-4</v>
      </c>
      <c r="AA124" s="809">
        <f t="shared" ca="1" si="10"/>
        <v>1.02E-4</v>
      </c>
      <c r="AB124" s="809">
        <f t="shared" ca="1" si="10"/>
        <v>1.02E-4</v>
      </c>
      <c r="AC124" s="809">
        <f t="shared" ca="1" si="10"/>
        <v>1.11E-4</v>
      </c>
      <c r="AD124" s="809">
        <f t="shared" ca="1" si="10"/>
        <v>1.11E-4</v>
      </c>
      <c r="AE124" s="809">
        <f t="shared" ca="1" si="10"/>
        <v>1.11E-4</v>
      </c>
      <c r="AF124" s="809">
        <f t="shared" ca="1" si="10"/>
        <v>1.11E-4</v>
      </c>
      <c r="AG124" s="809">
        <f t="shared" ca="1" si="10"/>
        <v>1.22E-4</v>
      </c>
      <c r="AH124" s="727"/>
      <c r="AI124" s="727"/>
      <c r="AJ124" s="727"/>
      <c r="AK124" s="727"/>
      <c r="AL124" s="727"/>
      <c r="AM124" s="727"/>
      <c r="AN124" s="727"/>
      <c r="AO124" s="727"/>
      <c r="AP124" s="727"/>
      <c r="AQ124" s="727"/>
      <c r="AR124" s="727"/>
      <c r="AS124" s="727"/>
      <c r="AT124" s="727"/>
      <c r="AU124" s="727"/>
      <c r="AV124" s="727"/>
      <c r="AW124" s="727"/>
      <c r="AX124" s="727"/>
      <c r="AY124" s="727"/>
      <c r="AZ124" s="727"/>
      <c r="BA124" s="727"/>
      <c r="BB124" s="727"/>
    </row>
    <row r="125" spans="1:54">
      <c r="A125" s="326"/>
      <c r="B125" s="98" t="s">
        <v>1078</v>
      </c>
      <c r="C125" s="810">
        <f t="shared" ref="C125:AG125" si="11">IF(C$117=0,0,IF(C$117&gt;MAX($B$69:$B$108),C123,C123+(C$117-C$118)*(C124-C123)/(C$119-C$118)))</f>
        <v>0</v>
      </c>
      <c r="D125" s="810">
        <f t="shared" si="11"/>
        <v>0</v>
      </c>
      <c r="E125" s="810">
        <f t="shared" si="11"/>
        <v>0</v>
      </c>
      <c r="F125" s="810">
        <f t="shared" si="11"/>
        <v>0</v>
      </c>
      <c r="G125" s="810">
        <f t="shared" si="11"/>
        <v>0</v>
      </c>
      <c r="H125" s="810">
        <f t="shared" si="11"/>
        <v>0</v>
      </c>
      <c r="I125" s="810">
        <f t="shared" si="11"/>
        <v>0</v>
      </c>
      <c r="J125" s="810">
        <f t="shared" si="11"/>
        <v>0</v>
      </c>
      <c r="K125" s="810">
        <f t="shared" si="11"/>
        <v>9.4000000000000008E-5</v>
      </c>
      <c r="L125" s="810">
        <f t="shared" ca="1" si="11"/>
        <v>9.4000000000000008E-5</v>
      </c>
      <c r="M125" s="810">
        <f t="shared" ca="1" si="11"/>
        <v>9.4000000000000008E-5</v>
      </c>
      <c r="N125" s="810">
        <f t="shared" ca="1" si="11"/>
        <v>9.4000000000000008E-5</v>
      </c>
      <c r="O125" s="810">
        <f t="shared" ca="1" si="11"/>
        <v>9.4000000000000008E-5</v>
      </c>
      <c r="P125" s="810">
        <f t="shared" ca="1" si="11"/>
        <v>9.4000000000000008E-5</v>
      </c>
      <c r="Q125" s="810">
        <f t="shared" ca="1" si="11"/>
        <v>9.4000000000000008E-5</v>
      </c>
      <c r="R125" s="810">
        <f t="shared" ca="1" si="11"/>
        <v>9.4000000000000008E-5</v>
      </c>
      <c r="S125" s="810">
        <f t="shared" ca="1" si="11"/>
        <v>9.4000000000000008E-5</v>
      </c>
      <c r="T125" s="810">
        <f t="shared" ca="1" si="11"/>
        <v>9.5712432861599247E-5</v>
      </c>
      <c r="U125" s="810">
        <f t="shared" ca="1" si="11"/>
        <v>9.749978073805092E-5</v>
      </c>
      <c r="V125" s="810">
        <f t="shared" ca="1" si="11"/>
        <v>9.9212213599650159E-5</v>
      </c>
      <c r="W125" s="810">
        <f t="shared" ca="1" si="11"/>
        <v>1.0099956147610183E-4</v>
      </c>
      <c r="X125" s="810">
        <f t="shared" ca="1" si="11"/>
        <v>1.0280099362991368E-4</v>
      </c>
      <c r="Y125" s="810">
        <f t="shared" ca="1" si="11"/>
        <v>1.0481175999092182E-4</v>
      </c>
      <c r="Z125" s="810">
        <f t="shared" ca="1" si="11"/>
        <v>1.0673824696022096E-4</v>
      </c>
      <c r="AA125" s="810">
        <f t="shared" ca="1" si="11"/>
        <v>1.087490133212291E-4</v>
      </c>
      <c r="AB125" s="810">
        <f t="shared" ca="1" si="11"/>
        <v>1.1067550029052824E-4</v>
      </c>
      <c r="AC125" s="810">
        <f t="shared" ca="1" si="11"/>
        <v>1.130609925741E-4</v>
      </c>
      <c r="AD125" s="810">
        <f t="shared" ca="1" si="11"/>
        <v>1.1541558775879895E-4</v>
      </c>
      <c r="AE125" s="810">
        <f t="shared" ca="1" si="11"/>
        <v>1.1787319108892E-4</v>
      </c>
      <c r="AF125" s="810">
        <f t="shared" ca="1" si="11"/>
        <v>1.2022778627361897E-4</v>
      </c>
      <c r="AG125" s="810">
        <f t="shared" ca="1" si="11"/>
        <v>1.2274769774953454E-4</v>
      </c>
      <c r="AH125" s="727"/>
      <c r="AI125" s="727"/>
      <c r="AJ125" s="727"/>
      <c r="AK125" s="727"/>
      <c r="AL125" s="727"/>
      <c r="AM125" s="727"/>
      <c r="AN125" s="727"/>
      <c r="AO125" s="727"/>
      <c r="AP125" s="727"/>
      <c r="AQ125" s="727"/>
      <c r="AR125" s="727"/>
      <c r="AS125" s="727"/>
      <c r="AT125" s="727"/>
      <c r="AU125" s="727"/>
      <c r="AV125" s="727"/>
      <c r="AW125" s="727"/>
      <c r="AX125" s="727"/>
      <c r="AY125" s="727"/>
      <c r="AZ125" s="727"/>
      <c r="BA125" s="727"/>
      <c r="BB125" s="727"/>
    </row>
    <row r="126" spans="1:54">
      <c r="A126" s="326"/>
      <c r="B126" s="98" t="s">
        <v>1422</v>
      </c>
      <c r="C126" s="809" t="str">
        <f t="shared" ref="C126:AG126" si="12">IF(C$117=0,"",VLOOKUP(C$118,$B$69:$L$108,2,FALSE))</f>
        <v/>
      </c>
      <c r="D126" s="809" t="str">
        <f t="shared" si="12"/>
        <v/>
      </c>
      <c r="E126" s="809" t="str">
        <f t="shared" si="12"/>
        <v/>
      </c>
      <c r="F126" s="809" t="str">
        <f t="shared" si="12"/>
        <v/>
      </c>
      <c r="G126" s="809" t="str">
        <f t="shared" si="12"/>
        <v/>
      </c>
      <c r="H126" s="809" t="str">
        <f t="shared" si="12"/>
        <v/>
      </c>
      <c r="I126" s="809" t="str">
        <f t="shared" si="12"/>
        <v/>
      </c>
      <c r="J126" s="809" t="str">
        <f t="shared" si="12"/>
        <v/>
      </c>
      <c r="K126" s="809">
        <f t="shared" si="12"/>
        <v>6412</v>
      </c>
      <c r="L126" s="809">
        <f t="shared" ca="1" si="12"/>
        <v>6412</v>
      </c>
      <c r="M126" s="809">
        <f t="shared" ca="1" si="12"/>
        <v>6412</v>
      </c>
      <c r="N126" s="809">
        <f t="shared" ca="1" si="12"/>
        <v>6412</v>
      </c>
      <c r="O126" s="809">
        <f t="shared" ca="1" si="12"/>
        <v>6412</v>
      </c>
      <c r="P126" s="809">
        <f t="shared" ca="1" si="12"/>
        <v>6412</v>
      </c>
      <c r="Q126" s="809">
        <f t="shared" ca="1" si="12"/>
        <v>6412</v>
      </c>
      <c r="R126" s="809">
        <f t="shared" ca="1" si="12"/>
        <v>6412</v>
      </c>
      <c r="S126" s="809">
        <f t="shared" ca="1" si="12"/>
        <v>6412</v>
      </c>
      <c r="T126" s="809">
        <f t="shared" ca="1" si="12"/>
        <v>4688</v>
      </c>
      <c r="U126" s="809">
        <f t="shared" ca="1" si="12"/>
        <v>4688</v>
      </c>
      <c r="V126" s="809">
        <f t="shared" ca="1" si="12"/>
        <v>4688</v>
      </c>
      <c r="W126" s="809">
        <f t="shared" ca="1" si="12"/>
        <v>4688</v>
      </c>
      <c r="X126" s="809">
        <f t="shared" ca="1" si="12"/>
        <v>3344</v>
      </c>
      <c r="Y126" s="809">
        <f t="shared" ca="1" si="12"/>
        <v>3344</v>
      </c>
      <c r="Z126" s="809">
        <f t="shared" ca="1" si="12"/>
        <v>3344</v>
      </c>
      <c r="AA126" s="809">
        <f t="shared" ca="1" si="12"/>
        <v>3344</v>
      </c>
      <c r="AB126" s="809">
        <f t="shared" ca="1" si="12"/>
        <v>3344</v>
      </c>
      <c r="AC126" s="809">
        <f t="shared" ca="1" si="12"/>
        <v>2318</v>
      </c>
      <c r="AD126" s="809">
        <f t="shared" ca="1" si="12"/>
        <v>2318</v>
      </c>
      <c r="AE126" s="809">
        <f t="shared" ca="1" si="12"/>
        <v>2318</v>
      </c>
      <c r="AF126" s="809">
        <f t="shared" ca="1" si="12"/>
        <v>2318</v>
      </c>
      <c r="AG126" s="809">
        <f t="shared" ca="1" si="12"/>
        <v>1553.8</v>
      </c>
      <c r="AH126" s="727"/>
      <c r="AI126" s="727"/>
      <c r="AJ126" s="727"/>
      <c r="AK126" s="727"/>
      <c r="AL126" s="727"/>
      <c r="AM126" s="727"/>
      <c r="AN126" s="727"/>
      <c r="AO126" s="727"/>
      <c r="AP126" s="727"/>
      <c r="AQ126" s="727"/>
      <c r="AR126" s="727"/>
      <c r="AS126" s="727"/>
      <c r="AT126" s="727"/>
      <c r="AU126" s="727"/>
      <c r="AV126" s="727"/>
      <c r="AW126" s="727"/>
      <c r="AX126" s="727"/>
      <c r="AY126" s="727"/>
      <c r="AZ126" s="727"/>
      <c r="BA126" s="727"/>
      <c r="BB126" s="727"/>
    </row>
    <row r="127" spans="1:54">
      <c r="A127" s="326"/>
      <c r="B127" s="98" t="s">
        <v>1421</v>
      </c>
      <c r="C127" s="809" t="str">
        <f t="shared" ref="C127:AG127" si="13">IF(C$117=0,"",VLOOKUP(C$119,$B$69:$L$108,2,FALSE))</f>
        <v/>
      </c>
      <c r="D127" s="809" t="str">
        <f t="shared" si="13"/>
        <v/>
      </c>
      <c r="E127" s="809" t="str">
        <f t="shared" si="13"/>
        <v/>
      </c>
      <c r="F127" s="809" t="str">
        <f t="shared" si="13"/>
        <v/>
      </c>
      <c r="G127" s="809" t="str">
        <f t="shared" si="13"/>
        <v/>
      </c>
      <c r="H127" s="809" t="str">
        <f t="shared" si="13"/>
        <v/>
      </c>
      <c r="I127" s="809" t="str">
        <f t="shared" si="13"/>
        <v/>
      </c>
      <c r="J127" s="809" t="str">
        <f t="shared" si="13"/>
        <v/>
      </c>
      <c r="K127" s="809">
        <f t="shared" si="13"/>
        <v>8581</v>
      </c>
      <c r="L127" s="809">
        <f t="shared" ca="1" si="13"/>
        <v>8581</v>
      </c>
      <c r="M127" s="809">
        <f t="shared" ca="1" si="13"/>
        <v>8581</v>
      </c>
      <c r="N127" s="809">
        <f t="shared" ca="1" si="13"/>
        <v>8581</v>
      </c>
      <c r="O127" s="809">
        <f t="shared" ca="1" si="13"/>
        <v>8581</v>
      </c>
      <c r="P127" s="809">
        <f t="shared" ca="1" si="13"/>
        <v>8581</v>
      </c>
      <c r="Q127" s="809">
        <f t="shared" ca="1" si="13"/>
        <v>8581</v>
      </c>
      <c r="R127" s="809">
        <f t="shared" ca="1" si="13"/>
        <v>8581</v>
      </c>
      <c r="S127" s="809">
        <f t="shared" ca="1" si="13"/>
        <v>8581</v>
      </c>
      <c r="T127" s="809">
        <f t="shared" ca="1" si="13"/>
        <v>6412</v>
      </c>
      <c r="U127" s="809">
        <f t="shared" ca="1" si="13"/>
        <v>6412</v>
      </c>
      <c r="V127" s="809">
        <f t="shared" ca="1" si="13"/>
        <v>6412</v>
      </c>
      <c r="W127" s="809">
        <f t="shared" ca="1" si="13"/>
        <v>6412</v>
      </c>
      <c r="X127" s="809">
        <f t="shared" ca="1" si="13"/>
        <v>4688</v>
      </c>
      <c r="Y127" s="809">
        <f t="shared" ca="1" si="13"/>
        <v>4688</v>
      </c>
      <c r="Z127" s="809">
        <f t="shared" ca="1" si="13"/>
        <v>4688</v>
      </c>
      <c r="AA127" s="809">
        <f t="shared" ca="1" si="13"/>
        <v>4688</v>
      </c>
      <c r="AB127" s="809">
        <f t="shared" ca="1" si="13"/>
        <v>4688</v>
      </c>
      <c r="AC127" s="809">
        <f t="shared" ca="1" si="13"/>
        <v>3344</v>
      </c>
      <c r="AD127" s="809">
        <f t="shared" ca="1" si="13"/>
        <v>3344</v>
      </c>
      <c r="AE127" s="809">
        <f t="shared" ca="1" si="13"/>
        <v>3344</v>
      </c>
      <c r="AF127" s="809">
        <f t="shared" ca="1" si="13"/>
        <v>3344</v>
      </c>
      <c r="AG127" s="809">
        <f t="shared" ca="1" si="13"/>
        <v>2318</v>
      </c>
      <c r="AH127" s="727"/>
      <c r="AI127" s="727"/>
      <c r="AJ127" s="727"/>
      <c r="AK127" s="727"/>
      <c r="AL127" s="727"/>
      <c r="AM127" s="727"/>
      <c r="AN127" s="727"/>
      <c r="AO127" s="727"/>
      <c r="AP127" s="727"/>
      <c r="AQ127" s="727"/>
      <c r="AR127" s="727"/>
      <c r="AS127" s="727"/>
      <c r="AT127" s="727"/>
      <c r="AU127" s="727"/>
      <c r="AV127" s="727"/>
      <c r="AW127" s="727"/>
      <c r="AX127" s="727"/>
      <c r="AY127" s="727"/>
      <c r="AZ127" s="727"/>
      <c r="BA127" s="727"/>
      <c r="BB127" s="727"/>
    </row>
    <row r="128" spans="1:54">
      <c r="A128" s="326"/>
      <c r="B128" s="98" t="s">
        <v>1423</v>
      </c>
      <c r="C128" s="810">
        <f t="shared" ref="C128:AG128" si="14">IF(C$117=0,0,IF(C$117&gt;MAX($B$69:$B$108),C126,C126+(C$117-C$118)*(C127-C126)/(C$119-C$118)))</f>
        <v>0</v>
      </c>
      <c r="D128" s="810">
        <f t="shared" si="14"/>
        <v>0</v>
      </c>
      <c r="E128" s="810">
        <f t="shared" si="14"/>
        <v>0</v>
      </c>
      <c r="F128" s="810">
        <f t="shared" si="14"/>
        <v>0</v>
      </c>
      <c r="G128" s="810">
        <f t="shared" si="14"/>
        <v>0</v>
      </c>
      <c r="H128" s="810">
        <f t="shared" si="14"/>
        <v>0</v>
      </c>
      <c r="I128" s="810">
        <f t="shared" si="14"/>
        <v>0</v>
      </c>
      <c r="J128" s="810">
        <f t="shared" si="14"/>
        <v>0</v>
      </c>
      <c r="K128" s="810">
        <f t="shared" si="14"/>
        <v>6412</v>
      </c>
      <c r="L128" s="810">
        <f t="shared" ca="1" si="14"/>
        <v>6412</v>
      </c>
      <c r="M128" s="810">
        <f t="shared" ca="1" si="14"/>
        <v>6412</v>
      </c>
      <c r="N128" s="810">
        <f t="shared" ca="1" si="14"/>
        <v>6412</v>
      </c>
      <c r="O128" s="810">
        <f t="shared" ca="1" si="14"/>
        <v>6412</v>
      </c>
      <c r="P128" s="810">
        <f t="shared" ca="1" si="14"/>
        <v>6412</v>
      </c>
      <c r="Q128" s="810">
        <f t="shared" ca="1" si="14"/>
        <v>6412</v>
      </c>
      <c r="R128" s="810">
        <f t="shared" ca="1" si="14"/>
        <v>6412</v>
      </c>
      <c r="S128" s="810">
        <f t="shared" ca="1" si="14"/>
        <v>6412</v>
      </c>
      <c r="T128" s="810">
        <f t="shared" ca="1" si="14"/>
        <v>6042.9707183253631</v>
      </c>
      <c r="U128" s="810">
        <f t="shared" ca="1" si="14"/>
        <v>5657.7972509500287</v>
      </c>
      <c r="V128" s="810">
        <f t="shared" ca="1" si="14"/>
        <v>5288.7679692753909</v>
      </c>
      <c r="W128" s="810">
        <f t="shared" ca="1" si="14"/>
        <v>4903.5945019000565</v>
      </c>
      <c r="X128" s="810">
        <f t="shared" ca="1" si="14"/>
        <v>4568.3849512662237</v>
      </c>
      <c r="Y128" s="810">
        <f t="shared" ca="1" si="14"/>
        <v>4268.1105080223415</v>
      </c>
      <c r="Z128" s="810">
        <f t="shared" ca="1" si="14"/>
        <v>3980.4217872736704</v>
      </c>
      <c r="AA128" s="810">
        <f t="shared" ca="1" si="14"/>
        <v>3680.1473440297882</v>
      </c>
      <c r="AB128" s="810">
        <f t="shared" ca="1" si="14"/>
        <v>3392.4586232811171</v>
      </c>
      <c r="AC128" s="810">
        <f t="shared" ca="1" si="14"/>
        <v>3151.7656017248551</v>
      </c>
      <c r="AD128" s="810">
        <f t="shared" ca="1" si="14"/>
        <v>2932.1460872247517</v>
      </c>
      <c r="AE128" s="810">
        <f t="shared" ca="1" si="14"/>
        <v>2702.9187220698254</v>
      </c>
      <c r="AF128" s="810">
        <f t="shared" ca="1" si="14"/>
        <v>2483.2992075697221</v>
      </c>
      <c r="AG128" s="810">
        <f t="shared" ca="1" si="14"/>
        <v>2270.3841149838081</v>
      </c>
      <c r="AH128" s="727"/>
      <c r="AI128" s="727"/>
      <c r="AJ128" s="727"/>
      <c r="AK128" s="727"/>
      <c r="AL128" s="727"/>
      <c r="AM128" s="727"/>
      <c r="AN128" s="727"/>
      <c r="AO128" s="727"/>
      <c r="AP128" s="727"/>
      <c r="AQ128" s="727"/>
      <c r="AR128" s="727"/>
      <c r="AS128" s="727"/>
      <c r="AT128" s="727"/>
      <c r="AU128" s="727"/>
      <c r="AV128" s="727"/>
      <c r="AW128" s="727"/>
      <c r="AX128" s="727"/>
      <c r="AY128" s="727"/>
      <c r="AZ128" s="727"/>
      <c r="BA128" s="727"/>
      <c r="BB128" s="727"/>
    </row>
    <row r="129" spans="1:54">
      <c r="A129" s="326"/>
      <c r="B129" s="727"/>
      <c r="C129" s="727"/>
      <c r="D129" s="727"/>
      <c r="E129" s="727"/>
      <c r="F129" s="727"/>
      <c r="G129" s="727"/>
      <c r="H129" s="727"/>
      <c r="I129" s="727"/>
      <c r="J129" s="727"/>
      <c r="K129" s="727"/>
      <c r="L129" s="727"/>
      <c r="M129" s="727"/>
      <c r="N129" s="727"/>
      <c r="O129" s="727"/>
      <c r="P129" s="727"/>
      <c r="Q129" s="727"/>
      <c r="R129" s="727"/>
      <c r="S129" s="727"/>
      <c r="T129" s="727"/>
      <c r="U129" s="727"/>
      <c r="V129" s="727"/>
      <c r="W129" s="727"/>
      <c r="X129" s="727"/>
      <c r="Y129" s="727"/>
      <c r="Z129" s="727"/>
      <c r="AA129" s="727"/>
      <c r="AB129" s="727"/>
      <c r="AC129" s="727"/>
      <c r="AD129" s="727"/>
      <c r="AE129" s="727"/>
      <c r="AF129" s="727"/>
      <c r="AG129" s="727"/>
      <c r="AH129" s="727"/>
      <c r="AI129" s="727"/>
      <c r="AJ129" s="727"/>
      <c r="AK129" s="727"/>
      <c r="AL129" s="727"/>
      <c r="AM129" s="727"/>
      <c r="AN129" s="727"/>
      <c r="AO129" s="727"/>
      <c r="AP129" s="727"/>
      <c r="AQ129" s="727"/>
      <c r="AR129" s="727"/>
      <c r="AS129" s="727"/>
      <c r="AT129" s="727"/>
      <c r="AU129" s="727"/>
      <c r="AV129" s="727"/>
      <c r="AW129" s="727"/>
      <c r="AX129" s="727"/>
      <c r="AY129" s="727"/>
      <c r="AZ129" s="727"/>
      <c r="BA129" s="727"/>
      <c r="BB129" s="727"/>
    </row>
    <row r="130" spans="1:54">
      <c r="A130" s="326"/>
      <c r="B130" s="731" t="s">
        <v>1467</v>
      </c>
      <c r="C130" s="727"/>
      <c r="D130" s="727"/>
      <c r="E130" s="727"/>
      <c r="F130" s="727"/>
      <c r="G130" s="727"/>
      <c r="H130" s="727"/>
      <c r="I130" s="727"/>
      <c r="J130" s="727"/>
      <c r="K130" s="727"/>
      <c r="L130" s="727"/>
      <c r="M130" s="727"/>
      <c r="N130" s="326"/>
      <c r="O130" s="326"/>
      <c r="P130" s="326"/>
      <c r="Q130" s="326"/>
      <c r="R130" s="326"/>
      <c r="S130" s="326"/>
      <c r="T130" s="326"/>
      <c r="U130" s="326"/>
      <c r="V130" s="326"/>
      <c r="W130" s="326"/>
      <c r="X130" s="326"/>
      <c r="Y130" s="326"/>
      <c r="Z130" s="326"/>
      <c r="AA130" s="326"/>
      <c r="AB130" s="326"/>
      <c r="AC130" s="326"/>
      <c r="AD130" s="326"/>
      <c r="AE130" s="326"/>
      <c r="AF130" s="326"/>
      <c r="AG130" s="326"/>
      <c r="AH130" s="727"/>
      <c r="AI130" s="727"/>
      <c r="AJ130" s="727"/>
      <c r="AK130" s="727"/>
      <c r="AL130" s="727"/>
      <c r="AM130" s="727"/>
      <c r="AN130" s="727"/>
      <c r="AO130" s="727"/>
      <c r="AP130" s="727"/>
      <c r="AQ130" s="727"/>
      <c r="AR130" s="727"/>
      <c r="AS130" s="727"/>
      <c r="AT130" s="727"/>
      <c r="AU130" s="727"/>
      <c r="AV130" s="727"/>
      <c r="AW130" s="727"/>
      <c r="AX130" s="727"/>
      <c r="AY130" s="727"/>
      <c r="AZ130" s="727"/>
      <c r="BA130" s="727"/>
      <c r="BB130" s="727"/>
    </row>
    <row r="131" spans="1:54">
      <c r="A131" s="329"/>
      <c r="B131" s="779" t="s">
        <v>1459</v>
      </c>
      <c r="C131" s="905">
        <v>0</v>
      </c>
      <c r="D131" s="905">
        <f t="shared" ref="D131:M131" ca="1" si="15">IF(C137=D137,C131,C131+1)</f>
        <v>1</v>
      </c>
      <c r="E131" s="905">
        <f t="shared" ca="1" si="15"/>
        <v>2</v>
      </c>
      <c r="F131" s="905">
        <f t="shared" ca="1" si="15"/>
        <v>3</v>
      </c>
      <c r="G131" s="905">
        <f t="shared" ca="1" si="15"/>
        <v>4</v>
      </c>
      <c r="H131" s="905">
        <f t="shared" ca="1" si="15"/>
        <v>4</v>
      </c>
      <c r="I131" s="905">
        <f t="shared" ca="1" si="15"/>
        <v>4</v>
      </c>
      <c r="J131" s="905">
        <f t="shared" ca="1" si="15"/>
        <v>4</v>
      </c>
      <c r="K131" s="905">
        <f t="shared" ca="1" si="15"/>
        <v>4</v>
      </c>
      <c r="L131" s="905">
        <f t="shared" ca="1" si="15"/>
        <v>4</v>
      </c>
      <c r="M131" s="905">
        <f t="shared" ca="1" si="15"/>
        <v>4</v>
      </c>
      <c r="N131" s="335"/>
      <c r="O131" s="326"/>
      <c r="P131" s="326"/>
      <c r="Q131" s="326"/>
      <c r="R131" s="326"/>
      <c r="S131" s="326"/>
      <c r="T131" s="326"/>
      <c r="U131" s="326"/>
      <c r="V131" s="326"/>
      <c r="W131" s="326"/>
      <c r="X131" s="326"/>
      <c r="Y131" s="326"/>
      <c r="Z131" s="326"/>
      <c r="AA131" s="326"/>
      <c r="AB131" s="326"/>
      <c r="AC131" s="326"/>
      <c r="AD131" s="326"/>
      <c r="AE131" s="326"/>
      <c r="AF131" s="326"/>
      <c r="AG131" s="326"/>
      <c r="AH131" s="727"/>
      <c r="AI131" s="727"/>
      <c r="AJ131" s="727"/>
      <c r="AK131" s="727"/>
      <c r="AL131" s="727"/>
      <c r="AM131" s="727"/>
      <c r="AN131" s="727"/>
      <c r="AO131" s="727"/>
      <c r="AP131" s="727"/>
      <c r="AQ131" s="727"/>
      <c r="AR131" s="727"/>
      <c r="AS131" s="727"/>
      <c r="AT131" s="727"/>
      <c r="AU131" s="727"/>
      <c r="AV131" s="727"/>
      <c r="AW131" s="727"/>
      <c r="AX131" s="727"/>
      <c r="AY131" s="727"/>
      <c r="AZ131" s="727"/>
      <c r="BA131" s="727"/>
      <c r="BB131" s="727"/>
    </row>
    <row r="132" spans="1:54">
      <c r="A132" s="329"/>
      <c r="B132" s="752" t="s">
        <v>1460</v>
      </c>
      <c r="C132" s="907">
        <f>$N$4/10^6</f>
        <v>3.5</v>
      </c>
      <c r="D132" s="907">
        <f t="shared" ref="D132:M132" si="16">IF(C132-($I$5/10^6)&lt;MIN($B$204:$B$748),MIN($B$204:$B$748),C132-($I$5/10^6))</f>
        <v>2.5</v>
      </c>
      <c r="E132" s="907">
        <f t="shared" si="16"/>
        <v>1.5</v>
      </c>
      <c r="F132" s="907">
        <f t="shared" si="16"/>
        <v>0.5</v>
      </c>
      <c r="G132" s="907">
        <f t="shared" si="16"/>
        <v>0.01</v>
      </c>
      <c r="H132" s="907">
        <f t="shared" si="16"/>
        <v>0.01</v>
      </c>
      <c r="I132" s="907">
        <f t="shared" si="16"/>
        <v>0.01</v>
      </c>
      <c r="J132" s="907">
        <f t="shared" si="16"/>
        <v>0.01</v>
      </c>
      <c r="K132" s="907">
        <f t="shared" si="16"/>
        <v>0.01</v>
      </c>
      <c r="L132" s="907">
        <f t="shared" si="16"/>
        <v>0.01</v>
      </c>
      <c r="M132" s="907">
        <f t="shared" si="16"/>
        <v>0.01</v>
      </c>
      <c r="N132" s="335"/>
      <c r="O132" s="326"/>
      <c r="P132" s="326"/>
      <c r="Q132" s="326"/>
      <c r="R132" s="326"/>
      <c r="S132" s="326"/>
      <c r="T132" s="326"/>
      <c r="U132" s="326"/>
      <c r="V132" s="326"/>
      <c r="W132" s="326"/>
      <c r="X132" s="326"/>
      <c r="Y132" s="326"/>
      <c r="Z132" s="326"/>
      <c r="AA132" s="326"/>
      <c r="AB132" s="326"/>
      <c r="AC132" s="326"/>
      <c r="AD132" s="326"/>
      <c r="AE132" s="326"/>
      <c r="AF132" s="326"/>
      <c r="AG132" s="326"/>
      <c r="AH132" s="727"/>
      <c r="AI132" s="727"/>
      <c r="AJ132" s="727"/>
      <c r="AK132" s="727"/>
      <c r="AL132" s="727"/>
      <c r="AM132" s="727"/>
      <c r="AN132" s="727"/>
      <c r="AO132" s="727"/>
      <c r="AP132" s="727"/>
      <c r="AQ132" s="727"/>
      <c r="AR132" s="727"/>
      <c r="AS132" s="727"/>
      <c r="AT132" s="727"/>
      <c r="AU132" s="727"/>
      <c r="AV132" s="727"/>
      <c r="AW132" s="727"/>
      <c r="AX132" s="727"/>
      <c r="AY132" s="727"/>
      <c r="AZ132" s="727"/>
      <c r="BA132" s="727"/>
      <c r="BB132" s="727"/>
    </row>
    <row r="133" spans="1:54">
      <c r="A133" s="329"/>
      <c r="B133" s="779" t="s">
        <v>1462</v>
      </c>
      <c r="C133" s="905">
        <f t="shared" ref="C133:M133" si="17">INDEX($B$204:$B$748,MATCH(C132,$B$204:$B$748,1))</f>
        <v>3.5</v>
      </c>
      <c r="D133" s="905">
        <f t="shared" si="17"/>
        <v>2.5</v>
      </c>
      <c r="E133" s="905">
        <f t="shared" si="17"/>
        <v>1.4</v>
      </c>
      <c r="F133" s="905">
        <f t="shared" si="17"/>
        <v>0.5</v>
      </c>
      <c r="G133" s="905">
        <f t="shared" si="17"/>
        <v>0.01</v>
      </c>
      <c r="H133" s="905">
        <f t="shared" si="17"/>
        <v>0.01</v>
      </c>
      <c r="I133" s="905">
        <f t="shared" si="17"/>
        <v>0.01</v>
      </c>
      <c r="J133" s="905">
        <f t="shared" si="17"/>
        <v>0.01</v>
      </c>
      <c r="K133" s="905">
        <f t="shared" si="17"/>
        <v>0.01</v>
      </c>
      <c r="L133" s="905">
        <f t="shared" si="17"/>
        <v>0.01</v>
      </c>
      <c r="M133" s="905">
        <f t="shared" si="17"/>
        <v>0.01</v>
      </c>
      <c r="N133" s="335"/>
      <c r="O133" s="326"/>
      <c r="P133" s="326"/>
      <c r="Q133" s="326"/>
      <c r="R133" s="326"/>
      <c r="S133" s="326"/>
      <c r="T133" s="326"/>
      <c r="U133" s="326"/>
      <c r="V133" s="326"/>
      <c r="W133" s="326"/>
      <c r="X133" s="326"/>
      <c r="Y133" s="326"/>
      <c r="Z133" s="326"/>
      <c r="AA133" s="326"/>
      <c r="AB133" s="326"/>
      <c r="AC133" s="326"/>
      <c r="AD133" s="326"/>
      <c r="AE133" s="326"/>
      <c r="AF133" s="326"/>
      <c r="AG133" s="326"/>
      <c r="AH133" s="727"/>
      <c r="AI133" s="727"/>
      <c r="AJ133" s="727"/>
      <c r="AK133" s="727"/>
      <c r="AL133" s="727"/>
      <c r="AM133" s="727"/>
      <c r="AN133" s="727"/>
      <c r="AO133" s="727"/>
      <c r="AP133" s="727"/>
      <c r="AQ133" s="727"/>
      <c r="AR133" s="727"/>
      <c r="AS133" s="727"/>
      <c r="AT133" s="727"/>
      <c r="AU133" s="727"/>
      <c r="AV133" s="727"/>
      <c r="AW133" s="727"/>
      <c r="AX133" s="727"/>
      <c r="AY133" s="727"/>
      <c r="AZ133" s="727"/>
      <c r="BA133" s="727"/>
      <c r="BB133" s="727"/>
    </row>
    <row r="134" spans="1:54">
      <c r="A134" s="329"/>
      <c r="B134" s="752" t="s">
        <v>1463</v>
      </c>
      <c r="C134" s="905">
        <f t="shared" ref="C134:M134" si="18">INDEX($B$204:$B$748,MATCH(C132,$B$204:$B$748,1)+1)</f>
        <v>4</v>
      </c>
      <c r="D134" s="905">
        <f t="shared" si="18"/>
        <v>3</v>
      </c>
      <c r="E134" s="905">
        <f t="shared" si="18"/>
        <v>1.6</v>
      </c>
      <c r="F134" s="905">
        <f t="shared" si="18"/>
        <v>0.6</v>
      </c>
      <c r="G134" s="905">
        <f t="shared" si="18"/>
        <v>0.05</v>
      </c>
      <c r="H134" s="905">
        <f t="shared" si="18"/>
        <v>0.05</v>
      </c>
      <c r="I134" s="905">
        <f t="shared" si="18"/>
        <v>0.05</v>
      </c>
      <c r="J134" s="905">
        <f t="shared" si="18"/>
        <v>0.05</v>
      </c>
      <c r="K134" s="905">
        <f t="shared" si="18"/>
        <v>0.05</v>
      </c>
      <c r="L134" s="905">
        <f t="shared" si="18"/>
        <v>0.05</v>
      </c>
      <c r="M134" s="905">
        <f t="shared" si="18"/>
        <v>0.05</v>
      </c>
      <c r="N134" s="335"/>
      <c r="O134" s="326"/>
      <c r="P134" s="326"/>
      <c r="Q134" s="326"/>
      <c r="R134" s="326"/>
      <c r="S134" s="326"/>
      <c r="T134" s="326"/>
      <c r="U134" s="326"/>
      <c r="V134" s="326"/>
      <c r="W134" s="326"/>
      <c r="X134" s="326"/>
      <c r="Y134" s="326"/>
      <c r="Z134" s="326"/>
      <c r="AA134" s="326"/>
      <c r="AB134" s="326"/>
      <c r="AC134" s="326"/>
      <c r="AD134" s="326"/>
      <c r="AE134" s="326"/>
      <c r="AF134" s="326"/>
      <c r="AG134" s="326"/>
      <c r="AH134" s="727"/>
      <c r="AI134" s="727"/>
      <c r="AJ134" s="727"/>
      <c r="AK134" s="727"/>
      <c r="AL134" s="727"/>
      <c r="AM134" s="727"/>
      <c r="AN134" s="727"/>
      <c r="AO134" s="727"/>
      <c r="AP134" s="727"/>
      <c r="AQ134" s="727"/>
      <c r="AR134" s="727"/>
      <c r="AS134" s="727"/>
      <c r="AT134" s="727"/>
      <c r="AU134" s="727"/>
      <c r="AV134" s="727"/>
      <c r="AW134" s="727"/>
      <c r="AX134" s="727"/>
      <c r="AY134" s="727"/>
      <c r="AZ134" s="727"/>
      <c r="BA134" s="727"/>
      <c r="BB134" s="727"/>
    </row>
    <row r="135" spans="1:54">
      <c r="A135" s="329"/>
      <c r="B135" s="779" t="s">
        <v>1464</v>
      </c>
      <c r="C135" s="906">
        <f t="shared" ref="C135:M135" si="19">IF(C132&lt;MIN($B$204:$B$748),MIN($B$204:$B$748),IF(C132&gt;MAX($B$204:$B$748),MAX($B$204:$B$748),IF(ABS(C132-C133)&gt;=ABS(C134-C132),C134,C133)))</f>
        <v>3.5</v>
      </c>
      <c r="D135" s="906">
        <f t="shared" si="19"/>
        <v>2.5</v>
      </c>
      <c r="E135" s="906">
        <f t="shared" si="19"/>
        <v>1.6</v>
      </c>
      <c r="F135" s="906">
        <f t="shared" si="19"/>
        <v>0.5</v>
      </c>
      <c r="G135" s="906">
        <f t="shared" si="19"/>
        <v>0.01</v>
      </c>
      <c r="H135" s="906">
        <f t="shared" si="19"/>
        <v>0.01</v>
      </c>
      <c r="I135" s="906">
        <f t="shared" si="19"/>
        <v>0.01</v>
      </c>
      <c r="J135" s="906">
        <f t="shared" si="19"/>
        <v>0.01</v>
      </c>
      <c r="K135" s="906">
        <f t="shared" si="19"/>
        <v>0.01</v>
      </c>
      <c r="L135" s="906">
        <f t="shared" si="19"/>
        <v>0.01</v>
      </c>
      <c r="M135" s="906">
        <f t="shared" si="19"/>
        <v>0.01</v>
      </c>
      <c r="N135" s="335"/>
      <c r="O135" s="326"/>
      <c r="P135" s="326"/>
      <c r="Q135" s="326"/>
      <c r="R135" s="326"/>
      <c r="S135" s="326"/>
      <c r="T135" s="326"/>
      <c r="U135" s="326"/>
      <c r="V135" s="326"/>
      <c r="W135" s="326"/>
      <c r="X135" s="326"/>
      <c r="Y135" s="326"/>
      <c r="Z135" s="326"/>
      <c r="AA135" s="326"/>
      <c r="AB135" s="326"/>
      <c r="AC135" s="326"/>
      <c r="AD135" s="326"/>
      <c r="AE135" s="326"/>
      <c r="AF135" s="326"/>
      <c r="AG135" s="326"/>
      <c r="AH135" s="727"/>
      <c r="AI135" s="727"/>
      <c r="AJ135" s="727"/>
      <c r="AK135" s="727"/>
      <c r="AL135" s="727"/>
      <c r="AM135" s="727"/>
      <c r="AN135" s="727"/>
      <c r="AO135" s="727"/>
      <c r="AP135" s="727"/>
      <c r="AQ135" s="727"/>
      <c r="AR135" s="727"/>
      <c r="AS135" s="727"/>
      <c r="AT135" s="727"/>
      <c r="AU135" s="727"/>
      <c r="AV135" s="727"/>
      <c r="AW135" s="727"/>
      <c r="AX135" s="727"/>
      <c r="AY135" s="727"/>
      <c r="AZ135" s="727"/>
      <c r="BA135" s="727"/>
      <c r="BB135" s="727"/>
    </row>
    <row r="136" spans="1:54">
      <c r="A136" s="329"/>
      <c r="B136" s="779" t="s">
        <v>1457</v>
      </c>
      <c r="C136" s="905">
        <f t="shared" ref="C136:M136" si="20">VLOOKUP(C135,$J$204:$L$239,2,FALSE)</f>
        <v>464</v>
      </c>
      <c r="D136" s="905">
        <f t="shared" si="20"/>
        <v>433</v>
      </c>
      <c r="E136" s="905">
        <f t="shared" si="20"/>
        <v>388</v>
      </c>
      <c r="F136" s="905">
        <f t="shared" si="20"/>
        <v>298</v>
      </c>
      <c r="G136" s="905">
        <f t="shared" si="20"/>
        <v>204</v>
      </c>
      <c r="H136" s="905">
        <f t="shared" si="20"/>
        <v>204</v>
      </c>
      <c r="I136" s="905">
        <f t="shared" si="20"/>
        <v>204</v>
      </c>
      <c r="J136" s="905">
        <f t="shared" si="20"/>
        <v>204</v>
      </c>
      <c r="K136" s="905">
        <f t="shared" si="20"/>
        <v>204</v>
      </c>
      <c r="L136" s="905">
        <f t="shared" si="20"/>
        <v>204</v>
      </c>
      <c r="M136" s="905">
        <f t="shared" si="20"/>
        <v>204</v>
      </c>
      <c r="N136" s="335"/>
      <c r="O136" s="326"/>
      <c r="P136" s="326"/>
      <c r="Q136" s="326"/>
      <c r="R136" s="326"/>
      <c r="S136" s="326"/>
      <c r="T136" s="326"/>
      <c r="U136" s="326"/>
      <c r="V136" s="326"/>
      <c r="W136" s="326"/>
      <c r="X136" s="326"/>
      <c r="Y136" s="326"/>
      <c r="Z136" s="326"/>
      <c r="AA136" s="326"/>
      <c r="AB136" s="326"/>
      <c r="AC136" s="326"/>
      <c r="AD136" s="326"/>
      <c r="AE136" s="326"/>
      <c r="AF136" s="326"/>
      <c r="AG136" s="326"/>
      <c r="AH136" s="727"/>
      <c r="AI136" s="727"/>
      <c r="AJ136" s="727"/>
      <c r="AK136" s="727"/>
      <c r="AL136" s="727"/>
      <c r="AM136" s="727"/>
      <c r="AN136" s="727"/>
      <c r="AO136" s="727"/>
      <c r="AP136" s="727"/>
      <c r="AQ136" s="727"/>
      <c r="AR136" s="727"/>
      <c r="AS136" s="727"/>
      <c r="AT136" s="727"/>
      <c r="AU136" s="727"/>
      <c r="AV136" s="727"/>
      <c r="AW136" s="727"/>
      <c r="AX136" s="727"/>
      <c r="AY136" s="727"/>
      <c r="AZ136" s="727"/>
      <c r="BA136" s="727"/>
      <c r="BB136" s="727"/>
    </row>
    <row r="137" spans="1:54">
      <c r="A137" s="329"/>
      <c r="B137" s="779" t="s">
        <v>1461</v>
      </c>
      <c r="C137" s="906">
        <f t="shared" ref="C137:M137" ca="1" si="21">INDIRECT(CONCATENATE("$C$",C136))</f>
        <v>242.56</v>
      </c>
      <c r="D137" s="906">
        <f t="shared" ca="1" si="21"/>
        <v>223.95</v>
      </c>
      <c r="E137" s="906">
        <f t="shared" ca="1" si="21"/>
        <v>201.37</v>
      </c>
      <c r="F137" s="906">
        <f t="shared" ca="1" si="21"/>
        <v>151.83000000000001</v>
      </c>
      <c r="G137" s="906">
        <f t="shared" ca="1" si="21"/>
        <v>45.81</v>
      </c>
      <c r="H137" s="906">
        <f t="shared" ca="1" si="21"/>
        <v>45.81</v>
      </c>
      <c r="I137" s="906">
        <f t="shared" ca="1" si="21"/>
        <v>45.81</v>
      </c>
      <c r="J137" s="906">
        <f t="shared" ca="1" si="21"/>
        <v>45.81</v>
      </c>
      <c r="K137" s="906">
        <f t="shared" ca="1" si="21"/>
        <v>45.81</v>
      </c>
      <c r="L137" s="906">
        <f t="shared" ca="1" si="21"/>
        <v>45.81</v>
      </c>
      <c r="M137" s="906">
        <f t="shared" ca="1" si="21"/>
        <v>45.81</v>
      </c>
      <c r="N137" s="335"/>
      <c r="O137" s="326"/>
      <c r="P137" s="326"/>
      <c r="Q137" s="326"/>
      <c r="R137" s="326"/>
      <c r="S137" s="326"/>
      <c r="T137" s="326"/>
      <c r="U137" s="326"/>
      <c r="V137" s="326"/>
      <c r="W137" s="326"/>
      <c r="X137" s="326"/>
      <c r="Y137" s="326"/>
      <c r="Z137" s="326"/>
      <c r="AA137" s="326"/>
      <c r="AB137" s="326"/>
      <c r="AC137" s="326"/>
      <c r="AD137" s="326"/>
      <c r="AE137" s="326"/>
      <c r="AF137" s="326"/>
      <c r="AG137" s="326"/>
      <c r="AH137" s="727"/>
      <c r="AI137" s="727"/>
      <c r="AJ137" s="727"/>
      <c r="AK137" s="727"/>
      <c r="AL137" s="727"/>
      <c r="AM137" s="727"/>
      <c r="AN137" s="727"/>
      <c r="AO137" s="727"/>
      <c r="AP137" s="727"/>
      <c r="AQ137" s="727"/>
      <c r="AR137" s="727"/>
      <c r="AS137" s="727"/>
      <c r="AT137" s="727"/>
      <c r="AU137" s="727"/>
      <c r="AV137" s="727"/>
      <c r="AW137" s="727"/>
      <c r="AX137" s="727"/>
      <c r="AY137" s="727"/>
      <c r="AZ137" s="727"/>
      <c r="BA137" s="727"/>
      <c r="BB137" s="727"/>
    </row>
    <row r="138" spans="1:54">
      <c r="A138" s="326"/>
      <c r="B138" s="338"/>
      <c r="C138" s="338"/>
      <c r="D138" s="338"/>
      <c r="E138" s="338"/>
      <c r="F138" s="338"/>
      <c r="G138" s="338"/>
      <c r="H138" s="338"/>
      <c r="I138" s="338"/>
      <c r="J138" s="338"/>
      <c r="K138" s="338"/>
      <c r="L138" s="338"/>
      <c r="M138" s="338"/>
      <c r="N138" s="326"/>
      <c r="O138" s="326"/>
      <c r="P138" s="326"/>
      <c r="Q138" s="326"/>
      <c r="R138" s="326"/>
      <c r="S138" s="326"/>
      <c r="T138" s="326"/>
      <c r="U138" s="326"/>
      <c r="V138" s="326"/>
      <c r="W138" s="326"/>
      <c r="X138" s="326"/>
      <c r="Y138" s="326"/>
      <c r="Z138" s="326"/>
      <c r="AA138" s="326"/>
      <c r="AB138" s="326"/>
      <c r="AC138" s="326"/>
      <c r="AD138" s="326"/>
      <c r="AE138" s="326"/>
      <c r="AF138" s="326"/>
      <c r="AG138" s="326"/>
      <c r="AH138" s="727"/>
      <c r="AI138" s="727"/>
      <c r="AJ138" s="727"/>
      <c r="AK138" s="727"/>
      <c r="AL138" s="727"/>
      <c r="AM138" s="727"/>
      <c r="AN138" s="727"/>
      <c r="AO138" s="727"/>
      <c r="AP138" s="727"/>
      <c r="AQ138" s="727"/>
      <c r="AR138" s="727"/>
      <c r="AS138" s="727"/>
      <c r="AT138" s="727"/>
      <c r="AU138" s="727"/>
      <c r="AV138" s="727"/>
      <c r="AW138" s="727"/>
      <c r="AX138" s="727"/>
      <c r="AY138" s="727"/>
      <c r="AZ138" s="727"/>
      <c r="BA138" s="727"/>
      <c r="BB138" s="727"/>
    </row>
    <row r="139" spans="1:54" ht="13.8" thickBot="1">
      <c r="A139" s="326"/>
      <c r="B139" s="31" t="s">
        <v>1466</v>
      </c>
      <c r="C139" s="723">
        <f>Cashflow!C$30</f>
        <v>2017</v>
      </c>
      <c r="D139" s="723">
        <f>Cashflow!D$30</f>
        <v>2018</v>
      </c>
      <c r="E139" s="723">
        <f>Cashflow!E$30</f>
        <v>2019</v>
      </c>
      <c r="F139" s="723">
        <f>Cashflow!F$30</f>
        <v>2020</v>
      </c>
      <c r="G139" s="723">
        <f>Cashflow!G$30</f>
        <v>2021</v>
      </c>
      <c r="H139" s="723">
        <f>Cashflow!H$30</f>
        <v>2022</v>
      </c>
      <c r="I139" s="723">
        <f>Cashflow!I$30</f>
        <v>2023</v>
      </c>
      <c r="J139" s="723">
        <f>Cashflow!J$30</f>
        <v>2024</v>
      </c>
      <c r="K139" s="723">
        <f>Cashflow!K$30</f>
        <v>2025</v>
      </c>
      <c r="L139" s="723">
        <f>Cashflow!L$30</f>
        <v>2026</v>
      </c>
      <c r="M139" s="723">
        <f>Cashflow!M$30</f>
        <v>2027</v>
      </c>
      <c r="N139" s="723">
        <f>Cashflow!N$30</f>
        <v>2028</v>
      </c>
      <c r="O139" s="723">
        <f>Cashflow!O$30</f>
        <v>2029</v>
      </c>
      <c r="P139" s="723">
        <f>Cashflow!P$30</f>
        <v>2030</v>
      </c>
      <c r="Q139" s="723">
        <f>Cashflow!Q$30</f>
        <v>2031</v>
      </c>
      <c r="R139" s="723">
        <f>Cashflow!R$30</f>
        <v>2032</v>
      </c>
      <c r="S139" s="723">
        <f>Cashflow!S$30</f>
        <v>2033</v>
      </c>
      <c r="T139" s="723">
        <f>Cashflow!T$30</f>
        <v>2034</v>
      </c>
      <c r="U139" s="723">
        <f>Cashflow!U$30</f>
        <v>2035</v>
      </c>
      <c r="V139" s="723">
        <f>Cashflow!V$30</f>
        <v>2036</v>
      </c>
      <c r="W139" s="723">
        <f>Cashflow!W$30</f>
        <v>2037</v>
      </c>
      <c r="X139" s="723">
        <f>Cashflow!X$30</f>
        <v>2038</v>
      </c>
      <c r="Y139" s="723">
        <f>Cashflow!Y$30</f>
        <v>2039</v>
      </c>
      <c r="Z139" s="723">
        <f>Cashflow!Z$30</f>
        <v>2040</v>
      </c>
      <c r="AA139" s="723">
        <f>Cashflow!AA$30</f>
        <v>2041</v>
      </c>
      <c r="AB139" s="723">
        <f>Cashflow!AB$30</f>
        <v>2042</v>
      </c>
      <c r="AC139" s="723">
        <f>Cashflow!AC$30</f>
        <v>2043</v>
      </c>
      <c r="AD139" s="723">
        <f>Cashflow!AD$30</f>
        <v>2044</v>
      </c>
      <c r="AE139" s="723">
        <f>Cashflow!AE$30</f>
        <v>2045</v>
      </c>
      <c r="AF139" s="723">
        <f>Cashflow!AF$30</f>
        <v>2046</v>
      </c>
      <c r="AG139" s="723">
        <f>Cashflow!AG$30</f>
        <v>2047</v>
      </c>
      <c r="AH139" s="727"/>
      <c r="AI139" s="727"/>
      <c r="AJ139" s="727"/>
      <c r="AK139" s="727"/>
      <c r="AL139" s="727"/>
      <c r="AM139" s="727"/>
      <c r="AN139" s="727"/>
      <c r="AO139" s="727"/>
      <c r="AP139" s="727"/>
      <c r="AQ139" s="727"/>
      <c r="AR139" s="727"/>
      <c r="AS139" s="727"/>
      <c r="AT139" s="727"/>
      <c r="AU139" s="727"/>
      <c r="AV139" s="727"/>
      <c r="AW139" s="727"/>
      <c r="AX139" s="727"/>
      <c r="AY139" s="727"/>
      <c r="AZ139" s="727"/>
      <c r="BA139" s="727"/>
      <c r="BB139" s="727"/>
    </row>
    <row r="140" spans="1:54" ht="13.8" thickTop="1">
      <c r="A140" s="326"/>
      <c r="B140" s="98" t="s">
        <v>1107</v>
      </c>
      <c r="C140" s="724">
        <f>Cashflow!C$58</f>
        <v>0</v>
      </c>
      <c r="D140" s="724">
        <f>Cashflow!D$58</f>
        <v>0</v>
      </c>
      <c r="E140" s="724">
        <f>Cashflow!E$58</f>
        <v>0</v>
      </c>
      <c r="F140" s="724">
        <f>Cashflow!F$58</f>
        <v>0</v>
      </c>
      <c r="G140" s="724">
        <f>Cashflow!G$58</f>
        <v>0</v>
      </c>
      <c r="H140" s="724">
        <f>Cashflow!H$58</f>
        <v>0</v>
      </c>
      <c r="I140" s="724">
        <f>Cashflow!I$58</f>
        <v>0</v>
      </c>
      <c r="J140" s="724">
        <f>Cashflow!J$58</f>
        <v>0</v>
      </c>
      <c r="K140" s="724">
        <f>Cashflow!K$58</f>
        <v>280</v>
      </c>
      <c r="L140" s="724">
        <f ca="1">Cashflow!L$58</f>
        <v>280</v>
      </c>
      <c r="M140" s="724">
        <f ca="1">Cashflow!M$58</f>
        <v>280</v>
      </c>
      <c r="N140" s="724">
        <f ca="1">Cashflow!N$58</f>
        <v>280</v>
      </c>
      <c r="O140" s="724">
        <f ca="1">Cashflow!O$58</f>
        <v>280</v>
      </c>
      <c r="P140" s="724">
        <f ca="1">Cashflow!P$58</f>
        <v>280</v>
      </c>
      <c r="Q140" s="724">
        <f ca="1">Cashflow!Q$58</f>
        <v>280</v>
      </c>
      <c r="R140" s="724">
        <f ca="1">Cashflow!R$58</f>
        <v>280</v>
      </c>
      <c r="S140" s="724">
        <f ca="1">Cashflow!S$58</f>
        <v>280</v>
      </c>
      <c r="T140" s="724">
        <f ca="1">Cashflow!T$58</f>
        <v>275.71891784600189</v>
      </c>
      <c r="U140" s="724">
        <f ca="1">Cashflow!U$58</f>
        <v>271.25054815487272</v>
      </c>
      <c r="V140" s="724">
        <f ca="1">Cashflow!V$58</f>
        <v>266.9694660008746</v>
      </c>
      <c r="W140" s="724">
        <f ca="1">Cashflow!W$58</f>
        <v>262.50109630974544</v>
      </c>
      <c r="X140" s="724">
        <f ca="1">Cashflow!X$58</f>
        <v>258.22001415574738</v>
      </c>
      <c r="Y140" s="724">
        <f ca="1">Cashflow!Y$58</f>
        <v>253.75164446461818</v>
      </c>
      <c r="Z140" s="724">
        <f ca="1">Cashflow!Z$58</f>
        <v>249.4705623106201</v>
      </c>
      <c r="AA140" s="724">
        <f ca="1">Cashflow!AA$58</f>
        <v>245.0021926194909</v>
      </c>
      <c r="AB140" s="724">
        <f ca="1">Cashflow!AB$58</f>
        <v>240.72111046549281</v>
      </c>
      <c r="AC140" s="724">
        <f ca="1">Cashflow!AC$58</f>
        <v>236.25274077436364</v>
      </c>
      <c r="AD140" s="724">
        <f ca="1">Cashflow!AD$58</f>
        <v>231.97165862036553</v>
      </c>
      <c r="AE140" s="724">
        <f ca="1">Cashflow!AE$58</f>
        <v>227.50328892923636</v>
      </c>
      <c r="AF140" s="724">
        <f ca="1">Cashflow!AF$58</f>
        <v>223.22220677523825</v>
      </c>
      <c r="AG140" s="724">
        <f ca="1">Cashflow!AG$58</f>
        <v>218.75383708410908</v>
      </c>
      <c r="AH140" s="727"/>
      <c r="AI140" s="727"/>
      <c r="AJ140" s="727"/>
      <c r="AK140" s="727"/>
      <c r="AL140" s="727"/>
      <c r="AM140" s="727"/>
      <c r="AN140" s="727"/>
      <c r="AO140" s="727"/>
      <c r="AP140" s="727"/>
      <c r="AQ140" s="727"/>
      <c r="AR140" s="727"/>
      <c r="AS140" s="727"/>
      <c r="AT140" s="727"/>
      <c r="AU140" s="727"/>
      <c r="AV140" s="727"/>
      <c r="AW140" s="727"/>
      <c r="AX140" s="727"/>
      <c r="AY140" s="727"/>
      <c r="AZ140" s="727"/>
      <c r="BA140" s="727"/>
      <c r="BB140" s="727"/>
    </row>
    <row r="141" spans="1:54">
      <c r="A141" s="326"/>
      <c r="B141" s="98" t="s">
        <v>1465</v>
      </c>
      <c r="C141" s="724">
        <f t="shared" ref="C141:AG141" si="22">IF(C140=0,0,IF(C140&gt;$C$137,$C$131,IF(C140&gt;$D$137,$D$131,IF(C140&gt;$E$137,$E$131,IF(C140&gt;$F$137,$F$131,IF(C140&gt;$G$137,$G$131,IF(C140&gt;$H$137,$H$131,IF(C140&gt;$I$137,$I$131,IF(C140&gt;$J$137,$J$131,IF(C140&gt;$K$137,$K$131,IF(C140&gt;$L$137,$L$131,IF(C140&gt;$M$137,$M$131,$M$131))))))))))))</f>
        <v>0</v>
      </c>
      <c r="D141" s="724">
        <f t="shared" si="22"/>
        <v>0</v>
      </c>
      <c r="E141" s="724">
        <f t="shared" si="22"/>
        <v>0</v>
      </c>
      <c r="F141" s="724">
        <f t="shared" si="22"/>
        <v>0</v>
      </c>
      <c r="G141" s="724">
        <f t="shared" si="22"/>
        <v>0</v>
      </c>
      <c r="H141" s="724">
        <f t="shared" si="22"/>
        <v>0</v>
      </c>
      <c r="I141" s="724">
        <f t="shared" si="22"/>
        <v>0</v>
      </c>
      <c r="J141" s="724">
        <f t="shared" si="22"/>
        <v>0</v>
      </c>
      <c r="K141" s="724">
        <f t="shared" ca="1" si="22"/>
        <v>0</v>
      </c>
      <c r="L141" s="724">
        <f t="shared" ca="1" si="22"/>
        <v>0</v>
      </c>
      <c r="M141" s="724">
        <f t="shared" ca="1" si="22"/>
        <v>0</v>
      </c>
      <c r="N141" s="724">
        <f t="shared" ca="1" si="22"/>
        <v>0</v>
      </c>
      <c r="O141" s="724">
        <f t="shared" ca="1" si="22"/>
        <v>0</v>
      </c>
      <c r="P141" s="724">
        <f t="shared" ca="1" si="22"/>
        <v>0</v>
      </c>
      <c r="Q141" s="724">
        <f t="shared" ca="1" si="22"/>
        <v>0</v>
      </c>
      <c r="R141" s="724">
        <f t="shared" ca="1" si="22"/>
        <v>0</v>
      </c>
      <c r="S141" s="724">
        <f t="shared" ca="1" si="22"/>
        <v>0</v>
      </c>
      <c r="T141" s="724">
        <f t="shared" ca="1" si="22"/>
        <v>0</v>
      </c>
      <c r="U141" s="724">
        <f t="shared" ca="1" si="22"/>
        <v>0</v>
      </c>
      <c r="V141" s="724">
        <f t="shared" ca="1" si="22"/>
        <v>0</v>
      </c>
      <c r="W141" s="724">
        <f t="shared" ca="1" si="22"/>
        <v>0</v>
      </c>
      <c r="X141" s="724">
        <f t="shared" ca="1" si="22"/>
        <v>0</v>
      </c>
      <c r="Y141" s="724">
        <f t="shared" ca="1" si="22"/>
        <v>0</v>
      </c>
      <c r="Z141" s="724">
        <f t="shared" ca="1" si="22"/>
        <v>0</v>
      </c>
      <c r="AA141" s="724">
        <f t="shared" ca="1" si="22"/>
        <v>0</v>
      </c>
      <c r="AB141" s="724">
        <f t="shared" ca="1" si="22"/>
        <v>1</v>
      </c>
      <c r="AC141" s="724">
        <f t="shared" ca="1" si="22"/>
        <v>1</v>
      </c>
      <c r="AD141" s="724">
        <f t="shared" ca="1" si="22"/>
        <v>1</v>
      </c>
      <c r="AE141" s="724">
        <f t="shared" ca="1" si="22"/>
        <v>1</v>
      </c>
      <c r="AF141" s="724">
        <f t="shared" ca="1" si="22"/>
        <v>2</v>
      </c>
      <c r="AG141" s="724">
        <f t="shared" ca="1" si="22"/>
        <v>2</v>
      </c>
      <c r="AH141" s="727"/>
      <c r="AJ141" s="727"/>
      <c r="AK141" s="727"/>
      <c r="AL141" s="727"/>
      <c r="AM141" s="727"/>
      <c r="AN141" s="727"/>
      <c r="AO141" s="727"/>
      <c r="AP141" s="727"/>
      <c r="AQ141" s="727"/>
      <c r="AR141" s="727"/>
      <c r="AS141" s="727"/>
      <c r="AT141" s="727"/>
      <c r="AU141" s="727"/>
      <c r="AV141" s="727"/>
      <c r="AW141" s="727"/>
      <c r="AX141" s="727"/>
      <c r="AY141" s="727"/>
      <c r="AZ141" s="727"/>
      <c r="BA141" s="727"/>
      <c r="BB141" s="727"/>
    </row>
    <row r="142" spans="1:54">
      <c r="A142" s="326"/>
      <c r="B142" s="98" t="s">
        <v>1161</v>
      </c>
      <c r="C142" s="834">
        <f t="shared" ref="C142:AG142" si="23">HLOOKUP(C141,$C$131:$M$132,2,FALSE)</f>
        <v>3.5</v>
      </c>
      <c r="D142" s="834">
        <f t="shared" si="23"/>
        <v>3.5</v>
      </c>
      <c r="E142" s="834">
        <f t="shared" si="23"/>
        <v>3.5</v>
      </c>
      <c r="F142" s="834">
        <f t="shared" si="23"/>
        <v>3.5</v>
      </c>
      <c r="G142" s="834">
        <f t="shared" si="23"/>
        <v>3.5</v>
      </c>
      <c r="H142" s="834">
        <f t="shared" si="23"/>
        <v>3.5</v>
      </c>
      <c r="I142" s="834">
        <f t="shared" si="23"/>
        <v>3.5</v>
      </c>
      <c r="J142" s="834">
        <f t="shared" si="23"/>
        <v>3.5</v>
      </c>
      <c r="K142" s="834">
        <f t="shared" ca="1" si="23"/>
        <v>3.5</v>
      </c>
      <c r="L142" s="834">
        <f t="shared" ca="1" si="23"/>
        <v>3.5</v>
      </c>
      <c r="M142" s="834">
        <f t="shared" ca="1" si="23"/>
        <v>3.5</v>
      </c>
      <c r="N142" s="834">
        <f t="shared" ca="1" si="23"/>
        <v>3.5</v>
      </c>
      <c r="O142" s="834">
        <f t="shared" ca="1" si="23"/>
        <v>3.5</v>
      </c>
      <c r="P142" s="834">
        <f t="shared" ca="1" si="23"/>
        <v>3.5</v>
      </c>
      <c r="Q142" s="834">
        <f t="shared" ca="1" si="23"/>
        <v>3.5</v>
      </c>
      <c r="R142" s="834">
        <f t="shared" ca="1" si="23"/>
        <v>3.5</v>
      </c>
      <c r="S142" s="834">
        <f t="shared" ca="1" si="23"/>
        <v>3.5</v>
      </c>
      <c r="T142" s="834">
        <f t="shared" ca="1" si="23"/>
        <v>3.5</v>
      </c>
      <c r="U142" s="834">
        <f t="shared" ca="1" si="23"/>
        <v>3.5</v>
      </c>
      <c r="V142" s="834">
        <f t="shared" ca="1" si="23"/>
        <v>3.5</v>
      </c>
      <c r="W142" s="834">
        <f t="shared" ca="1" si="23"/>
        <v>3.5</v>
      </c>
      <c r="X142" s="834">
        <f t="shared" ca="1" si="23"/>
        <v>3.5</v>
      </c>
      <c r="Y142" s="834">
        <f t="shared" ca="1" si="23"/>
        <v>3.5</v>
      </c>
      <c r="Z142" s="834">
        <f t="shared" ca="1" si="23"/>
        <v>3.5</v>
      </c>
      <c r="AA142" s="834">
        <f t="shared" ca="1" si="23"/>
        <v>3.5</v>
      </c>
      <c r="AB142" s="834">
        <f t="shared" ca="1" si="23"/>
        <v>2.5</v>
      </c>
      <c r="AC142" s="834">
        <f t="shared" ca="1" si="23"/>
        <v>2.5</v>
      </c>
      <c r="AD142" s="834">
        <f t="shared" ca="1" si="23"/>
        <v>2.5</v>
      </c>
      <c r="AE142" s="834">
        <f t="shared" ca="1" si="23"/>
        <v>2.5</v>
      </c>
      <c r="AF142" s="834">
        <f t="shared" ca="1" si="23"/>
        <v>1.5</v>
      </c>
      <c r="AG142" s="834">
        <f t="shared" ca="1" si="23"/>
        <v>1.5</v>
      </c>
      <c r="AH142" s="727"/>
      <c r="AI142" s="727"/>
      <c r="AJ142" s="727"/>
      <c r="AK142" s="727"/>
      <c r="AL142" s="727"/>
      <c r="AM142" s="727"/>
      <c r="AN142" s="727"/>
      <c r="AO142" s="727"/>
      <c r="AP142" s="727"/>
      <c r="AQ142" s="727"/>
      <c r="AR142" s="727"/>
      <c r="AS142" s="727"/>
      <c r="AT142" s="727"/>
      <c r="AU142" s="727"/>
      <c r="AV142" s="727"/>
      <c r="AW142" s="727"/>
      <c r="AX142" s="727"/>
      <c r="AY142" s="727"/>
      <c r="AZ142" s="727"/>
      <c r="BA142" s="727"/>
      <c r="BB142" s="727"/>
    </row>
    <row r="143" spans="1:54">
      <c r="A143" s="326"/>
      <c r="B143" s="98" t="s">
        <v>1454</v>
      </c>
      <c r="C143" s="729">
        <f>INDEX($B$204:$B$748,MATCH(C142,$B$204:$B$748,1))</f>
        <v>3.5</v>
      </c>
      <c r="D143" s="729">
        <f t="shared" ref="D143:AG143" si="24">INDEX($B$204:$B$748,MATCH(D142,$B$204:$B$748,1))</f>
        <v>3.5</v>
      </c>
      <c r="E143" s="729">
        <f t="shared" si="24"/>
        <v>3.5</v>
      </c>
      <c r="F143" s="729">
        <f t="shared" si="24"/>
        <v>3.5</v>
      </c>
      <c r="G143" s="729">
        <f t="shared" si="24"/>
        <v>3.5</v>
      </c>
      <c r="H143" s="729">
        <f t="shared" si="24"/>
        <v>3.5</v>
      </c>
      <c r="I143" s="729">
        <f t="shared" si="24"/>
        <v>3.5</v>
      </c>
      <c r="J143" s="729">
        <f t="shared" si="24"/>
        <v>3.5</v>
      </c>
      <c r="K143" s="729">
        <f t="shared" ca="1" si="24"/>
        <v>3.5</v>
      </c>
      <c r="L143" s="729">
        <f t="shared" ca="1" si="24"/>
        <v>3.5</v>
      </c>
      <c r="M143" s="729">
        <f t="shared" ca="1" si="24"/>
        <v>3.5</v>
      </c>
      <c r="N143" s="729">
        <f t="shared" ca="1" si="24"/>
        <v>3.5</v>
      </c>
      <c r="O143" s="729">
        <f t="shared" ca="1" si="24"/>
        <v>3.5</v>
      </c>
      <c r="P143" s="729">
        <f t="shared" ca="1" si="24"/>
        <v>3.5</v>
      </c>
      <c r="Q143" s="729">
        <f t="shared" ca="1" si="24"/>
        <v>3.5</v>
      </c>
      <c r="R143" s="729">
        <f t="shared" ca="1" si="24"/>
        <v>3.5</v>
      </c>
      <c r="S143" s="729">
        <f t="shared" ca="1" si="24"/>
        <v>3.5</v>
      </c>
      <c r="T143" s="729">
        <f t="shared" ca="1" si="24"/>
        <v>3.5</v>
      </c>
      <c r="U143" s="729">
        <f t="shared" ca="1" si="24"/>
        <v>3.5</v>
      </c>
      <c r="V143" s="729">
        <f t="shared" ca="1" si="24"/>
        <v>3.5</v>
      </c>
      <c r="W143" s="729">
        <f t="shared" ca="1" si="24"/>
        <v>3.5</v>
      </c>
      <c r="X143" s="729">
        <f t="shared" ca="1" si="24"/>
        <v>3.5</v>
      </c>
      <c r="Y143" s="729">
        <f t="shared" ca="1" si="24"/>
        <v>3.5</v>
      </c>
      <c r="Z143" s="729">
        <f t="shared" ca="1" si="24"/>
        <v>3.5</v>
      </c>
      <c r="AA143" s="729">
        <f t="shared" ca="1" si="24"/>
        <v>3.5</v>
      </c>
      <c r="AB143" s="729">
        <f t="shared" ca="1" si="24"/>
        <v>2.5</v>
      </c>
      <c r="AC143" s="729">
        <f t="shared" ca="1" si="24"/>
        <v>2.5</v>
      </c>
      <c r="AD143" s="729">
        <f t="shared" ca="1" si="24"/>
        <v>2.5</v>
      </c>
      <c r="AE143" s="729">
        <f t="shared" ca="1" si="24"/>
        <v>2.5</v>
      </c>
      <c r="AF143" s="729">
        <f t="shared" ca="1" si="24"/>
        <v>1.4</v>
      </c>
      <c r="AG143" s="729">
        <f t="shared" ca="1" si="24"/>
        <v>1.4</v>
      </c>
      <c r="AH143" s="727"/>
      <c r="AI143" s="727"/>
      <c r="AJ143" s="727"/>
      <c r="AK143" s="727"/>
      <c r="AL143" s="727"/>
      <c r="AM143" s="727"/>
      <c r="AN143" s="727"/>
      <c r="AO143" s="727"/>
      <c r="AP143" s="727"/>
      <c r="AQ143" s="727"/>
      <c r="AR143" s="727"/>
      <c r="AS143" s="727"/>
      <c r="AT143" s="727"/>
      <c r="AU143" s="727"/>
      <c r="AV143" s="727"/>
      <c r="AW143" s="727"/>
      <c r="AX143" s="727"/>
      <c r="AY143" s="727"/>
      <c r="AZ143" s="727"/>
      <c r="BA143" s="727"/>
      <c r="BB143" s="727"/>
    </row>
    <row r="144" spans="1:54">
      <c r="A144" s="326"/>
      <c r="B144" s="98" t="s">
        <v>1455</v>
      </c>
      <c r="C144" s="729">
        <f>INDEX($B$204:$B$748,MATCH(C142,$B$204:$B$748,1)+1)</f>
        <v>4</v>
      </c>
      <c r="D144" s="729">
        <f t="shared" ref="D144:AG144" si="25">INDEX($B$204:$B$748,MATCH(D142,$B$204:$B$748,1)+1)</f>
        <v>4</v>
      </c>
      <c r="E144" s="729">
        <f t="shared" si="25"/>
        <v>4</v>
      </c>
      <c r="F144" s="729">
        <f t="shared" si="25"/>
        <v>4</v>
      </c>
      <c r="G144" s="729">
        <f t="shared" si="25"/>
        <v>4</v>
      </c>
      <c r="H144" s="729">
        <f t="shared" si="25"/>
        <v>4</v>
      </c>
      <c r="I144" s="729">
        <f t="shared" si="25"/>
        <v>4</v>
      </c>
      <c r="J144" s="729">
        <f t="shared" si="25"/>
        <v>4</v>
      </c>
      <c r="K144" s="729">
        <f t="shared" ca="1" si="25"/>
        <v>4</v>
      </c>
      <c r="L144" s="729">
        <f t="shared" ca="1" si="25"/>
        <v>4</v>
      </c>
      <c r="M144" s="729">
        <f t="shared" ca="1" si="25"/>
        <v>4</v>
      </c>
      <c r="N144" s="729">
        <f t="shared" ca="1" si="25"/>
        <v>4</v>
      </c>
      <c r="O144" s="729">
        <f t="shared" ca="1" si="25"/>
        <v>4</v>
      </c>
      <c r="P144" s="729">
        <f t="shared" ca="1" si="25"/>
        <v>4</v>
      </c>
      <c r="Q144" s="729">
        <f t="shared" ca="1" si="25"/>
        <v>4</v>
      </c>
      <c r="R144" s="729">
        <f t="shared" ca="1" si="25"/>
        <v>4</v>
      </c>
      <c r="S144" s="729">
        <f t="shared" ca="1" si="25"/>
        <v>4</v>
      </c>
      <c r="T144" s="729">
        <f t="shared" ca="1" si="25"/>
        <v>4</v>
      </c>
      <c r="U144" s="729">
        <f t="shared" ca="1" si="25"/>
        <v>4</v>
      </c>
      <c r="V144" s="729">
        <f t="shared" ca="1" si="25"/>
        <v>4</v>
      </c>
      <c r="W144" s="729">
        <f t="shared" ca="1" si="25"/>
        <v>4</v>
      </c>
      <c r="X144" s="729">
        <f t="shared" ca="1" si="25"/>
        <v>4</v>
      </c>
      <c r="Y144" s="729">
        <f t="shared" ca="1" si="25"/>
        <v>4</v>
      </c>
      <c r="Z144" s="729">
        <f t="shared" ca="1" si="25"/>
        <v>4</v>
      </c>
      <c r="AA144" s="729">
        <f t="shared" ca="1" si="25"/>
        <v>4</v>
      </c>
      <c r="AB144" s="729">
        <f t="shared" ca="1" si="25"/>
        <v>3</v>
      </c>
      <c r="AC144" s="729">
        <f t="shared" ca="1" si="25"/>
        <v>3</v>
      </c>
      <c r="AD144" s="729">
        <f t="shared" ca="1" si="25"/>
        <v>3</v>
      </c>
      <c r="AE144" s="729">
        <f t="shared" ca="1" si="25"/>
        <v>3</v>
      </c>
      <c r="AF144" s="729">
        <f t="shared" ca="1" si="25"/>
        <v>1.6</v>
      </c>
      <c r="AG144" s="729">
        <f t="shared" ca="1" si="25"/>
        <v>1.6</v>
      </c>
      <c r="AH144" s="727"/>
      <c r="AI144" s="727"/>
      <c r="AJ144" s="727"/>
      <c r="AK144" s="727"/>
      <c r="AL144" s="727"/>
      <c r="AM144" s="727"/>
      <c r="AN144" s="727"/>
      <c r="AO144" s="727"/>
      <c r="AP144" s="727"/>
      <c r="AQ144" s="727"/>
      <c r="AR144" s="727"/>
      <c r="AS144" s="727"/>
      <c r="AT144" s="727"/>
      <c r="AU144" s="727"/>
      <c r="AV144" s="727"/>
      <c r="AW144" s="727"/>
      <c r="AX144" s="727"/>
      <c r="AY144" s="727"/>
      <c r="AZ144" s="727"/>
      <c r="BA144" s="727"/>
      <c r="BB144" s="727"/>
    </row>
    <row r="145" spans="1:54">
      <c r="A145" s="326"/>
      <c r="B145" s="98" t="s">
        <v>1456</v>
      </c>
      <c r="C145" s="834">
        <f>IF(C142&lt;MIN($B$204:$B$748),MIN($B$204:$B$748),IF(C142&gt;MAX($B$204:$B$748),MAX($B$204:$B$748),IF(ABS(C142-C143)&gt;=ABS(C144-C142),C144,C143)))</f>
        <v>3.5</v>
      </c>
      <c r="D145" s="834">
        <f t="shared" ref="D145:AG145" si="26">IF(D142&lt;MIN($B$204:$B$748),MIN($B$204:$B$748),IF(D142&gt;MAX($B$204:$B$748),MAX($B$204:$B$748),IF(ABS(D142-D143)&gt;=ABS(D144-D142),D144,D143)))</f>
        <v>3.5</v>
      </c>
      <c r="E145" s="834">
        <f t="shared" si="26"/>
        <v>3.5</v>
      </c>
      <c r="F145" s="834">
        <f t="shared" si="26"/>
        <v>3.5</v>
      </c>
      <c r="G145" s="834">
        <f t="shared" si="26"/>
        <v>3.5</v>
      </c>
      <c r="H145" s="834">
        <f t="shared" si="26"/>
        <v>3.5</v>
      </c>
      <c r="I145" s="834">
        <f t="shared" si="26"/>
        <v>3.5</v>
      </c>
      <c r="J145" s="834">
        <f t="shared" si="26"/>
        <v>3.5</v>
      </c>
      <c r="K145" s="834">
        <f t="shared" ca="1" si="26"/>
        <v>3.5</v>
      </c>
      <c r="L145" s="834">
        <f t="shared" ca="1" si="26"/>
        <v>3.5</v>
      </c>
      <c r="M145" s="834">
        <f t="shared" ca="1" si="26"/>
        <v>3.5</v>
      </c>
      <c r="N145" s="834">
        <f t="shared" ca="1" si="26"/>
        <v>3.5</v>
      </c>
      <c r="O145" s="834">
        <f t="shared" ca="1" si="26"/>
        <v>3.5</v>
      </c>
      <c r="P145" s="834">
        <f t="shared" ca="1" si="26"/>
        <v>3.5</v>
      </c>
      <c r="Q145" s="834">
        <f t="shared" ca="1" si="26"/>
        <v>3.5</v>
      </c>
      <c r="R145" s="834">
        <f t="shared" ca="1" si="26"/>
        <v>3.5</v>
      </c>
      <c r="S145" s="834">
        <f t="shared" ca="1" si="26"/>
        <v>3.5</v>
      </c>
      <c r="T145" s="834">
        <f t="shared" ca="1" si="26"/>
        <v>3.5</v>
      </c>
      <c r="U145" s="834">
        <f t="shared" ca="1" si="26"/>
        <v>3.5</v>
      </c>
      <c r="V145" s="834">
        <f t="shared" ca="1" si="26"/>
        <v>3.5</v>
      </c>
      <c r="W145" s="834">
        <f t="shared" ca="1" si="26"/>
        <v>3.5</v>
      </c>
      <c r="X145" s="834">
        <f t="shared" ca="1" si="26"/>
        <v>3.5</v>
      </c>
      <c r="Y145" s="834">
        <f t="shared" ca="1" si="26"/>
        <v>3.5</v>
      </c>
      <c r="Z145" s="834">
        <f t="shared" ca="1" si="26"/>
        <v>3.5</v>
      </c>
      <c r="AA145" s="834">
        <f t="shared" ca="1" si="26"/>
        <v>3.5</v>
      </c>
      <c r="AB145" s="834">
        <f t="shared" ca="1" si="26"/>
        <v>2.5</v>
      </c>
      <c r="AC145" s="834">
        <f t="shared" ca="1" si="26"/>
        <v>2.5</v>
      </c>
      <c r="AD145" s="834">
        <f t="shared" ca="1" si="26"/>
        <v>2.5</v>
      </c>
      <c r="AE145" s="834">
        <f t="shared" ca="1" si="26"/>
        <v>2.5</v>
      </c>
      <c r="AF145" s="834">
        <f t="shared" ca="1" si="26"/>
        <v>1.6</v>
      </c>
      <c r="AG145" s="834">
        <f t="shared" ca="1" si="26"/>
        <v>1.6</v>
      </c>
      <c r="AH145" s="727"/>
      <c r="AI145" s="727"/>
      <c r="AJ145" s="727"/>
      <c r="AK145" s="727"/>
      <c r="AL145" s="727"/>
      <c r="AM145" s="727"/>
      <c r="AN145" s="727"/>
      <c r="AO145" s="727"/>
      <c r="AP145" s="727"/>
      <c r="AQ145" s="727"/>
      <c r="AR145" s="727"/>
      <c r="AS145" s="727"/>
      <c r="AT145" s="727"/>
      <c r="AU145" s="727"/>
      <c r="AV145" s="727"/>
      <c r="AW145" s="727"/>
      <c r="AX145" s="727"/>
      <c r="AY145" s="727"/>
      <c r="AZ145" s="727"/>
      <c r="BA145" s="727"/>
      <c r="BB145" s="727"/>
    </row>
    <row r="146" spans="1:54">
      <c r="A146" s="326"/>
      <c r="B146" s="98" t="s">
        <v>1457</v>
      </c>
      <c r="C146" s="729">
        <f>VLOOKUP(C145,$J$204:$L$239,2,FALSE)</f>
        <v>464</v>
      </c>
      <c r="D146" s="729">
        <f t="shared" ref="D146:AG146" si="27">VLOOKUP(D145,$J$204:$L$239,2,FALSE)</f>
        <v>464</v>
      </c>
      <c r="E146" s="729">
        <f t="shared" si="27"/>
        <v>464</v>
      </c>
      <c r="F146" s="729">
        <f t="shared" si="27"/>
        <v>464</v>
      </c>
      <c r="G146" s="729">
        <f t="shared" si="27"/>
        <v>464</v>
      </c>
      <c r="H146" s="729">
        <f t="shared" si="27"/>
        <v>464</v>
      </c>
      <c r="I146" s="729">
        <f t="shared" si="27"/>
        <v>464</v>
      </c>
      <c r="J146" s="729">
        <f t="shared" si="27"/>
        <v>464</v>
      </c>
      <c r="K146" s="729">
        <f t="shared" ca="1" si="27"/>
        <v>464</v>
      </c>
      <c r="L146" s="729">
        <f t="shared" ca="1" si="27"/>
        <v>464</v>
      </c>
      <c r="M146" s="729">
        <f t="shared" ca="1" si="27"/>
        <v>464</v>
      </c>
      <c r="N146" s="729">
        <f t="shared" ca="1" si="27"/>
        <v>464</v>
      </c>
      <c r="O146" s="729">
        <f t="shared" ca="1" si="27"/>
        <v>464</v>
      </c>
      <c r="P146" s="729">
        <f t="shared" ca="1" si="27"/>
        <v>464</v>
      </c>
      <c r="Q146" s="729">
        <f t="shared" ca="1" si="27"/>
        <v>464</v>
      </c>
      <c r="R146" s="729">
        <f t="shared" ca="1" si="27"/>
        <v>464</v>
      </c>
      <c r="S146" s="729">
        <f t="shared" ca="1" si="27"/>
        <v>464</v>
      </c>
      <c r="T146" s="729">
        <f t="shared" ca="1" si="27"/>
        <v>464</v>
      </c>
      <c r="U146" s="729">
        <f t="shared" ca="1" si="27"/>
        <v>464</v>
      </c>
      <c r="V146" s="729">
        <f t="shared" ca="1" si="27"/>
        <v>464</v>
      </c>
      <c r="W146" s="729">
        <f t="shared" ca="1" si="27"/>
        <v>464</v>
      </c>
      <c r="X146" s="729">
        <f t="shared" ca="1" si="27"/>
        <v>464</v>
      </c>
      <c r="Y146" s="729">
        <f t="shared" ca="1" si="27"/>
        <v>464</v>
      </c>
      <c r="Z146" s="729">
        <f t="shared" ca="1" si="27"/>
        <v>464</v>
      </c>
      <c r="AA146" s="729">
        <f t="shared" ca="1" si="27"/>
        <v>464</v>
      </c>
      <c r="AB146" s="729">
        <f t="shared" ca="1" si="27"/>
        <v>433</v>
      </c>
      <c r="AC146" s="729">
        <f t="shared" ca="1" si="27"/>
        <v>433</v>
      </c>
      <c r="AD146" s="729">
        <f t="shared" ca="1" si="27"/>
        <v>433</v>
      </c>
      <c r="AE146" s="729">
        <f t="shared" ca="1" si="27"/>
        <v>433</v>
      </c>
      <c r="AF146" s="729">
        <f t="shared" ca="1" si="27"/>
        <v>388</v>
      </c>
      <c r="AG146" s="729">
        <f t="shared" ca="1" si="27"/>
        <v>388</v>
      </c>
      <c r="AH146" s="727"/>
      <c r="AI146" s="727"/>
      <c r="AJ146" s="727"/>
      <c r="AK146" s="727"/>
      <c r="AL146" s="727"/>
      <c r="AM146" s="727"/>
      <c r="AN146" s="727"/>
      <c r="AO146" s="727"/>
      <c r="AP146" s="727"/>
      <c r="AQ146" s="727"/>
      <c r="AR146" s="727"/>
      <c r="AS146" s="727"/>
      <c r="AT146" s="727"/>
      <c r="AU146" s="727"/>
      <c r="AV146" s="727"/>
      <c r="AW146" s="727"/>
      <c r="AX146" s="727"/>
      <c r="AY146" s="727"/>
      <c r="AZ146" s="727"/>
      <c r="BA146" s="727"/>
      <c r="BB146" s="727"/>
    </row>
    <row r="147" spans="1:54">
      <c r="A147" s="326"/>
      <c r="B147" s="98" t="s">
        <v>1458</v>
      </c>
      <c r="C147" s="729">
        <f>VLOOKUP(C145,$J$204:$L$239,3,FALSE)</f>
        <v>478</v>
      </c>
      <c r="D147" s="729">
        <f t="shared" ref="D147:AG147" si="28">VLOOKUP(D145,$J$204:$L$239,3,FALSE)</f>
        <v>478</v>
      </c>
      <c r="E147" s="729">
        <f t="shared" si="28"/>
        <v>478</v>
      </c>
      <c r="F147" s="729">
        <f t="shared" si="28"/>
        <v>478</v>
      </c>
      <c r="G147" s="729">
        <f t="shared" si="28"/>
        <v>478</v>
      </c>
      <c r="H147" s="729">
        <f t="shared" si="28"/>
        <v>478</v>
      </c>
      <c r="I147" s="729">
        <f t="shared" si="28"/>
        <v>478</v>
      </c>
      <c r="J147" s="729">
        <f t="shared" si="28"/>
        <v>478</v>
      </c>
      <c r="K147" s="729">
        <f t="shared" ca="1" si="28"/>
        <v>478</v>
      </c>
      <c r="L147" s="729">
        <f t="shared" ca="1" si="28"/>
        <v>478</v>
      </c>
      <c r="M147" s="729">
        <f t="shared" ca="1" si="28"/>
        <v>478</v>
      </c>
      <c r="N147" s="729">
        <f t="shared" ca="1" si="28"/>
        <v>478</v>
      </c>
      <c r="O147" s="729">
        <f t="shared" ca="1" si="28"/>
        <v>478</v>
      </c>
      <c r="P147" s="729">
        <f t="shared" ca="1" si="28"/>
        <v>478</v>
      </c>
      <c r="Q147" s="729">
        <f t="shared" ca="1" si="28"/>
        <v>478</v>
      </c>
      <c r="R147" s="729">
        <f t="shared" ca="1" si="28"/>
        <v>478</v>
      </c>
      <c r="S147" s="729">
        <f t="shared" ca="1" si="28"/>
        <v>478</v>
      </c>
      <c r="T147" s="729">
        <f t="shared" ca="1" si="28"/>
        <v>478</v>
      </c>
      <c r="U147" s="729">
        <f t="shared" ca="1" si="28"/>
        <v>478</v>
      </c>
      <c r="V147" s="729">
        <f t="shared" ca="1" si="28"/>
        <v>478</v>
      </c>
      <c r="W147" s="729">
        <f t="shared" ca="1" si="28"/>
        <v>478</v>
      </c>
      <c r="X147" s="729">
        <f t="shared" ca="1" si="28"/>
        <v>478</v>
      </c>
      <c r="Y147" s="729">
        <f t="shared" ca="1" si="28"/>
        <v>478</v>
      </c>
      <c r="Z147" s="729">
        <f t="shared" ca="1" si="28"/>
        <v>478</v>
      </c>
      <c r="AA147" s="729">
        <f t="shared" ca="1" si="28"/>
        <v>478</v>
      </c>
      <c r="AB147" s="729">
        <f t="shared" ca="1" si="28"/>
        <v>448</v>
      </c>
      <c r="AC147" s="729">
        <f t="shared" ca="1" si="28"/>
        <v>448</v>
      </c>
      <c r="AD147" s="729">
        <f t="shared" ca="1" si="28"/>
        <v>448</v>
      </c>
      <c r="AE147" s="729">
        <f t="shared" ca="1" si="28"/>
        <v>448</v>
      </c>
      <c r="AF147" s="729">
        <f t="shared" ca="1" si="28"/>
        <v>402</v>
      </c>
      <c r="AG147" s="729">
        <f t="shared" ca="1" si="28"/>
        <v>402</v>
      </c>
      <c r="AH147" s="727"/>
      <c r="AI147" s="727"/>
      <c r="AJ147" s="727"/>
      <c r="AK147" s="727"/>
      <c r="AL147" s="727"/>
      <c r="AM147" s="727"/>
      <c r="AN147" s="727"/>
      <c r="AO147" s="727"/>
      <c r="AP147" s="727"/>
      <c r="AQ147" s="727"/>
      <c r="AR147" s="727"/>
      <c r="AS147" s="727"/>
      <c r="AT147" s="727"/>
      <c r="AU147" s="727"/>
      <c r="AV147" s="727"/>
      <c r="AW147" s="727"/>
      <c r="AX147" s="727"/>
      <c r="AY147" s="727"/>
      <c r="AZ147" s="727"/>
      <c r="BA147" s="727"/>
      <c r="BB147" s="727"/>
    </row>
    <row r="148" spans="1:54">
      <c r="A148" s="326"/>
      <c r="B148" s="727"/>
      <c r="C148" s="727"/>
      <c r="D148" s="727"/>
      <c r="E148" s="727"/>
      <c r="F148" s="727"/>
      <c r="G148" s="727"/>
      <c r="H148" s="727"/>
      <c r="I148" s="727"/>
      <c r="J148" s="727"/>
      <c r="K148" s="727"/>
      <c r="L148" s="727"/>
      <c r="M148" s="727"/>
      <c r="N148" s="727"/>
      <c r="O148" s="727"/>
      <c r="P148" s="727"/>
      <c r="Q148" s="727"/>
      <c r="R148" s="727"/>
      <c r="S148" s="727"/>
      <c r="T148" s="727"/>
      <c r="U148" s="727"/>
      <c r="V148" s="727"/>
      <c r="W148" s="727"/>
      <c r="X148" s="727"/>
      <c r="Y148" s="727"/>
      <c r="Z148" s="727"/>
      <c r="AA148" s="727"/>
      <c r="AB148" s="727"/>
      <c r="AC148" s="727"/>
      <c r="AD148" s="727"/>
      <c r="AE148" s="727"/>
      <c r="AF148" s="727"/>
      <c r="AG148" s="727"/>
      <c r="AH148" s="727"/>
      <c r="AI148" s="727"/>
      <c r="AJ148" s="727"/>
      <c r="AK148" s="727"/>
      <c r="AL148" s="727"/>
      <c r="AM148" s="727"/>
      <c r="AN148" s="727"/>
      <c r="AO148" s="727"/>
      <c r="AP148" s="727"/>
      <c r="AQ148" s="727"/>
      <c r="AR148" s="727"/>
      <c r="AS148" s="727"/>
      <c r="AT148" s="727"/>
      <c r="AU148" s="727"/>
      <c r="AV148" s="727"/>
      <c r="AW148" s="727"/>
      <c r="AX148" s="727"/>
      <c r="AY148" s="727"/>
      <c r="AZ148" s="727"/>
      <c r="BA148" s="727"/>
      <c r="BB148" s="727"/>
    </row>
    <row r="149" spans="1:54">
      <c r="A149" s="326"/>
      <c r="B149" s="731" t="s">
        <v>1091</v>
      </c>
      <c r="C149" s="727"/>
      <c r="D149" s="727"/>
      <c r="E149" s="727"/>
      <c r="F149" s="727"/>
      <c r="G149" s="727"/>
      <c r="H149" s="727"/>
      <c r="I149" s="727"/>
      <c r="J149" s="727"/>
      <c r="K149" s="727"/>
      <c r="L149" s="727"/>
      <c r="M149" s="727"/>
      <c r="N149" s="727"/>
      <c r="O149" s="727"/>
      <c r="P149" s="727"/>
      <c r="Q149" s="727"/>
      <c r="R149" s="727"/>
      <c r="S149" s="727"/>
      <c r="T149" s="727"/>
      <c r="U149" s="727"/>
      <c r="V149" s="727"/>
      <c r="W149" s="727"/>
      <c r="X149" s="727"/>
      <c r="Y149" s="727"/>
      <c r="Z149" s="727"/>
      <c r="AA149" s="727"/>
      <c r="AB149" s="727"/>
      <c r="AC149" s="727"/>
      <c r="AD149" s="727"/>
      <c r="AE149" s="727"/>
      <c r="AF149" s="727"/>
      <c r="AG149" s="727"/>
      <c r="AH149" s="727"/>
      <c r="AI149" s="727"/>
      <c r="AJ149" s="727"/>
      <c r="AK149" s="727"/>
      <c r="AL149" s="727"/>
      <c r="AM149" s="727"/>
      <c r="AN149" s="727"/>
      <c r="AO149" s="727"/>
      <c r="AP149" s="727"/>
      <c r="AQ149" s="727"/>
      <c r="AR149" s="727"/>
      <c r="AS149" s="727"/>
      <c r="AT149" s="727"/>
      <c r="AU149" s="727"/>
      <c r="AV149" s="727"/>
      <c r="AW149" s="727"/>
      <c r="AX149" s="727"/>
      <c r="AY149" s="727"/>
      <c r="AZ149" s="727"/>
      <c r="BA149" s="727"/>
      <c r="BB149" s="727"/>
    </row>
    <row r="150" spans="1:54">
      <c r="A150" s="326"/>
      <c r="B150" s="727" t="s">
        <v>1158</v>
      </c>
      <c r="C150" s="727"/>
      <c r="D150" s="727"/>
      <c r="E150" s="727"/>
      <c r="F150" s="727"/>
      <c r="G150" s="727"/>
      <c r="H150" s="727"/>
      <c r="I150" s="727"/>
      <c r="J150" s="727"/>
      <c r="K150" s="727"/>
      <c r="L150" s="727"/>
      <c r="M150" s="727"/>
      <c r="N150" s="727"/>
      <c r="O150" s="727"/>
      <c r="P150" s="727"/>
      <c r="Q150" s="727"/>
      <c r="R150" s="727"/>
      <c r="S150" s="727"/>
      <c r="T150" s="727"/>
      <c r="U150" s="727"/>
      <c r="V150" s="727"/>
      <c r="W150" s="727"/>
      <c r="X150" s="727"/>
      <c r="Y150" s="727"/>
      <c r="Z150" s="727"/>
      <c r="AA150" s="727"/>
      <c r="AB150" s="727"/>
      <c r="AC150" s="727"/>
      <c r="AD150" s="727"/>
      <c r="AE150" s="727"/>
      <c r="AF150" s="727"/>
      <c r="AG150" s="727"/>
      <c r="AH150" s="727"/>
      <c r="AI150" s="727"/>
      <c r="AJ150" s="727"/>
      <c r="AK150" s="727"/>
      <c r="AL150" s="727"/>
      <c r="AM150" s="727"/>
      <c r="AN150" s="727"/>
      <c r="AO150" s="727"/>
      <c r="AP150" s="727"/>
      <c r="AQ150" s="727"/>
      <c r="AR150" s="727"/>
      <c r="AS150" s="727"/>
      <c r="AT150" s="727"/>
      <c r="AU150" s="727"/>
      <c r="AV150" s="727"/>
      <c r="AW150" s="727"/>
      <c r="AX150" s="727"/>
      <c r="AY150" s="727"/>
      <c r="AZ150" s="727"/>
      <c r="BA150" s="727"/>
      <c r="BB150" s="727"/>
    </row>
    <row r="151" spans="1:54" ht="13.8" thickBot="1">
      <c r="A151" s="326"/>
      <c r="B151" s="31" t="s">
        <v>1063</v>
      </c>
      <c r="C151" s="723">
        <f>Cashflow!C$30</f>
        <v>2017</v>
      </c>
      <c r="D151" s="723">
        <f>Cashflow!D$30</f>
        <v>2018</v>
      </c>
      <c r="E151" s="723">
        <f>Cashflow!E$30</f>
        <v>2019</v>
      </c>
      <c r="F151" s="723">
        <f>Cashflow!F$30</f>
        <v>2020</v>
      </c>
      <c r="G151" s="723">
        <f>Cashflow!G$30</f>
        <v>2021</v>
      </c>
      <c r="H151" s="723">
        <f>Cashflow!H$30</f>
        <v>2022</v>
      </c>
      <c r="I151" s="723">
        <f>Cashflow!I$30</f>
        <v>2023</v>
      </c>
      <c r="J151" s="723">
        <f>Cashflow!J$30</f>
        <v>2024</v>
      </c>
      <c r="K151" s="723">
        <f>Cashflow!K$30</f>
        <v>2025</v>
      </c>
      <c r="L151" s="723">
        <f>Cashflow!L$30</f>
        <v>2026</v>
      </c>
      <c r="M151" s="723">
        <f>Cashflow!M$30</f>
        <v>2027</v>
      </c>
      <c r="N151" s="723">
        <f>Cashflow!N$30</f>
        <v>2028</v>
      </c>
      <c r="O151" s="723">
        <f>Cashflow!O$30</f>
        <v>2029</v>
      </c>
      <c r="P151" s="723">
        <f>Cashflow!P$30</f>
        <v>2030</v>
      </c>
      <c r="Q151" s="723">
        <f>Cashflow!Q$30</f>
        <v>2031</v>
      </c>
      <c r="R151" s="723">
        <f>Cashflow!R$30</f>
        <v>2032</v>
      </c>
      <c r="S151" s="723">
        <f>Cashflow!S$30</f>
        <v>2033</v>
      </c>
      <c r="T151" s="723">
        <f>Cashflow!T$30</f>
        <v>2034</v>
      </c>
      <c r="U151" s="723">
        <f>Cashflow!U$30</f>
        <v>2035</v>
      </c>
      <c r="V151" s="723">
        <f>Cashflow!V$30</f>
        <v>2036</v>
      </c>
      <c r="W151" s="723">
        <f>Cashflow!W$30</f>
        <v>2037</v>
      </c>
      <c r="X151" s="723">
        <f>Cashflow!X$30</f>
        <v>2038</v>
      </c>
      <c r="Y151" s="723">
        <f>Cashflow!Y$30</f>
        <v>2039</v>
      </c>
      <c r="Z151" s="723">
        <f>Cashflow!Z$30</f>
        <v>2040</v>
      </c>
      <c r="AA151" s="723">
        <f>Cashflow!AA$30</f>
        <v>2041</v>
      </c>
      <c r="AB151" s="723">
        <f>Cashflow!AB$30</f>
        <v>2042</v>
      </c>
      <c r="AC151" s="723">
        <f>Cashflow!AC$30</f>
        <v>2043</v>
      </c>
      <c r="AD151" s="723">
        <f>Cashflow!AD$30</f>
        <v>2044</v>
      </c>
      <c r="AE151" s="723">
        <f>Cashflow!AE$30</f>
        <v>2045</v>
      </c>
      <c r="AF151" s="723">
        <f>Cashflow!AF$30</f>
        <v>2046</v>
      </c>
      <c r="AG151" s="723">
        <f>Cashflow!AG$30</f>
        <v>2047</v>
      </c>
      <c r="AH151" s="727"/>
      <c r="AI151" s="727"/>
      <c r="AJ151" s="727"/>
      <c r="AK151" s="727"/>
      <c r="AL151" s="727"/>
      <c r="AM151" s="727"/>
      <c r="AN151" s="727"/>
      <c r="AO151" s="727"/>
      <c r="AP151" s="727"/>
      <c r="AQ151" s="727"/>
      <c r="AR151" s="727"/>
      <c r="AS151" s="727"/>
      <c r="AT151" s="727"/>
      <c r="AU151" s="727"/>
      <c r="AV151" s="727"/>
      <c r="AW151" s="727"/>
      <c r="AX151" s="727"/>
      <c r="AY151" s="727"/>
      <c r="AZ151" s="727"/>
      <c r="BA151" s="727"/>
      <c r="BB151" s="727"/>
    </row>
    <row r="152" spans="1:54" ht="13.8" thickTop="1">
      <c r="A152" s="326"/>
      <c r="B152" s="98" t="s">
        <v>1107</v>
      </c>
      <c r="C152" s="724">
        <f>Cashflow!C$58</f>
        <v>0</v>
      </c>
      <c r="D152" s="724">
        <f>Cashflow!D$58</f>
        <v>0</v>
      </c>
      <c r="E152" s="724">
        <f>Cashflow!E$58</f>
        <v>0</v>
      </c>
      <c r="F152" s="724">
        <f>Cashflow!F$58</f>
        <v>0</v>
      </c>
      <c r="G152" s="724">
        <f>Cashflow!G$58</f>
        <v>0</v>
      </c>
      <c r="H152" s="724">
        <f>Cashflow!H$58</f>
        <v>0</v>
      </c>
      <c r="I152" s="724">
        <f>Cashflow!I$58</f>
        <v>0</v>
      </c>
      <c r="J152" s="724">
        <f>Cashflow!J$58</f>
        <v>0</v>
      </c>
      <c r="K152" s="724">
        <f>Cashflow!K$58</f>
        <v>280</v>
      </c>
      <c r="L152" s="724">
        <f ca="1">Cashflow!L$58</f>
        <v>280</v>
      </c>
      <c r="M152" s="724">
        <f ca="1">Cashflow!M$58</f>
        <v>280</v>
      </c>
      <c r="N152" s="724">
        <f ca="1">Cashflow!N$58</f>
        <v>280</v>
      </c>
      <c r="O152" s="724">
        <f ca="1">Cashflow!O$58</f>
        <v>280</v>
      </c>
      <c r="P152" s="724">
        <f ca="1">Cashflow!P$58</f>
        <v>280</v>
      </c>
      <c r="Q152" s="724">
        <f ca="1">Cashflow!Q$58</f>
        <v>280</v>
      </c>
      <c r="R152" s="724">
        <f ca="1">Cashflow!R$58</f>
        <v>280</v>
      </c>
      <c r="S152" s="724">
        <f ca="1">Cashflow!S$58</f>
        <v>280</v>
      </c>
      <c r="T152" s="724">
        <f ca="1">Cashflow!T$58</f>
        <v>275.71891784600189</v>
      </c>
      <c r="U152" s="724">
        <f ca="1">Cashflow!U$58</f>
        <v>271.25054815487272</v>
      </c>
      <c r="V152" s="724">
        <f ca="1">Cashflow!V$58</f>
        <v>266.9694660008746</v>
      </c>
      <c r="W152" s="724">
        <f ca="1">Cashflow!W$58</f>
        <v>262.50109630974544</v>
      </c>
      <c r="X152" s="724">
        <f ca="1">Cashflow!X$58</f>
        <v>258.22001415574738</v>
      </c>
      <c r="Y152" s="724">
        <f ca="1">Cashflow!Y$58</f>
        <v>253.75164446461818</v>
      </c>
      <c r="Z152" s="724">
        <f ca="1">Cashflow!Z$58</f>
        <v>249.4705623106201</v>
      </c>
      <c r="AA152" s="724">
        <f ca="1">Cashflow!AA$58</f>
        <v>245.0021926194909</v>
      </c>
      <c r="AB152" s="724">
        <f ca="1">Cashflow!AB$58</f>
        <v>240.72111046549281</v>
      </c>
      <c r="AC152" s="724">
        <f ca="1">Cashflow!AC$58</f>
        <v>236.25274077436364</v>
      </c>
      <c r="AD152" s="724">
        <f ca="1">Cashflow!AD$58</f>
        <v>231.97165862036553</v>
      </c>
      <c r="AE152" s="724">
        <f ca="1">Cashflow!AE$58</f>
        <v>227.50328892923636</v>
      </c>
      <c r="AF152" s="724">
        <f ca="1">Cashflow!AF$58</f>
        <v>223.22220677523825</v>
      </c>
      <c r="AG152" s="724">
        <f ca="1">Cashflow!AG$58</f>
        <v>218.75383708410908</v>
      </c>
      <c r="AH152" s="727"/>
      <c r="AI152" s="727"/>
      <c r="AJ152" s="727"/>
      <c r="AK152" s="727"/>
      <c r="AL152" s="727"/>
      <c r="AM152" s="727"/>
      <c r="AN152" s="727"/>
      <c r="AO152" s="727"/>
      <c r="AP152" s="727"/>
      <c r="AQ152" s="727"/>
      <c r="AR152" s="727"/>
      <c r="AS152" s="727"/>
      <c r="AT152" s="727"/>
      <c r="AU152" s="727"/>
      <c r="AV152" s="727"/>
      <c r="AW152" s="727"/>
      <c r="AX152" s="727"/>
      <c r="AY152" s="727"/>
      <c r="AZ152" s="727"/>
      <c r="BA152" s="727"/>
      <c r="BB152" s="727"/>
    </row>
    <row r="153" spans="1:54">
      <c r="A153" s="326"/>
      <c r="B153" s="98" t="s">
        <v>1070</v>
      </c>
      <c r="C153" s="729" t="str">
        <f ca="1">IF(C$152=0,"",INDEX(INDIRECT(CONCATENATE("$C$",C$146)):INDIRECT(CONCATENATE("$C$",C$147)),MATCH(C$152,INDIRECT(CONCATENATE("$C$",C$146)):INDIRECT(CONCATENATE("$C$",C$147)),1)))</f>
        <v/>
      </c>
      <c r="D153" s="729" t="str">
        <f ca="1">IF(D$152=0,"",INDEX(INDIRECT(CONCATENATE("$C$",D$146)):INDIRECT(CONCATENATE("$C$",D$147)),MATCH(D$152,INDIRECT(CONCATENATE("$C$",D$146)):INDIRECT(CONCATENATE("$C$",D$147)),1)))</f>
        <v/>
      </c>
      <c r="E153" s="729" t="str">
        <f ca="1">IF(E$152=0,"",INDEX(INDIRECT(CONCATENATE("$C$",E$146)):INDIRECT(CONCATENATE("$C$",E$147)),MATCH(E$152,INDIRECT(CONCATENATE("$C$",E$146)):INDIRECT(CONCATENATE("$C$",E$147)),1)))</f>
        <v/>
      </c>
      <c r="F153" s="729" t="str">
        <f ca="1">IF(F$152=0,"",INDEX(INDIRECT(CONCATENATE("$C$",F$146)):INDIRECT(CONCATENATE("$C$",F$147)),MATCH(F$152,INDIRECT(CONCATENATE("$C$",F$146)):INDIRECT(CONCATENATE("$C$",F$147)),1)))</f>
        <v/>
      </c>
      <c r="G153" s="729" t="str">
        <f ca="1">IF(G$152=0,"",INDEX(INDIRECT(CONCATENATE("$C$",G$146)):INDIRECT(CONCATENATE("$C$",G$147)),MATCH(G$152,INDIRECT(CONCATENATE("$C$",G$146)):INDIRECT(CONCATENATE("$C$",G$147)),1)))</f>
        <v/>
      </c>
      <c r="H153" s="729" t="str">
        <f ca="1">IF(H$152=0,"",INDEX(INDIRECT(CONCATENATE("$C$",H$146)):INDIRECT(CONCATENATE("$C$",H$147)),MATCH(H$152,INDIRECT(CONCATENATE("$C$",H$146)):INDIRECT(CONCATENATE("$C$",H$147)),1)))</f>
        <v/>
      </c>
      <c r="I153" s="729" t="str">
        <f ca="1">IF(I$152=0,"",INDEX(INDIRECT(CONCATENATE("$C$",I$146)):INDIRECT(CONCATENATE("$C$",I$147)),MATCH(I$152,INDIRECT(CONCATENATE("$C$",I$146)):INDIRECT(CONCATENATE("$C$",I$147)),1)))</f>
        <v/>
      </c>
      <c r="J153" s="729" t="str">
        <f ca="1">IF(J$152=0,"",INDEX(INDIRECT(CONCATENATE("$C$",J$146)):INDIRECT(CONCATENATE("$C$",J$147)),MATCH(J$152,INDIRECT(CONCATENATE("$C$",J$146)):INDIRECT(CONCATENATE("$C$",J$147)),1)))</f>
        <v/>
      </c>
      <c r="K153" s="729">
        <f ca="1">IF(K$152=0,"",INDEX(INDIRECT(CONCATENATE("$C$",K$146)):INDIRECT(CONCATENATE("$C$",K$147)),MATCH(K$152,INDIRECT(CONCATENATE("$C$",K$146)):INDIRECT(CONCATENATE("$C$",K$147)),1)))</f>
        <v>250</v>
      </c>
      <c r="L153" s="729">
        <f ca="1">IF(L$152=0,"",INDEX(INDIRECT(CONCATENATE("$C$",L$146)):INDIRECT(CONCATENATE("$C$",L$147)),MATCH(L$152,INDIRECT(CONCATENATE("$C$",L$146)):INDIRECT(CONCATENATE("$C$",L$147)),1)))</f>
        <v>250</v>
      </c>
      <c r="M153" s="729">
        <f ca="1">IF(M$152=0,"",INDEX(INDIRECT(CONCATENATE("$C$",M$146)):INDIRECT(CONCATENATE("$C$",M$147)),MATCH(M$152,INDIRECT(CONCATENATE("$C$",M$146)):INDIRECT(CONCATENATE("$C$",M$147)),1)))</f>
        <v>250</v>
      </c>
      <c r="N153" s="729">
        <f ca="1">IF(N$152=0,"",INDEX(INDIRECT(CONCATENATE("$C$",N$146)):INDIRECT(CONCATENATE("$C$",N$147)),MATCH(N$152,INDIRECT(CONCATENATE("$C$",N$146)):INDIRECT(CONCATENATE("$C$",N$147)),1)))</f>
        <v>250</v>
      </c>
      <c r="O153" s="729">
        <f ca="1">IF(O$152=0,"",INDEX(INDIRECT(CONCATENATE("$C$",O$146)):INDIRECT(CONCATENATE("$C$",O$147)),MATCH(O$152,INDIRECT(CONCATENATE("$C$",O$146)):INDIRECT(CONCATENATE("$C$",O$147)),1)))</f>
        <v>250</v>
      </c>
      <c r="P153" s="729">
        <f ca="1">IF(P$152=0,"",INDEX(INDIRECT(CONCATENATE("$C$",P$146)):INDIRECT(CONCATENATE("$C$",P$147)),MATCH(P$152,INDIRECT(CONCATENATE("$C$",P$146)):INDIRECT(CONCATENATE("$C$",P$147)),1)))</f>
        <v>250</v>
      </c>
      <c r="Q153" s="729">
        <f ca="1">IF(Q$152=0,"",INDEX(INDIRECT(CONCATENATE("$C$",Q$146)):INDIRECT(CONCATENATE("$C$",Q$147)),MATCH(Q$152,INDIRECT(CONCATENATE("$C$",Q$146)):INDIRECT(CONCATENATE("$C$",Q$147)),1)))</f>
        <v>250</v>
      </c>
      <c r="R153" s="729">
        <f ca="1">IF(R$152=0,"",INDEX(INDIRECT(CONCATENATE("$C$",R$146)):INDIRECT(CONCATENATE("$C$",R$147)),MATCH(R$152,INDIRECT(CONCATENATE("$C$",R$146)):INDIRECT(CONCATENATE("$C$",R$147)),1)))</f>
        <v>250</v>
      </c>
      <c r="S153" s="729">
        <f ca="1">IF(S$152=0,"",INDEX(INDIRECT(CONCATENATE("$C$",S$146)):INDIRECT(CONCATENATE("$C$",S$147)),MATCH(S$152,INDIRECT(CONCATENATE("$C$",S$146)):INDIRECT(CONCATENATE("$C$",S$147)),1)))</f>
        <v>250</v>
      </c>
      <c r="T153" s="729">
        <f ca="1">IF(T$152=0,"",INDEX(INDIRECT(CONCATENATE("$C$",T$146)):INDIRECT(CONCATENATE("$C$",T$147)),MATCH(T$152,INDIRECT(CONCATENATE("$C$",T$146)):INDIRECT(CONCATENATE("$C$",T$147)),1)))</f>
        <v>250</v>
      </c>
      <c r="U153" s="729">
        <f ca="1">IF(U$152=0,"",INDEX(INDIRECT(CONCATENATE("$C$",U$146)):INDIRECT(CONCATENATE("$C$",U$147)),MATCH(U$152,INDIRECT(CONCATENATE("$C$",U$146)):INDIRECT(CONCATENATE("$C$",U$147)),1)))</f>
        <v>250</v>
      </c>
      <c r="V153" s="729">
        <f ca="1">IF(V$152=0,"",INDEX(INDIRECT(CONCATENATE("$C$",V$146)):INDIRECT(CONCATENATE("$C$",V$147)),MATCH(V$152,INDIRECT(CONCATENATE("$C$",V$146)):INDIRECT(CONCATENATE("$C$",V$147)),1)))</f>
        <v>250</v>
      </c>
      <c r="W153" s="729">
        <f ca="1">IF(W$152=0,"",INDEX(INDIRECT(CONCATENATE("$C$",W$146)):INDIRECT(CONCATENATE("$C$",W$147)),MATCH(W$152,INDIRECT(CONCATENATE("$C$",W$146)):INDIRECT(CONCATENATE("$C$",W$147)),1)))</f>
        <v>250</v>
      </c>
      <c r="X153" s="729">
        <f ca="1">IF(X$152=0,"",INDEX(INDIRECT(CONCATENATE("$C$",X$146)):INDIRECT(CONCATENATE("$C$",X$147)),MATCH(X$152,INDIRECT(CONCATENATE("$C$",X$146)):INDIRECT(CONCATENATE("$C$",X$147)),1)))</f>
        <v>250</v>
      </c>
      <c r="Y153" s="729">
        <f ca="1">IF(Y$152=0,"",INDEX(INDIRECT(CONCATENATE("$C$",Y$146)):INDIRECT(CONCATENATE("$C$",Y$147)),MATCH(Y$152,INDIRECT(CONCATENATE("$C$",Y$146)):INDIRECT(CONCATENATE("$C$",Y$147)),1)))</f>
        <v>250</v>
      </c>
      <c r="Z153" s="729">
        <f ca="1">IF(Z$152=0,"",INDEX(INDIRECT(CONCATENATE("$C$",Z$146)):INDIRECT(CONCATENATE("$C$",Z$147)),MATCH(Z$152,INDIRECT(CONCATENATE("$C$",Z$146)):INDIRECT(CONCATENATE("$C$",Z$147)),1)))</f>
        <v>242.56</v>
      </c>
      <c r="AA153" s="729">
        <f ca="1">IF(AA$152=0,"",INDEX(INDIRECT(CONCATENATE("$C$",AA$146)):INDIRECT(CONCATENATE("$C$",AA$147)),MATCH(AA$152,INDIRECT(CONCATENATE("$C$",AA$146)):INDIRECT(CONCATENATE("$C$",AA$147)),1)))</f>
        <v>242.56</v>
      </c>
      <c r="AB153" s="729">
        <f ca="1">IF(AB$152=0,"",INDEX(INDIRECT(CONCATENATE("$C$",AB$146)):INDIRECT(CONCATENATE("$C$",AB$147)),MATCH(AB$152,INDIRECT(CONCATENATE("$C$",AB$146)):INDIRECT(CONCATENATE("$C$",AB$147)),1)))</f>
        <v>225</v>
      </c>
      <c r="AC153" s="729">
        <f ca="1">IF(AC$152=0,"",INDEX(INDIRECT(CONCATENATE("$C$",AC$146)):INDIRECT(CONCATENATE("$C$",AC$147)),MATCH(AC$152,INDIRECT(CONCATENATE("$C$",AC$146)):INDIRECT(CONCATENATE("$C$",AC$147)),1)))</f>
        <v>225</v>
      </c>
      <c r="AD153" s="729">
        <f ca="1">IF(AD$152=0,"",INDEX(INDIRECT(CONCATENATE("$C$",AD$146)):INDIRECT(CONCATENATE("$C$",AD$147)),MATCH(AD$152,INDIRECT(CONCATENATE("$C$",AD$146)):INDIRECT(CONCATENATE("$C$",AD$147)),1)))</f>
        <v>225</v>
      </c>
      <c r="AE153" s="729">
        <f ca="1">IF(AE$152=0,"",INDEX(INDIRECT(CONCATENATE("$C$",AE$146)):INDIRECT(CONCATENATE("$C$",AE$147)),MATCH(AE$152,INDIRECT(CONCATENATE("$C$",AE$146)):INDIRECT(CONCATENATE("$C$",AE$147)),1)))</f>
        <v>225</v>
      </c>
      <c r="AF153" s="729">
        <f ca="1">IF(AF$152=0,"",INDEX(INDIRECT(CONCATENATE("$C$",AF$146)):INDIRECT(CONCATENATE("$C$",AF$147)),MATCH(AF$152,INDIRECT(CONCATENATE("$C$",AF$146)):INDIRECT(CONCATENATE("$C$",AF$147)),1)))</f>
        <v>201.37</v>
      </c>
      <c r="AG153" s="729">
        <f ca="1">IF(AG$152=0,"",INDEX(INDIRECT(CONCATENATE("$C$",AG$146)):INDIRECT(CONCATENATE("$C$",AG$147)),MATCH(AG$152,INDIRECT(CONCATENATE("$C$",AG$146)):INDIRECT(CONCATENATE("$C$",AG$147)),1)))</f>
        <v>201.37</v>
      </c>
      <c r="AH153" s="727"/>
      <c r="AI153" s="727"/>
      <c r="AJ153" s="727"/>
      <c r="AK153" s="727"/>
      <c r="AL153" s="727"/>
      <c r="AM153" s="727"/>
      <c r="AN153" s="727"/>
      <c r="AO153" s="727"/>
      <c r="AP153" s="727"/>
      <c r="AQ153" s="727"/>
      <c r="AR153" s="727"/>
      <c r="AS153" s="727"/>
      <c r="AT153" s="727"/>
      <c r="AU153" s="727"/>
      <c r="AV153" s="727"/>
      <c r="AW153" s="727"/>
      <c r="AX153" s="727"/>
      <c r="AY153" s="727"/>
      <c r="AZ153" s="727"/>
      <c r="BA153" s="727"/>
      <c r="BB153" s="727"/>
    </row>
    <row r="154" spans="1:54">
      <c r="A154" s="326"/>
      <c r="B154" s="98" t="s">
        <v>1071</v>
      </c>
      <c r="C154" s="729" t="str">
        <f ca="1">IF(C$152=0,"",INDEX(INDIRECT(CONCATENATE("$C$",C$146)):INDIRECT(CONCATENATE("$C$",C$147)),MATCH(C$152,INDIRECT(CONCATENATE("$C$",C$146)):INDIRECT(CONCATENATE("$C$",C$147)),1)+1))</f>
        <v/>
      </c>
      <c r="D154" s="729" t="str">
        <f ca="1">IF(D$152=0,"",INDEX(INDIRECT(CONCATENATE("$C$",D$146)):INDIRECT(CONCATENATE("$C$",D$147)),MATCH(D$152,INDIRECT(CONCATENATE("$C$",D$146)):INDIRECT(CONCATENATE("$C$",D$147)),1)+1))</f>
        <v/>
      </c>
      <c r="E154" s="729" t="str">
        <f ca="1">IF(E$152=0,"",INDEX(INDIRECT(CONCATENATE("$C$",E$146)):INDIRECT(CONCATENATE("$C$",E$147)),MATCH(E$152,INDIRECT(CONCATENATE("$C$",E$146)):INDIRECT(CONCATENATE("$C$",E$147)),1)+1))</f>
        <v/>
      </c>
      <c r="F154" s="729" t="str">
        <f ca="1">IF(F$152=0,"",INDEX(INDIRECT(CONCATENATE("$C$",F$146)):INDIRECT(CONCATENATE("$C$",F$147)),MATCH(F$152,INDIRECT(CONCATENATE("$C$",F$146)):INDIRECT(CONCATENATE("$C$",F$147)),1)+1))</f>
        <v/>
      </c>
      <c r="G154" s="729" t="str">
        <f ca="1">IF(G$152=0,"",INDEX(INDIRECT(CONCATENATE("$C$",G$146)):INDIRECT(CONCATENATE("$C$",G$147)),MATCH(G$152,INDIRECT(CONCATENATE("$C$",G$146)):INDIRECT(CONCATENATE("$C$",G$147)),1)+1))</f>
        <v/>
      </c>
      <c r="H154" s="729" t="str">
        <f ca="1">IF(H$152=0,"",INDEX(INDIRECT(CONCATENATE("$C$",H$146)):INDIRECT(CONCATENATE("$C$",H$147)),MATCH(H$152,INDIRECT(CONCATENATE("$C$",H$146)):INDIRECT(CONCATENATE("$C$",H$147)),1)+1))</f>
        <v/>
      </c>
      <c r="I154" s="729" t="str">
        <f ca="1">IF(I$152=0,"",INDEX(INDIRECT(CONCATENATE("$C$",I$146)):INDIRECT(CONCATENATE("$C$",I$147)),MATCH(I$152,INDIRECT(CONCATENATE("$C$",I$146)):INDIRECT(CONCATENATE("$C$",I$147)),1)+1))</f>
        <v/>
      </c>
      <c r="J154" s="729" t="str">
        <f ca="1">IF(J$152=0,"",INDEX(INDIRECT(CONCATENATE("$C$",J$146)):INDIRECT(CONCATENATE("$C$",J$147)),MATCH(J$152,INDIRECT(CONCATENATE("$C$",J$146)):INDIRECT(CONCATENATE("$C$",J$147)),1)+1))</f>
        <v/>
      </c>
      <c r="K154" s="729">
        <f ca="1">IF(K$152=0,"",INDEX(INDIRECT(CONCATENATE("$C$",K$146)):INDIRECT(CONCATENATE("$C$",K$147)),MATCH(K$152,INDIRECT(CONCATENATE("$C$",K$146)):INDIRECT(CONCATENATE("$C$",K$147)),1)+1))</f>
        <v>300</v>
      </c>
      <c r="L154" s="729">
        <f ca="1">IF(L$152=0,"",INDEX(INDIRECT(CONCATENATE("$C$",L$146)):INDIRECT(CONCATENATE("$C$",L$147)),MATCH(L$152,INDIRECT(CONCATENATE("$C$",L$146)):INDIRECT(CONCATENATE("$C$",L$147)),1)+1))</f>
        <v>300</v>
      </c>
      <c r="M154" s="729">
        <f ca="1">IF(M$152=0,"",INDEX(INDIRECT(CONCATENATE("$C$",M$146)):INDIRECT(CONCATENATE("$C$",M$147)),MATCH(M$152,INDIRECT(CONCATENATE("$C$",M$146)):INDIRECT(CONCATENATE("$C$",M$147)),1)+1))</f>
        <v>300</v>
      </c>
      <c r="N154" s="729">
        <f ca="1">IF(N$152=0,"",INDEX(INDIRECT(CONCATENATE("$C$",N$146)):INDIRECT(CONCATENATE("$C$",N$147)),MATCH(N$152,INDIRECT(CONCATENATE("$C$",N$146)):INDIRECT(CONCATENATE("$C$",N$147)),1)+1))</f>
        <v>300</v>
      </c>
      <c r="O154" s="729">
        <f ca="1">IF(O$152=0,"",INDEX(INDIRECT(CONCATENATE("$C$",O$146)):INDIRECT(CONCATENATE("$C$",O$147)),MATCH(O$152,INDIRECT(CONCATENATE("$C$",O$146)):INDIRECT(CONCATENATE("$C$",O$147)),1)+1))</f>
        <v>300</v>
      </c>
      <c r="P154" s="729">
        <f ca="1">IF(P$152=0,"",INDEX(INDIRECT(CONCATENATE("$C$",P$146)):INDIRECT(CONCATENATE("$C$",P$147)),MATCH(P$152,INDIRECT(CONCATENATE("$C$",P$146)):INDIRECT(CONCATENATE("$C$",P$147)),1)+1))</f>
        <v>300</v>
      </c>
      <c r="Q154" s="729">
        <f ca="1">IF(Q$152=0,"",INDEX(INDIRECT(CONCATENATE("$C$",Q$146)):INDIRECT(CONCATENATE("$C$",Q$147)),MATCH(Q$152,INDIRECT(CONCATENATE("$C$",Q$146)):INDIRECT(CONCATENATE("$C$",Q$147)),1)+1))</f>
        <v>300</v>
      </c>
      <c r="R154" s="729">
        <f ca="1">IF(R$152=0,"",INDEX(INDIRECT(CONCATENATE("$C$",R$146)):INDIRECT(CONCATENATE("$C$",R$147)),MATCH(R$152,INDIRECT(CONCATENATE("$C$",R$146)):INDIRECT(CONCATENATE("$C$",R$147)),1)+1))</f>
        <v>300</v>
      </c>
      <c r="S154" s="729">
        <f ca="1">IF(S$152=0,"",INDEX(INDIRECT(CONCATENATE("$C$",S$146)):INDIRECT(CONCATENATE("$C$",S$147)),MATCH(S$152,INDIRECT(CONCATENATE("$C$",S$146)):INDIRECT(CONCATENATE("$C$",S$147)),1)+1))</f>
        <v>300</v>
      </c>
      <c r="T154" s="729">
        <f ca="1">IF(T$152=0,"",INDEX(INDIRECT(CONCATENATE("$C$",T$146)):INDIRECT(CONCATENATE("$C$",T$147)),MATCH(T$152,INDIRECT(CONCATENATE("$C$",T$146)):INDIRECT(CONCATENATE("$C$",T$147)),1)+1))</f>
        <v>300</v>
      </c>
      <c r="U154" s="729">
        <f ca="1">IF(U$152=0,"",INDEX(INDIRECT(CONCATENATE("$C$",U$146)):INDIRECT(CONCATENATE("$C$",U$147)),MATCH(U$152,INDIRECT(CONCATENATE("$C$",U$146)):INDIRECT(CONCATENATE("$C$",U$147)),1)+1))</f>
        <v>300</v>
      </c>
      <c r="V154" s="729">
        <f ca="1">IF(V$152=0,"",INDEX(INDIRECT(CONCATENATE("$C$",V$146)):INDIRECT(CONCATENATE("$C$",V$147)),MATCH(V$152,INDIRECT(CONCATENATE("$C$",V$146)):INDIRECT(CONCATENATE("$C$",V$147)),1)+1))</f>
        <v>300</v>
      </c>
      <c r="W154" s="729">
        <f ca="1">IF(W$152=0,"",INDEX(INDIRECT(CONCATENATE("$C$",W$146)):INDIRECT(CONCATENATE("$C$",W$147)),MATCH(W$152,INDIRECT(CONCATENATE("$C$",W$146)):INDIRECT(CONCATENATE("$C$",W$147)),1)+1))</f>
        <v>300</v>
      </c>
      <c r="X154" s="729">
        <f ca="1">IF(X$152=0,"",INDEX(INDIRECT(CONCATENATE("$C$",X$146)):INDIRECT(CONCATENATE("$C$",X$147)),MATCH(X$152,INDIRECT(CONCATENATE("$C$",X$146)):INDIRECT(CONCATENATE("$C$",X$147)),1)+1))</f>
        <v>300</v>
      </c>
      <c r="Y154" s="729">
        <f ca="1">IF(Y$152=0,"",INDEX(INDIRECT(CONCATENATE("$C$",Y$146)):INDIRECT(CONCATENATE("$C$",Y$147)),MATCH(Y$152,INDIRECT(CONCATENATE("$C$",Y$146)):INDIRECT(CONCATENATE("$C$",Y$147)),1)+1))</f>
        <v>300</v>
      </c>
      <c r="Z154" s="729">
        <f ca="1">IF(Z$152=0,"",INDEX(INDIRECT(CONCATENATE("$C$",Z$146)):INDIRECT(CONCATENATE("$C$",Z$147)),MATCH(Z$152,INDIRECT(CONCATENATE("$C$",Z$146)):INDIRECT(CONCATENATE("$C$",Z$147)),1)+1))</f>
        <v>250</v>
      </c>
      <c r="AA154" s="729">
        <f ca="1">IF(AA$152=0,"",INDEX(INDIRECT(CONCATENATE("$C$",AA$146)):INDIRECT(CONCATENATE("$C$",AA$147)),MATCH(AA$152,INDIRECT(CONCATENATE("$C$",AA$146)):INDIRECT(CONCATENATE("$C$",AA$147)),1)+1))</f>
        <v>250</v>
      </c>
      <c r="AB154" s="729">
        <f ca="1">IF(AB$152=0,"",INDEX(INDIRECT(CONCATENATE("$C$",AB$146)):INDIRECT(CONCATENATE("$C$",AB$147)),MATCH(AB$152,INDIRECT(CONCATENATE("$C$",AB$146)):INDIRECT(CONCATENATE("$C$",AB$147)),1)+1))</f>
        <v>250</v>
      </c>
      <c r="AC154" s="729">
        <f ca="1">IF(AC$152=0,"",INDEX(INDIRECT(CONCATENATE("$C$",AC$146)):INDIRECT(CONCATENATE("$C$",AC$147)),MATCH(AC$152,INDIRECT(CONCATENATE("$C$",AC$146)):INDIRECT(CONCATENATE("$C$",AC$147)),1)+1))</f>
        <v>250</v>
      </c>
      <c r="AD154" s="729">
        <f ca="1">IF(AD$152=0,"",INDEX(INDIRECT(CONCATENATE("$C$",AD$146)):INDIRECT(CONCATENATE("$C$",AD$147)),MATCH(AD$152,INDIRECT(CONCATENATE("$C$",AD$146)):INDIRECT(CONCATENATE("$C$",AD$147)),1)+1))</f>
        <v>250</v>
      </c>
      <c r="AE154" s="729">
        <f ca="1">IF(AE$152=0,"",INDEX(INDIRECT(CONCATENATE("$C$",AE$146)):INDIRECT(CONCATENATE("$C$",AE$147)),MATCH(AE$152,INDIRECT(CONCATENATE("$C$",AE$146)):INDIRECT(CONCATENATE("$C$",AE$147)),1)+1))</f>
        <v>250</v>
      </c>
      <c r="AF154" s="729">
        <f ca="1">IF(AF$152=0,"",INDEX(INDIRECT(CONCATENATE("$C$",AF$146)):INDIRECT(CONCATENATE("$C$",AF$147)),MATCH(AF$152,INDIRECT(CONCATENATE("$C$",AF$146)):INDIRECT(CONCATENATE("$C$",AF$147)),1)+1))</f>
        <v>225</v>
      </c>
      <c r="AG154" s="729">
        <f ca="1">IF(AG$152=0,"",INDEX(INDIRECT(CONCATENATE("$C$",AG$146)):INDIRECT(CONCATENATE("$C$",AG$147)),MATCH(AG$152,INDIRECT(CONCATENATE("$C$",AG$146)):INDIRECT(CONCATENATE("$C$",AG$147)),1)+1))</f>
        <v>225</v>
      </c>
      <c r="AH154" s="727"/>
      <c r="AI154" s="727"/>
      <c r="AJ154" s="727"/>
      <c r="AK154" s="727"/>
      <c r="AL154" s="727"/>
      <c r="AM154" s="727"/>
      <c r="AN154" s="727"/>
      <c r="AO154" s="727"/>
      <c r="AP154" s="727"/>
      <c r="AQ154" s="727"/>
      <c r="AR154" s="727"/>
      <c r="AS154" s="727"/>
      <c r="AT154" s="727"/>
      <c r="AU154" s="727"/>
      <c r="AV154" s="727"/>
      <c r="AW154" s="727"/>
      <c r="AX154" s="727"/>
      <c r="AY154" s="727"/>
      <c r="AZ154" s="727"/>
      <c r="BA154" s="727"/>
      <c r="BB154" s="727"/>
    </row>
    <row r="155" spans="1:54">
      <c r="A155" s="326"/>
      <c r="B155" s="98" t="s">
        <v>1089</v>
      </c>
      <c r="C155" s="725" t="str">
        <f ca="1">IF(C$152=0,"",VLOOKUP(C153,INDIRECT(CONCATENATE("$C$",C$146)):INDIRECT(CONCATENATE("$G$",C$147)),4,FALSE))</f>
        <v/>
      </c>
      <c r="D155" s="725" t="str">
        <f ca="1">IF(D$152=0,"",VLOOKUP(D153,INDIRECT(CONCATENATE("$C$",D$146)):INDIRECT(CONCATENATE("$G$",D$147)),4,FALSE))</f>
        <v/>
      </c>
      <c r="E155" s="725" t="str">
        <f ca="1">IF(E$152=0,"",VLOOKUP(E153,INDIRECT(CONCATENATE("$C$",E$146)):INDIRECT(CONCATENATE("$G$",E$147)),4,FALSE))</f>
        <v/>
      </c>
      <c r="F155" s="725" t="str">
        <f ca="1">IF(F$152=0,"",VLOOKUP(F153,INDIRECT(CONCATENATE("$C$",F$146)):INDIRECT(CONCATENATE("$G$",F$147)),4,FALSE))</f>
        <v/>
      </c>
      <c r="G155" s="725" t="str">
        <f ca="1">IF(G$152=0,"",VLOOKUP(G153,INDIRECT(CONCATENATE("$C$",G$146)):INDIRECT(CONCATENATE("$G$",G$147)),4,FALSE))</f>
        <v/>
      </c>
      <c r="H155" s="725" t="str">
        <f ca="1">IF(H$152=0,"",VLOOKUP(H153,INDIRECT(CONCATENATE("$C$",H$146)):INDIRECT(CONCATENATE("$G$",H$147)),4,FALSE))</f>
        <v/>
      </c>
      <c r="I155" s="725" t="str">
        <f ca="1">IF(I$152=0,"",VLOOKUP(I153,INDIRECT(CONCATENATE("$C$",I$146)):INDIRECT(CONCATENATE("$G$",I$147)),4,FALSE))</f>
        <v/>
      </c>
      <c r="J155" s="725" t="str">
        <f ca="1">IF(J$152=0,"",VLOOKUP(J153,INDIRECT(CONCATENATE("$C$",J$146)):INDIRECT(CONCATENATE("$G$",J$147)),4,FALSE))</f>
        <v/>
      </c>
      <c r="K155" s="725">
        <f ca="1">IF(K$152=0,"",VLOOKUP(K153,INDIRECT(CONCATENATE("$C$",K$146)):INDIRECT(CONCATENATE("$G$",K$147)),4,FALSE))</f>
        <v>2829.7</v>
      </c>
      <c r="L155" s="725">
        <f ca="1">IF(L$152=0,"",VLOOKUP(L153,INDIRECT(CONCATENATE("$C$",L$146)):INDIRECT(CONCATENATE("$G$",L$147)),4,FALSE))</f>
        <v>2829.7</v>
      </c>
      <c r="M155" s="725">
        <f ca="1">IF(M$152=0,"",VLOOKUP(M153,INDIRECT(CONCATENATE("$C$",M$146)):INDIRECT(CONCATENATE("$G$",M$147)),4,FALSE))</f>
        <v>2829.7</v>
      </c>
      <c r="N155" s="725">
        <f ca="1">IF(N$152=0,"",VLOOKUP(N153,INDIRECT(CONCATENATE("$C$",N$146)):INDIRECT(CONCATENATE("$G$",N$147)),4,FALSE))</f>
        <v>2829.7</v>
      </c>
      <c r="O155" s="725">
        <f ca="1">IF(O$152=0,"",VLOOKUP(O153,INDIRECT(CONCATENATE("$C$",O$146)):INDIRECT(CONCATENATE("$G$",O$147)),4,FALSE))</f>
        <v>2829.7</v>
      </c>
      <c r="P155" s="725">
        <f ca="1">IF(P$152=0,"",VLOOKUP(P153,INDIRECT(CONCATENATE("$C$",P$146)):INDIRECT(CONCATENATE("$G$",P$147)),4,FALSE))</f>
        <v>2829.7</v>
      </c>
      <c r="Q155" s="725">
        <f ca="1">IF(Q$152=0,"",VLOOKUP(Q153,INDIRECT(CONCATENATE("$C$",Q$146)):INDIRECT(CONCATENATE("$G$",Q$147)),4,FALSE))</f>
        <v>2829.7</v>
      </c>
      <c r="R155" s="725">
        <f ca="1">IF(R$152=0,"",VLOOKUP(R153,INDIRECT(CONCATENATE("$C$",R$146)):INDIRECT(CONCATENATE("$G$",R$147)),4,FALSE))</f>
        <v>2829.7</v>
      </c>
      <c r="S155" s="725">
        <f ca="1">IF(S$152=0,"",VLOOKUP(S153,INDIRECT(CONCATENATE("$C$",S$146)):INDIRECT(CONCATENATE("$G$",S$147)),4,FALSE))</f>
        <v>2829.7</v>
      </c>
      <c r="T155" s="725">
        <f ca="1">IF(T$152=0,"",VLOOKUP(T153,INDIRECT(CONCATENATE("$C$",T$146)):INDIRECT(CONCATENATE("$G$",T$147)),4,FALSE))</f>
        <v>2829.7</v>
      </c>
      <c r="U155" s="725">
        <f ca="1">IF(U$152=0,"",VLOOKUP(U153,INDIRECT(CONCATENATE("$C$",U$146)):INDIRECT(CONCATENATE("$G$",U$147)),4,FALSE))</f>
        <v>2829.7</v>
      </c>
      <c r="V155" s="725">
        <f ca="1">IF(V$152=0,"",VLOOKUP(V153,INDIRECT(CONCATENATE("$C$",V$146)):INDIRECT(CONCATENATE("$G$",V$147)),4,FALSE))</f>
        <v>2829.7</v>
      </c>
      <c r="W155" s="725">
        <f ca="1">IF(W$152=0,"",VLOOKUP(W153,INDIRECT(CONCATENATE("$C$",W$146)):INDIRECT(CONCATENATE("$G$",W$147)),4,FALSE))</f>
        <v>2829.7</v>
      </c>
      <c r="X155" s="725">
        <f ca="1">IF(X$152=0,"",VLOOKUP(X153,INDIRECT(CONCATENATE("$C$",X$146)):INDIRECT(CONCATENATE("$G$",X$147)),4,FALSE))</f>
        <v>2829.7</v>
      </c>
      <c r="Y155" s="725">
        <f ca="1">IF(Y$152=0,"",VLOOKUP(Y153,INDIRECT(CONCATENATE("$C$",Y$146)):INDIRECT(CONCATENATE("$G$",Y$147)),4,FALSE))</f>
        <v>2829.7</v>
      </c>
      <c r="Z155" s="725">
        <f ca="1">IF(Z$152=0,"",VLOOKUP(Z153,INDIRECT(CONCATENATE("$C$",Z$146)):INDIRECT(CONCATENATE("$G$",Z$147)),4,FALSE))</f>
        <v>2802.7</v>
      </c>
      <c r="AA155" s="725">
        <f ca="1">IF(AA$152=0,"",VLOOKUP(AA153,INDIRECT(CONCATENATE("$C$",AA$146)):INDIRECT(CONCATENATE("$G$",AA$147)),4,FALSE))</f>
        <v>2802.7</v>
      </c>
      <c r="AB155" s="725">
        <f ca="1">IF(AB$152=0,"",VLOOKUP(AB153,INDIRECT(CONCATENATE("$C$",AB$146)):INDIRECT(CONCATENATE("$G$",AB$147)),4,FALSE))</f>
        <v>2805.5</v>
      </c>
      <c r="AC155" s="725">
        <f ca="1">IF(AC$152=0,"",VLOOKUP(AC153,INDIRECT(CONCATENATE("$C$",AC$146)):INDIRECT(CONCATENATE("$G$",AC$147)),4,FALSE))</f>
        <v>2805.5</v>
      </c>
      <c r="AD155" s="725">
        <f ca="1">IF(AD$152=0,"",VLOOKUP(AD153,INDIRECT(CONCATENATE("$C$",AD$146)):INDIRECT(CONCATENATE("$G$",AD$147)),4,FALSE))</f>
        <v>2805.5</v>
      </c>
      <c r="AE155" s="725">
        <f ca="1">IF(AE$152=0,"",VLOOKUP(AE153,INDIRECT(CONCATENATE("$C$",AE$146)):INDIRECT(CONCATENATE("$G$",AE$147)),4,FALSE))</f>
        <v>2805.5</v>
      </c>
      <c r="AF155" s="725">
        <f ca="1">IF(AF$152=0,"",VLOOKUP(AF153,INDIRECT(CONCATENATE("$C$",AF$146)):INDIRECT(CONCATENATE("$G$",AF$147)),4,FALSE))</f>
        <v>2792.8</v>
      </c>
      <c r="AG155" s="725">
        <f ca="1">IF(AG$152=0,"",VLOOKUP(AG153,INDIRECT(CONCATENATE("$C$",AG$146)):INDIRECT(CONCATENATE("$G$",AG$147)),4,FALSE))</f>
        <v>2792.8</v>
      </c>
      <c r="AH155" s="727"/>
      <c r="AI155" s="727"/>
      <c r="AJ155" s="727"/>
      <c r="AK155" s="727"/>
      <c r="AL155" s="727"/>
      <c r="AM155" s="727"/>
      <c r="AN155" s="727"/>
      <c r="AO155" s="727"/>
      <c r="AP155" s="727"/>
      <c r="AQ155" s="727"/>
      <c r="AR155" s="727"/>
      <c r="AS155" s="727"/>
      <c r="AT155" s="727"/>
      <c r="AU155" s="727"/>
      <c r="AV155" s="727"/>
      <c r="AW155" s="727"/>
      <c r="AX155" s="727"/>
      <c r="AY155" s="727"/>
      <c r="AZ155" s="727"/>
      <c r="BA155" s="727"/>
      <c r="BB155" s="727"/>
    </row>
    <row r="156" spans="1:54">
      <c r="A156" s="326"/>
      <c r="B156" s="98" t="s">
        <v>1090</v>
      </c>
      <c r="C156" s="725" t="str">
        <f ca="1">IF(C$152=0,"",VLOOKUP(C154,INDIRECT(CONCATENATE("$C$",C$146)):INDIRECT(CONCATENATE("$G$",C$147)),4,FALSE))</f>
        <v/>
      </c>
      <c r="D156" s="725" t="str">
        <f ca="1">IF(D$152=0,"",VLOOKUP(D154,INDIRECT(CONCATENATE("$C$",D$146)):INDIRECT(CONCATENATE("$G$",D$147)),4,FALSE))</f>
        <v/>
      </c>
      <c r="E156" s="725" t="str">
        <f ca="1">IF(E$152=0,"",VLOOKUP(E154,INDIRECT(CONCATENATE("$C$",E$146)):INDIRECT(CONCATENATE("$G$",E$147)),4,FALSE))</f>
        <v/>
      </c>
      <c r="F156" s="725" t="str">
        <f ca="1">IF(F$152=0,"",VLOOKUP(F154,INDIRECT(CONCATENATE("$C$",F$146)):INDIRECT(CONCATENATE("$G$",F$147)),4,FALSE))</f>
        <v/>
      </c>
      <c r="G156" s="725" t="str">
        <f ca="1">IF(G$152=0,"",VLOOKUP(G154,INDIRECT(CONCATENATE("$C$",G$146)):INDIRECT(CONCATENATE("$G$",G$147)),4,FALSE))</f>
        <v/>
      </c>
      <c r="H156" s="725" t="str">
        <f ca="1">IF(H$152=0,"",VLOOKUP(H154,INDIRECT(CONCATENATE("$C$",H$146)):INDIRECT(CONCATENATE("$G$",H$147)),4,FALSE))</f>
        <v/>
      </c>
      <c r="I156" s="725" t="str">
        <f ca="1">IF(I$152=0,"",VLOOKUP(I154,INDIRECT(CONCATENATE("$C$",I$146)):INDIRECT(CONCATENATE("$G$",I$147)),4,FALSE))</f>
        <v/>
      </c>
      <c r="J156" s="725" t="str">
        <f ca="1">IF(J$152=0,"",VLOOKUP(J154,INDIRECT(CONCATENATE("$C$",J$146)):INDIRECT(CONCATENATE("$G$",J$147)),4,FALSE))</f>
        <v/>
      </c>
      <c r="K156" s="725">
        <f ca="1">IF(K$152=0,"",VLOOKUP(K154,INDIRECT(CONCATENATE("$C$",K$146)):INDIRECT(CONCATENATE("$G$",K$147)),4,FALSE))</f>
        <v>2978.4</v>
      </c>
      <c r="L156" s="725">
        <f ca="1">IF(L$152=0,"",VLOOKUP(L154,INDIRECT(CONCATENATE("$C$",L$146)):INDIRECT(CONCATENATE("$G$",L$147)),4,FALSE))</f>
        <v>2978.4</v>
      </c>
      <c r="M156" s="725">
        <f ca="1">IF(M$152=0,"",VLOOKUP(M154,INDIRECT(CONCATENATE("$C$",M$146)):INDIRECT(CONCATENATE("$G$",M$147)),4,FALSE))</f>
        <v>2978.4</v>
      </c>
      <c r="N156" s="725">
        <f ca="1">IF(N$152=0,"",VLOOKUP(N154,INDIRECT(CONCATENATE("$C$",N$146)):INDIRECT(CONCATENATE("$G$",N$147)),4,FALSE))</f>
        <v>2978.4</v>
      </c>
      <c r="O156" s="725">
        <f ca="1">IF(O$152=0,"",VLOOKUP(O154,INDIRECT(CONCATENATE("$C$",O$146)):INDIRECT(CONCATENATE("$G$",O$147)),4,FALSE))</f>
        <v>2978.4</v>
      </c>
      <c r="P156" s="725">
        <f ca="1">IF(P$152=0,"",VLOOKUP(P154,INDIRECT(CONCATENATE("$C$",P$146)):INDIRECT(CONCATENATE("$G$",P$147)),4,FALSE))</f>
        <v>2978.4</v>
      </c>
      <c r="Q156" s="725">
        <f ca="1">IF(Q$152=0,"",VLOOKUP(Q154,INDIRECT(CONCATENATE("$C$",Q$146)):INDIRECT(CONCATENATE("$G$",Q$147)),4,FALSE))</f>
        <v>2978.4</v>
      </c>
      <c r="R156" s="725">
        <f ca="1">IF(R$152=0,"",VLOOKUP(R154,INDIRECT(CONCATENATE("$C$",R$146)):INDIRECT(CONCATENATE("$G$",R$147)),4,FALSE))</f>
        <v>2978.4</v>
      </c>
      <c r="S156" s="725">
        <f ca="1">IF(S$152=0,"",VLOOKUP(S154,INDIRECT(CONCATENATE("$C$",S$146)):INDIRECT(CONCATENATE("$G$",S$147)),4,FALSE))</f>
        <v>2978.4</v>
      </c>
      <c r="T156" s="725">
        <f ca="1">IF(T$152=0,"",VLOOKUP(T154,INDIRECT(CONCATENATE("$C$",T$146)):INDIRECT(CONCATENATE("$G$",T$147)),4,FALSE))</f>
        <v>2978.4</v>
      </c>
      <c r="U156" s="725">
        <f ca="1">IF(U$152=0,"",VLOOKUP(U154,INDIRECT(CONCATENATE("$C$",U$146)):INDIRECT(CONCATENATE("$G$",U$147)),4,FALSE))</f>
        <v>2978.4</v>
      </c>
      <c r="V156" s="725">
        <f ca="1">IF(V$152=0,"",VLOOKUP(V154,INDIRECT(CONCATENATE("$C$",V$146)):INDIRECT(CONCATENATE("$G$",V$147)),4,FALSE))</f>
        <v>2978.4</v>
      </c>
      <c r="W156" s="725">
        <f ca="1">IF(W$152=0,"",VLOOKUP(W154,INDIRECT(CONCATENATE("$C$",W$146)):INDIRECT(CONCATENATE("$G$",W$147)),4,FALSE))</f>
        <v>2978.4</v>
      </c>
      <c r="X156" s="725">
        <f ca="1">IF(X$152=0,"",VLOOKUP(X154,INDIRECT(CONCATENATE("$C$",X$146)):INDIRECT(CONCATENATE("$G$",X$147)),4,FALSE))</f>
        <v>2978.4</v>
      </c>
      <c r="Y156" s="725">
        <f ca="1">IF(Y$152=0,"",VLOOKUP(Y154,INDIRECT(CONCATENATE("$C$",Y$146)):INDIRECT(CONCATENATE("$G$",Y$147)),4,FALSE))</f>
        <v>2978.4</v>
      </c>
      <c r="Z156" s="725">
        <f ca="1">IF(Z$152=0,"",VLOOKUP(Z154,INDIRECT(CONCATENATE("$C$",Z$146)):INDIRECT(CONCATENATE("$G$",Z$147)),4,FALSE))</f>
        <v>2829.7</v>
      </c>
      <c r="AA156" s="725">
        <f ca="1">IF(AA$152=0,"",VLOOKUP(AA154,INDIRECT(CONCATENATE("$C$",AA$146)):INDIRECT(CONCATENATE("$G$",AA$147)),4,FALSE))</f>
        <v>2829.7</v>
      </c>
      <c r="AB156" s="725">
        <f ca="1">IF(AB$152=0,"",VLOOKUP(AB154,INDIRECT(CONCATENATE("$C$",AB$146)):INDIRECT(CONCATENATE("$G$",AB$147)),4,FALSE))</f>
        <v>2880.9</v>
      </c>
      <c r="AC156" s="725">
        <f ca="1">IF(AC$152=0,"",VLOOKUP(AC154,INDIRECT(CONCATENATE("$C$",AC$146)):INDIRECT(CONCATENATE("$G$",AC$147)),4,FALSE))</f>
        <v>2880.9</v>
      </c>
      <c r="AD156" s="725">
        <f ca="1">IF(AD$152=0,"",VLOOKUP(AD154,INDIRECT(CONCATENATE("$C$",AD$146)):INDIRECT(CONCATENATE("$G$",AD$147)),4,FALSE))</f>
        <v>2880.9</v>
      </c>
      <c r="AE156" s="725">
        <f ca="1">IF(AE$152=0,"",VLOOKUP(AE154,INDIRECT(CONCATENATE("$C$",AE$146)):INDIRECT(CONCATENATE("$G$",AE$147)),4,FALSE))</f>
        <v>2880.9</v>
      </c>
      <c r="AF156" s="725">
        <f ca="1">IF(AF$152=0,"",VLOOKUP(AF154,INDIRECT(CONCATENATE("$C$",AF$146)):INDIRECT(CONCATENATE("$G$",AF$147)),4,FALSE))</f>
        <v>2857.8</v>
      </c>
      <c r="AG156" s="725">
        <f ca="1">IF(AG$152=0,"",VLOOKUP(AG154,INDIRECT(CONCATENATE("$C$",AG$146)):INDIRECT(CONCATENATE("$G$",AG$147)),4,FALSE))</f>
        <v>2857.8</v>
      </c>
      <c r="AH156" s="727"/>
      <c r="AI156" s="727"/>
      <c r="AJ156" s="727"/>
      <c r="AK156" s="727"/>
      <c r="AL156" s="727"/>
      <c r="AM156" s="727"/>
      <c r="AN156" s="727"/>
      <c r="AO156" s="727"/>
      <c r="AP156" s="727"/>
      <c r="AQ156" s="727"/>
      <c r="AR156" s="727"/>
      <c r="AS156" s="727"/>
      <c r="AT156" s="727"/>
      <c r="AU156" s="727"/>
      <c r="AV156" s="727"/>
      <c r="AW156" s="727"/>
      <c r="AX156" s="727"/>
      <c r="AY156" s="727"/>
      <c r="AZ156" s="727"/>
      <c r="BA156" s="727"/>
      <c r="BB156" s="727"/>
    </row>
    <row r="157" spans="1:54">
      <c r="A157" s="326"/>
      <c r="B157" s="98" t="s">
        <v>1088</v>
      </c>
      <c r="C157" s="726">
        <f ca="1">IF(C152=0,0,IF(C152&gt;MAX(INDIRECT(CONCATENATE("$C$",C$146)):INDIRECT(CONCATENATE("$C$",C$147))),C155,IF(C152&lt;MIN(INDIRECT(CONCATENATE("$C$",C$146)):INDIRECT(CONCATENATE("$C$",C$147))),INDIRECT(CONCATENATE("$F$",C$146)),C155+(C152-C153)*(C156-C155)/(C154-C153))))</f>
        <v>0</v>
      </c>
      <c r="D157" s="726">
        <f ca="1">IF(D152=0,0,IF(D152&gt;MAX(INDIRECT(CONCATENATE("$C$",D$146)):INDIRECT(CONCATENATE("$C$",D$147))),D155,IF(D152&lt;MIN(INDIRECT(CONCATENATE("$C$",D$146)):INDIRECT(CONCATENATE("$C$",D$147))),INDIRECT(CONCATENATE("$F$",D$146)),D155+(D152-D153)*(D156-D155)/(D154-D153))))</f>
        <v>0</v>
      </c>
      <c r="E157" s="726">
        <f ca="1">IF(E152=0,0,IF(E152&gt;MAX(INDIRECT(CONCATENATE("$C$",E$146)):INDIRECT(CONCATENATE("$C$",E$147))),E155,IF(E152&lt;MIN(INDIRECT(CONCATENATE("$C$",E$146)):INDIRECT(CONCATENATE("$C$",E$147))),INDIRECT(CONCATENATE("$F$",E$146)),E155+(E152-E153)*(E156-E155)/(E154-E153))))</f>
        <v>0</v>
      </c>
      <c r="F157" s="726">
        <f ca="1">IF(F152=0,0,IF(F152&gt;MAX(INDIRECT(CONCATENATE("$C$",F$146)):INDIRECT(CONCATENATE("$C$",F$147))),F155,IF(F152&lt;MIN(INDIRECT(CONCATENATE("$C$",F$146)):INDIRECT(CONCATENATE("$C$",F$147))),INDIRECT(CONCATENATE("$F$",F$146)),F155+(F152-F153)*(F156-F155)/(F154-F153))))</f>
        <v>0</v>
      </c>
      <c r="G157" s="726">
        <f ca="1">IF(G152=0,0,IF(G152&gt;MAX(INDIRECT(CONCATENATE("$C$",G$146)):INDIRECT(CONCATENATE("$C$",G$147))),G155,IF(G152&lt;MIN(INDIRECT(CONCATENATE("$C$",G$146)):INDIRECT(CONCATENATE("$C$",G$147))),INDIRECT(CONCATENATE("$F$",G$146)),G155+(G152-G153)*(G156-G155)/(G154-G153))))</f>
        <v>0</v>
      </c>
      <c r="H157" s="726">
        <f ca="1">IF(H152=0,0,IF(H152&gt;MAX(INDIRECT(CONCATENATE("$C$",H$146)):INDIRECT(CONCATENATE("$C$",H$147))),H155,IF(H152&lt;MIN(INDIRECT(CONCATENATE("$C$",H$146)):INDIRECT(CONCATENATE("$C$",H$147))),INDIRECT(CONCATENATE("$F$",H$146)),H155+(H152-H153)*(H156-H155)/(H154-H153))))</f>
        <v>0</v>
      </c>
      <c r="I157" s="726">
        <f ca="1">IF(I152=0,0,IF(I152&gt;MAX(INDIRECT(CONCATENATE("$C$",I$146)):INDIRECT(CONCATENATE("$C$",I$147))),I155,IF(I152&lt;MIN(INDIRECT(CONCATENATE("$C$",I$146)):INDIRECT(CONCATENATE("$C$",I$147))),INDIRECT(CONCATENATE("$F$",I$146)),I155+(I152-I153)*(I156-I155)/(I154-I153))))</f>
        <v>0</v>
      </c>
      <c r="J157" s="726">
        <f ca="1">IF(J152=0,0,IF(J152&gt;MAX(INDIRECT(CONCATENATE("$C$",J$146)):INDIRECT(CONCATENATE("$C$",J$147))),J155,IF(J152&lt;MIN(INDIRECT(CONCATENATE("$C$",J$146)):INDIRECT(CONCATENATE("$C$",J$147))),INDIRECT(CONCATENATE("$F$",J$146)),J155+(J152-J153)*(J156-J155)/(J154-J153))))</f>
        <v>0</v>
      </c>
      <c r="K157" s="726">
        <f ca="1">IF(K152=0,0,IF(K152&gt;MAX(INDIRECT(CONCATENATE("$C$",K$146)):INDIRECT(CONCATENATE("$C$",K$147))),K155,IF(K152&lt;MIN(INDIRECT(CONCATENATE("$C$",K$146)):INDIRECT(CONCATENATE("$C$",K$147))),INDIRECT(CONCATENATE("$F$",K$146)),K155+(K152-K153)*(K156-K155)/(K154-K153))))</f>
        <v>2918.92</v>
      </c>
      <c r="L157" s="726">
        <f ca="1">IF(L152=0,0,IF(L152&gt;MAX(INDIRECT(CONCATENATE("$C$",L$146)):INDIRECT(CONCATENATE("$C$",L$147))),L155,IF(L152&lt;MIN(INDIRECT(CONCATENATE("$C$",L$146)):INDIRECT(CONCATENATE("$C$",L$147))),INDIRECT(CONCATENATE("$F$",L$146)),L155+(L152-L153)*(L156-L155)/(L154-L153))))</f>
        <v>2918.92</v>
      </c>
      <c r="M157" s="726">
        <f ca="1">IF(M152=0,0,IF(M152&gt;MAX(INDIRECT(CONCATENATE("$C$",M$146)):INDIRECT(CONCATENATE("$C$",M$147))),M155,IF(M152&lt;MIN(INDIRECT(CONCATENATE("$C$",M$146)):INDIRECT(CONCATENATE("$C$",M$147))),INDIRECT(CONCATENATE("$F$",M$146)),M155+(M152-M153)*(M156-M155)/(M154-M153))))</f>
        <v>2918.92</v>
      </c>
      <c r="N157" s="726">
        <f ca="1">IF(N152=0,0,IF(N152&gt;MAX(INDIRECT(CONCATENATE("$C$",N$146)):INDIRECT(CONCATENATE("$C$",N$147))),N155,IF(N152&lt;MIN(INDIRECT(CONCATENATE("$C$",N$146)):INDIRECT(CONCATENATE("$C$",N$147))),INDIRECT(CONCATENATE("$F$",N$146)),N155+(N152-N153)*(N156-N155)/(N154-N153))))</f>
        <v>2918.92</v>
      </c>
      <c r="O157" s="726">
        <f ca="1">IF(O152=0,0,IF(O152&gt;MAX(INDIRECT(CONCATENATE("$C$",O$146)):INDIRECT(CONCATENATE("$C$",O$147))),O155,IF(O152&lt;MIN(INDIRECT(CONCATENATE("$C$",O$146)):INDIRECT(CONCATENATE("$C$",O$147))),INDIRECT(CONCATENATE("$F$",O$146)),O155+(O152-O153)*(O156-O155)/(O154-O153))))</f>
        <v>2918.92</v>
      </c>
      <c r="P157" s="726">
        <f ca="1">IF(P152=0,0,IF(P152&gt;MAX(INDIRECT(CONCATENATE("$C$",P$146)):INDIRECT(CONCATENATE("$C$",P$147))),P155,IF(P152&lt;MIN(INDIRECT(CONCATENATE("$C$",P$146)):INDIRECT(CONCATENATE("$C$",P$147))),INDIRECT(CONCATENATE("$F$",P$146)),P155+(P152-P153)*(P156-P155)/(P154-P153))))</f>
        <v>2918.92</v>
      </c>
      <c r="Q157" s="726">
        <f ca="1">IF(Q152=0,0,IF(Q152&gt;MAX(INDIRECT(CONCATENATE("$C$",Q$146)):INDIRECT(CONCATENATE("$C$",Q$147))),Q155,IF(Q152&lt;MIN(INDIRECT(CONCATENATE("$C$",Q$146)):INDIRECT(CONCATENATE("$C$",Q$147))),INDIRECT(CONCATENATE("$F$",Q$146)),Q155+(Q152-Q153)*(Q156-Q155)/(Q154-Q153))))</f>
        <v>2918.92</v>
      </c>
      <c r="R157" s="726">
        <f ca="1">IF(R152=0,0,IF(R152&gt;MAX(INDIRECT(CONCATENATE("$C$",R$146)):INDIRECT(CONCATENATE("$C$",R$147))),R155,IF(R152&lt;MIN(INDIRECT(CONCATENATE("$C$",R$146)):INDIRECT(CONCATENATE("$C$",R$147))),INDIRECT(CONCATENATE("$F$",R$146)),R155+(R152-R153)*(R156-R155)/(R154-R153))))</f>
        <v>2918.92</v>
      </c>
      <c r="S157" s="726">
        <f ca="1">IF(S152=0,0,IF(S152&gt;MAX(INDIRECT(CONCATENATE("$C$",S$146)):INDIRECT(CONCATENATE("$C$",S$147))),S155,IF(S152&lt;MIN(INDIRECT(CONCATENATE("$C$",S$146)):INDIRECT(CONCATENATE("$C$",S$147))),INDIRECT(CONCATENATE("$F$",S$146)),S155+(S152-S153)*(S156-S155)/(S154-S153))))</f>
        <v>2918.92</v>
      </c>
      <c r="T157" s="726">
        <f ca="1">IF(T152=0,0,IF(T152&gt;MAX(INDIRECT(CONCATENATE("$C$",T$146)):INDIRECT(CONCATENATE("$C$",T$147))),T155,IF(T152&lt;MIN(INDIRECT(CONCATENATE("$C$",T$146)):INDIRECT(CONCATENATE("$C$",T$147))),INDIRECT(CONCATENATE("$F$",T$146)),T155+(T152-T153)*(T156-T155)/(T154-T153))))</f>
        <v>2906.1880616740095</v>
      </c>
      <c r="U157" s="726">
        <f ca="1">IF(U152=0,0,IF(U152&gt;MAX(INDIRECT(CONCATENATE("$C$",U$146)):INDIRECT(CONCATENATE("$C$",U$147))),U155,IF(U152&lt;MIN(INDIRECT(CONCATENATE("$C$",U$146)):INDIRECT(CONCATENATE("$C$",U$147))),INDIRECT(CONCATENATE("$F$",U$146)),U155+(U152-U153)*(U156-U155)/(U154-U153))))</f>
        <v>2892.8991302125914</v>
      </c>
      <c r="V157" s="726">
        <f ca="1">IF(V152=0,0,IF(V152&gt;MAX(INDIRECT(CONCATENATE("$C$",V$146)):INDIRECT(CONCATENATE("$C$",V$147))),V155,IF(V152&lt;MIN(INDIRECT(CONCATENATE("$C$",V$146)):INDIRECT(CONCATENATE("$C$",V$147))),INDIRECT(CONCATENATE("$F$",V$146)),V155+(V152-V153)*(V156-V155)/(V154-V153))))</f>
        <v>2880.1671918866009</v>
      </c>
      <c r="W157" s="726">
        <f ca="1">IF(W152=0,0,IF(W152&gt;MAX(INDIRECT(CONCATENATE("$C$",W$146)):INDIRECT(CONCATENATE("$C$",W$147))),W155,IF(W152&lt;MIN(INDIRECT(CONCATENATE("$C$",W$146)):INDIRECT(CONCATENATE("$C$",W$147))),INDIRECT(CONCATENATE("$F$",W$146)),W155+(W152-W153)*(W156-W155)/(W154-W153))))</f>
        <v>2866.8782604251828</v>
      </c>
      <c r="X157" s="726">
        <f ca="1">IF(X152=0,0,IF(X152&gt;MAX(INDIRECT(CONCATENATE("$C$",X$146)):INDIRECT(CONCATENATE("$C$",X$147))),X155,IF(X152&lt;MIN(INDIRECT(CONCATENATE("$C$",X$146)):INDIRECT(CONCATENATE("$C$",X$147))),INDIRECT(CONCATENATE("$F$",X$146)),X155+(X152-X153)*(X156-X155)/(X154-X153))))</f>
        <v>2854.1463220991927</v>
      </c>
      <c r="Y157" s="726">
        <f ca="1">IF(Y152=0,0,IF(Y152&gt;MAX(INDIRECT(CONCATENATE("$C$",Y$146)):INDIRECT(CONCATENATE("$C$",Y$147))),Y155,IF(Y152&lt;MIN(INDIRECT(CONCATENATE("$C$",Y$146)):INDIRECT(CONCATENATE("$C$",Y$147))),INDIRECT(CONCATENATE("$F$",Y$146)),Y155+(Y152-Y153)*(Y156-Y155)/(Y154-Y153))))</f>
        <v>2840.8573906377742</v>
      </c>
      <c r="Z157" s="726">
        <f ca="1">IF(Z152=0,0,IF(Z152&gt;MAX(INDIRECT(CONCATENATE("$C$",Z$146)):INDIRECT(CONCATENATE("$C$",Z$147))),Z155,IF(Z152&lt;MIN(INDIRECT(CONCATENATE("$C$",Z$146)):INDIRECT(CONCATENATE("$C$",Z$147))),INDIRECT(CONCATENATE("$F$",Z$146)),Z155+(Z152-Z153)*(Z156-Z155)/(Z154-Z153))))</f>
        <v>2827.7786535466048</v>
      </c>
      <c r="AA157" s="726">
        <f ca="1">IF(AA152=0,0,IF(AA152&gt;MAX(INDIRECT(CONCATENATE("$C$",AA$146)):INDIRECT(CONCATENATE("$C$",AA$147))),AA155,IF(AA152&lt;MIN(INDIRECT(CONCATENATE("$C$",AA$146)):INDIRECT(CONCATENATE("$C$",AA$147))),INDIRECT(CONCATENATE("$F$",AA$146)),AA155+(AA152-AA153)*(AA156-AA155)/(AA154-AA153))))</f>
        <v>2811.5627957965394</v>
      </c>
      <c r="AB157" s="726">
        <f ca="1">IF(AB152=0,0,IF(AB152&gt;MAX(INDIRECT(CONCATENATE("$C$",AB$146)):INDIRECT(CONCATENATE("$C$",AB$147))),AB155,IF(AB152&lt;MIN(INDIRECT(CONCATENATE("$C$",AB$146)):INDIRECT(CONCATENATE("$C$",AB$147))),INDIRECT(CONCATENATE("$F$",AB$146)),AB155+(AB152-AB153)*(AB156-AB155)/(AB154-AB153))))</f>
        <v>2852.9148691639266</v>
      </c>
      <c r="AC157" s="726">
        <f ca="1">IF(AC152=0,0,IF(AC152&gt;MAX(INDIRECT(CONCATENATE("$C$",AC$146)):INDIRECT(CONCATENATE("$C$",AC$147))),AC155,IF(AC152&lt;MIN(INDIRECT(CONCATENATE("$C$",AC$146)):INDIRECT(CONCATENATE("$C$",AC$147))),INDIRECT(CONCATENATE("$F$",AC$146)),AC155+(AC152-AC153)*(AC156-AC155)/(AC154-AC153))))</f>
        <v>2839.4382661754807</v>
      </c>
      <c r="AD157" s="726">
        <f ca="1">IF(AD152=0,0,IF(AD152&gt;MAX(INDIRECT(CONCATENATE("$C$",AD$146)):INDIRECT(CONCATENATE("$C$",AD$147))),AD155,IF(AD152&lt;MIN(INDIRECT(CONCATENATE("$C$",AD$146)):INDIRECT(CONCATENATE("$C$",AD$147))),INDIRECT(CONCATENATE("$F$",AD$146)),AD155+(AD152-AD153)*(AD156-AD155)/(AD154-AD153))))</f>
        <v>2826.5265223990223</v>
      </c>
      <c r="AE157" s="726">
        <f ca="1">IF(AE152=0,0,IF(AE152&gt;MAX(INDIRECT(CONCATENATE("$C$",AE$146)):INDIRECT(CONCATENATE("$C$",AE$147))),AE155,IF(AE152&lt;MIN(INDIRECT(CONCATENATE("$C$",AE$146)):INDIRECT(CONCATENATE("$C$",AE$147))),INDIRECT(CONCATENATE("$F$",AE$146)),AE155+(AE152-AE153)*(AE156-AE155)/(AE154-AE153))))</f>
        <v>2813.0499194105769</v>
      </c>
      <c r="AF157" s="726">
        <f ca="1">IF(AF152=0,0,IF(AF152&gt;MAX(INDIRECT(CONCATENATE("$C$",AF$146)):INDIRECT(CONCATENATE("$C$",AF$147))),AF155,IF(AF152&lt;MIN(INDIRECT(CONCATENATE("$C$",AF$146)):INDIRECT(CONCATENATE("$C$",AF$147))),INDIRECT(CONCATENATE("$F$",AF$146)),AF155+(AF152-AF153)*(AF156-AF155)/(AF154-AF153))))</f>
        <v>2852.9097520266819</v>
      </c>
      <c r="AG157" s="726">
        <f ca="1">IF(AG152=0,0,IF(AG152&gt;MAX(INDIRECT(CONCATENATE("$C$",AG$146)):INDIRECT(CONCATENATE("$C$",AG$147))),AG155,IF(AG152&lt;MIN(INDIRECT(CONCATENATE("$C$",AG$146)):INDIRECT(CONCATENATE("$C$",AG$147))),INDIRECT(CONCATENATE("$F$",AG$146)),AG155+(AG152-AG153)*(AG156-AG155)/(AG154-AG153))))</f>
        <v>2840.6184261729622</v>
      </c>
      <c r="AH157" s="727"/>
      <c r="AI157" s="727"/>
      <c r="AJ157" s="727"/>
      <c r="AK157" s="727"/>
      <c r="AL157" s="727"/>
      <c r="AM157" s="727"/>
      <c r="AN157" s="727"/>
      <c r="AO157" s="727"/>
      <c r="AP157" s="727"/>
      <c r="AQ157" s="727"/>
      <c r="AR157" s="727"/>
      <c r="AS157" s="727"/>
      <c r="AT157" s="727"/>
      <c r="AU157" s="727"/>
      <c r="AV157" s="727"/>
      <c r="AW157" s="727"/>
      <c r="AX157" s="727"/>
      <c r="AY157" s="727"/>
      <c r="AZ157" s="727"/>
      <c r="BA157" s="727"/>
      <c r="BB157" s="727"/>
    </row>
    <row r="158" spans="1:54">
      <c r="A158" s="326"/>
      <c r="B158" s="98" t="s">
        <v>1092</v>
      </c>
      <c r="C158" s="813" t="str">
        <f ca="1">IF(C$152=0,"",VLOOKUP(C153,INDIRECT(CONCATENATE("$C$",C$146)):INDIRECT(CONCATENATE("$G$",C$147)),5,FALSE))</f>
        <v/>
      </c>
      <c r="D158" s="813" t="str">
        <f ca="1">IF(D$152=0,"",VLOOKUP(D153,INDIRECT(CONCATENATE("$C$",D$146)):INDIRECT(CONCATENATE("$G$",D$147)),5,FALSE))</f>
        <v/>
      </c>
      <c r="E158" s="813" t="str">
        <f ca="1">IF(E$152=0,"",VLOOKUP(E153,INDIRECT(CONCATENATE("$C$",E$146)):INDIRECT(CONCATENATE("$G$",E$147)),5,FALSE))</f>
        <v/>
      </c>
      <c r="F158" s="813" t="str">
        <f ca="1">IF(F$152=0,"",VLOOKUP(F153,INDIRECT(CONCATENATE("$C$",F$146)):INDIRECT(CONCATENATE("$G$",F$147)),5,FALSE))</f>
        <v/>
      </c>
      <c r="G158" s="813" t="str">
        <f ca="1">IF(G$152=0,"",VLOOKUP(G153,INDIRECT(CONCATENATE("$C$",G$146)):INDIRECT(CONCATENATE("$G$",G$147)),5,FALSE))</f>
        <v/>
      </c>
      <c r="H158" s="813" t="str">
        <f ca="1">IF(H$152=0,"",VLOOKUP(H153,INDIRECT(CONCATENATE("$C$",H$146)):INDIRECT(CONCATENATE("$G$",H$147)),5,FALSE))</f>
        <v/>
      </c>
      <c r="I158" s="813" t="str">
        <f ca="1">IF(I$152=0,"",VLOOKUP(I153,INDIRECT(CONCATENATE("$C$",I$146)):INDIRECT(CONCATENATE("$G$",I$147)),5,FALSE))</f>
        <v/>
      </c>
      <c r="J158" s="813" t="str">
        <f ca="1">IF(J$152=0,"",VLOOKUP(J153,INDIRECT(CONCATENATE("$C$",J$146)):INDIRECT(CONCATENATE("$G$",J$147)),5,FALSE))</f>
        <v/>
      </c>
      <c r="K158" s="813">
        <f ca="1">IF(K$152=0,"",VLOOKUP(K153,INDIRECT(CONCATENATE("$C$",K$146)):INDIRECT(CONCATENATE("$G$",K$147)),5,FALSE))</f>
        <v>6.1764000000000001</v>
      </c>
      <c r="L158" s="813">
        <f ca="1">IF(L$152=0,"",VLOOKUP(L153,INDIRECT(CONCATENATE("$C$",L$146)):INDIRECT(CONCATENATE("$G$",L$147)),5,FALSE))</f>
        <v>6.1764000000000001</v>
      </c>
      <c r="M158" s="813">
        <f ca="1">IF(M$152=0,"",VLOOKUP(M153,INDIRECT(CONCATENATE("$C$",M$146)):INDIRECT(CONCATENATE("$G$",M$147)),5,FALSE))</f>
        <v>6.1764000000000001</v>
      </c>
      <c r="N158" s="813">
        <f ca="1">IF(N$152=0,"",VLOOKUP(N153,INDIRECT(CONCATENATE("$C$",N$146)):INDIRECT(CONCATENATE("$G$",N$147)),5,FALSE))</f>
        <v>6.1764000000000001</v>
      </c>
      <c r="O158" s="813">
        <f ca="1">IF(O$152=0,"",VLOOKUP(O153,INDIRECT(CONCATENATE("$C$",O$146)):INDIRECT(CONCATENATE("$G$",O$147)),5,FALSE))</f>
        <v>6.1764000000000001</v>
      </c>
      <c r="P158" s="813">
        <f ca="1">IF(P$152=0,"",VLOOKUP(P153,INDIRECT(CONCATENATE("$C$",P$146)):INDIRECT(CONCATENATE("$G$",P$147)),5,FALSE))</f>
        <v>6.1764000000000001</v>
      </c>
      <c r="Q158" s="813">
        <f ca="1">IF(Q$152=0,"",VLOOKUP(Q153,INDIRECT(CONCATENATE("$C$",Q$146)):INDIRECT(CONCATENATE("$G$",Q$147)),5,FALSE))</f>
        <v>6.1764000000000001</v>
      </c>
      <c r="R158" s="813">
        <f ca="1">IF(R$152=0,"",VLOOKUP(R153,INDIRECT(CONCATENATE("$C$",R$146)):INDIRECT(CONCATENATE("$G$",R$147)),5,FALSE))</f>
        <v>6.1764000000000001</v>
      </c>
      <c r="S158" s="813">
        <f ca="1">IF(S$152=0,"",VLOOKUP(S153,INDIRECT(CONCATENATE("$C$",S$146)):INDIRECT(CONCATENATE("$G$",S$147)),5,FALSE))</f>
        <v>6.1764000000000001</v>
      </c>
      <c r="T158" s="813">
        <f ca="1">IF(T$152=0,"",VLOOKUP(T153,INDIRECT(CONCATENATE("$C$",T$146)):INDIRECT(CONCATENATE("$G$",T$147)),5,FALSE))</f>
        <v>6.1764000000000001</v>
      </c>
      <c r="U158" s="813">
        <f ca="1">IF(U$152=0,"",VLOOKUP(U153,INDIRECT(CONCATENATE("$C$",U$146)):INDIRECT(CONCATENATE("$G$",U$147)),5,FALSE))</f>
        <v>6.1764000000000001</v>
      </c>
      <c r="V158" s="813">
        <f ca="1">IF(V$152=0,"",VLOOKUP(V153,INDIRECT(CONCATENATE("$C$",V$146)):INDIRECT(CONCATENATE("$G$",V$147)),5,FALSE))</f>
        <v>6.1764000000000001</v>
      </c>
      <c r="W158" s="813">
        <f ca="1">IF(W$152=0,"",VLOOKUP(W153,INDIRECT(CONCATENATE("$C$",W$146)):INDIRECT(CONCATENATE("$G$",W$147)),5,FALSE))</f>
        <v>6.1764000000000001</v>
      </c>
      <c r="X158" s="813">
        <f ca="1">IF(X$152=0,"",VLOOKUP(X153,INDIRECT(CONCATENATE("$C$",X$146)):INDIRECT(CONCATENATE("$G$",X$147)),5,FALSE))</f>
        <v>6.1764000000000001</v>
      </c>
      <c r="Y158" s="813">
        <f ca="1">IF(Y$152=0,"",VLOOKUP(Y153,INDIRECT(CONCATENATE("$C$",Y$146)):INDIRECT(CONCATENATE("$G$",Y$147)),5,FALSE))</f>
        <v>6.1764000000000001</v>
      </c>
      <c r="Z158" s="813">
        <f ca="1">IF(Z$152=0,"",VLOOKUP(Z153,INDIRECT(CONCATENATE("$C$",Z$146)):INDIRECT(CONCATENATE("$G$",Z$147)),5,FALSE))</f>
        <v>6.1243999999999996</v>
      </c>
      <c r="AA158" s="813">
        <f ca="1">IF(AA$152=0,"",VLOOKUP(AA153,INDIRECT(CONCATENATE("$C$",AA$146)):INDIRECT(CONCATENATE("$G$",AA$147)),5,FALSE))</f>
        <v>6.1243999999999996</v>
      </c>
      <c r="AB158" s="813">
        <f ca="1">IF(AB$152=0,"",VLOOKUP(AB153,INDIRECT(CONCATENATE("$C$",AB$146)):INDIRECT(CONCATENATE("$G$",AB$147)),5,FALSE))</f>
        <v>6.2629000000000001</v>
      </c>
      <c r="AC158" s="813">
        <f ca="1">IF(AC$152=0,"",VLOOKUP(AC153,INDIRECT(CONCATENATE("$C$",AC$146)):INDIRECT(CONCATENATE("$G$",AC$147)),5,FALSE))</f>
        <v>6.2629000000000001</v>
      </c>
      <c r="AD158" s="813">
        <f ca="1">IF(AD$152=0,"",VLOOKUP(AD153,INDIRECT(CONCATENATE("$C$",AD$146)):INDIRECT(CONCATENATE("$G$",AD$147)),5,FALSE))</f>
        <v>6.2629000000000001</v>
      </c>
      <c r="AE158" s="813">
        <f ca="1">IF(AE$152=0,"",VLOOKUP(AE153,INDIRECT(CONCATENATE("$C$",AE$146)):INDIRECT(CONCATENATE("$G$",AE$147)),5,FALSE))</f>
        <v>6.2629000000000001</v>
      </c>
      <c r="AF158" s="813">
        <f ca="1">IF(AF$152=0,"",VLOOKUP(AF153,INDIRECT(CONCATENATE("$C$",AF$146)):INDIRECT(CONCATENATE("$G$",AF$147)),5,FALSE))</f>
        <v>6.42</v>
      </c>
      <c r="AG158" s="813">
        <f ca="1">IF(AG$152=0,"",VLOOKUP(AG153,INDIRECT(CONCATENATE("$C$",AG$146)):INDIRECT(CONCATENATE("$G$",AG$147)),5,FALSE))</f>
        <v>6.42</v>
      </c>
      <c r="AH158" s="727"/>
      <c r="AI158" s="727"/>
      <c r="AJ158" s="727"/>
      <c r="AK158" s="727"/>
      <c r="AL158" s="727"/>
      <c r="AM158" s="727"/>
      <c r="AN158" s="727"/>
      <c r="AO158" s="727"/>
      <c r="AP158" s="727"/>
      <c r="AQ158" s="727"/>
      <c r="AR158" s="727"/>
      <c r="AS158" s="727"/>
      <c r="AT158" s="727"/>
      <c r="AU158" s="727"/>
      <c r="AV158" s="727"/>
      <c r="AW158" s="727"/>
      <c r="AX158" s="727"/>
      <c r="AY158" s="727"/>
      <c r="AZ158" s="727"/>
      <c r="BA158" s="727"/>
      <c r="BB158" s="727"/>
    </row>
    <row r="159" spans="1:54">
      <c r="A159" s="326"/>
      <c r="B159" s="98" t="s">
        <v>1093</v>
      </c>
      <c r="C159" s="813" t="str">
        <f ca="1">IF(C$152=0,"",VLOOKUP(C154,INDIRECT(CONCATENATE("$C$",C$146)):INDIRECT(CONCATENATE("$G$",C$147)),5,FALSE))</f>
        <v/>
      </c>
      <c r="D159" s="813" t="str">
        <f ca="1">IF(D$152=0,"",VLOOKUP(D154,INDIRECT(CONCATENATE("$C$",D$146)):INDIRECT(CONCATENATE("$G$",D$147)),5,FALSE))</f>
        <v/>
      </c>
      <c r="E159" s="813" t="str">
        <f ca="1">IF(E$152=0,"",VLOOKUP(E154,INDIRECT(CONCATENATE("$C$",E$146)):INDIRECT(CONCATENATE("$G$",E$147)),5,FALSE))</f>
        <v/>
      </c>
      <c r="F159" s="813" t="str">
        <f ca="1">IF(F$152=0,"",VLOOKUP(F154,INDIRECT(CONCATENATE("$C$",F$146)):INDIRECT(CONCATENATE("$G$",F$147)),5,FALSE))</f>
        <v/>
      </c>
      <c r="G159" s="813" t="str">
        <f ca="1">IF(G$152=0,"",VLOOKUP(G154,INDIRECT(CONCATENATE("$C$",G$146)):INDIRECT(CONCATENATE("$G$",G$147)),5,FALSE))</f>
        <v/>
      </c>
      <c r="H159" s="813" t="str">
        <f ca="1">IF(H$152=0,"",VLOOKUP(H154,INDIRECT(CONCATENATE("$C$",H$146)):INDIRECT(CONCATENATE("$G$",H$147)),5,FALSE))</f>
        <v/>
      </c>
      <c r="I159" s="813" t="str">
        <f ca="1">IF(I$152=0,"",VLOOKUP(I154,INDIRECT(CONCATENATE("$C$",I$146)):INDIRECT(CONCATENATE("$G$",I$147)),5,FALSE))</f>
        <v/>
      </c>
      <c r="J159" s="813" t="str">
        <f ca="1">IF(J$152=0,"",VLOOKUP(J154,INDIRECT(CONCATENATE("$C$",J$146)):INDIRECT(CONCATENATE("$G$",J$147)),5,FALSE))</f>
        <v/>
      </c>
      <c r="K159" s="813">
        <f ca="1">IF(K$152=0,"",VLOOKUP(K154,INDIRECT(CONCATENATE("$C$",K$146)):INDIRECT(CONCATENATE("$G$",K$147)),5,FALSE))</f>
        <v>6.4484000000000004</v>
      </c>
      <c r="L159" s="813">
        <f ca="1">IF(L$152=0,"",VLOOKUP(L154,INDIRECT(CONCATENATE("$C$",L$146)):INDIRECT(CONCATENATE("$G$",L$147)),5,FALSE))</f>
        <v>6.4484000000000004</v>
      </c>
      <c r="M159" s="813">
        <f ca="1">IF(M$152=0,"",VLOOKUP(M154,INDIRECT(CONCATENATE("$C$",M$146)):INDIRECT(CONCATENATE("$G$",M$147)),5,FALSE))</f>
        <v>6.4484000000000004</v>
      </c>
      <c r="N159" s="813">
        <f ca="1">IF(N$152=0,"",VLOOKUP(N154,INDIRECT(CONCATENATE("$C$",N$146)):INDIRECT(CONCATENATE("$G$",N$147)),5,FALSE))</f>
        <v>6.4484000000000004</v>
      </c>
      <c r="O159" s="813">
        <f ca="1">IF(O$152=0,"",VLOOKUP(O154,INDIRECT(CONCATENATE("$C$",O$146)):INDIRECT(CONCATENATE("$G$",O$147)),5,FALSE))</f>
        <v>6.4484000000000004</v>
      </c>
      <c r="P159" s="813">
        <f ca="1">IF(P$152=0,"",VLOOKUP(P154,INDIRECT(CONCATENATE("$C$",P$146)):INDIRECT(CONCATENATE("$G$",P$147)),5,FALSE))</f>
        <v>6.4484000000000004</v>
      </c>
      <c r="Q159" s="813">
        <f ca="1">IF(Q$152=0,"",VLOOKUP(Q154,INDIRECT(CONCATENATE("$C$",Q$146)):INDIRECT(CONCATENATE("$G$",Q$147)),5,FALSE))</f>
        <v>6.4484000000000004</v>
      </c>
      <c r="R159" s="813">
        <f ca="1">IF(R$152=0,"",VLOOKUP(R154,INDIRECT(CONCATENATE("$C$",R$146)):INDIRECT(CONCATENATE("$G$",R$147)),5,FALSE))</f>
        <v>6.4484000000000004</v>
      </c>
      <c r="S159" s="813">
        <f ca="1">IF(S$152=0,"",VLOOKUP(S154,INDIRECT(CONCATENATE("$C$",S$146)):INDIRECT(CONCATENATE("$G$",S$147)),5,FALSE))</f>
        <v>6.4484000000000004</v>
      </c>
      <c r="T159" s="813">
        <f ca="1">IF(T$152=0,"",VLOOKUP(T154,INDIRECT(CONCATENATE("$C$",T$146)):INDIRECT(CONCATENATE("$G$",T$147)),5,FALSE))</f>
        <v>6.4484000000000004</v>
      </c>
      <c r="U159" s="813">
        <f ca="1">IF(U$152=0,"",VLOOKUP(U154,INDIRECT(CONCATENATE("$C$",U$146)):INDIRECT(CONCATENATE("$G$",U$147)),5,FALSE))</f>
        <v>6.4484000000000004</v>
      </c>
      <c r="V159" s="813">
        <f ca="1">IF(V$152=0,"",VLOOKUP(V154,INDIRECT(CONCATENATE("$C$",V$146)):INDIRECT(CONCATENATE("$G$",V$147)),5,FALSE))</f>
        <v>6.4484000000000004</v>
      </c>
      <c r="W159" s="813">
        <f ca="1">IF(W$152=0,"",VLOOKUP(W154,INDIRECT(CONCATENATE("$C$",W$146)):INDIRECT(CONCATENATE("$G$",W$147)),5,FALSE))</f>
        <v>6.4484000000000004</v>
      </c>
      <c r="X159" s="813">
        <f ca="1">IF(X$152=0,"",VLOOKUP(X154,INDIRECT(CONCATENATE("$C$",X$146)):INDIRECT(CONCATENATE("$G$",X$147)),5,FALSE))</f>
        <v>6.4484000000000004</v>
      </c>
      <c r="Y159" s="813">
        <f ca="1">IF(Y$152=0,"",VLOOKUP(Y154,INDIRECT(CONCATENATE("$C$",Y$146)):INDIRECT(CONCATENATE("$G$",Y$147)),5,FALSE))</f>
        <v>6.4484000000000004</v>
      </c>
      <c r="Z159" s="813">
        <f ca="1">IF(Z$152=0,"",VLOOKUP(Z154,INDIRECT(CONCATENATE("$C$",Z$146)):INDIRECT(CONCATENATE("$G$",Z$147)),5,FALSE))</f>
        <v>6.1764000000000001</v>
      </c>
      <c r="AA159" s="813">
        <f ca="1">IF(AA$152=0,"",VLOOKUP(AA154,INDIRECT(CONCATENATE("$C$",AA$146)):INDIRECT(CONCATENATE("$G$",AA$147)),5,FALSE))</f>
        <v>6.1764000000000001</v>
      </c>
      <c r="AB159" s="813">
        <f ca="1">IF(AB$152=0,"",VLOOKUP(AB154,INDIRECT(CONCATENATE("$C$",AB$146)):INDIRECT(CONCATENATE("$G$",AB$147)),5,FALSE))</f>
        <v>6.4107000000000003</v>
      </c>
      <c r="AC159" s="813">
        <f ca="1">IF(AC$152=0,"",VLOOKUP(AC154,INDIRECT(CONCATENATE("$C$",AC$146)):INDIRECT(CONCATENATE("$G$",AC$147)),5,FALSE))</f>
        <v>6.4107000000000003</v>
      </c>
      <c r="AD159" s="813">
        <f ca="1">IF(AD$152=0,"",VLOOKUP(AD154,INDIRECT(CONCATENATE("$C$",AD$146)):INDIRECT(CONCATENATE("$G$",AD$147)),5,FALSE))</f>
        <v>6.4107000000000003</v>
      </c>
      <c r="AE159" s="813">
        <f ca="1">IF(AE$152=0,"",VLOOKUP(AE154,INDIRECT(CONCATENATE("$C$",AE$146)):INDIRECT(CONCATENATE("$G$",AE$147)),5,FALSE))</f>
        <v>6.4107000000000003</v>
      </c>
      <c r="AF159" s="813">
        <f ca="1">IF(AF$152=0,"",VLOOKUP(AF154,INDIRECT(CONCATENATE("$C$",AF$146)):INDIRECT(CONCATENATE("$G$",AF$147)),5,FALSE))</f>
        <v>6.5537000000000001</v>
      </c>
      <c r="AG159" s="813">
        <f ca="1">IF(AG$152=0,"",VLOOKUP(AG154,INDIRECT(CONCATENATE("$C$",AG$146)):INDIRECT(CONCATENATE("$G$",AG$147)),5,FALSE))</f>
        <v>6.5537000000000001</v>
      </c>
      <c r="AH159" s="727"/>
      <c r="AI159" s="727"/>
      <c r="AJ159" s="727"/>
      <c r="AK159" s="727"/>
      <c r="AL159" s="727"/>
      <c r="AM159" s="727"/>
      <c r="AN159" s="727"/>
      <c r="AO159" s="727"/>
      <c r="AP159" s="727"/>
      <c r="AQ159" s="727"/>
      <c r="AR159" s="727"/>
      <c r="AS159" s="727"/>
      <c r="AT159" s="727"/>
      <c r="AU159" s="727"/>
      <c r="AV159" s="727"/>
      <c r="AW159" s="727"/>
      <c r="AX159" s="727"/>
      <c r="AY159" s="727"/>
      <c r="AZ159" s="727"/>
      <c r="BA159" s="727"/>
      <c r="BB159" s="727"/>
    </row>
    <row r="160" spans="1:54">
      <c r="A160" s="326"/>
      <c r="B160" s="98" t="s">
        <v>1094</v>
      </c>
      <c r="C160" s="814">
        <f ca="1">IF(C152=0,0,IF(C152&gt;MAX(INDIRECT(CONCATENATE("$C$",C$146)):INDIRECT(CONCATENATE("$C$",C$147))),C158,IF(C152&lt;MIN(INDIRECT(CONCATENATE("$C$",C$146)):INDIRECT(CONCATENATE("$C$",C$147))),INDIRECT(CONCATENATE("$F$",C$146)),C158+(C152-C153)*(C159-C158)/(C154-C153))))</f>
        <v>0</v>
      </c>
      <c r="D160" s="814">
        <f ca="1">IF(D152=0,0,IF(D152&gt;MAX(INDIRECT(CONCATENATE("$C$",D$146)):INDIRECT(CONCATENATE("$C$",D$147))),D158,IF(D152&lt;MIN(INDIRECT(CONCATENATE("$C$",D$146)):INDIRECT(CONCATENATE("$C$",D$147))),INDIRECT(CONCATENATE("$F$",D$146)),D158+(D152-D153)*(D159-D158)/(D154-D153))))</f>
        <v>0</v>
      </c>
      <c r="E160" s="814">
        <f ca="1">IF(E152=0,0,IF(E152&gt;MAX(INDIRECT(CONCATENATE("$C$",E$146)):INDIRECT(CONCATENATE("$C$",E$147))),E158,IF(E152&lt;MIN(INDIRECT(CONCATENATE("$C$",E$146)):INDIRECT(CONCATENATE("$C$",E$147))),INDIRECT(CONCATENATE("$F$",E$146)),E158+(E152-E153)*(E159-E158)/(E154-E153))))</f>
        <v>0</v>
      </c>
      <c r="F160" s="814">
        <f ca="1">IF(F152=0,0,IF(F152&gt;MAX(INDIRECT(CONCATENATE("$C$",F$146)):INDIRECT(CONCATENATE("$C$",F$147))),F158,IF(F152&lt;MIN(INDIRECT(CONCATENATE("$C$",F$146)):INDIRECT(CONCATENATE("$C$",F$147))),INDIRECT(CONCATENATE("$F$",F$146)),F158+(F152-F153)*(F159-F158)/(F154-F153))))</f>
        <v>0</v>
      </c>
      <c r="G160" s="814">
        <f ca="1">IF(G152=0,0,IF(G152&gt;MAX(INDIRECT(CONCATENATE("$C$",G$146)):INDIRECT(CONCATENATE("$C$",G$147))),G158,IF(G152&lt;MIN(INDIRECT(CONCATENATE("$C$",G$146)):INDIRECT(CONCATENATE("$C$",G$147))),INDIRECT(CONCATENATE("$F$",G$146)),G158+(G152-G153)*(G159-G158)/(G154-G153))))</f>
        <v>0</v>
      </c>
      <c r="H160" s="814">
        <f ca="1">IF(H152=0,0,IF(H152&gt;MAX(INDIRECT(CONCATENATE("$C$",H$146)):INDIRECT(CONCATENATE("$C$",H$147))),H158,IF(H152&lt;MIN(INDIRECT(CONCATENATE("$C$",H$146)):INDIRECT(CONCATENATE("$C$",H$147))),INDIRECT(CONCATENATE("$F$",H$146)),H158+(H152-H153)*(H159-H158)/(H154-H153))))</f>
        <v>0</v>
      </c>
      <c r="I160" s="814">
        <f ca="1">IF(I152=0,0,IF(I152&gt;MAX(INDIRECT(CONCATENATE("$C$",I$146)):INDIRECT(CONCATENATE("$C$",I$147))),I158,IF(I152&lt;MIN(INDIRECT(CONCATENATE("$C$",I$146)):INDIRECT(CONCATENATE("$C$",I$147))),INDIRECT(CONCATENATE("$F$",I$146)),I158+(I152-I153)*(I159-I158)/(I154-I153))))</f>
        <v>0</v>
      </c>
      <c r="J160" s="814">
        <f ca="1">IF(J152=0,0,IF(J152&gt;MAX(INDIRECT(CONCATENATE("$C$",J$146)):INDIRECT(CONCATENATE("$C$",J$147))),J158,IF(J152&lt;MIN(INDIRECT(CONCATENATE("$C$",J$146)):INDIRECT(CONCATENATE("$C$",J$147))),INDIRECT(CONCATENATE("$F$",J$146)),J158+(J152-J153)*(J159-J158)/(J154-J153))))</f>
        <v>0</v>
      </c>
      <c r="K160" s="814">
        <f ca="1">IF(K152=0,0,IF(K152&gt;MAX(INDIRECT(CONCATENATE("$C$",K$146)):INDIRECT(CONCATENATE("$C$",K$147))),K158,IF(K152&lt;MIN(INDIRECT(CONCATENATE("$C$",K$146)):INDIRECT(CONCATENATE("$C$",K$147))),INDIRECT(CONCATENATE("$F$",K$146)),K158+(K152-K153)*(K159-K158)/(K154-K153))))</f>
        <v>6.3395999999999999</v>
      </c>
      <c r="L160" s="814">
        <f ca="1">IF(L152=0,0,IF(L152&gt;MAX(INDIRECT(CONCATENATE("$C$",L$146)):INDIRECT(CONCATENATE("$C$",L$147))),L158,IF(L152&lt;MIN(INDIRECT(CONCATENATE("$C$",L$146)):INDIRECT(CONCATENATE("$C$",L$147))),INDIRECT(CONCATENATE("$F$",L$146)),L158+(L152-L153)*(L159-L158)/(L154-L153))))</f>
        <v>6.3395999999999999</v>
      </c>
      <c r="M160" s="814">
        <f ca="1">IF(M152=0,0,IF(M152&gt;MAX(INDIRECT(CONCATENATE("$C$",M$146)):INDIRECT(CONCATENATE("$C$",M$147))),M158,IF(M152&lt;MIN(INDIRECT(CONCATENATE("$C$",M$146)):INDIRECT(CONCATENATE("$C$",M$147))),INDIRECT(CONCATENATE("$F$",M$146)),M158+(M152-M153)*(M159-M158)/(M154-M153))))</f>
        <v>6.3395999999999999</v>
      </c>
      <c r="N160" s="814">
        <f ca="1">IF(N152=0,0,IF(N152&gt;MAX(INDIRECT(CONCATENATE("$C$",N$146)):INDIRECT(CONCATENATE("$C$",N$147))),N158,IF(N152&lt;MIN(INDIRECT(CONCATENATE("$C$",N$146)):INDIRECT(CONCATENATE("$C$",N$147))),INDIRECT(CONCATENATE("$F$",N$146)),N158+(N152-N153)*(N159-N158)/(N154-N153))))</f>
        <v>6.3395999999999999</v>
      </c>
      <c r="O160" s="814">
        <f ca="1">IF(O152=0,0,IF(O152&gt;MAX(INDIRECT(CONCATENATE("$C$",O$146)):INDIRECT(CONCATENATE("$C$",O$147))),O158,IF(O152&lt;MIN(INDIRECT(CONCATENATE("$C$",O$146)):INDIRECT(CONCATENATE("$C$",O$147))),INDIRECT(CONCATENATE("$F$",O$146)),O158+(O152-O153)*(O159-O158)/(O154-O153))))</f>
        <v>6.3395999999999999</v>
      </c>
      <c r="P160" s="814">
        <f ca="1">IF(P152=0,0,IF(P152&gt;MAX(INDIRECT(CONCATENATE("$C$",P$146)):INDIRECT(CONCATENATE("$C$",P$147))),P158,IF(P152&lt;MIN(INDIRECT(CONCATENATE("$C$",P$146)):INDIRECT(CONCATENATE("$C$",P$147))),INDIRECT(CONCATENATE("$F$",P$146)),P158+(P152-P153)*(P159-P158)/(P154-P153))))</f>
        <v>6.3395999999999999</v>
      </c>
      <c r="Q160" s="814">
        <f ca="1">IF(Q152=0,0,IF(Q152&gt;MAX(INDIRECT(CONCATENATE("$C$",Q$146)):INDIRECT(CONCATENATE("$C$",Q$147))),Q158,IF(Q152&lt;MIN(INDIRECT(CONCATENATE("$C$",Q$146)):INDIRECT(CONCATENATE("$C$",Q$147))),INDIRECT(CONCATENATE("$F$",Q$146)),Q158+(Q152-Q153)*(Q159-Q158)/(Q154-Q153))))</f>
        <v>6.3395999999999999</v>
      </c>
      <c r="R160" s="814">
        <f ca="1">IF(R152=0,0,IF(R152&gt;MAX(INDIRECT(CONCATENATE("$C$",R$146)):INDIRECT(CONCATENATE("$C$",R$147))),R158,IF(R152&lt;MIN(INDIRECT(CONCATENATE("$C$",R$146)):INDIRECT(CONCATENATE("$C$",R$147))),INDIRECT(CONCATENATE("$F$",R$146)),R158+(R152-R153)*(R159-R158)/(R154-R153))))</f>
        <v>6.3395999999999999</v>
      </c>
      <c r="S160" s="814">
        <f ca="1">IF(S152=0,0,IF(S152&gt;MAX(INDIRECT(CONCATENATE("$C$",S$146)):INDIRECT(CONCATENATE("$C$",S$147))),S158,IF(S152&lt;MIN(INDIRECT(CONCATENATE("$C$",S$146)):INDIRECT(CONCATENATE("$C$",S$147))),INDIRECT(CONCATENATE("$F$",S$146)),S158+(S152-S153)*(S159-S158)/(S154-S153))))</f>
        <v>6.3395999999999999</v>
      </c>
      <c r="T160" s="814">
        <f ca="1">IF(T152=0,0,IF(T152&gt;MAX(INDIRECT(CONCATENATE("$C$",T$146)):INDIRECT(CONCATENATE("$C$",T$147))),T158,IF(T152&lt;MIN(INDIRECT(CONCATENATE("$C$",T$146)):INDIRECT(CONCATENATE("$C$",T$147))),INDIRECT(CONCATENATE("$F$",T$146)),T158+(T152-T153)*(T159-T158)/(T154-T153))))</f>
        <v>6.3163109130822503</v>
      </c>
      <c r="U160" s="814">
        <f ca="1">IF(U152=0,0,IF(U152&gt;MAX(INDIRECT(CONCATENATE("$C$",U$146)):INDIRECT(CONCATENATE("$C$",U$147))),U158,IF(U152&lt;MIN(INDIRECT(CONCATENATE("$C$",U$146)):INDIRECT(CONCATENATE("$C$",U$147))),INDIRECT(CONCATENATE("$F$",U$146)),U158+(U152-U153)*(U159-U158)/(U154-U153))))</f>
        <v>6.2920029819625078</v>
      </c>
      <c r="V160" s="814">
        <f ca="1">IF(V152=0,0,IF(V152&gt;MAX(INDIRECT(CONCATENATE("$C$",V$146)):INDIRECT(CONCATENATE("$C$",V$147))),V158,IF(V152&lt;MIN(INDIRECT(CONCATENATE("$C$",V$146)):INDIRECT(CONCATENATE("$C$",V$147))),INDIRECT(CONCATENATE("$F$",V$146)),V158+(V152-V153)*(V159-V158)/(V154-V153))))</f>
        <v>6.2687138950447583</v>
      </c>
      <c r="W160" s="814">
        <f ca="1">IF(W152=0,0,IF(W152&gt;MAX(INDIRECT(CONCATENATE("$C$",W$146)):INDIRECT(CONCATENATE("$C$",W$147))),W158,IF(W152&lt;MIN(INDIRECT(CONCATENATE("$C$",W$146)):INDIRECT(CONCATENATE("$C$",W$147))),INDIRECT(CONCATENATE("$F$",W$146)),W158+(W152-W153)*(W159-W158)/(W154-W153))))</f>
        <v>6.2444059639250149</v>
      </c>
      <c r="X160" s="814">
        <f ca="1">IF(X152=0,0,IF(X152&gt;MAX(INDIRECT(CONCATENATE("$C$",X$146)):INDIRECT(CONCATENATE("$C$",X$147))),X158,IF(X152&lt;MIN(INDIRECT(CONCATENATE("$C$",X$146)):INDIRECT(CONCATENATE("$C$",X$147))),INDIRECT(CONCATENATE("$F$",X$146)),X158+(X152-X153)*(X159-X158)/(X154-X153))))</f>
        <v>6.2211168770072662</v>
      </c>
      <c r="Y160" s="814">
        <f ca="1">IF(Y152=0,0,IF(Y152&gt;MAX(INDIRECT(CONCATENATE("$C$",Y$146)):INDIRECT(CONCATENATE("$C$",Y$147))),Y158,IF(Y152&lt;MIN(INDIRECT(CONCATENATE("$C$",Y$146)):INDIRECT(CONCATENATE("$C$",Y$147))),INDIRECT(CONCATENATE("$F$",Y$146)),Y158+(Y152-Y153)*(Y159-Y158)/(Y154-Y153))))</f>
        <v>6.1968089458875228</v>
      </c>
      <c r="Z160" s="814">
        <f ca="1">IF(Z152=0,0,IF(Z152&gt;MAX(INDIRECT(CONCATENATE("$C$",Z$146)):INDIRECT(CONCATENATE("$C$",Z$147))),Z158,IF(Z152&lt;MIN(INDIRECT(CONCATENATE("$C$",Z$146)):INDIRECT(CONCATENATE("$C$",Z$147))),INDIRECT(CONCATENATE("$F$",Z$146)),Z158+(Z152-Z153)*(Z159-Z158)/(Z154-Z153))))</f>
        <v>6.1726996290527207</v>
      </c>
      <c r="AA160" s="814">
        <f ca="1">IF(AA152=0,0,IF(AA152&gt;MAX(INDIRECT(CONCATENATE("$C$",AA$146)):INDIRECT(CONCATENATE("$C$",AA$147))),AA158,IF(AA152&lt;MIN(INDIRECT(CONCATENATE("$C$",AA$146)):INDIRECT(CONCATENATE("$C$",AA$147))),INDIRECT(CONCATENATE("$F$",AA$146)),AA158+(AA152-AA153)*(AA159-AA158)/(AA154-AA153))))</f>
        <v>6.1414690882007426</v>
      </c>
      <c r="AB160" s="814">
        <f ca="1">IF(AB152=0,0,IF(AB152&gt;MAX(INDIRECT(CONCATENATE("$C$",AB$146)):INDIRECT(CONCATENATE("$C$",AB$147))),AB158,IF(AB152&lt;MIN(INDIRECT(CONCATENATE("$C$",AB$146)):INDIRECT(CONCATENATE("$C$",AB$147))),INDIRECT(CONCATENATE("$F$",AB$146)),AB158+(AB152-AB153)*(AB159-AB158)/(AB154-AB153))))</f>
        <v>6.3558432050719933</v>
      </c>
      <c r="AC160" s="814">
        <f ca="1">IF(AC152=0,0,IF(AC152&gt;MAX(INDIRECT(CONCATENATE("$C$",AC$146)):INDIRECT(CONCATENATE("$C$",AC$147))),AC158,IF(AC152&lt;MIN(INDIRECT(CONCATENATE("$C$",AC$146)):INDIRECT(CONCATENATE("$C$",AC$147))),INDIRECT(CONCATENATE("$F$",AC$146)),AC158+(AC152-AC153)*(AC159-AC158)/(AC154-AC153))))</f>
        <v>6.3294262034580377</v>
      </c>
      <c r="AD160" s="814">
        <f ca="1">IF(AD152=0,0,IF(AD152&gt;MAX(INDIRECT(CONCATENATE("$C$",AD$146)):INDIRECT(CONCATENATE("$C$",AD$147))),AD158,IF(AD152&lt;MIN(INDIRECT(CONCATENATE("$C$",AD$146)):INDIRECT(CONCATENATE("$C$",AD$147))),INDIRECT(CONCATENATE("$F$",AD$146)),AD158+(AD152-AD153)*(AD159-AD158)/(AD154-AD153))))</f>
        <v>6.3041164457636008</v>
      </c>
      <c r="AE160" s="814">
        <f ca="1">IF(AE152=0,0,IF(AE152&gt;MAX(INDIRECT(CONCATENATE("$C$",AE$146)):INDIRECT(CONCATENATE("$C$",AE$147))),AE158,IF(AE152&lt;MIN(INDIRECT(CONCATENATE("$C$",AE$146)):INDIRECT(CONCATENATE("$C$",AE$147))),INDIRECT(CONCATENATE("$F$",AE$146)),AE158+(AE152-AE153)*(AE159-AE158)/(AE154-AE153))))</f>
        <v>6.2776994441496452</v>
      </c>
      <c r="AF160" s="814">
        <f ca="1">IF(AF152=0,0,IF(AF152&gt;MAX(INDIRECT(CONCATENATE("$C$",AF$146)):INDIRECT(CONCATENATE("$C$",AF$147))),AF158,IF(AF152&lt;MIN(INDIRECT(CONCATENATE("$C$",AF$146)):INDIRECT(CONCATENATE("$C$",AF$147))),INDIRECT(CONCATENATE("$F$",AF$146)),AF158+(AF152-AF153)*(AF159-AF158)/(AF154-AF153))))</f>
        <v>6.5436411360918054</v>
      </c>
      <c r="AG160" s="814">
        <f ca="1">IF(AG152=0,0,IF(AG152&gt;MAX(INDIRECT(CONCATENATE("$C$",AG$146)):INDIRECT(CONCATENATE("$C$",AG$147))),AG158,IF(AG152&lt;MIN(INDIRECT(CONCATENATE("$C$",AG$146)):INDIRECT(CONCATENATE("$C$",AG$147))),INDIRECT(CONCATENATE("$F$",AG$146)),AG158+(AG152-AG153)*(AG159-AG158)/(AG154-AG153))))</f>
        <v>6.5183588242973078</v>
      </c>
      <c r="AH160" s="727"/>
      <c r="AI160" s="727"/>
      <c r="AJ160" s="727"/>
      <c r="AK160" s="727"/>
      <c r="AL160" s="727"/>
      <c r="AM160" s="727"/>
      <c r="AN160" s="727"/>
      <c r="AO160" s="727"/>
      <c r="AP160" s="727"/>
      <c r="AQ160" s="727"/>
      <c r="AR160" s="727"/>
      <c r="AS160" s="727"/>
      <c r="AT160" s="727"/>
      <c r="AU160" s="727"/>
      <c r="AV160" s="727"/>
      <c r="AW160" s="727"/>
      <c r="AX160" s="727"/>
      <c r="AY160" s="727"/>
      <c r="AZ160" s="727"/>
      <c r="BA160" s="727"/>
      <c r="BB160" s="727"/>
    </row>
    <row r="161" spans="1:54">
      <c r="A161" s="326"/>
      <c r="B161" s="98" t="s">
        <v>1096</v>
      </c>
      <c r="C161" s="817">
        <f ca="1">IF(C160=0,0,IF((C160-$AC$17)/$AC$24&gt;1,1,(C160-$AC$17)/$AC$24))</f>
        <v>0</v>
      </c>
      <c r="D161" s="817">
        <f t="shared" ref="D161:AG161" ca="1" si="29">IF(D160=0,0,IF((D160-$AC$17)/$AC$24&gt;1,1,(D160-$AC$17)/$AC$24))</f>
        <v>0</v>
      </c>
      <c r="E161" s="817">
        <f t="shared" ca="1" si="29"/>
        <v>0</v>
      </c>
      <c r="F161" s="817">
        <f t="shared" ca="1" si="29"/>
        <v>0</v>
      </c>
      <c r="G161" s="817">
        <f t="shared" ca="1" si="29"/>
        <v>0</v>
      </c>
      <c r="H161" s="817">
        <f t="shared" ca="1" si="29"/>
        <v>0</v>
      </c>
      <c r="I161" s="817">
        <f t="shared" ca="1" si="29"/>
        <v>0</v>
      </c>
      <c r="J161" s="817">
        <f t="shared" ca="1" si="29"/>
        <v>0</v>
      </c>
      <c r="K161" s="817">
        <f t="shared" ca="1" si="29"/>
        <v>0.90274570944757038</v>
      </c>
      <c r="L161" s="817">
        <f t="shared" ca="1" si="29"/>
        <v>0.90274570944757038</v>
      </c>
      <c r="M161" s="817">
        <f t="shared" ca="1" si="29"/>
        <v>0.90274570944757038</v>
      </c>
      <c r="N161" s="817">
        <f t="shared" ca="1" si="29"/>
        <v>0.90274570944757038</v>
      </c>
      <c r="O161" s="817">
        <f t="shared" ca="1" si="29"/>
        <v>0.90274570944757038</v>
      </c>
      <c r="P161" s="817">
        <f t="shared" ca="1" si="29"/>
        <v>0.90274570944757038</v>
      </c>
      <c r="Q161" s="817">
        <f t="shared" ca="1" si="29"/>
        <v>0.90274570944757038</v>
      </c>
      <c r="R161" s="817">
        <f t="shared" ca="1" si="29"/>
        <v>0.90274570944757038</v>
      </c>
      <c r="S161" s="817">
        <f t="shared" ca="1" si="29"/>
        <v>0.90274570944757038</v>
      </c>
      <c r="T161" s="817">
        <f t="shared" ca="1" si="29"/>
        <v>0.89805375196523807</v>
      </c>
      <c r="U161" s="817">
        <f t="shared" ca="1" si="29"/>
        <v>0.89315653209139356</v>
      </c>
      <c r="V161" s="817">
        <f t="shared" ca="1" si="29"/>
        <v>0.88846457460906125</v>
      </c>
      <c r="W161" s="817">
        <f t="shared" ca="1" si="29"/>
        <v>0.88356735473521664</v>
      </c>
      <c r="X161" s="817">
        <f t="shared" ca="1" si="29"/>
        <v>0.87887539725288477</v>
      </c>
      <c r="Y161" s="817">
        <f t="shared" ca="1" si="29"/>
        <v>0.87397817737904016</v>
      </c>
      <c r="Z161" s="817">
        <f t="shared" ca="1" si="29"/>
        <v>0.86912097151620493</v>
      </c>
      <c r="AA161" s="817">
        <f t="shared" ca="1" si="29"/>
        <v>0.86282908165615035</v>
      </c>
      <c r="AB161" s="817">
        <f t="shared" ca="1" si="29"/>
        <v>0.90601816181308192</v>
      </c>
      <c r="AC161" s="817">
        <f t="shared" ca="1" si="29"/>
        <v>0.90069603609724214</v>
      </c>
      <c r="AD161" s="817">
        <f t="shared" ca="1" si="29"/>
        <v>0.89559698230394269</v>
      </c>
      <c r="AE161" s="817">
        <f t="shared" ca="1" si="29"/>
        <v>0.89027485658810301</v>
      </c>
      <c r="AF161" s="817">
        <f t="shared" ca="1" si="29"/>
        <v>0.94385304605422282</v>
      </c>
      <c r="AG161" s="817">
        <f t="shared" ca="1" si="29"/>
        <v>0.9387595216745942</v>
      </c>
      <c r="AH161" s="727"/>
      <c r="AI161" s="727"/>
      <c r="AJ161" s="727"/>
      <c r="AK161" s="727"/>
      <c r="AL161" s="727"/>
      <c r="AM161" s="727"/>
      <c r="AN161" s="727"/>
      <c r="AO161" s="727"/>
      <c r="AP161" s="727"/>
      <c r="AQ161" s="727"/>
      <c r="AR161" s="727"/>
      <c r="AS161" s="727"/>
      <c r="AT161" s="727"/>
      <c r="AU161" s="727"/>
      <c r="AV161" s="727"/>
      <c r="AW161" s="727"/>
      <c r="AX161" s="727"/>
      <c r="AY161" s="727"/>
      <c r="AZ161" s="727"/>
      <c r="BA161" s="727"/>
      <c r="BB161" s="727"/>
    </row>
    <row r="162" spans="1:54">
      <c r="A162" s="326"/>
      <c r="B162" s="98" t="s">
        <v>1095</v>
      </c>
      <c r="C162" s="815">
        <f t="shared" ref="C162:AG162" ca="1" si="30">IF(C161=0,0,$U$38+C161*$U$45)</f>
        <v>0</v>
      </c>
      <c r="D162" s="815">
        <f t="shared" ca="1" si="30"/>
        <v>0</v>
      </c>
      <c r="E162" s="815">
        <f t="shared" ca="1" si="30"/>
        <v>0</v>
      </c>
      <c r="F162" s="815">
        <f t="shared" ca="1" si="30"/>
        <v>0</v>
      </c>
      <c r="G162" s="815">
        <f t="shared" ca="1" si="30"/>
        <v>0</v>
      </c>
      <c r="H162" s="815">
        <f t="shared" ca="1" si="30"/>
        <v>0</v>
      </c>
      <c r="I162" s="815">
        <f t="shared" ca="1" si="30"/>
        <v>0</v>
      </c>
      <c r="J162" s="815">
        <f t="shared" ca="1" si="30"/>
        <v>0</v>
      </c>
      <c r="K162" s="815">
        <f t="shared" ca="1" si="30"/>
        <v>2542.7802177363569</v>
      </c>
      <c r="L162" s="815">
        <f t="shared" ca="1" si="30"/>
        <v>2542.7802177363569</v>
      </c>
      <c r="M162" s="815">
        <f t="shared" ca="1" si="30"/>
        <v>2542.7802177363569</v>
      </c>
      <c r="N162" s="815">
        <f t="shared" ca="1" si="30"/>
        <v>2542.7802177363569</v>
      </c>
      <c r="O162" s="815">
        <f t="shared" ca="1" si="30"/>
        <v>2542.7802177363569</v>
      </c>
      <c r="P162" s="815">
        <f t="shared" ca="1" si="30"/>
        <v>2542.7802177363569</v>
      </c>
      <c r="Q162" s="815">
        <f t="shared" ca="1" si="30"/>
        <v>2542.7802177363569</v>
      </c>
      <c r="R162" s="815">
        <f t="shared" ca="1" si="30"/>
        <v>2542.7802177363569</v>
      </c>
      <c r="S162" s="815">
        <f t="shared" ca="1" si="30"/>
        <v>2542.7802177363569</v>
      </c>
      <c r="T162" s="815">
        <f t="shared" ca="1" si="30"/>
        <v>2532.8877626531266</v>
      </c>
      <c r="U162" s="815">
        <f t="shared" ca="1" si="30"/>
        <v>2522.5625353216483</v>
      </c>
      <c r="V162" s="815">
        <f t="shared" ca="1" si="30"/>
        <v>2512.6700802384175</v>
      </c>
      <c r="W162" s="815">
        <f t="shared" ca="1" si="30"/>
        <v>2502.3448529069392</v>
      </c>
      <c r="X162" s="815">
        <f t="shared" ca="1" si="30"/>
        <v>2492.4523978237098</v>
      </c>
      <c r="Y162" s="815">
        <f t="shared" ca="1" si="30"/>
        <v>2482.1271704922315</v>
      </c>
      <c r="Z162" s="815">
        <f t="shared" ca="1" si="30"/>
        <v>2471.8863081210284</v>
      </c>
      <c r="AA162" s="815">
        <f t="shared" ca="1" si="30"/>
        <v>2458.6205788249727</v>
      </c>
      <c r="AB162" s="815">
        <f t="shared" ca="1" si="30"/>
        <v>2549.6798088259466</v>
      </c>
      <c r="AC162" s="815">
        <f t="shared" ca="1" si="30"/>
        <v>2538.4587161818845</v>
      </c>
      <c r="AD162" s="815">
        <f t="shared" ca="1" si="30"/>
        <v>2527.7079451429031</v>
      </c>
      <c r="AE162" s="815">
        <f t="shared" ca="1" si="30"/>
        <v>2516.4868524988415</v>
      </c>
      <c r="AF162" s="815">
        <f t="shared" ca="1" si="30"/>
        <v>2629.4503298385675</v>
      </c>
      <c r="AG162" s="815">
        <f t="shared" ca="1" si="30"/>
        <v>2618.7112169351467</v>
      </c>
      <c r="AH162" s="727"/>
      <c r="AI162" s="727"/>
      <c r="AJ162" s="727"/>
      <c r="AK162" s="727"/>
      <c r="AL162" s="727"/>
      <c r="AM162" s="727"/>
      <c r="AN162" s="727"/>
      <c r="AO162" s="727"/>
      <c r="AP162" s="727"/>
      <c r="AQ162" s="727"/>
      <c r="AR162" s="727"/>
      <c r="AS162" s="727"/>
      <c r="AT162" s="727"/>
      <c r="AU162" s="727"/>
      <c r="AV162" s="727"/>
      <c r="AW162" s="727"/>
      <c r="AX162" s="727"/>
      <c r="AY162" s="727"/>
      <c r="AZ162" s="727"/>
      <c r="BA162" s="727"/>
      <c r="BB162" s="727"/>
    </row>
    <row r="163" spans="1:54">
      <c r="A163" s="326"/>
      <c r="B163" s="98" t="s">
        <v>1424</v>
      </c>
      <c r="C163" s="728" t="str">
        <f t="shared" ref="C163:AG163" si="31">IF(C$117=0,"",INDEX($C$69:$C$108,MATCH($I$6/1000,$C$69:$C$108,1)))</f>
        <v/>
      </c>
      <c r="D163" s="728" t="str">
        <f t="shared" si="31"/>
        <v/>
      </c>
      <c r="E163" s="728" t="str">
        <f t="shared" si="31"/>
        <v/>
      </c>
      <c r="F163" s="728" t="str">
        <f t="shared" si="31"/>
        <v/>
      </c>
      <c r="G163" s="728" t="str">
        <f t="shared" si="31"/>
        <v/>
      </c>
      <c r="H163" s="728" t="str">
        <f t="shared" si="31"/>
        <v/>
      </c>
      <c r="I163" s="728" t="str">
        <f t="shared" si="31"/>
        <v/>
      </c>
      <c r="J163" s="728" t="str">
        <f t="shared" si="31"/>
        <v/>
      </c>
      <c r="K163" s="728">
        <f t="shared" si="31"/>
        <v>475.8</v>
      </c>
      <c r="L163" s="728">
        <f t="shared" ca="1" si="31"/>
        <v>475.8</v>
      </c>
      <c r="M163" s="728">
        <f t="shared" ca="1" si="31"/>
        <v>475.8</v>
      </c>
      <c r="N163" s="728">
        <f t="shared" ca="1" si="31"/>
        <v>475.8</v>
      </c>
      <c r="O163" s="728">
        <f t="shared" ca="1" si="31"/>
        <v>475.8</v>
      </c>
      <c r="P163" s="728">
        <f t="shared" ca="1" si="31"/>
        <v>475.8</v>
      </c>
      <c r="Q163" s="728">
        <f t="shared" ca="1" si="31"/>
        <v>475.8</v>
      </c>
      <c r="R163" s="728">
        <f t="shared" ca="1" si="31"/>
        <v>475.8</v>
      </c>
      <c r="S163" s="728">
        <f t="shared" ca="1" si="31"/>
        <v>475.8</v>
      </c>
      <c r="T163" s="728">
        <f t="shared" ca="1" si="31"/>
        <v>475.8</v>
      </c>
      <c r="U163" s="728">
        <f t="shared" ca="1" si="31"/>
        <v>475.8</v>
      </c>
      <c r="V163" s="728">
        <f t="shared" ca="1" si="31"/>
        <v>475.8</v>
      </c>
      <c r="W163" s="728">
        <f t="shared" ca="1" si="31"/>
        <v>475.8</v>
      </c>
      <c r="X163" s="728">
        <f t="shared" ca="1" si="31"/>
        <v>475.8</v>
      </c>
      <c r="Y163" s="728">
        <f t="shared" ca="1" si="31"/>
        <v>475.8</v>
      </c>
      <c r="Z163" s="728">
        <f t="shared" ca="1" si="31"/>
        <v>475.8</v>
      </c>
      <c r="AA163" s="728">
        <f t="shared" ca="1" si="31"/>
        <v>475.8</v>
      </c>
      <c r="AB163" s="728">
        <f t="shared" ca="1" si="31"/>
        <v>475.8</v>
      </c>
      <c r="AC163" s="728">
        <f t="shared" ca="1" si="31"/>
        <v>475.8</v>
      </c>
      <c r="AD163" s="728">
        <f t="shared" ca="1" si="31"/>
        <v>475.8</v>
      </c>
      <c r="AE163" s="728">
        <f t="shared" ca="1" si="31"/>
        <v>475.8</v>
      </c>
      <c r="AF163" s="728">
        <f t="shared" ca="1" si="31"/>
        <v>475.8</v>
      </c>
      <c r="AG163" s="728">
        <f t="shared" ca="1" si="31"/>
        <v>475.8</v>
      </c>
      <c r="AH163" s="727"/>
      <c r="AI163" s="727"/>
      <c r="AJ163" s="727"/>
      <c r="AK163" s="727"/>
      <c r="AL163" s="727"/>
      <c r="AM163" s="727"/>
      <c r="AN163" s="727"/>
      <c r="AO163" s="727"/>
      <c r="AP163" s="727"/>
      <c r="AQ163" s="727"/>
      <c r="AR163" s="727"/>
      <c r="AS163" s="727"/>
      <c r="AT163" s="727"/>
      <c r="AU163" s="727"/>
      <c r="AV163" s="727"/>
      <c r="AW163" s="727"/>
      <c r="AX163" s="727"/>
      <c r="AY163" s="727"/>
      <c r="AZ163" s="727"/>
      <c r="BA163" s="727"/>
      <c r="BB163" s="727"/>
    </row>
    <row r="164" spans="1:54">
      <c r="A164" s="326"/>
      <c r="B164" s="98" t="s">
        <v>1425</v>
      </c>
      <c r="C164" s="728" t="str">
        <f t="shared" ref="C164:AG164" si="32">IF(C$117=0,"",INDEX($C$69:$C$108,MATCH($I$6/1000,$C$69:$C$108,1)+1))</f>
        <v/>
      </c>
      <c r="D164" s="728" t="str">
        <f t="shared" si="32"/>
        <v/>
      </c>
      <c r="E164" s="728" t="str">
        <f t="shared" si="32"/>
        <v/>
      </c>
      <c r="F164" s="728" t="str">
        <f t="shared" si="32"/>
        <v/>
      </c>
      <c r="G164" s="728" t="str">
        <f t="shared" si="32"/>
        <v/>
      </c>
      <c r="H164" s="728" t="str">
        <f t="shared" si="32"/>
        <v/>
      </c>
      <c r="I164" s="728" t="str">
        <f t="shared" si="32"/>
        <v/>
      </c>
      <c r="J164" s="728" t="str">
        <f t="shared" si="32"/>
        <v/>
      </c>
      <c r="K164" s="728">
        <f t="shared" si="32"/>
        <v>617.79999999999995</v>
      </c>
      <c r="L164" s="728">
        <f t="shared" ca="1" si="32"/>
        <v>617.79999999999995</v>
      </c>
      <c r="M164" s="728">
        <f t="shared" ca="1" si="32"/>
        <v>617.79999999999995</v>
      </c>
      <c r="N164" s="728">
        <f t="shared" ca="1" si="32"/>
        <v>617.79999999999995</v>
      </c>
      <c r="O164" s="728">
        <f t="shared" ca="1" si="32"/>
        <v>617.79999999999995</v>
      </c>
      <c r="P164" s="728">
        <f t="shared" ca="1" si="32"/>
        <v>617.79999999999995</v>
      </c>
      <c r="Q164" s="728">
        <f t="shared" ca="1" si="32"/>
        <v>617.79999999999995</v>
      </c>
      <c r="R164" s="728">
        <f t="shared" ca="1" si="32"/>
        <v>617.79999999999995</v>
      </c>
      <c r="S164" s="728">
        <f t="shared" ca="1" si="32"/>
        <v>617.79999999999995</v>
      </c>
      <c r="T164" s="728">
        <f t="shared" ca="1" si="32"/>
        <v>617.79999999999995</v>
      </c>
      <c r="U164" s="728">
        <f t="shared" ca="1" si="32"/>
        <v>617.79999999999995</v>
      </c>
      <c r="V164" s="728">
        <f t="shared" ca="1" si="32"/>
        <v>617.79999999999995</v>
      </c>
      <c r="W164" s="728">
        <f t="shared" ca="1" si="32"/>
        <v>617.79999999999995</v>
      </c>
      <c r="X164" s="728">
        <f t="shared" ca="1" si="32"/>
        <v>617.79999999999995</v>
      </c>
      <c r="Y164" s="728">
        <f t="shared" ca="1" si="32"/>
        <v>617.79999999999995</v>
      </c>
      <c r="Z164" s="728">
        <f t="shared" ca="1" si="32"/>
        <v>617.79999999999995</v>
      </c>
      <c r="AA164" s="728">
        <f t="shared" ca="1" si="32"/>
        <v>617.79999999999995</v>
      </c>
      <c r="AB164" s="728">
        <f t="shared" ca="1" si="32"/>
        <v>617.79999999999995</v>
      </c>
      <c r="AC164" s="728">
        <f t="shared" ca="1" si="32"/>
        <v>617.79999999999995</v>
      </c>
      <c r="AD164" s="728">
        <f t="shared" ca="1" si="32"/>
        <v>617.79999999999995</v>
      </c>
      <c r="AE164" s="728">
        <f t="shared" ca="1" si="32"/>
        <v>617.79999999999995</v>
      </c>
      <c r="AF164" s="728">
        <f t="shared" ca="1" si="32"/>
        <v>617.79999999999995</v>
      </c>
      <c r="AG164" s="728">
        <f t="shared" ca="1" si="32"/>
        <v>617.79999999999995</v>
      </c>
      <c r="AH164" s="727"/>
      <c r="AI164" s="727"/>
      <c r="AJ164" s="727"/>
      <c r="AK164" s="727"/>
      <c r="AL164" s="727"/>
      <c r="AM164" s="727"/>
      <c r="AN164" s="727"/>
      <c r="AO164" s="727"/>
      <c r="AP164" s="727"/>
      <c r="AQ164" s="727"/>
      <c r="AR164" s="727"/>
      <c r="AS164" s="727"/>
      <c r="AT164" s="727"/>
      <c r="AU164" s="727"/>
      <c r="AV164" s="727"/>
      <c r="AW164" s="727"/>
      <c r="AX164" s="727"/>
      <c r="AY164" s="727"/>
      <c r="AZ164" s="727"/>
      <c r="BA164" s="727"/>
      <c r="BB164" s="727"/>
    </row>
    <row r="165" spans="1:54">
      <c r="A165" s="326"/>
      <c r="B165" s="98" t="s">
        <v>1416</v>
      </c>
      <c r="C165" s="815"/>
      <c r="D165" s="815"/>
      <c r="E165" s="815"/>
      <c r="F165" s="815"/>
      <c r="G165" s="815"/>
      <c r="H165" s="815"/>
      <c r="I165" s="815"/>
      <c r="J165" s="815"/>
      <c r="K165" s="815"/>
      <c r="L165" s="815"/>
      <c r="M165" s="815"/>
      <c r="N165" s="815"/>
      <c r="O165" s="815"/>
      <c r="P165" s="815"/>
      <c r="Q165" s="815"/>
      <c r="R165" s="815"/>
      <c r="S165" s="815"/>
      <c r="T165" s="815"/>
      <c r="U165" s="815"/>
      <c r="V165" s="815"/>
      <c r="W165" s="815"/>
      <c r="X165" s="815"/>
      <c r="Y165" s="815"/>
      <c r="Z165" s="815"/>
      <c r="AA165" s="815"/>
      <c r="AB165" s="815"/>
      <c r="AC165" s="815"/>
      <c r="AD165" s="815"/>
      <c r="AE165" s="815"/>
      <c r="AF165" s="815"/>
      <c r="AG165" s="815"/>
      <c r="AH165" s="727"/>
      <c r="AI165" s="727"/>
      <c r="AJ165" s="727"/>
      <c r="AK165" s="727"/>
      <c r="AL165" s="727"/>
      <c r="AM165" s="727"/>
      <c r="AN165" s="727"/>
      <c r="AO165" s="727"/>
      <c r="AP165" s="727"/>
      <c r="AQ165" s="727"/>
      <c r="AR165" s="727"/>
      <c r="AS165" s="727"/>
      <c r="AT165" s="727"/>
      <c r="AU165" s="727"/>
      <c r="AV165" s="727"/>
      <c r="AW165" s="727"/>
      <c r="AX165" s="727"/>
      <c r="AY165" s="727"/>
      <c r="AZ165" s="727"/>
      <c r="BA165" s="727"/>
      <c r="BB165" s="727"/>
    </row>
    <row r="166" spans="1:54">
      <c r="A166" s="326"/>
      <c r="B166" s="727"/>
      <c r="C166" s="727"/>
      <c r="D166" s="727"/>
      <c r="E166" s="727"/>
      <c r="F166" s="727"/>
      <c r="G166" s="727"/>
      <c r="H166" s="727"/>
      <c r="I166" s="727"/>
      <c r="J166" s="727"/>
      <c r="K166" s="727"/>
      <c r="L166" s="727"/>
      <c r="M166" s="727"/>
      <c r="N166" s="727"/>
      <c r="O166" s="727"/>
      <c r="P166" s="727"/>
      <c r="Q166" s="727"/>
      <c r="R166" s="727"/>
      <c r="S166" s="727"/>
      <c r="T166" s="727"/>
      <c r="U166" s="727"/>
      <c r="V166" s="727"/>
      <c r="W166" s="727"/>
      <c r="X166" s="727"/>
      <c r="Y166" s="727"/>
      <c r="Z166" s="727"/>
      <c r="AA166" s="727"/>
      <c r="AB166" s="727"/>
      <c r="AC166" s="727"/>
      <c r="AD166" s="727"/>
      <c r="AE166" s="727"/>
      <c r="AF166" s="727"/>
      <c r="AG166" s="727"/>
      <c r="AH166" s="727"/>
      <c r="AI166" s="727"/>
      <c r="AJ166" s="727"/>
      <c r="AK166" s="727"/>
      <c r="AL166" s="727"/>
      <c r="AM166" s="727"/>
      <c r="AN166" s="727"/>
      <c r="AO166" s="727"/>
      <c r="AP166" s="727"/>
      <c r="AQ166" s="727"/>
      <c r="AR166" s="727"/>
      <c r="AS166" s="727"/>
      <c r="AT166" s="727"/>
      <c r="AU166" s="727"/>
      <c r="AV166" s="727"/>
      <c r="AW166" s="727"/>
      <c r="AX166" s="727"/>
      <c r="AY166" s="727"/>
      <c r="AZ166" s="727"/>
      <c r="BA166" s="727"/>
      <c r="BB166" s="727"/>
    </row>
    <row r="167" spans="1:54">
      <c r="A167" s="326"/>
      <c r="B167" s="727"/>
      <c r="C167" s="727"/>
      <c r="D167" s="727"/>
      <c r="E167" s="727"/>
      <c r="F167" s="727"/>
      <c r="G167" s="727"/>
      <c r="H167" s="727"/>
      <c r="I167" s="727"/>
      <c r="J167" s="727"/>
      <c r="K167" s="727"/>
      <c r="L167" s="727"/>
      <c r="M167" s="727"/>
      <c r="N167" s="727"/>
      <c r="O167" s="727"/>
      <c r="P167" s="727"/>
      <c r="Q167" s="727"/>
      <c r="R167" s="727"/>
      <c r="S167" s="727"/>
      <c r="T167" s="727"/>
      <c r="U167" s="727"/>
      <c r="V167" s="727"/>
      <c r="W167" s="727"/>
      <c r="X167" s="727"/>
      <c r="Y167" s="727"/>
      <c r="Z167" s="727"/>
      <c r="AA167" s="727"/>
      <c r="AB167" s="727"/>
      <c r="AC167" s="727"/>
      <c r="AD167" s="727"/>
      <c r="AE167" s="727"/>
      <c r="AF167" s="727"/>
      <c r="AG167" s="727"/>
      <c r="AH167" s="727"/>
      <c r="AI167" s="727"/>
      <c r="AJ167" s="727"/>
      <c r="AK167" s="727"/>
      <c r="AL167" s="727"/>
      <c r="AM167" s="727"/>
      <c r="AN167" s="727"/>
      <c r="AO167" s="727"/>
      <c r="AP167" s="727"/>
      <c r="AQ167" s="727"/>
      <c r="AR167" s="727"/>
      <c r="AS167" s="727"/>
      <c r="AT167" s="727"/>
      <c r="AU167" s="727"/>
      <c r="AV167" s="727"/>
      <c r="AW167" s="727"/>
      <c r="AX167" s="727"/>
      <c r="AY167" s="727"/>
      <c r="AZ167" s="727"/>
      <c r="BA167" s="727"/>
      <c r="BB167" s="727"/>
    </row>
    <row r="168" spans="1:54">
      <c r="A168" s="326"/>
      <c r="B168" s="982" t="s">
        <v>1054</v>
      </c>
      <c r="C168" s="727"/>
      <c r="D168" s="727"/>
      <c r="E168" s="727"/>
      <c r="F168" s="727"/>
      <c r="G168" s="727"/>
      <c r="H168" s="727"/>
      <c r="I168" s="727"/>
      <c r="J168" s="727"/>
      <c r="K168" s="727"/>
      <c r="L168" s="727"/>
      <c r="M168" s="727"/>
      <c r="N168" s="727"/>
      <c r="O168" s="727"/>
      <c r="P168" s="727"/>
      <c r="Q168" s="727"/>
      <c r="R168" s="727"/>
      <c r="S168" s="727"/>
      <c r="T168" s="727"/>
      <c r="U168" s="727"/>
      <c r="V168" s="727"/>
      <c r="W168" s="727"/>
      <c r="X168" s="727"/>
      <c r="Y168" s="727"/>
      <c r="Z168" s="727"/>
      <c r="AA168" s="727"/>
      <c r="AB168" s="727"/>
      <c r="AC168" s="727"/>
      <c r="AD168" s="727"/>
      <c r="AE168" s="727"/>
      <c r="AF168" s="727"/>
      <c r="AG168" s="727"/>
      <c r="AH168" s="727"/>
      <c r="AI168" s="727"/>
      <c r="AJ168" s="727"/>
      <c r="AK168" s="727"/>
      <c r="AL168" s="727"/>
      <c r="AM168" s="727"/>
      <c r="AN168" s="727"/>
      <c r="AO168" s="727"/>
      <c r="AP168" s="727"/>
      <c r="AQ168" s="727"/>
      <c r="AR168" s="727"/>
      <c r="AS168" s="727"/>
      <c r="AT168" s="727"/>
      <c r="AU168" s="727"/>
      <c r="AV168" s="727"/>
      <c r="AW168" s="727"/>
      <c r="AX168" s="727"/>
      <c r="AY168" s="727"/>
      <c r="AZ168" s="727"/>
      <c r="BA168" s="727"/>
      <c r="BB168" s="727"/>
    </row>
    <row r="169" spans="1:54">
      <c r="A169" s="326"/>
      <c r="B169" s="727" t="s">
        <v>1159</v>
      </c>
      <c r="C169" s="727"/>
      <c r="D169" s="727"/>
      <c r="E169" s="727"/>
      <c r="F169" s="727"/>
      <c r="G169" s="727"/>
      <c r="H169" s="727"/>
      <c r="I169" s="727"/>
      <c r="J169" s="727"/>
      <c r="K169" s="727"/>
      <c r="L169" s="727"/>
      <c r="M169" s="727"/>
      <c r="N169" s="727"/>
      <c r="O169" s="727"/>
      <c r="P169" s="727"/>
      <c r="Q169" s="727"/>
      <c r="R169" s="727"/>
      <c r="S169" s="727"/>
      <c r="T169" s="727"/>
      <c r="U169" s="727"/>
      <c r="V169" s="727"/>
      <c r="W169" s="727"/>
      <c r="X169" s="727"/>
      <c r="Y169" s="727"/>
      <c r="Z169" s="727"/>
      <c r="AA169" s="727"/>
      <c r="AB169" s="727"/>
      <c r="AC169" s="727"/>
      <c r="AD169" s="727"/>
      <c r="AE169" s="727"/>
      <c r="AF169" s="727"/>
      <c r="AG169" s="727"/>
      <c r="AH169" s="727"/>
      <c r="AI169" s="727"/>
      <c r="AJ169" s="727"/>
      <c r="AK169" s="727"/>
      <c r="AL169" s="727"/>
      <c r="AM169" s="727"/>
      <c r="AN169" s="727"/>
      <c r="AO169" s="727"/>
      <c r="AP169" s="727"/>
      <c r="AQ169" s="727"/>
      <c r="AR169" s="727"/>
      <c r="AS169" s="727"/>
      <c r="AT169" s="727"/>
      <c r="AU169" s="727"/>
      <c r="AV169" s="727"/>
      <c r="AW169" s="727"/>
      <c r="AX169" s="727"/>
      <c r="AY169" s="727"/>
      <c r="AZ169" s="727"/>
      <c r="BA169" s="727"/>
      <c r="BB169" s="727"/>
    </row>
    <row r="170" spans="1:54" ht="13.8" thickBot="1">
      <c r="A170" s="326"/>
      <c r="B170" s="31" t="s">
        <v>1063</v>
      </c>
      <c r="C170" s="723">
        <f>Cashflow!C$30</f>
        <v>2017</v>
      </c>
      <c r="D170" s="723">
        <f>Cashflow!D$30</f>
        <v>2018</v>
      </c>
      <c r="E170" s="723">
        <f>Cashflow!E$30</f>
        <v>2019</v>
      </c>
      <c r="F170" s="723">
        <f>Cashflow!F$30</f>
        <v>2020</v>
      </c>
      <c r="G170" s="723">
        <f>Cashflow!G$30</f>
        <v>2021</v>
      </c>
      <c r="H170" s="723">
        <f>Cashflow!H$30</f>
        <v>2022</v>
      </c>
      <c r="I170" s="723">
        <f>Cashflow!I$30</f>
        <v>2023</v>
      </c>
      <c r="J170" s="723">
        <f>Cashflow!J$30</f>
        <v>2024</v>
      </c>
      <c r="K170" s="723">
        <f>Cashflow!K$30</f>
        <v>2025</v>
      </c>
      <c r="L170" s="723">
        <f>Cashflow!L$30</f>
        <v>2026</v>
      </c>
      <c r="M170" s="723">
        <f>Cashflow!M$30</f>
        <v>2027</v>
      </c>
      <c r="N170" s="723">
        <f>Cashflow!N$30</f>
        <v>2028</v>
      </c>
      <c r="O170" s="723">
        <f>Cashflow!O$30</f>
        <v>2029</v>
      </c>
      <c r="P170" s="723">
        <f>Cashflow!P$30</f>
        <v>2030</v>
      </c>
      <c r="Q170" s="723">
        <f>Cashflow!Q$30</f>
        <v>2031</v>
      </c>
      <c r="R170" s="723">
        <f>Cashflow!R$30</f>
        <v>2032</v>
      </c>
      <c r="S170" s="723">
        <f>Cashflow!S$30</f>
        <v>2033</v>
      </c>
      <c r="T170" s="723">
        <f>Cashflow!T$30</f>
        <v>2034</v>
      </c>
      <c r="U170" s="723">
        <f>Cashflow!U$30</f>
        <v>2035</v>
      </c>
      <c r="V170" s="723">
        <f>Cashflow!V$30</f>
        <v>2036</v>
      </c>
      <c r="W170" s="723">
        <f>Cashflow!W$30</f>
        <v>2037</v>
      </c>
      <c r="X170" s="723">
        <f>Cashflow!X$30</f>
        <v>2038</v>
      </c>
      <c r="Y170" s="723">
        <f>Cashflow!Y$30</f>
        <v>2039</v>
      </c>
      <c r="Z170" s="723">
        <f>Cashflow!Z$30</f>
        <v>2040</v>
      </c>
      <c r="AA170" s="723">
        <f>Cashflow!AA$30</f>
        <v>2041</v>
      </c>
      <c r="AB170" s="723">
        <f>Cashflow!AB$30</f>
        <v>2042</v>
      </c>
      <c r="AC170" s="723">
        <f>Cashflow!AC$30</f>
        <v>2043</v>
      </c>
      <c r="AD170" s="723">
        <f>Cashflow!AD$30</f>
        <v>2044</v>
      </c>
      <c r="AE170" s="723">
        <f>Cashflow!AE$30</f>
        <v>2045</v>
      </c>
      <c r="AF170" s="723">
        <f>Cashflow!AF$30</f>
        <v>2046</v>
      </c>
      <c r="AG170" s="723">
        <f>Cashflow!AG$30</f>
        <v>2047</v>
      </c>
      <c r="AH170" s="727"/>
      <c r="AI170" s="727"/>
      <c r="AJ170" s="727"/>
      <c r="AK170" s="727"/>
      <c r="AL170" s="727"/>
      <c r="AM170" s="727"/>
      <c r="AN170" s="727"/>
      <c r="AO170" s="727"/>
      <c r="AP170" s="727"/>
      <c r="AQ170" s="727"/>
      <c r="AR170" s="727"/>
      <c r="AS170" s="727"/>
      <c r="AT170" s="727"/>
      <c r="AU170" s="727"/>
      <c r="AV170" s="727"/>
      <c r="AW170" s="727"/>
      <c r="AX170" s="727"/>
      <c r="AY170" s="727"/>
      <c r="AZ170" s="727"/>
      <c r="BA170" s="727"/>
      <c r="BB170" s="727"/>
    </row>
    <row r="171" spans="1:54" ht="13.8" thickTop="1">
      <c r="A171" s="326"/>
      <c r="B171" s="98" t="s">
        <v>1107</v>
      </c>
      <c r="C171" s="724">
        <f>Cashflow!C$58</f>
        <v>0</v>
      </c>
      <c r="D171" s="724">
        <f>Cashflow!D$58</f>
        <v>0</v>
      </c>
      <c r="E171" s="724">
        <f>Cashflow!E$58</f>
        <v>0</v>
      </c>
      <c r="F171" s="724">
        <f>Cashflow!F$58</f>
        <v>0</v>
      </c>
      <c r="G171" s="724">
        <f>Cashflow!G$58</f>
        <v>0</v>
      </c>
      <c r="H171" s="724">
        <f>Cashflow!H$58</f>
        <v>0</v>
      </c>
      <c r="I171" s="724">
        <f>Cashflow!I$58</f>
        <v>0</v>
      </c>
      <c r="J171" s="724">
        <f>Cashflow!J$58</f>
        <v>0</v>
      </c>
      <c r="K171" s="724">
        <f>Cashflow!K$58</f>
        <v>280</v>
      </c>
      <c r="L171" s="724">
        <f ca="1">Cashflow!L$58</f>
        <v>280</v>
      </c>
      <c r="M171" s="724">
        <f ca="1">Cashflow!M$58</f>
        <v>280</v>
      </c>
      <c r="N171" s="724">
        <f ca="1">Cashflow!N$58</f>
        <v>280</v>
      </c>
      <c r="O171" s="724">
        <f ca="1">Cashflow!O$58</f>
        <v>280</v>
      </c>
      <c r="P171" s="724">
        <f ca="1">Cashflow!P$58</f>
        <v>280</v>
      </c>
      <c r="Q171" s="724">
        <f ca="1">Cashflow!Q$58</f>
        <v>280</v>
      </c>
      <c r="R171" s="724">
        <f ca="1">Cashflow!R$58</f>
        <v>280</v>
      </c>
      <c r="S171" s="724">
        <f ca="1">Cashflow!S$58</f>
        <v>280</v>
      </c>
      <c r="T171" s="724">
        <f ca="1">Cashflow!T$58</f>
        <v>275.71891784600189</v>
      </c>
      <c r="U171" s="724">
        <f ca="1">Cashflow!U$58</f>
        <v>271.25054815487272</v>
      </c>
      <c r="V171" s="724">
        <f ca="1">Cashflow!V$58</f>
        <v>266.9694660008746</v>
      </c>
      <c r="W171" s="724">
        <f ca="1">Cashflow!W$58</f>
        <v>262.50109630974544</v>
      </c>
      <c r="X171" s="724">
        <f ca="1">Cashflow!X$58</f>
        <v>258.22001415574738</v>
      </c>
      <c r="Y171" s="724">
        <f ca="1">Cashflow!Y$58</f>
        <v>253.75164446461818</v>
      </c>
      <c r="Z171" s="724">
        <f ca="1">Cashflow!Z$58</f>
        <v>249.4705623106201</v>
      </c>
      <c r="AA171" s="724">
        <f ca="1">Cashflow!AA$58</f>
        <v>245.0021926194909</v>
      </c>
      <c r="AB171" s="724">
        <f ca="1">Cashflow!AB$58</f>
        <v>240.72111046549281</v>
      </c>
      <c r="AC171" s="724">
        <f ca="1">Cashflow!AC$58</f>
        <v>236.25274077436364</v>
      </c>
      <c r="AD171" s="724">
        <f ca="1">Cashflow!AD$58</f>
        <v>231.97165862036553</v>
      </c>
      <c r="AE171" s="724">
        <f ca="1">Cashflow!AE$58</f>
        <v>227.50328892923636</v>
      </c>
      <c r="AF171" s="724">
        <f ca="1">Cashflow!AF$58</f>
        <v>223.22220677523825</v>
      </c>
      <c r="AG171" s="724">
        <f ca="1">Cashflow!AG$58</f>
        <v>218.75383708410908</v>
      </c>
      <c r="AH171" s="727"/>
      <c r="AI171" s="727"/>
      <c r="AJ171" s="727"/>
      <c r="AK171" s="727"/>
      <c r="AL171" s="727"/>
      <c r="AM171" s="727"/>
      <c r="AN171" s="727"/>
      <c r="AO171" s="727"/>
      <c r="AP171" s="727"/>
      <c r="AQ171" s="727"/>
      <c r="AR171" s="727"/>
      <c r="AS171" s="727"/>
      <c r="AT171" s="727"/>
      <c r="AU171" s="727"/>
      <c r="AV171" s="727"/>
      <c r="AW171" s="727"/>
      <c r="AX171" s="727"/>
      <c r="AY171" s="727"/>
      <c r="AZ171" s="727"/>
      <c r="BA171" s="727"/>
      <c r="BB171" s="727"/>
    </row>
    <row r="172" spans="1:54">
      <c r="A172" s="326"/>
      <c r="B172" s="98" t="s">
        <v>1070</v>
      </c>
      <c r="C172" s="728" t="str">
        <f t="shared" ref="C172:AG172" si="33">IF(C$171=0,"",INDEX($B$12:$B$60,MATCH(C$171,$B$12:$B$60,1)))</f>
        <v/>
      </c>
      <c r="D172" s="728" t="str">
        <f t="shared" si="33"/>
        <v/>
      </c>
      <c r="E172" s="728" t="str">
        <f t="shared" si="33"/>
        <v/>
      </c>
      <c r="F172" s="728" t="str">
        <f t="shared" si="33"/>
        <v/>
      </c>
      <c r="G172" s="728" t="str">
        <f t="shared" si="33"/>
        <v/>
      </c>
      <c r="H172" s="728" t="str">
        <f t="shared" si="33"/>
        <v/>
      </c>
      <c r="I172" s="728" t="str">
        <f t="shared" si="33"/>
        <v/>
      </c>
      <c r="J172" s="728" t="str">
        <f t="shared" si="33"/>
        <v/>
      </c>
      <c r="K172" s="728">
        <f t="shared" si="33"/>
        <v>280</v>
      </c>
      <c r="L172" s="728">
        <f t="shared" ca="1" si="33"/>
        <v>280</v>
      </c>
      <c r="M172" s="728">
        <f t="shared" ca="1" si="33"/>
        <v>280</v>
      </c>
      <c r="N172" s="728">
        <f t="shared" ca="1" si="33"/>
        <v>280</v>
      </c>
      <c r="O172" s="728">
        <f t="shared" ca="1" si="33"/>
        <v>280</v>
      </c>
      <c r="P172" s="728">
        <f t="shared" ca="1" si="33"/>
        <v>280</v>
      </c>
      <c r="Q172" s="728">
        <f t="shared" ca="1" si="33"/>
        <v>280</v>
      </c>
      <c r="R172" s="728">
        <f t="shared" ca="1" si="33"/>
        <v>280</v>
      </c>
      <c r="S172" s="728">
        <f t="shared" ca="1" si="33"/>
        <v>280</v>
      </c>
      <c r="T172" s="728">
        <f t="shared" ca="1" si="33"/>
        <v>270</v>
      </c>
      <c r="U172" s="728">
        <f t="shared" ca="1" si="33"/>
        <v>270</v>
      </c>
      <c r="V172" s="728">
        <f t="shared" ca="1" si="33"/>
        <v>260</v>
      </c>
      <c r="W172" s="728">
        <f t="shared" ca="1" si="33"/>
        <v>260</v>
      </c>
      <c r="X172" s="728">
        <f t="shared" ca="1" si="33"/>
        <v>250</v>
      </c>
      <c r="Y172" s="728">
        <f t="shared" ca="1" si="33"/>
        <v>250</v>
      </c>
      <c r="Z172" s="728">
        <f t="shared" ca="1" si="33"/>
        <v>240</v>
      </c>
      <c r="AA172" s="728">
        <f t="shared" ca="1" si="33"/>
        <v>240</v>
      </c>
      <c r="AB172" s="728">
        <f t="shared" ca="1" si="33"/>
        <v>240</v>
      </c>
      <c r="AC172" s="728">
        <f t="shared" ca="1" si="33"/>
        <v>230</v>
      </c>
      <c r="AD172" s="728">
        <f t="shared" ca="1" si="33"/>
        <v>230</v>
      </c>
      <c r="AE172" s="728">
        <f t="shared" ca="1" si="33"/>
        <v>220</v>
      </c>
      <c r="AF172" s="728">
        <f t="shared" ca="1" si="33"/>
        <v>220</v>
      </c>
      <c r="AG172" s="728">
        <f t="shared" ca="1" si="33"/>
        <v>210</v>
      </c>
      <c r="AH172" s="727"/>
      <c r="AI172" s="727"/>
      <c r="AJ172" s="727"/>
      <c r="AK172" s="727"/>
      <c r="AL172" s="727"/>
      <c r="AM172" s="727"/>
      <c r="AN172" s="727"/>
      <c r="AO172" s="727"/>
      <c r="AP172" s="727"/>
      <c r="AQ172" s="727"/>
      <c r="AR172" s="727"/>
      <c r="AS172" s="727"/>
      <c r="AT172" s="727"/>
      <c r="AU172" s="727"/>
      <c r="AV172" s="727"/>
      <c r="AW172" s="727"/>
      <c r="AX172" s="727"/>
      <c r="AY172" s="727"/>
      <c r="AZ172" s="727"/>
      <c r="BA172" s="727"/>
      <c r="BB172" s="727"/>
    </row>
    <row r="173" spans="1:54">
      <c r="A173" s="326"/>
      <c r="B173" s="98" t="s">
        <v>1071</v>
      </c>
      <c r="C173" s="728" t="str">
        <f t="shared" ref="C173:AG173" si="34">IF(C$171=0,"",INDEX($B$12:$B$60,MATCH(C$171,$B$12:$B$60,1)+1))</f>
        <v/>
      </c>
      <c r="D173" s="728" t="str">
        <f t="shared" si="34"/>
        <v/>
      </c>
      <c r="E173" s="728" t="str">
        <f t="shared" si="34"/>
        <v/>
      </c>
      <c r="F173" s="728" t="str">
        <f t="shared" si="34"/>
        <v/>
      </c>
      <c r="G173" s="728" t="str">
        <f t="shared" si="34"/>
        <v/>
      </c>
      <c r="H173" s="728" t="str">
        <f t="shared" si="34"/>
        <v/>
      </c>
      <c r="I173" s="728" t="str">
        <f t="shared" si="34"/>
        <v/>
      </c>
      <c r="J173" s="728" t="str">
        <f t="shared" si="34"/>
        <v/>
      </c>
      <c r="K173" s="728">
        <f t="shared" si="34"/>
        <v>290</v>
      </c>
      <c r="L173" s="728">
        <f t="shared" ca="1" si="34"/>
        <v>290</v>
      </c>
      <c r="M173" s="728">
        <f t="shared" ca="1" si="34"/>
        <v>290</v>
      </c>
      <c r="N173" s="728">
        <f t="shared" ca="1" si="34"/>
        <v>290</v>
      </c>
      <c r="O173" s="728">
        <f t="shared" ca="1" si="34"/>
        <v>290</v>
      </c>
      <c r="P173" s="728">
        <f t="shared" ca="1" si="34"/>
        <v>290</v>
      </c>
      <c r="Q173" s="728">
        <f t="shared" ca="1" si="34"/>
        <v>290</v>
      </c>
      <c r="R173" s="728">
        <f t="shared" ca="1" si="34"/>
        <v>290</v>
      </c>
      <c r="S173" s="728">
        <f t="shared" ca="1" si="34"/>
        <v>290</v>
      </c>
      <c r="T173" s="728">
        <f t="shared" ca="1" si="34"/>
        <v>280</v>
      </c>
      <c r="U173" s="728">
        <f t="shared" ca="1" si="34"/>
        <v>280</v>
      </c>
      <c r="V173" s="728">
        <f t="shared" ca="1" si="34"/>
        <v>270</v>
      </c>
      <c r="W173" s="728">
        <f t="shared" ca="1" si="34"/>
        <v>270</v>
      </c>
      <c r="X173" s="728">
        <f t="shared" ca="1" si="34"/>
        <v>260</v>
      </c>
      <c r="Y173" s="728">
        <f t="shared" ca="1" si="34"/>
        <v>260</v>
      </c>
      <c r="Z173" s="728">
        <f t="shared" ca="1" si="34"/>
        <v>250</v>
      </c>
      <c r="AA173" s="728">
        <f t="shared" ca="1" si="34"/>
        <v>250</v>
      </c>
      <c r="AB173" s="728">
        <f t="shared" ca="1" si="34"/>
        <v>250</v>
      </c>
      <c r="AC173" s="728">
        <f t="shared" ca="1" si="34"/>
        <v>240</v>
      </c>
      <c r="AD173" s="728">
        <f t="shared" ca="1" si="34"/>
        <v>240</v>
      </c>
      <c r="AE173" s="728">
        <f t="shared" ca="1" si="34"/>
        <v>230</v>
      </c>
      <c r="AF173" s="728">
        <f t="shared" ca="1" si="34"/>
        <v>230</v>
      </c>
      <c r="AG173" s="728">
        <f t="shared" ca="1" si="34"/>
        <v>220</v>
      </c>
      <c r="AH173" s="727"/>
      <c r="AI173" s="727"/>
      <c r="AJ173" s="727"/>
      <c r="AK173" s="727"/>
      <c r="AL173" s="727"/>
      <c r="AM173" s="727"/>
      <c r="AN173" s="727"/>
      <c r="AO173" s="727"/>
      <c r="AP173" s="727"/>
      <c r="AQ173" s="727"/>
      <c r="AR173" s="727"/>
      <c r="AS173" s="727"/>
      <c r="AT173" s="727"/>
      <c r="AU173" s="727"/>
      <c r="AV173" s="727"/>
      <c r="AW173" s="727"/>
      <c r="AX173" s="727"/>
      <c r="AY173" s="727"/>
      <c r="AZ173" s="727"/>
      <c r="BA173" s="727"/>
      <c r="BB173" s="727"/>
    </row>
    <row r="174" spans="1:54">
      <c r="A174" s="326"/>
      <c r="B174" s="98" t="s">
        <v>1165</v>
      </c>
      <c r="C174" s="725" t="str">
        <f t="shared" ref="C174:AG174" si="35">IF(C$171=0,"",VLOOKUP(C$172,$B$12:$O$60,7,FALSE))</f>
        <v/>
      </c>
      <c r="D174" s="725" t="str">
        <f t="shared" si="35"/>
        <v/>
      </c>
      <c r="E174" s="725" t="str">
        <f t="shared" si="35"/>
        <v/>
      </c>
      <c r="F174" s="725" t="str">
        <f t="shared" si="35"/>
        <v/>
      </c>
      <c r="G174" s="725" t="str">
        <f t="shared" si="35"/>
        <v/>
      </c>
      <c r="H174" s="725" t="str">
        <f t="shared" si="35"/>
        <v/>
      </c>
      <c r="I174" s="725" t="str">
        <f t="shared" si="35"/>
        <v/>
      </c>
      <c r="J174" s="725" t="str">
        <f t="shared" si="35"/>
        <v/>
      </c>
      <c r="K174" s="725">
        <f t="shared" si="35"/>
        <v>1236.9000000000001</v>
      </c>
      <c r="L174" s="725">
        <f t="shared" ca="1" si="35"/>
        <v>1236.9000000000001</v>
      </c>
      <c r="M174" s="725">
        <f t="shared" ca="1" si="35"/>
        <v>1236.9000000000001</v>
      </c>
      <c r="N174" s="725">
        <f t="shared" ca="1" si="35"/>
        <v>1236.9000000000001</v>
      </c>
      <c r="O174" s="725">
        <f t="shared" ca="1" si="35"/>
        <v>1236.9000000000001</v>
      </c>
      <c r="P174" s="725">
        <f t="shared" ca="1" si="35"/>
        <v>1236.9000000000001</v>
      </c>
      <c r="Q174" s="725">
        <f t="shared" ca="1" si="35"/>
        <v>1236.9000000000001</v>
      </c>
      <c r="R174" s="725">
        <f t="shared" ca="1" si="35"/>
        <v>1236.9000000000001</v>
      </c>
      <c r="S174" s="725">
        <f t="shared" ca="1" si="35"/>
        <v>1236.9000000000001</v>
      </c>
      <c r="T174" s="725">
        <f t="shared" ca="1" si="35"/>
        <v>1185.3</v>
      </c>
      <c r="U174" s="725">
        <f t="shared" ca="1" si="35"/>
        <v>1185.3</v>
      </c>
      <c r="V174" s="725">
        <f t="shared" ca="1" si="35"/>
        <v>1135</v>
      </c>
      <c r="W174" s="725">
        <f t="shared" ca="1" si="35"/>
        <v>1135</v>
      </c>
      <c r="X174" s="725">
        <f t="shared" ca="1" si="35"/>
        <v>1085.8</v>
      </c>
      <c r="Y174" s="725">
        <f t="shared" ca="1" si="35"/>
        <v>1085.8</v>
      </c>
      <c r="Z174" s="725">
        <f t="shared" ca="1" si="35"/>
        <v>1037.5999999999999</v>
      </c>
      <c r="AA174" s="725">
        <f t="shared" ca="1" si="35"/>
        <v>1037.5999999999999</v>
      </c>
      <c r="AB174" s="725">
        <f t="shared" ca="1" si="35"/>
        <v>1037.5999999999999</v>
      </c>
      <c r="AC174" s="725">
        <f t="shared" ca="1" si="35"/>
        <v>990.19</v>
      </c>
      <c r="AD174" s="725">
        <f t="shared" ca="1" si="35"/>
        <v>990.19</v>
      </c>
      <c r="AE174" s="725">
        <f t="shared" ca="1" si="35"/>
        <v>943.58</v>
      </c>
      <c r="AF174" s="725">
        <f t="shared" ca="1" si="35"/>
        <v>943.58</v>
      </c>
      <c r="AG174" s="725">
        <f t="shared" ca="1" si="35"/>
        <v>897.63</v>
      </c>
      <c r="AH174" s="727"/>
      <c r="AI174" s="727"/>
      <c r="AJ174" s="727"/>
      <c r="AK174" s="727"/>
      <c r="AL174" s="727"/>
      <c r="AM174" s="727"/>
      <c r="AN174" s="727"/>
      <c r="AO174" s="727"/>
      <c r="AP174" s="727"/>
      <c r="AQ174" s="727"/>
      <c r="AR174" s="727"/>
      <c r="AS174" s="727"/>
      <c r="AT174" s="727"/>
      <c r="AU174" s="727"/>
      <c r="AV174" s="727"/>
      <c r="AW174" s="727"/>
      <c r="AX174" s="727"/>
      <c r="AY174" s="727"/>
      <c r="AZ174" s="727"/>
      <c r="BA174" s="727"/>
      <c r="BB174" s="727"/>
    </row>
    <row r="175" spans="1:54">
      <c r="A175" s="326"/>
      <c r="B175" s="98" t="s">
        <v>1166</v>
      </c>
      <c r="C175" s="725" t="str">
        <f t="shared" ref="C175:AG175" si="36">IF(C$171=0,"",VLOOKUP(C$173,$B$12:$O$60,7,FALSE))</f>
        <v/>
      </c>
      <c r="D175" s="725" t="str">
        <f t="shared" si="36"/>
        <v/>
      </c>
      <c r="E175" s="725" t="str">
        <f t="shared" si="36"/>
        <v/>
      </c>
      <c r="F175" s="725" t="str">
        <f t="shared" si="36"/>
        <v/>
      </c>
      <c r="G175" s="725" t="str">
        <f t="shared" si="36"/>
        <v/>
      </c>
      <c r="H175" s="725" t="str">
        <f t="shared" si="36"/>
        <v/>
      </c>
      <c r="I175" s="725" t="str">
        <f t="shared" si="36"/>
        <v/>
      </c>
      <c r="J175" s="725" t="str">
        <f t="shared" si="36"/>
        <v/>
      </c>
      <c r="K175" s="725">
        <f t="shared" si="36"/>
        <v>1290</v>
      </c>
      <c r="L175" s="725">
        <f t="shared" ca="1" si="36"/>
        <v>1290</v>
      </c>
      <c r="M175" s="725">
        <f t="shared" ca="1" si="36"/>
        <v>1290</v>
      </c>
      <c r="N175" s="725">
        <f t="shared" ca="1" si="36"/>
        <v>1290</v>
      </c>
      <c r="O175" s="725">
        <f t="shared" ca="1" si="36"/>
        <v>1290</v>
      </c>
      <c r="P175" s="725">
        <f t="shared" ca="1" si="36"/>
        <v>1290</v>
      </c>
      <c r="Q175" s="725">
        <f t="shared" ca="1" si="36"/>
        <v>1290</v>
      </c>
      <c r="R175" s="725">
        <f t="shared" ca="1" si="36"/>
        <v>1290</v>
      </c>
      <c r="S175" s="725">
        <f t="shared" ca="1" si="36"/>
        <v>1290</v>
      </c>
      <c r="T175" s="725">
        <f t="shared" ca="1" si="36"/>
        <v>1236.9000000000001</v>
      </c>
      <c r="U175" s="725">
        <f t="shared" ca="1" si="36"/>
        <v>1236.9000000000001</v>
      </c>
      <c r="V175" s="725">
        <f t="shared" ca="1" si="36"/>
        <v>1185.3</v>
      </c>
      <c r="W175" s="725">
        <f t="shared" ca="1" si="36"/>
        <v>1185.3</v>
      </c>
      <c r="X175" s="725">
        <f t="shared" ca="1" si="36"/>
        <v>1135</v>
      </c>
      <c r="Y175" s="725">
        <f t="shared" ca="1" si="36"/>
        <v>1135</v>
      </c>
      <c r="Z175" s="725">
        <f t="shared" ca="1" si="36"/>
        <v>1085.8</v>
      </c>
      <c r="AA175" s="725">
        <f t="shared" ca="1" si="36"/>
        <v>1085.8</v>
      </c>
      <c r="AB175" s="725">
        <f t="shared" ca="1" si="36"/>
        <v>1085.8</v>
      </c>
      <c r="AC175" s="725">
        <f t="shared" ca="1" si="36"/>
        <v>1037.5999999999999</v>
      </c>
      <c r="AD175" s="725">
        <f t="shared" ca="1" si="36"/>
        <v>1037.5999999999999</v>
      </c>
      <c r="AE175" s="725">
        <f t="shared" ca="1" si="36"/>
        <v>990.19</v>
      </c>
      <c r="AF175" s="725">
        <f t="shared" ca="1" si="36"/>
        <v>990.19</v>
      </c>
      <c r="AG175" s="725">
        <f t="shared" ca="1" si="36"/>
        <v>943.58</v>
      </c>
      <c r="AH175" s="727"/>
      <c r="AI175" s="727"/>
      <c r="AJ175" s="727"/>
      <c r="AK175" s="727"/>
      <c r="AL175" s="727"/>
      <c r="AM175" s="727"/>
      <c r="AN175" s="727"/>
      <c r="AO175" s="727"/>
      <c r="AP175" s="727"/>
      <c r="AQ175" s="727"/>
      <c r="AR175" s="727"/>
      <c r="AS175" s="727"/>
      <c r="AT175" s="727"/>
      <c r="AU175" s="727"/>
      <c r="AV175" s="727"/>
      <c r="AW175" s="727"/>
      <c r="AX175" s="727"/>
      <c r="AY175" s="727"/>
      <c r="AZ175" s="727"/>
      <c r="BA175" s="727"/>
      <c r="BB175" s="727"/>
    </row>
    <row r="176" spans="1:54">
      <c r="A176" s="326"/>
      <c r="B176" s="98" t="s">
        <v>1160</v>
      </c>
      <c r="C176" s="726">
        <f t="shared" ref="C176:AG176" si="37">IF(C$171=0,0,IF(C$171&gt;MAX($B$69:$B$108),C174,C174+(C$171-C$172)*(C175-C174)/(C$173-C$172)))</f>
        <v>0</v>
      </c>
      <c r="D176" s="726">
        <f t="shared" si="37"/>
        <v>0</v>
      </c>
      <c r="E176" s="726">
        <f t="shared" si="37"/>
        <v>0</v>
      </c>
      <c r="F176" s="726">
        <f t="shared" si="37"/>
        <v>0</v>
      </c>
      <c r="G176" s="726">
        <f t="shared" si="37"/>
        <v>0</v>
      </c>
      <c r="H176" s="726">
        <f t="shared" si="37"/>
        <v>0</v>
      </c>
      <c r="I176" s="726">
        <f t="shared" si="37"/>
        <v>0</v>
      </c>
      <c r="J176" s="726">
        <f t="shared" si="37"/>
        <v>0</v>
      </c>
      <c r="K176" s="726">
        <f t="shared" si="37"/>
        <v>1236.9000000000001</v>
      </c>
      <c r="L176" s="726">
        <f t="shared" ca="1" si="37"/>
        <v>1236.9000000000001</v>
      </c>
      <c r="M176" s="726">
        <f t="shared" ca="1" si="37"/>
        <v>1236.9000000000001</v>
      </c>
      <c r="N176" s="726">
        <f t="shared" ca="1" si="37"/>
        <v>1236.9000000000001</v>
      </c>
      <c r="O176" s="726">
        <f t="shared" ca="1" si="37"/>
        <v>1236.9000000000001</v>
      </c>
      <c r="P176" s="726">
        <f t="shared" ca="1" si="37"/>
        <v>1236.9000000000001</v>
      </c>
      <c r="Q176" s="726">
        <f t="shared" ca="1" si="37"/>
        <v>1236.9000000000001</v>
      </c>
      <c r="R176" s="726">
        <f t="shared" ca="1" si="37"/>
        <v>1236.9000000000001</v>
      </c>
      <c r="S176" s="726">
        <f t="shared" ca="1" si="37"/>
        <v>1236.9000000000001</v>
      </c>
      <c r="T176" s="726">
        <f t="shared" ca="1" si="37"/>
        <v>1214.8096160853697</v>
      </c>
      <c r="U176" s="726">
        <f t="shared" ca="1" si="37"/>
        <v>1191.7528284791431</v>
      </c>
      <c r="V176" s="726">
        <f t="shared" ca="1" si="37"/>
        <v>1170.0564139843991</v>
      </c>
      <c r="W176" s="726">
        <f t="shared" ca="1" si="37"/>
        <v>1147.5805144380195</v>
      </c>
      <c r="X176" s="726">
        <f t="shared" ca="1" si="37"/>
        <v>1126.2424696462772</v>
      </c>
      <c r="Y176" s="726">
        <f t="shared" ca="1" si="37"/>
        <v>1104.2580907659215</v>
      </c>
      <c r="Z176" s="726">
        <f t="shared" ca="1" si="37"/>
        <v>1083.2481103371888</v>
      </c>
      <c r="AA176" s="726">
        <f t="shared" ca="1" si="37"/>
        <v>1061.7105684259461</v>
      </c>
      <c r="AB176" s="726">
        <f t="shared" ca="1" si="37"/>
        <v>1041.0757524436754</v>
      </c>
      <c r="AC176" s="726">
        <f t="shared" ca="1" si="37"/>
        <v>1019.834244011258</v>
      </c>
      <c r="AD176" s="726">
        <f t="shared" ca="1" si="37"/>
        <v>999.53763351915302</v>
      </c>
      <c r="AE176" s="726">
        <f t="shared" ca="1" si="37"/>
        <v>978.55282969917073</v>
      </c>
      <c r="AF176" s="726">
        <f t="shared" ca="1" si="37"/>
        <v>958.59870577938557</v>
      </c>
      <c r="AG176" s="726">
        <f t="shared" ca="1" si="37"/>
        <v>937.8538814014812</v>
      </c>
      <c r="AH176" s="727"/>
      <c r="AI176" s="727"/>
      <c r="AJ176" s="727"/>
      <c r="AK176" s="727"/>
      <c r="AL176" s="727"/>
      <c r="AM176" s="727"/>
      <c r="AN176" s="727"/>
      <c r="AO176" s="727"/>
      <c r="AP176" s="727"/>
      <c r="AQ176" s="727"/>
      <c r="AR176" s="727"/>
      <c r="AS176" s="727"/>
      <c r="AT176" s="727"/>
      <c r="AU176" s="727"/>
      <c r="AV176" s="727"/>
      <c r="AW176" s="727"/>
      <c r="AX176" s="727"/>
      <c r="AY176" s="727"/>
      <c r="AZ176" s="727"/>
      <c r="BA176" s="727"/>
      <c r="BB176" s="727"/>
    </row>
    <row r="177" spans="1:54">
      <c r="A177" s="326"/>
      <c r="B177" s="98" t="s">
        <v>1161</v>
      </c>
      <c r="C177" s="834">
        <f t="shared" ref="C177:J177" si="38">IF(C$171=0,0,$T$24)</f>
        <v>0</v>
      </c>
      <c r="D177" s="834">
        <f t="shared" si="38"/>
        <v>0</v>
      </c>
      <c r="E177" s="834">
        <f t="shared" si="38"/>
        <v>0</v>
      </c>
      <c r="F177" s="834">
        <f t="shared" si="38"/>
        <v>0</v>
      </c>
      <c r="G177" s="834">
        <f t="shared" si="38"/>
        <v>0</v>
      </c>
      <c r="H177" s="834">
        <f t="shared" si="38"/>
        <v>0</v>
      </c>
      <c r="I177" s="834">
        <f t="shared" si="38"/>
        <v>0</v>
      </c>
      <c r="J177" s="834">
        <f t="shared" si="38"/>
        <v>0</v>
      </c>
      <c r="K177" s="834">
        <v>22</v>
      </c>
      <c r="L177" s="834">
        <f t="shared" ref="L177:AG177" ca="1" si="39">IF(L$171=0,0,$T$24)</f>
        <v>3.5</v>
      </c>
      <c r="M177" s="834">
        <f t="shared" ca="1" si="39"/>
        <v>3.5</v>
      </c>
      <c r="N177" s="834">
        <f t="shared" ca="1" si="39"/>
        <v>3.5</v>
      </c>
      <c r="O177" s="834">
        <f t="shared" ca="1" si="39"/>
        <v>3.5</v>
      </c>
      <c r="P177" s="834">
        <f t="shared" ca="1" si="39"/>
        <v>3.5</v>
      </c>
      <c r="Q177" s="834">
        <f t="shared" ca="1" si="39"/>
        <v>3.5</v>
      </c>
      <c r="R177" s="834">
        <f t="shared" ca="1" si="39"/>
        <v>3.5</v>
      </c>
      <c r="S177" s="834">
        <f t="shared" ca="1" si="39"/>
        <v>3.5</v>
      </c>
      <c r="T177" s="834">
        <f t="shared" ca="1" si="39"/>
        <v>3.5</v>
      </c>
      <c r="U177" s="834">
        <f t="shared" ca="1" si="39"/>
        <v>3.5</v>
      </c>
      <c r="V177" s="834">
        <f t="shared" ca="1" si="39"/>
        <v>3.5</v>
      </c>
      <c r="W177" s="834">
        <f t="shared" ca="1" si="39"/>
        <v>3.5</v>
      </c>
      <c r="X177" s="834">
        <f t="shared" ca="1" si="39"/>
        <v>3.5</v>
      </c>
      <c r="Y177" s="834">
        <f t="shared" ca="1" si="39"/>
        <v>3.5</v>
      </c>
      <c r="Z177" s="834">
        <f t="shared" ca="1" si="39"/>
        <v>3.5</v>
      </c>
      <c r="AA177" s="834">
        <f t="shared" ca="1" si="39"/>
        <v>3.5</v>
      </c>
      <c r="AB177" s="834">
        <f t="shared" ca="1" si="39"/>
        <v>3.5</v>
      </c>
      <c r="AC177" s="834">
        <f t="shared" ca="1" si="39"/>
        <v>3.5</v>
      </c>
      <c r="AD177" s="834">
        <f t="shared" ca="1" si="39"/>
        <v>3.5</v>
      </c>
      <c r="AE177" s="834">
        <f t="shared" ca="1" si="39"/>
        <v>3.5</v>
      </c>
      <c r="AF177" s="834">
        <f t="shared" ca="1" si="39"/>
        <v>3.5</v>
      </c>
      <c r="AG177" s="834">
        <f t="shared" ca="1" si="39"/>
        <v>3.5</v>
      </c>
      <c r="AH177" s="727"/>
      <c r="AI177" s="727"/>
      <c r="AJ177" s="727"/>
      <c r="AK177" s="727"/>
      <c r="AL177" s="727"/>
      <c r="AM177" s="727"/>
      <c r="AN177" s="727"/>
      <c r="AO177" s="727"/>
      <c r="AP177" s="727"/>
      <c r="AQ177" s="727"/>
      <c r="AR177" s="727"/>
      <c r="AS177" s="727"/>
      <c r="AT177" s="727"/>
      <c r="AU177" s="727"/>
      <c r="AV177" s="727"/>
      <c r="AW177" s="727"/>
      <c r="AX177" s="727"/>
      <c r="AY177" s="727"/>
      <c r="AZ177" s="727"/>
      <c r="BA177" s="727"/>
      <c r="BB177" s="727"/>
    </row>
    <row r="178" spans="1:54">
      <c r="A178" s="326"/>
      <c r="B178" s="98" t="s">
        <v>1162</v>
      </c>
      <c r="C178" s="728" t="str">
        <f t="shared" ref="C178:AG178" si="40">IF(C$177=0,"",INDEX($C$12:$C$60,MATCH(C$177,$C$12:$C$60,1)))</f>
        <v/>
      </c>
      <c r="D178" s="728" t="str">
        <f t="shared" si="40"/>
        <v/>
      </c>
      <c r="E178" s="728" t="str">
        <f t="shared" si="40"/>
        <v/>
      </c>
      <c r="F178" s="728" t="str">
        <f t="shared" si="40"/>
        <v/>
      </c>
      <c r="G178" s="728" t="str">
        <f t="shared" si="40"/>
        <v/>
      </c>
      <c r="H178" s="728" t="str">
        <f t="shared" si="40"/>
        <v/>
      </c>
      <c r="I178" s="728" t="str">
        <f t="shared" si="40"/>
        <v/>
      </c>
      <c r="J178" s="728" t="str">
        <f t="shared" si="40"/>
        <v/>
      </c>
      <c r="K178" s="728">
        <f t="shared" si="40"/>
        <v>21.044</v>
      </c>
      <c r="L178" s="728">
        <f t="shared" ca="1" si="40"/>
        <v>3.3469000000000002</v>
      </c>
      <c r="M178" s="728">
        <f t="shared" ca="1" si="40"/>
        <v>3.3469000000000002</v>
      </c>
      <c r="N178" s="728">
        <f t="shared" ca="1" si="40"/>
        <v>3.3469000000000002</v>
      </c>
      <c r="O178" s="728">
        <f t="shared" ca="1" si="40"/>
        <v>3.3469000000000002</v>
      </c>
      <c r="P178" s="728">
        <f t="shared" ca="1" si="40"/>
        <v>3.3469000000000002</v>
      </c>
      <c r="Q178" s="728">
        <f t="shared" ca="1" si="40"/>
        <v>3.3469000000000002</v>
      </c>
      <c r="R178" s="728">
        <f t="shared" ca="1" si="40"/>
        <v>3.3469000000000002</v>
      </c>
      <c r="S178" s="728">
        <f t="shared" ca="1" si="40"/>
        <v>3.3469000000000002</v>
      </c>
      <c r="T178" s="728">
        <f t="shared" ca="1" si="40"/>
        <v>3.3469000000000002</v>
      </c>
      <c r="U178" s="728">
        <f t="shared" ca="1" si="40"/>
        <v>3.3469000000000002</v>
      </c>
      <c r="V178" s="728">
        <f t="shared" ca="1" si="40"/>
        <v>3.3469000000000002</v>
      </c>
      <c r="W178" s="728">
        <f t="shared" ca="1" si="40"/>
        <v>3.3469000000000002</v>
      </c>
      <c r="X178" s="728">
        <f t="shared" ca="1" si="40"/>
        <v>3.3469000000000002</v>
      </c>
      <c r="Y178" s="728">
        <f t="shared" ca="1" si="40"/>
        <v>3.3469000000000002</v>
      </c>
      <c r="Z178" s="728">
        <f t="shared" ca="1" si="40"/>
        <v>3.3469000000000002</v>
      </c>
      <c r="AA178" s="728">
        <f t="shared" ca="1" si="40"/>
        <v>3.3469000000000002</v>
      </c>
      <c r="AB178" s="728">
        <f t="shared" ca="1" si="40"/>
        <v>3.3469000000000002</v>
      </c>
      <c r="AC178" s="728">
        <f t="shared" ca="1" si="40"/>
        <v>3.3469000000000002</v>
      </c>
      <c r="AD178" s="728">
        <f t="shared" ca="1" si="40"/>
        <v>3.3469000000000002</v>
      </c>
      <c r="AE178" s="728">
        <f t="shared" ca="1" si="40"/>
        <v>3.3469000000000002</v>
      </c>
      <c r="AF178" s="728">
        <f t="shared" ca="1" si="40"/>
        <v>3.3469000000000002</v>
      </c>
      <c r="AG178" s="728">
        <f t="shared" ca="1" si="40"/>
        <v>3.3469000000000002</v>
      </c>
      <c r="AH178" s="727"/>
      <c r="AI178" s="727"/>
      <c r="AJ178" s="727"/>
      <c r="AK178" s="727"/>
      <c r="AL178" s="727"/>
      <c r="AM178" s="727"/>
      <c r="AN178" s="727"/>
      <c r="AO178" s="727"/>
      <c r="AP178" s="727"/>
      <c r="AQ178" s="727"/>
      <c r="AR178" s="727"/>
      <c r="AS178" s="727"/>
      <c r="AT178" s="727"/>
      <c r="AU178" s="727"/>
      <c r="AV178" s="727"/>
      <c r="AW178" s="727"/>
      <c r="AX178" s="727"/>
      <c r="AY178" s="727"/>
      <c r="AZ178" s="727"/>
      <c r="BA178" s="727"/>
      <c r="BB178" s="727"/>
    </row>
    <row r="179" spans="1:54">
      <c r="A179" s="326"/>
      <c r="B179" s="98" t="s">
        <v>1163</v>
      </c>
      <c r="C179" s="728" t="str">
        <f t="shared" ref="C179:AG179" si="41">IF(C$177=0,"",INDEX($C$12:$C$60,MATCH(C$177,$C$12:$C$60,1)+1))</f>
        <v/>
      </c>
      <c r="D179" s="728" t="str">
        <f t="shared" si="41"/>
        <v/>
      </c>
      <c r="E179" s="728" t="str">
        <f t="shared" si="41"/>
        <v/>
      </c>
      <c r="F179" s="728" t="str">
        <f t="shared" si="41"/>
        <v/>
      </c>
      <c r="G179" s="728" t="str">
        <f t="shared" si="41"/>
        <v/>
      </c>
      <c r="H179" s="728" t="str">
        <f t="shared" si="41"/>
        <v/>
      </c>
      <c r="I179" s="728" t="str">
        <f t="shared" si="41"/>
        <v/>
      </c>
      <c r="J179" s="728" t="str">
        <f t="shared" si="41"/>
        <v/>
      </c>
      <c r="K179" s="728">
        <f t="shared" si="41"/>
        <v>22.064</v>
      </c>
      <c r="L179" s="728">
        <f t="shared" ca="1" si="41"/>
        <v>3.9762</v>
      </c>
      <c r="M179" s="728">
        <f t="shared" ca="1" si="41"/>
        <v>3.9762</v>
      </c>
      <c r="N179" s="728">
        <f t="shared" ca="1" si="41"/>
        <v>3.9762</v>
      </c>
      <c r="O179" s="728">
        <f t="shared" ca="1" si="41"/>
        <v>3.9762</v>
      </c>
      <c r="P179" s="728">
        <f t="shared" ca="1" si="41"/>
        <v>3.9762</v>
      </c>
      <c r="Q179" s="728">
        <f t="shared" ca="1" si="41"/>
        <v>3.9762</v>
      </c>
      <c r="R179" s="728">
        <f t="shared" ca="1" si="41"/>
        <v>3.9762</v>
      </c>
      <c r="S179" s="728">
        <f t="shared" ca="1" si="41"/>
        <v>3.9762</v>
      </c>
      <c r="T179" s="728">
        <f t="shared" ca="1" si="41"/>
        <v>3.9762</v>
      </c>
      <c r="U179" s="728">
        <f t="shared" ca="1" si="41"/>
        <v>3.9762</v>
      </c>
      <c r="V179" s="728">
        <f t="shared" ca="1" si="41"/>
        <v>3.9762</v>
      </c>
      <c r="W179" s="728">
        <f t="shared" ca="1" si="41"/>
        <v>3.9762</v>
      </c>
      <c r="X179" s="728">
        <f t="shared" ca="1" si="41"/>
        <v>3.9762</v>
      </c>
      <c r="Y179" s="728">
        <f t="shared" ca="1" si="41"/>
        <v>3.9762</v>
      </c>
      <c r="Z179" s="728">
        <f t="shared" ca="1" si="41"/>
        <v>3.9762</v>
      </c>
      <c r="AA179" s="728">
        <f t="shared" ca="1" si="41"/>
        <v>3.9762</v>
      </c>
      <c r="AB179" s="728">
        <f t="shared" ca="1" si="41"/>
        <v>3.9762</v>
      </c>
      <c r="AC179" s="728">
        <f t="shared" ca="1" si="41"/>
        <v>3.9762</v>
      </c>
      <c r="AD179" s="728">
        <f t="shared" ca="1" si="41"/>
        <v>3.9762</v>
      </c>
      <c r="AE179" s="728">
        <f t="shared" ca="1" si="41"/>
        <v>3.9762</v>
      </c>
      <c r="AF179" s="728">
        <f t="shared" ca="1" si="41"/>
        <v>3.9762</v>
      </c>
      <c r="AG179" s="728">
        <f t="shared" ca="1" si="41"/>
        <v>3.9762</v>
      </c>
      <c r="AH179" s="727"/>
      <c r="AI179" s="727"/>
      <c r="AJ179" s="727"/>
      <c r="AK179" s="727"/>
      <c r="AL179" s="727"/>
      <c r="AM179" s="727"/>
      <c r="AN179" s="727"/>
      <c r="AO179" s="727"/>
      <c r="AP179" s="727"/>
      <c r="AQ179" s="727"/>
      <c r="AR179" s="727"/>
      <c r="AS179" s="727"/>
      <c r="AT179" s="727"/>
      <c r="AU179" s="727"/>
      <c r="AV179" s="727"/>
      <c r="AW179" s="727"/>
      <c r="AX179" s="727"/>
      <c r="AY179" s="727"/>
      <c r="AZ179" s="727"/>
      <c r="BA179" s="727"/>
      <c r="BB179" s="727"/>
    </row>
    <row r="180" spans="1:54">
      <c r="A180" s="326"/>
      <c r="B180" s="98" t="s">
        <v>1165</v>
      </c>
      <c r="C180" s="725" t="str">
        <f t="shared" ref="C180:AG180" si="42">IF(C$177=0,"",VLOOKUP(C$178,$C$12:$O$60,6,FALSE))</f>
        <v/>
      </c>
      <c r="D180" s="725" t="str">
        <f t="shared" si="42"/>
        <v/>
      </c>
      <c r="E180" s="725" t="str">
        <f t="shared" si="42"/>
        <v/>
      </c>
      <c r="F180" s="725" t="str">
        <f t="shared" si="42"/>
        <v/>
      </c>
      <c r="G180" s="725" t="str">
        <f t="shared" si="42"/>
        <v/>
      </c>
      <c r="H180" s="725" t="str">
        <f t="shared" si="42"/>
        <v/>
      </c>
      <c r="I180" s="725" t="str">
        <f t="shared" si="42"/>
        <v/>
      </c>
      <c r="J180" s="725" t="str">
        <f t="shared" si="42"/>
        <v/>
      </c>
      <c r="K180" s="725">
        <f t="shared" si="42"/>
        <v>1890.7</v>
      </c>
      <c r="L180" s="725">
        <f t="shared" ca="1" si="42"/>
        <v>1037.5999999999999</v>
      </c>
      <c r="M180" s="725">
        <f t="shared" ca="1" si="42"/>
        <v>1037.5999999999999</v>
      </c>
      <c r="N180" s="725">
        <f t="shared" ca="1" si="42"/>
        <v>1037.5999999999999</v>
      </c>
      <c r="O180" s="725">
        <f t="shared" ca="1" si="42"/>
        <v>1037.5999999999999</v>
      </c>
      <c r="P180" s="725">
        <f t="shared" ca="1" si="42"/>
        <v>1037.5999999999999</v>
      </c>
      <c r="Q180" s="725">
        <f t="shared" ca="1" si="42"/>
        <v>1037.5999999999999</v>
      </c>
      <c r="R180" s="725">
        <f t="shared" ca="1" si="42"/>
        <v>1037.5999999999999</v>
      </c>
      <c r="S180" s="725">
        <f t="shared" ca="1" si="42"/>
        <v>1037.5999999999999</v>
      </c>
      <c r="T180" s="725">
        <f t="shared" ca="1" si="42"/>
        <v>1037.5999999999999</v>
      </c>
      <c r="U180" s="725">
        <f t="shared" ca="1" si="42"/>
        <v>1037.5999999999999</v>
      </c>
      <c r="V180" s="725">
        <f t="shared" ca="1" si="42"/>
        <v>1037.5999999999999</v>
      </c>
      <c r="W180" s="725">
        <f t="shared" ca="1" si="42"/>
        <v>1037.5999999999999</v>
      </c>
      <c r="X180" s="725">
        <f t="shared" ca="1" si="42"/>
        <v>1037.5999999999999</v>
      </c>
      <c r="Y180" s="725">
        <f t="shared" ca="1" si="42"/>
        <v>1037.5999999999999</v>
      </c>
      <c r="Z180" s="725">
        <f t="shared" ca="1" si="42"/>
        <v>1037.5999999999999</v>
      </c>
      <c r="AA180" s="725">
        <f t="shared" ca="1" si="42"/>
        <v>1037.5999999999999</v>
      </c>
      <c r="AB180" s="725">
        <f t="shared" ca="1" si="42"/>
        <v>1037.5999999999999</v>
      </c>
      <c r="AC180" s="725">
        <f t="shared" ca="1" si="42"/>
        <v>1037.5999999999999</v>
      </c>
      <c r="AD180" s="725">
        <f t="shared" ca="1" si="42"/>
        <v>1037.5999999999999</v>
      </c>
      <c r="AE180" s="725">
        <f t="shared" ca="1" si="42"/>
        <v>1037.5999999999999</v>
      </c>
      <c r="AF180" s="725">
        <f t="shared" ca="1" si="42"/>
        <v>1037.5999999999999</v>
      </c>
      <c r="AG180" s="725">
        <f t="shared" ca="1" si="42"/>
        <v>1037.5999999999999</v>
      </c>
      <c r="AH180" s="727"/>
      <c r="AI180" s="727"/>
      <c r="AJ180" s="727"/>
      <c r="AK180" s="727"/>
      <c r="AL180" s="727"/>
      <c r="AM180" s="727"/>
      <c r="AN180" s="727"/>
      <c r="AO180" s="727"/>
      <c r="AP180" s="727"/>
      <c r="AQ180" s="727"/>
      <c r="AR180" s="727"/>
      <c r="AS180" s="727"/>
      <c r="AT180" s="727"/>
      <c r="AU180" s="727"/>
      <c r="AV180" s="727"/>
      <c r="AW180" s="727"/>
      <c r="AX180" s="727"/>
      <c r="AY180" s="727"/>
      <c r="AZ180" s="727"/>
      <c r="BA180" s="727"/>
      <c r="BB180" s="727"/>
    </row>
    <row r="181" spans="1:54">
      <c r="A181" s="326"/>
      <c r="B181" s="98" t="s">
        <v>1166</v>
      </c>
      <c r="C181" s="725" t="str">
        <f t="shared" ref="C181:AG181" si="43">IF(C$177=0,"",VLOOKUP(C$179,$C$12:$O$60,6,FALSE))</f>
        <v/>
      </c>
      <c r="D181" s="725" t="str">
        <f t="shared" si="43"/>
        <v/>
      </c>
      <c r="E181" s="725" t="str">
        <f t="shared" si="43"/>
        <v/>
      </c>
      <c r="F181" s="725" t="str">
        <f t="shared" si="43"/>
        <v/>
      </c>
      <c r="G181" s="725" t="str">
        <f t="shared" si="43"/>
        <v/>
      </c>
      <c r="H181" s="725" t="str">
        <f t="shared" si="43"/>
        <v/>
      </c>
      <c r="I181" s="725" t="str">
        <f t="shared" si="43"/>
        <v/>
      </c>
      <c r="J181" s="725" t="str">
        <f t="shared" si="43"/>
        <v/>
      </c>
      <c r="K181" s="725">
        <f t="shared" si="43"/>
        <v>2084.3000000000002</v>
      </c>
      <c r="L181" s="725">
        <f t="shared" ca="1" si="43"/>
        <v>1085.8</v>
      </c>
      <c r="M181" s="725">
        <f t="shared" ca="1" si="43"/>
        <v>1085.8</v>
      </c>
      <c r="N181" s="725">
        <f t="shared" ca="1" si="43"/>
        <v>1085.8</v>
      </c>
      <c r="O181" s="725">
        <f t="shared" ca="1" si="43"/>
        <v>1085.8</v>
      </c>
      <c r="P181" s="725">
        <f t="shared" ca="1" si="43"/>
        <v>1085.8</v>
      </c>
      <c r="Q181" s="725">
        <f t="shared" ca="1" si="43"/>
        <v>1085.8</v>
      </c>
      <c r="R181" s="725">
        <f t="shared" ca="1" si="43"/>
        <v>1085.8</v>
      </c>
      <c r="S181" s="725">
        <f t="shared" ca="1" si="43"/>
        <v>1085.8</v>
      </c>
      <c r="T181" s="725">
        <f t="shared" ca="1" si="43"/>
        <v>1085.8</v>
      </c>
      <c r="U181" s="725">
        <f t="shared" ca="1" si="43"/>
        <v>1085.8</v>
      </c>
      <c r="V181" s="725">
        <f t="shared" ca="1" si="43"/>
        <v>1085.8</v>
      </c>
      <c r="W181" s="725">
        <f t="shared" ca="1" si="43"/>
        <v>1085.8</v>
      </c>
      <c r="X181" s="725">
        <f t="shared" ca="1" si="43"/>
        <v>1085.8</v>
      </c>
      <c r="Y181" s="725">
        <f t="shared" ca="1" si="43"/>
        <v>1085.8</v>
      </c>
      <c r="Z181" s="725">
        <f t="shared" ca="1" si="43"/>
        <v>1085.8</v>
      </c>
      <c r="AA181" s="725">
        <f t="shared" ca="1" si="43"/>
        <v>1085.8</v>
      </c>
      <c r="AB181" s="725">
        <f t="shared" ca="1" si="43"/>
        <v>1085.8</v>
      </c>
      <c r="AC181" s="725">
        <f t="shared" ca="1" si="43"/>
        <v>1085.8</v>
      </c>
      <c r="AD181" s="725">
        <f t="shared" ca="1" si="43"/>
        <v>1085.8</v>
      </c>
      <c r="AE181" s="725">
        <f t="shared" ca="1" si="43"/>
        <v>1085.8</v>
      </c>
      <c r="AF181" s="725">
        <f t="shared" ca="1" si="43"/>
        <v>1085.8</v>
      </c>
      <c r="AG181" s="725">
        <f t="shared" ca="1" si="43"/>
        <v>1085.8</v>
      </c>
      <c r="AH181" s="727"/>
      <c r="AI181" s="727"/>
      <c r="AJ181" s="727"/>
      <c r="AK181" s="727"/>
      <c r="AL181" s="727"/>
      <c r="AM181" s="727"/>
      <c r="AN181" s="727"/>
      <c r="AO181" s="727"/>
      <c r="AP181" s="727"/>
      <c r="AQ181" s="727"/>
      <c r="AR181" s="727"/>
      <c r="AS181" s="727"/>
      <c r="AT181" s="727"/>
      <c r="AU181" s="727"/>
      <c r="AV181" s="727"/>
      <c r="AW181" s="727"/>
      <c r="AX181" s="727"/>
      <c r="AY181" s="727"/>
      <c r="AZ181" s="727"/>
      <c r="BA181" s="727"/>
      <c r="BB181" s="727"/>
    </row>
    <row r="182" spans="1:54">
      <c r="A182" s="326"/>
      <c r="B182" s="98" t="s">
        <v>1164</v>
      </c>
      <c r="C182" s="726">
        <f t="shared" ref="C182:AG182" si="44">IF(C$177=0,0,IF(C$177&gt;MAX($B$69:$B$108),C180,C180+(C$177-C$178)*(C181-C180)/(C$179-C$178)))</f>
        <v>0</v>
      </c>
      <c r="D182" s="726">
        <f t="shared" si="44"/>
        <v>0</v>
      </c>
      <c r="E182" s="726">
        <f t="shared" si="44"/>
        <v>0</v>
      </c>
      <c r="F182" s="726">
        <f t="shared" si="44"/>
        <v>0</v>
      </c>
      <c r="G182" s="726">
        <f t="shared" si="44"/>
        <v>0</v>
      </c>
      <c r="H182" s="726">
        <f t="shared" si="44"/>
        <v>0</v>
      </c>
      <c r="I182" s="726">
        <f t="shared" si="44"/>
        <v>0</v>
      </c>
      <c r="J182" s="726">
        <f t="shared" si="44"/>
        <v>0</v>
      </c>
      <c r="K182" s="726">
        <f t="shared" si="44"/>
        <v>2072.1525490196082</v>
      </c>
      <c r="L182" s="726">
        <f t="shared" ca="1" si="44"/>
        <v>1049.3263944064834</v>
      </c>
      <c r="M182" s="726">
        <f t="shared" ca="1" si="44"/>
        <v>1049.3263944064834</v>
      </c>
      <c r="N182" s="726">
        <f t="shared" ca="1" si="44"/>
        <v>1049.3263944064834</v>
      </c>
      <c r="O182" s="726">
        <f t="shared" ca="1" si="44"/>
        <v>1049.3263944064834</v>
      </c>
      <c r="P182" s="726">
        <f t="shared" ca="1" si="44"/>
        <v>1049.3263944064834</v>
      </c>
      <c r="Q182" s="726">
        <f t="shared" ca="1" si="44"/>
        <v>1049.3263944064834</v>
      </c>
      <c r="R182" s="726">
        <f t="shared" ca="1" si="44"/>
        <v>1049.3263944064834</v>
      </c>
      <c r="S182" s="726">
        <f t="shared" ca="1" si="44"/>
        <v>1049.3263944064834</v>
      </c>
      <c r="T182" s="726">
        <f t="shared" ca="1" si="44"/>
        <v>1049.3263944064834</v>
      </c>
      <c r="U182" s="726">
        <f t="shared" ca="1" si="44"/>
        <v>1049.3263944064834</v>
      </c>
      <c r="V182" s="726">
        <f t="shared" ca="1" si="44"/>
        <v>1049.3263944064834</v>
      </c>
      <c r="W182" s="726">
        <f t="shared" ca="1" si="44"/>
        <v>1049.3263944064834</v>
      </c>
      <c r="X182" s="726">
        <f t="shared" ca="1" si="44"/>
        <v>1049.3263944064834</v>
      </c>
      <c r="Y182" s="726">
        <f t="shared" ca="1" si="44"/>
        <v>1049.3263944064834</v>
      </c>
      <c r="Z182" s="726">
        <f t="shared" ca="1" si="44"/>
        <v>1049.3263944064834</v>
      </c>
      <c r="AA182" s="726">
        <f t="shared" ca="1" si="44"/>
        <v>1049.3263944064834</v>
      </c>
      <c r="AB182" s="726">
        <f t="shared" ca="1" si="44"/>
        <v>1049.3263944064834</v>
      </c>
      <c r="AC182" s="726">
        <f t="shared" ca="1" si="44"/>
        <v>1049.3263944064834</v>
      </c>
      <c r="AD182" s="726">
        <f t="shared" ca="1" si="44"/>
        <v>1049.3263944064834</v>
      </c>
      <c r="AE182" s="726">
        <f t="shared" ca="1" si="44"/>
        <v>1049.3263944064834</v>
      </c>
      <c r="AF182" s="726">
        <f t="shared" ca="1" si="44"/>
        <v>1049.3263944064834</v>
      </c>
      <c r="AG182" s="726">
        <f t="shared" ca="1" si="44"/>
        <v>1049.3263944064834</v>
      </c>
      <c r="AH182" s="727"/>
      <c r="AI182" s="727"/>
      <c r="AJ182" s="727"/>
      <c r="AK182" s="727"/>
      <c r="AL182" s="727"/>
      <c r="AM182" s="727"/>
      <c r="AN182" s="727"/>
      <c r="AO182" s="727"/>
      <c r="AP182" s="727"/>
      <c r="AQ182" s="727"/>
      <c r="AR182" s="727"/>
      <c r="AS182" s="727"/>
      <c r="AT182" s="727"/>
      <c r="AU182" s="727"/>
      <c r="AV182" s="727"/>
      <c r="AW182" s="727"/>
      <c r="AX182" s="727"/>
      <c r="AY182" s="727"/>
      <c r="AZ182" s="727"/>
      <c r="BA182" s="727"/>
      <c r="BB182" s="727"/>
    </row>
    <row r="183" spans="1:54">
      <c r="A183" s="326"/>
      <c r="B183" s="98" t="s">
        <v>1167</v>
      </c>
      <c r="C183" s="725" t="str">
        <f t="shared" ref="C183:AG183" si="45">IF(C$177=0,"",VLOOKUP(C$178,$C$12:$O$60,8,FALSE))</f>
        <v/>
      </c>
      <c r="D183" s="725" t="str">
        <f t="shared" si="45"/>
        <v/>
      </c>
      <c r="E183" s="725" t="str">
        <f t="shared" si="45"/>
        <v/>
      </c>
      <c r="F183" s="725" t="str">
        <f t="shared" si="45"/>
        <v/>
      </c>
      <c r="G183" s="725" t="str">
        <f t="shared" si="45"/>
        <v/>
      </c>
      <c r="H183" s="725" t="str">
        <f t="shared" si="45"/>
        <v/>
      </c>
      <c r="I183" s="725" t="str">
        <f t="shared" si="45"/>
        <v/>
      </c>
      <c r="J183" s="725" t="str">
        <f t="shared" si="45"/>
        <v/>
      </c>
      <c r="K183" s="725">
        <f t="shared" si="45"/>
        <v>2334.5</v>
      </c>
      <c r="L183" s="725">
        <f t="shared" ca="1" si="45"/>
        <v>2803</v>
      </c>
      <c r="M183" s="725">
        <f t="shared" ca="1" si="45"/>
        <v>2803</v>
      </c>
      <c r="N183" s="725">
        <f t="shared" ca="1" si="45"/>
        <v>2803</v>
      </c>
      <c r="O183" s="725">
        <f t="shared" ca="1" si="45"/>
        <v>2803</v>
      </c>
      <c r="P183" s="725">
        <f t="shared" ca="1" si="45"/>
        <v>2803</v>
      </c>
      <c r="Q183" s="725">
        <f t="shared" ca="1" si="45"/>
        <v>2803</v>
      </c>
      <c r="R183" s="725">
        <f t="shared" ca="1" si="45"/>
        <v>2803</v>
      </c>
      <c r="S183" s="725">
        <f t="shared" ca="1" si="45"/>
        <v>2803</v>
      </c>
      <c r="T183" s="725">
        <f t="shared" ca="1" si="45"/>
        <v>2803</v>
      </c>
      <c r="U183" s="725">
        <f t="shared" ca="1" si="45"/>
        <v>2803</v>
      </c>
      <c r="V183" s="725">
        <f t="shared" ca="1" si="45"/>
        <v>2803</v>
      </c>
      <c r="W183" s="725">
        <f t="shared" ca="1" si="45"/>
        <v>2803</v>
      </c>
      <c r="X183" s="725">
        <f t="shared" ca="1" si="45"/>
        <v>2803</v>
      </c>
      <c r="Y183" s="725">
        <f t="shared" ca="1" si="45"/>
        <v>2803</v>
      </c>
      <c r="Z183" s="725">
        <f t="shared" ca="1" si="45"/>
        <v>2803</v>
      </c>
      <c r="AA183" s="725">
        <f t="shared" ca="1" si="45"/>
        <v>2803</v>
      </c>
      <c r="AB183" s="725">
        <f t="shared" ca="1" si="45"/>
        <v>2803</v>
      </c>
      <c r="AC183" s="725">
        <f t="shared" ca="1" si="45"/>
        <v>2803</v>
      </c>
      <c r="AD183" s="725">
        <f t="shared" ca="1" si="45"/>
        <v>2803</v>
      </c>
      <c r="AE183" s="725">
        <f t="shared" ca="1" si="45"/>
        <v>2803</v>
      </c>
      <c r="AF183" s="725">
        <f t="shared" ca="1" si="45"/>
        <v>2803</v>
      </c>
      <c r="AG183" s="725">
        <f t="shared" ca="1" si="45"/>
        <v>2803</v>
      </c>
      <c r="AH183" s="727"/>
      <c r="AI183" s="727"/>
      <c r="AJ183" s="727"/>
      <c r="AK183" s="727"/>
      <c r="AL183" s="727"/>
      <c r="AM183" s="727"/>
      <c r="AN183" s="727"/>
      <c r="AO183" s="727"/>
      <c r="AP183" s="727"/>
      <c r="AQ183" s="727"/>
      <c r="AR183" s="727"/>
      <c r="AS183" s="727"/>
      <c r="AT183" s="727"/>
      <c r="AU183" s="727"/>
      <c r="AV183" s="727"/>
      <c r="AW183" s="727"/>
      <c r="AX183" s="727"/>
      <c r="AY183" s="727"/>
      <c r="AZ183" s="727"/>
      <c r="BA183" s="727"/>
      <c r="BB183" s="727"/>
    </row>
    <row r="184" spans="1:54">
      <c r="A184" s="326"/>
      <c r="B184" s="98" t="s">
        <v>1168</v>
      </c>
      <c r="C184" s="725" t="str">
        <f t="shared" ref="C184:AG184" si="46">IF(C$177=0,"",VLOOKUP(C$179,$C$12:$O$60,8,FALSE))</f>
        <v/>
      </c>
      <c r="D184" s="725" t="str">
        <f t="shared" si="46"/>
        <v/>
      </c>
      <c r="E184" s="725" t="str">
        <f t="shared" si="46"/>
        <v/>
      </c>
      <c r="F184" s="725" t="str">
        <f t="shared" si="46"/>
        <v/>
      </c>
      <c r="G184" s="725" t="str">
        <f t="shared" si="46"/>
        <v/>
      </c>
      <c r="H184" s="725" t="str">
        <f t="shared" si="46"/>
        <v/>
      </c>
      <c r="I184" s="725" t="str">
        <f t="shared" si="46"/>
        <v/>
      </c>
      <c r="J184" s="725" t="str">
        <f t="shared" si="46"/>
        <v/>
      </c>
      <c r="K184" s="725">
        <f t="shared" si="46"/>
        <v>2084.3000000000002</v>
      </c>
      <c r="L184" s="725">
        <f t="shared" ca="1" si="46"/>
        <v>2800.9</v>
      </c>
      <c r="M184" s="725">
        <f t="shared" ca="1" si="46"/>
        <v>2800.9</v>
      </c>
      <c r="N184" s="725">
        <f t="shared" ca="1" si="46"/>
        <v>2800.9</v>
      </c>
      <c r="O184" s="725">
        <f t="shared" ca="1" si="46"/>
        <v>2800.9</v>
      </c>
      <c r="P184" s="725">
        <f t="shared" ca="1" si="46"/>
        <v>2800.9</v>
      </c>
      <c r="Q184" s="725">
        <f t="shared" ca="1" si="46"/>
        <v>2800.9</v>
      </c>
      <c r="R184" s="725">
        <f t="shared" ca="1" si="46"/>
        <v>2800.9</v>
      </c>
      <c r="S184" s="725">
        <f t="shared" ca="1" si="46"/>
        <v>2800.9</v>
      </c>
      <c r="T184" s="725">
        <f t="shared" ca="1" si="46"/>
        <v>2800.9</v>
      </c>
      <c r="U184" s="725">
        <f t="shared" ca="1" si="46"/>
        <v>2800.9</v>
      </c>
      <c r="V184" s="725">
        <f t="shared" ca="1" si="46"/>
        <v>2800.9</v>
      </c>
      <c r="W184" s="725">
        <f t="shared" ca="1" si="46"/>
        <v>2800.9</v>
      </c>
      <c r="X184" s="725">
        <f t="shared" ca="1" si="46"/>
        <v>2800.9</v>
      </c>
      <c r="Y184" s="725">
        <f t="shared" ca="1" si="46"/>
        <v>2800.9</v>
      </c>
      <c r="Z184" s="725">
        <f t="shared" ca="1" si="46"/>
        <v>2800.9</v>
      </c>
      <c r="AA184" s="725">
        <f t="shared" ca="1" si="46"/>
        <v>2800.9</v>
      </c>
      <c r="AB184" s="725">
        <f t="shared" ca="1" si="46"/>
        <v>2800.9</v>
      </c>
      <c r="AC184" s="725">
        <f t="shared" ca="1" si="46"/>
        <v>2800.9</v>
      </c>
      <c r="AD184" s="725">
        <f t="shared" ca="1" si="46"/>
        <v>2800.9</v>
      </c>
      <c r="AE184" s="725">
        <f t="shared" ca="1" si="46"/>
        <v>2800.9</v>
      </c>
      <c r="AF184" s="725">
        <f t="shared" ca="1" si="46"/>
        <v>2800.9</v>
      </c>
      <c r="AG184" s="725">
        <f t="shared" ca="1" si="46"/>
        <v>2800.9</v>
      </c>
      <c r="AH184" s="727"/>
      <c r="AI184" s="727"/>
      <c r="AJ184" s="727"/>
      <c r="AK184" s="727"/>
      <c r="AL184" s="727"/>
      <c r="AM184" s="727"/>
      <c r="AN184" s="727"/>
      <c r="AO184" s="727"/>
      <c r="AP184" s="727"/>
      <c r="AQ184" s="727"/>
      <c r="AR184" s="727"/>
      <c r="AS184" s="727"/>
      <c r="AT184" s="727"/>
      <c r="AU184" s="727"/>
      <c r="AV184" s="727"/>
      <c r="AW184" s="727"/>
      <c r="AX184" s="727"/>
      <c r="AY184" s="727"/>
      <c r="AZ184" s="727"/>
      <c r="BA184" s="727"/>
      <c r="BB184" s="727"/>
    </row>
    <row r="185" spans="1:54">
      <c r="A185" s="326"/>
      <c r="B185" s="98" t="s">
        <v>1169</v>
      </c>
      <c r="C185" s="726">
        <f t="shared" ref="C185:AG185" si="47">IF(C$177=0,0,IF(C$177&gt;MAX($B$69:$B$108),C183,C183+(C$177-C$178)*(C184-C183)/(C$179-C$178)))</f>
        <v>0</v>
      </c>
      <c r="D185" s="726">
        <f t="shared" si="47"/>
        <v>0</v>
      </c>
      <c r="E185" s="726">
        <f t="shared" si="47"/>
        <v>0</v>
      </c>
      <c r="F185" s="726">
        <f t="shared" si="47"/>
        <v>0</v>
      </c>
      <c r="G185" s="726">
        <f t="shared" si="47"/>
        <v>0</v>
      </c>
      <c r="H185" s="726">
        <f t="shared" si="47"/>
        <v>0</v>
      </c>
      <c r="I185" s="726">
        <f t="shared" si="47"/>
        <v>0</v>
      </c>
      <c r="J185" s="726">
        <f t="shared" si="47"/>
        <v>0</v>
      </c>
      <c r="K185" s="726">
        <f t="shared" si="47"/>
        <v>2099.9988235294118</v>
      </c>
      <c r="L185" s="726">
        <f t="shared" ca="1" si="47"/>
        <v>2802.4890989988876</v>
      </c>
      <c r="M185" s="726">
        <f t="shared" ca="1" si="47"/>
        <v>2802.4890989988876</v>
      </c>
      <c r="N185" s="726">
        <f t="shared" ca="1" si="47"/>
        <v>2802.4890989988876</v>
      </c>
      <c r="O185" s="726">
        <f t="shared" ca="1" si="47"/>
        <v>2802.4890989988876</v>
      </c>
      <c r="P185" s="726">
        <f t="shared" ca="1" si="47"/>
        <v>2802.4890989988876</v>
      </c>
      <c r="Q185" s="726">
        <f t="shared" ca="1" si="47"/>
        <v>2802.4890989988876</v>
      </c>
      <c r="R185" s="726">
        <f t="shared" ca="1" si="47"/>
        <v>2802.4890989988876</v>
      </c>
      <c r="S185" s="726">
        <f t="shared" ca="1" si="47"/>
        <v>2802.4890989988876</v>
      </c>
      <c r="T185" s="726">
        <f t="shared" ca="1" si="47"/>
        <v>2802.4890989988876</v>
      </c>
      <c r="U185" s="726">
        <f t="shared" ca="1" si="47"/>
        <v>2802.4890989988876</v>
      </c>
      <c r="V185" s="726">
        <f t="shared" ca="1" si="47"/>
        <v>2802.4890989988876</v>
      </c>
      <c r="W185" s="726">
        <f t="shared" ca="1" si="47"/>
        <v>2802.4890989988876</v>
      </c>
      <c r="X185" s="726">
        <f t="shared" ca="1" si="47"/>
        <v>2802.4890989988876</v>
      </c>
      <c r="Y185" s="726">
        <f t="shared" ca="1" si="47"/>
        <v>2802.4890989988876</v>
      </c>
      <c r="Z185" s="726">
        <f t="shared" ca="1" si="47"/>
        <v>2802.4890989988876</v>
      </c>
      <c r="AA185" s="726">
        <f t="shared" ca="1" si="47"/>
        <v>2802.4890989988876</v>
      </c>
      <c r="AB185" s="726">
        <f t="shared" ca="1" si="47"/>
        <v>2802.4890989988876</v>
      </c>
      <c r="AC185" s="726">
        <f t="shared" ca="1" si="47"/>
        <v>2802.4890989988876</v>
      </c>
      <c r="AD185" s="726">
        <f t="shared" ca="1" si="47"/>
        <v>2802.4890989988876</v>
      </c>
      <c r="AE185" s="726">
        <f t="shared" ca="1" si="47"/>
        <v>2802.4890989988876</v>
      </c>
      <c r="AF185" s="726">
        <f t="shared" ca="1" si="47"/>
        <v>2802.4890989988876</v>
      </c>
      <c r="AG185" s="726">
        <f t="shared" ca="1" si="47"/>
        <v>2802.4890989988876</v>
      </c>
      <c r="AH185" s="727"/>
      <c r="AI185" s="727"/>
      <c r="AJ185" s="727"/>
      <c r="AK185" s="727"/>
      <c r="AL185" s="727"/>
      <c r="AM185" s="727"/>
      <c r="AN185" s="727"/>
      <c r="AO185" s="727"/>
      <c r="AP185" s="727"/>
      <c r="AQ185" s="727"/>
      <c r="AR185" s="727"/>
      <c r="AS185" s="727"/>
      <c r="AT185" s="727"/>
      <c r="AU185" s="727"/>
      <c r="AV185" s="727"/>
      <c r="AW185" s="727"/>
      <c r="AX185" s="727"/>
      <c r="AY185" s="727"/>
      <c r="AZ185" s="727"/>
      <c r="BA185" s="727"/>
      <c r="BB185" s="727"/>
    </row>
    <row r="186" spans="1:54">
      <c r="A186" s="326"/>
      <c r="B186" s="98" t="s">
        <v>1096</v>
      </c>
      <c r="C186" s="817">
        <f>IF(C$171=0,0,(C176-C182)/(C185-C182))</f>
        <v>0</v>
      </c>
      <c r="D186" s="817">
        <f t="shared" ref="D186:AG186" si="48">IF(D$171=0,0,(D176-D182)/(D185-D182))</f>
        <v>0</v>
      </c>
      <c r="E186" s="817">
        <f t="shared" si="48"/>
        <v>0</v>
      </c>
      <c r="F186" s="817">
        <f t="shared" si="48"/>
        <v>0</v>
      </c>
      <c r="G186" s="817">
        <f t="shared" si="48"/>
        <v>0</v>
      </c>
      <c r="H186" s="817">
        <f t="shared" si="48"/>
        <v>0</v>
      </c>
      <c r="I186" s="817">
        <f t="shared" si="48"/>
        <v>0</v>
      </c>
      <c r="J186" s="817">
        <f t="shared" si="48"/>
        <v>0</v>
      </c>
      <c r="K186" s="817">
        <f t="shared" si="48"/>
        <v>-29.995127309599265</v>
      </c>
      <c r="L186" s="817">
        <f t="shared" ca="1" si="48"/>
        <v>0.10699155594752743</v>
      </c>
      <c r="M186" s="817">
        <f t="shared" ca="1" si="48"/>
        <v>0.10699155594752743</v>
      </c>
      <c r="N186" s="817">
        <f t="shared" ca="1" si="48"/>
        <v>0.10699155594752743</v>
      </c>
      <c r="O186" s="817">
        <f t="shared" ca="1" si="48"/>
        <v>0.10699155594752743</v>
      </c>
      <c r="P186" s="817">
        <f t="shared" ca="1" si="48"/>
        <v>0.10699155594752743</v>
      </c>
      <c r="Q186" s="817">
        <f t="shared" ca="1" si="48"/>
        <v>0.10699155594752743</v>
      </c>
      <c r="R186" s="817">
        <f t="shared" ca="1" si="48"/>
        <v>0.10699155594752743</v>
      </c>
      <c r="S186" s="817">
        <f t="shared" ca="1" si="48"/>
        <v>0.10699155594752743</v>
      </c>
      <c r="T186" s="817">
        <f t="shared" ca="1" si="48"/>
        <v>9.4391251448256108E-2</v>
      </c>
      <c r="U186" s="817">
        <f t="shared" ca="1" si="48"/>
        <v>8.1239712491929086E-2</v>
      </c>
      <c r="V186" s="817">
        <f t="shared" ca="1" si="48"/>
        <v>6.8864127249378418E-2</v>
      </c>
      <c r="W186" s="817">
        <f t="shared" ca="1" si="48"/>
        <v>5.6043925514819445E-2</v>
      </c>
      <c r="X186" s="817">
        <f t="shared" ca="1" si="48"/>
        <v>4.3872753531838435E-2</v>
      </c>
      <c r="Y186" s="817">
        <f t="shared" ca="1" si="48"/>
        <v>3.1332914061852152E-2</v>
      </c>
      <c r="Z186" s="817">
        <f t="shared" ca="1" si="48"/>
        <v>1.9348869241769519E-2</v>
      </c>
      <c r="AA186" s="817">
        <f t="shared" ca="1" si="48"/>
        <v>7.0639045577586476E-3</v>
      </c>
      <c r="AB186" s="817">
        <f t="shared" ca="1" si="48"/>
        <v>-4.7061473194675392E-3</v>
      </c>
      <c r="AC186" s="817">
        <f t="shared" ca="1" si="48"/>
        <v>-1.6822255183715006E-2</v>
      </c>
      <c r="AD186" s="817">
        <f t="shared" ca="1" si="48"/>
        <v>-2.8399395422289579E-2</v>
      </c>
      <c r="AE186" s="817">
        <f t="shared" ca="1" si="48"/>
        <v>-4.0369079562279926E-2</v>
      </c>
      <c r="AF186" s="817">
        <f t="shared" ca="1" si="48"/>
        <v>-5.1750866242726297E-2</v>
      </c>
      <c r="AG186" s="817">
        <f t="shared" ca="1" si="48"/>
        <v>-6.3583666657407362E-2</v>
      </c>
      <c r="AH186" s="727"/>
      <c r="AI186" s="727"/>
      <c r="AJ186" s="727"/>
      <c r="AK186" s="727"/>
      <c r="AL186" s="727"/>
      <c r="AM186" s="727"/>
      <c r="AN186" s="727"/>
      <c r="AO186" s="727"/>
      <c r="AP186" s="727"/>
      <c r="AQ186" s="727"/>
      <c r="AR186" s="727"/>
      <c r="AS186" s="727"/>
      <c r="AT186" s="727"/>
      <c r="AU186" s="727"/>
      <c r="AV186" s="727"/>
      <c r="AW186" s="727"/>
      <c r="AX186" s="727"/>
      <c r="AY186" s="727"/>
      <c r="AZ186" s="727"/>
      <c r="BA186" s="727"/>
      <c r="BB186" s="727"/>
    </row>
    <row r="187" spans="1:54">
      <c r="A187" s="326"/>
      <c r="B187" s="98" t="s">
        <v>1171</v>
      </c>
      <c r="C187" s="725" t="str">
        <f t="shared" ref="C187:AG187" si="49">IF(C$171=0,"",VLOOKUP(C$172,$B$12:$O$60,13,FALSE))</f>
        <v/>
      </c>
      <c r="D187" s="725" t="str">
        <f t="shared" si="49"/>
        <v/>
      </c>
      <c r="E187" s="725" t="str">
        <f t="shared" si="49"/>
        <v/>
      </c>
      <c r="F187" s="725" t="str">
        <f t="shared" si="49"/>
        <v/>
      </c>
      <c r="G187" s="725" t="str">
        <f t="shared" si="49"/>
        <v/>
      </c>
      <c r="H187" s="725" t="str">
        <f t="shared" si="49"/>
        <v/>
      </c>
      <c r="I187" s="725" t="str">
        <f t="shared" si="49"/>
        <v/>
      </c>
      <c r="J187" s="725" t="str">
        <f t="shared" si="49"/>
        <v/>
      </c>
      <c r="K187" s="725">
        <f t="shared" si="49"/>
        <v>750.30012004801915</v>
      </c>
      <c r="L187" s="725">
        <f t="shared" ca="1" si="49"/>
        <v>750.30012004801915</v>
      </c>
      <c r="M187" s="725">
        <f t="shared" ca="1" si="49"/>
        <v>750.30012004801915</v>
      </c>
      <c r="N187" s="725">
        <f t="shared" ca="1" si="49"/>
        <v>750.30012004801915</v>
      </c>
      <c r="O187" s="725">
        <f t="shared" ca="1" si="49"/>
        <v>750.30012004801915</v>
      </c>
      <c r="P187" s="725">
        <f t="shared" ca="1" si="49"/>
        <v>750.30012004801915</v>
      </c>
      <c r="Q187" s="725">
        <f t="shared" ca="1" si="49"/>
        <v>750.30012004801915</v>
      </c>
      <c r="R187" s="725">
        <f t="shared" ca="1" si="49"/>
        <v>750.30012004801915</v>
      </c>
      <c r="S187" s="725">
        <f t="shared" ca="1" si="49"/>
        <v>750.30012004801915</v>
      </c>
      <c r="T187" s="725">
        <f t="shared" ca="1" si="49"/>
        <v>767.45970836531092</v>
      </c>
      <c r="U187" s="725">
        <f t="shared" ca="1" si="49"/>
        <v>767.45970836531092</v>
      </c>
      <c r="V187" s="725">
        <f t="shared" ca="1" si="49"/>
        <v>783.63764595251155</v>
      </c>
      <c r="W187" s="725">
        <f t="shared" ca="1" si="49"/>
        <v>783.63764595251155</v>
      </c>
      <c r="X187" s="725">
        <f t="shared" ca="1" si="49"/>
        <v>798.91347767036837</v>
      </c>
      <c r="Y187" s="725">
        <f t="shared" ca="1" si="49"/>
        <v>798.91347767036837</v>
      </c>
      <c r="Z187" s="725">
        <f t="shared" ca="1" si="49"/>
        <v>813.33875559170406</v>
      </c>
      <c r="AA187" s="725">
        <f t="shared" ca="1" si="49"/>
        <v>813.33875559170406</v>
      </c>
      <c r="AB187" s="725">
        <f t="shared" ca="1" si="49"/>
        <v>813.33875559170406</v>
      </c>
      <c r="AC187" s="725">
        <f t="shared" ca="1" si="49"/>
        <v>827.12985938792394</v>
      </c>
      <c r="AD187" s="725">
        <f t="shared" ca="1" si="49"/>
        <v>827.12985938792394</v>
      </c>
      <c r="AE187" s="725">
        <f t="shared" ca="1" si="49"/>
        <v>840.1949252226517</v>
      </c>
      <c r="AF187" s="725">
        <f t="shared" ca="1" si="49"/>
        <v>840.1949252226517</v>
      </c>
      <c r="AG187" s="725">
        <f t="shared" ca="1" si="49"/>
        <v>852.73300929478978</v>
      </c>
      <c r="AH187" s="727"/>
      <c r="AI187" s="727"/>
      <c r="AJ187" s="727"/>
      <c r="AK187" s="727"/>
      <c r="AL187" s="727"/>
      <c r="AM187" s="727"/>
      <c r="AN187" s="727"/>
      <c r="AO187" s="727"/>
      <c r="AP187" s="727"/>
      <c r="AQ187" s="727"/>
      <c r="AR187" s="727"/>
      <c r="AS187" s="727"/>
      <c r="AT187" s="727"/>
      <c r="AU187" s="727"/>
      <c r="AV187" s="727"/>
      <c r="AW187" s="727"/>
      <c r="AX187" s="727"/>
      <c r="AY187" s="727"/>
      <c r="AZ187" s="727"/>
      <c r="BA187" s="727"/>
      <c r="BB187" s="727"/>
    </row>
    <row r="188" spans="1:54">
      <c r="A188" s="326"/>
      <c r="B188" s="98" t="s">
        <v>1172</v>
      </c>
      <c r="C188" s="725" t="str">
        <f t="shared" ref="C188:AG188" si="50">IF(C$171=0,"",VLOOKUP(C$173,$B$12:$O$60,13,FALSE))</f>
        <v/>
      </c>
      <c r="D188" s="725" t="str">
        <f t="shared" si="50"/>
        <v/>
      </c>
      <c r="E188" s="725" t="str">
        <f t="shared" si="50"/>
        <v/>
      </c>
      <c r="F188" s="725" t="str">
        <f t="shared" si="50"/>
        <v/>
      </c>
      <c r="G188" s="725" t="str">
        <f t="shared" si="50"/>
        <v/>
      </c>
      <c r="H188" s="725" t="str">
        <f t="shared" si="50"/>
        <v/>
      </c>
      <c r="I188" s="725" t="str">
        <f t="shared" si="50"/>
        <v/>
      </c>
      <c r="J188" s="725" t="str">
        <f t="shared" si="50"/>
        <v/>
      </c>
      <c r="K188" s="725">
        <f t="shared" si="50"/>
        <v>731.90368147551783</v>
      </c>
      <c r="L188" s="725">
        <f t="shared" ca="1" si="50"/>
        <v>731.90368147551783</v>
      </c>
      <c r="M188" s="725">
        <f t="shared" ca="1" si="50"/>
        <v>731.90368147551783</v>
      </c>
      <c r="N188" s="725">
        <f t="shared" ca="1" si="50"/>
        <v>731.90368147551783</v>
      </c>
      <c r="O188" s="725">
        <f t="shared" ca="1" si="50"/>
        <v>731.90368147551783</v>
      </c>
      <c r="P188" s="725">
        <f t="shared" ca="1" si="50"/>
        <v>731.90368147551783</v>
      </c>
      <c r="Q188" s="725">
        <f t="shared" ca="1" si="50"/>
        <v>731.90368147551783</v>
      </c>
      <c r="R188" s="725">
        <f t="shared" ca="1" si="50"/>
        <v>731.90368147551783</v>
      </c>
      <c r="S188" s="725">
        <f t="shared" ca="1" si="50"/>
        <v>731.90368147551783</v>
      </c>
      <c r="T188" s="725">
        <f t="shared" ca="1" si="50"/>
        <v>750.30012004801915</v>
      </c>
      <c r="U188" s="725">
        <f t="shared" ca="1" si="50"/>
        <v>750.30012004801915</v>
      </c>
      <c r="V188" s="725">
        <f t="shared" ca="1" si="50"/>
        <v>767.45970836531092</v>
      </c>
      <c r="W188" s="725">
        <f t="shared" ca="1" si="50"/>
        <v>767.45970836531092</v>
      </c>
      <c r="X188" s="725">
        <f t="shared" ca="1" si="50"/>
        <v>783.63764595251155</v>
      </c>
      <c r="Y188" s="725">
        <f t="shared" ca="1" si="50"/>
        <v>783.63764595251155</v>
      </c>
      <c r="Z188" s="725">
        <f t="shared" ca="1" si="50"/>
        <v>798.91347767036837</v>
      </c>
      <c r="AA188" s="725">
        <f t="shared" ca="1" si="50"/>
        <v>798.91347767036837</v>
      </c>
      <c r="AB188" s="725">
        <f t="shared" ca="1" si="50"/>
        <v>798.91347767036837</v>
      </c>
      <c r="AC188" s="725">
        <f t="shared" ca="1" si="50"/>
        <v>813.33875559170406</v>
      </c>
      <c r="AD188" s="725">
        <f t="shared" ca="1" si="50"/>
        <v>813.33875559170406</v>
      </c>
      <c r="AE188" s="725">
        <f t="shared" ca="1" si="50"/>
        <v>827.12985938792394</v>
      </c>
      <c r="AF188" s="725">
        <f t="shared" ca="1" si="50"/>
        <v>827.12985938792394</v>
      </c>
      <c r="AG188" s="725">
        <f t="shared" ca="1" si="50"/>
        <v>840.1949252226517</v>
      </c>
      <c r="AH188" s="727"/>
      <c r="AI188" s="727"/>
      <c r="AJ188" s="727"/>
      <c r="AK188" s="727"/>
      <c r="AL188" s="727"/>
      <c r="AM188" s="727"/>
      <c r="AN188" s="727"/>
      <c r="AO188" s="727"/>
      <c r="AP188" s="727"/>
      <c r="AQ188" s="727"/>
      <c r="AR188" s="727"/>
      <c r="AS188" s="727"/>
      <c r="AT188" s="727"/>
      <c r="AU188" s="727"/>
      <c r="AV188" s="727"/>
      <c r="AW188" s="727"/>
      <c r="AX188" s="727"/>
      <c r="AY188" s="727"/>
      <c r="AZ188" s="727"/>
      <c r="BA188" s="727"/>
      <c r="BB188" s="727"/>
    </row>
    <row r="189" spans="1:54">
      <c r="A189" s="326"/>
      <c r="B189" s="98" t="s">
        <v>1173</v>
      </c>
      <c r="C189" s="726">
        <f t="shared" ref="C189:AG189" si="51">IF(C$171=0,0,IF(C$171&gt;MAX($B$69:$B$108),C187,C187+(C$171-C$172)*(C188-C187)/(C$173-C$172)))</f>
        <v>0</v>
      </c>
      <c r="D189" s="726">
        <f t="shared" si="51"/>
        <v>0</v>
      </c>
      <c r="E189" s="726">
        <f t="shared" si="51"/>
        <v>0</v>
      </c>
      <c r="F189" s="726">
        <f t="shared" si="51"/>
        <v>0</v>
      </c>
      <c r="G189" s="726">
        <f t="shared" si="51"/>
        <v>0</v>
      </c>
      <c r="H189" s="726">
        <f t="shared" si="51"/>
        <v>0</v>
      </c>
      <c r="I189" s="726">
        <f t="shared" si="51"/>
        <v>0</v>
      </c>
      <c r="J189" s="726">
        <f t="shared" si="51"/>
        <v>0</v>
      </c>
      <c r="K189" s="726">
        <f t="shared" si="51"/>
        <v>750.30012004801915</v>
      </c>
      <c r="L189" s="726">
        <f t="shared" ca="1" si="51"/>
        <v>750.30012004801915</v>
      </c>
      <c r="M189" s="726">
        <f t="shared" ca="1" si="51"/>
        <v>750.30012004801915</v>
      </c>
      <c r="N189" s="726">
        <f t="shared" ca="1" si="51"/>
        <v>750.30012004801915</v>
      </c>
      <c r="O189" s="726">
        <f t="shared" ca="1" si="51"/>
        <v>750.30012004801915</v>
      </c>
      <c r="P189" s="726">
        <f t="shared" ca="1" si="51"/>
        <v>750.30012004801915</v>
      </c>
      <c r="Q189" s="726">
        <f t="shared" ca="1" si="51"/>
        <v>750.30012004801915</v>
      </c>
      <c r="R189" s="726">
        <f t="shared" ca="1" si="51"/>
        <v>750.30012004801915</v>
      </c>
      <c r="S189" s="726">
        <f t="shared" ca="1" si="51"/>
        <v>750.30012004801915</v>
      </c>
      <c r="T189" s="726">
        <f t="shared" ca="1" si="51"/>
        <v>757.64628077953034</v>
      </c>
      <c r="U189" s="726">
        <f t="shared" ca="1" si="51"/>
        <v>765.3138192144545</v>
      </c>
      <c r="V189" s="726">
        <f t="shared" ca="1" si="51"/>
        <v>772.36248735468496</v>
      </c>
      <c r="W189" s="726">
        <f t="shared" ca="1" si="51"/>
        <v>779.59138795264755</v>
      </c>
      <c r="X189" s="726">
        <f t="shared" ca="1" si="51"/>
        <v>786.35672237420863</v>
      </c>
      <c r="Y189" s="726">
        <f t="shared" ca="1" si="51"/>
        <v>793.18252871969469</v>
      </c>
      <c r="Z189" s="726">
        <f t="shared" ca="1" si="51"/>
        <v>799.67720625150184</v>
      </c>
      <c r="AA189" s="726">
        <f t="shared" ca="1" si="51"/>
        <v>806.12295371648304</v>
      </c>
      <c r="AB189" s="726">
        <f t="shared" ca="1" si="51"/>
        <v>812.29853370403225</v>
      </c>
      <c r="AC189" s="726">
        <f t="shared" ca="1" si="51"/>
        <v>818.50663968491347</v>
      </c>
      <c r="AD189" s="726">
        <f t="shared" ca="1" si="51"/>
        <v>824.41072451950663</v>
      </c>
      <c r="AE189" s="726">
        <f t="shared" ca="1" si="51"/>
        <v>830.39182883890601</v>
      </c>
      <c r="AF189" s="726">
        <f t="shared" ca="1" si="51"/>
        <v>835.98509085749231</v>
      </c>
      <c r="AG189" s="726">
        <f t="shared" ca="1" si="51"/>
        <v>841.75737476335382</v>
      </c>
      <c r="AH189" s="727"/>
      <c r="AI189" s="727"/>
      <c r="AJ189" s="727"/>
      <c r="AK189" s="727"/>
      <c r="AL189" s="727"/>
      <c r="AM189" s="727"/>
      <c r="AN189" s="727"/>
      <c r="AO189" s="727"/>
      <c r="AP189" s="727"/>
      <c r="AQ189" s="727"/>
      <c r="AR189" s="727"/>
      <c r="AS189" s="727"/>
      <c r="AT189" s="727"/>
      <c r="AU189" s="727"/>
      <c r="AV189" s="727"/>
      <c r="AW189" s="727"/>
      <c r="AX189" s="727"/>
      <c r="AY189" s="727"/>
      <c r="AZ189" s="727"/>
      <c r="BA189" s="727"/>
      <c r="BB189" s="727"/>
    </row>
    <row r="190" spans="1:54">
      <c r="A190" s="326"/>
      <c r="B190" s="98" t="s">
        <v>1174</v>
      </c>
      <c r="C190" s="725" t="str">
        <f t="shared" ref="C190:AG190" si="52">IF(C$177=0,"",VLOOKUP(C$178,$C$12:$O$60,13,FALSE))</f>
        <v/>
      </c>
      <c r="D190" s="725" t="str">
        <f t="shared" si="52"/>
        <v/>
      </c>
      <c r="E190" s="725" t="str">
        <f t="shared" si="52"/>
        <v/>
      </c>
      <c r="F190" s="725" t="str">
        <f t="shared" si="52"/>
        <v/>
      </c>
      <c r="G190" s="725" t="str">
        <f t="shared" si="52"/>
        <v/>
      </c>
      <c r="H190" s="725" t="str">
        <f t="shared" si="52"/>
        <v/>
      </c>
      <c r="I190" s="725" t="str">
        <f t="shared" si="52"/>
        <v/>
      </c>
      <c r="J190" s="725" t="str">
        <f t="shared" si="52"/>
        <v/>
      </c>
      <c r="K190" s="725">
        <f t="shared" si="52"/>
        <v>201.84078798643628</v>
      </c>
      <c r="L190" s="725">
        <f t="shared" ca="1" si="52"/>
        <v>16.749015995310277</v>
      </c>
      <c r="M190" s="725">
        <f t="shared" ca="1" si="52"/>
        <v>16.749015995310277</v>
      </c>
      <c r="N190" s="725">
        <f t="shared" ca="1" si="52"/>
        <v>16.749015995310277</v>
      </c>
      <c r="O190" s="725">
        <f t="shared" ca="1" si="52"/>
        <v>16.749015995310277</v>
      </c>
      <c r="P190" s="725">
        <f t="shared" ca="1" si="52"/>
        <v>16.749015995310277</v>
      </c>
      <c r="Q190" s="725">
        <f t="shared" ca="1" si="52"/>
        <v>16.749015995310277</v>
      </c>
      <c r="R190" s="725">
        <f t="shared" ca="1" si="52"/>
        <v>16.749015995310277</v>
      </c>
      <c r="S190" s="725">
        <f t="shared" ca="1" si="52"/>
        <v>16.749015995310277</v>
      </c>
      <c r="T190" s="725">
        <f t="shared" ca="1" si="52"/>
        <v>16.749015995310277</v>
      </c>
      <c r="U190" s="725">
        <f t="shared" ca="1" si="52"/>
        <v>16.749015995310277</v>
      </c>
      <c r="V190" s="725">
        <f t="shared" ca="1" si="52"/>
        <v>16.749015995310277</v>
      </c>
      <c r="W190" s="725">
        <f t="shared" ca="1" si="52"/>
        <v>16.749015995310277</v>
      </c>
      <c r="X190" s="725">
        <f t="shared" ca="1" si="52"/>
        <v>16.749015995310277</v>
      </c>
      <c r="Y190" s="725">
        <f t="shared" ca="1" si="52"/>
        <v>16.749015995310277</v>
      </c>
      <c r="Z190" s="725">
        <f t="shared" ca="1" si="52"/>
        <v>16.749015995310277</v>
      </c>
      <c r="AA190" s="725">
        <f t="shared" ca="1" si="52"/>
        <v>16.749015995310277</v>
      </c>
      <c r="AB190" s="725">
        <f t="shared" ca="1" si="52"/>
        <v>16.749015995310277</v>
      </c>
      <c r="AC190" s="725">
        <f t="shared" ca="1" si="52"/>
        <v>16.749015995310277</v>
      </c>
      <c r="AD190" s="725">
        <f t="shared" ca="1" si="52"/>
        <v>16.749015995310277</v>
      </c>
      <c r="AE190" s="725">
        <f t="shared" ca="1" si="52"/>
        <v>16.749015995310277</v>
      </c>
      <c r="AF190" s="725">
        <f t="shared" ca="1" si="52"/>
        <v>16.749015995310277</v>
      </c>
      <c r="AG190" s="725">
        <f t="shared" ca="1" si="52"/>
        <v>16.749015995310277</v>
      </c>
      <c r="AH190" s="727"/>
      <c r="AI190" s="727"/>
      <c r="AJ190" s="727"/>
      <c r="AK190" s="727"/>
      <c r="AL190" s="727"/>
      <c r="AM190" s="727"/>
      <c r="AN190" s="727"/>
      <c r="AO190" s="727"/>
      <c r="AP190" s="727"/>
      <c r="AQ190" s="727"/>
      <c r="AR190" s="727"/>
      <c r="AS190" s="727"/>
      <c r="AT190" s="727"/>
      <c r="AU190" s="727"/>
      <c r="AV190" s="727"/>
      <c r="AW190" s="727"/>
      <c r="AX190" s="727"/>
      <c r="AY190" s="727"/>
      <c r="AZ190" s="727"/>
      <c r="BA190" s="727"/>
      <c r="BB190" s="727"/>
    </row>
    <row r="191" spans="1:54">
      <c r="A191" s="326"/>
      <c r="B191" s="98" t="s">
        <v>1175</v>
      </c>
      <c r="C191" s="725" t="str">
        <f t="shared" ref="C191:AG191" si="53">IF(C$177=0,"",VLOOKUP(C$179,$C$12:$O$60,13,FALSE))</f>
        <v/>
      </c>
      <c r="D191" s="725" t="str">
        <f t="shared" si="53"/>
        <v/>
      </c>
      <c r="E191" s="725" t="str">
        <f t="shared" si="53"/>
        <v/>
      </c>
      <c r="F191" s="725" t="str">
        <f t="shared" si="53"/>
        <v/>
      </c>
      <c r="G191" s="725" t="str">
        <f t="shared" si="53"/>
        <v/>
      </c>
      <c r="H191" s="725" t="str">
        <f t="shared" si="53"/>
        <v/>
      </c>
      <c r="I191" s="725" t="str">
        <f t="shared" si="53"/>
        <v/>
      </c>
      <c r="J191" s="725" t="str">
        <f t="shared" si="53"/>
        <v/>
      </c>
      <c r="K191" s="725">
        <f t="shared" si="53"/>
        <v>321.99896960329727</v>
      </c>
      <c r="L191" s="725">
        <f t="shared" ca="1" si="53"/>
        <v>19.966855020665694</v>
      </c>
      <c r="M191" s="725">
        <f t="shared" ca="1" si="53"/>
        <v>19.966855020665694</v>
      </c>
      <c r="N191" s="725">
        <f t="shared" ca="1" si="53"/>
        <v>19.966855020665694</v>
      </c>
      <c r="O191" s="725">
        <f t="shared" ca="1" si="53"/>
        <v>19.966855020665694</v>
      </c>
      <c r="P191" s="725">
        <f t="shared" ca="1" si="53"/>
        <v>19.966855020665694</v>
      </c>
      <c r="Q191" s="725">
        <f t="shared" ca="1" si="53"/>
        <v>19.966855020665694</v>
      </c>
      <c r="R191" s="725">
        <f t="shared" ca="1" si="53"/>
        <v>19.966855020665694</v>
      </c>
      <c r="S191" s="725">
        <f t="shared" ca="1" si="53"/>
        <v>19.966855020665694</v>
      </c>
      <c r="T191" s="725">
        <f t="shared" ca="1" si="53"/>
        <v>19.966855020665694</v>
      </c>
      <c r="U191" s="725">
        <f t="shared" ca="1" si="53"/>
        <v>19.966855020665694</v>
      </c>
      <c r="V191" s="725">
        <f t="shared" ca="1" si="53"/>
        <v>19.966855020665694</v>
      </c>
      <c r="W191" s="725">
        <f t="shared" ca="1" si="53"/>
        <v>19.966855020665694</v>
      </c>
      <c r="X191" s="725">
        <f t="shared" ca="1" si="53"/>
        <v>19.966855020665694</v>
      </c>
      <c r="Y191" s="725">
        <f t="shared" ca="1" si="53"/>
        <v>19.966855020665694</v>
      </c>
      <c r="Z191" s="725">
        <f t="shared" ca="1" si="53"/>
        <v>19.966855020665694</v>
      </c>
      <c r="AA191" s="725">
        <f t="shared" ca="1" si="53"/>
        <v>19.966855020665694</v>
      </c>
      <c r="AB191" s="725">
        <f t="shared" ca="1" si="53"/>
        <v>19.966855020665694</v>
      </c>
      <c r="AC191" s="725">
        <f t="shared" ca="1" si="53"/>
        <v>19.966855020665694</v>
      </c>
      <c r="AD191" s="725">
        <f t="shared" ca="1" si="53"/>
        <v>19.966855020665694</v>
      </c>
      <c r="AE191" s="725">
        <f t="shared" ca="1" si="53"/>
        <v>19.966855020665694</v>
      </c>
      <c r="AF191" s="725">
        <f t="shared" ca="1" si="53"/>
        <v>19.966855020665694</v>
      </c>
      <c r="AG191" s="725">
        <f t="shared" ca="1" si="53"/>
        <v>19.966855020665694</v>
      </c>
      <c r="AH191" s="727"/>
      <c r="AI191" s="727"/>
      <c r="AJ191" s="727"/>
      <c r="AK191" s="727"/>
      <c r="AL191" s="727"/>
      <c r="AM191" s="727"/>
      <c r="AN191" s="727"/>
      <c r="AO191" s="727"/>
      <c r="AP191" s="727"/>
      <c r="AQ191" s="727"/>
      <c r="AR191" s="727"/>
      <c r="AS191" s="727"/>
      <c r="AT191" s="727"/>
      <c r="AU191" s="727"/>
      <c r="AV191" s="727"/>
      <c r="AW191" s="727"/>
      <c r="AX191" s="727"/>
      <c r="AY191" s="727"/>
      <c r="AZ191" s="727"/>
      <c r="BA191" s="727"/>
      <c r="BB191" s="727"/>
    </row>
    <row r="192" spans="1:54">
      <c r="A192" s="326"/>
      <c r="B192" s="98" t="s">
        <v>1176</v>
      </c>
      <c r="C192" s="835">
        <f t="shared" ref="C192:AG192" si="54">IF(C$177=0,0,IF(C$177&gt;MAX($B$69:$B$108),C190,C190+(C$177-C$178)*(C191-C190)/(C$179-C$178)))</f>
        <v>0</v>
      </c>
      <c r="D192" s="835">
        <f t="shared" si="54"/>
        <v>0</v>
      </c>
      <c r="E192" s="835">
        <f t="shared" si="54"/>
        <v>0</v>
      </c>
      <c r="F192" s="835">
        <f t="shared" si="54"/>
        <v>0</v>
      </c>
      <c r="G192" s="835">
        <f t="shared" si="54"/>
        <v>0</v>
      </c>
      <c r="H192" s="835">
        <f t="shared" si="54"/>
        <v>0</v>
      </c>
      <c r="I192" s="835">
        <f t="shared" si="54"/>
        <v>0</v>
      </c>
      <c r="J192" s="835">
        <f t="shared" si="54"/>
        <v>0</v>
      </c>
      <c r="K192" s="835">
        <f t="shared" si="54"/>
        <v>314.45963271753345</v>
      </c>
      <c r="L192" s="835">
        <f t="shared" ca="1" si="54"/>
        <v>17.531871795059068</v>
      </c>
      <c r="M192" s="835">
        <f t="shared" ca="1" si="54"/>
        <v>17.531871795059068</v>
      </c>
      <c r="N192" s="835">
        <f t="shared" ca="1" si="54"/>
        <v>17.531871795059068</v>
      </c>
      <c r="O192" s="835">
        <f t="shared" ca="1" si="54"/>
        <v>17.531871795059068</v>
      </c>
      <c r="P192" s="835">
        <f t="shared" ca="1" si="54"/>
        <v>17.531871795059068</v>
      </c>
      <c r="Q192" s="835">
        <f t="shared" ca="1" si="54"/>
        <v>17.531871795059068</v>
      </c>
      <c r="R192" s="835">
        <f t="shared" ca="1" si="54"/>
        <v>17.531871795059068</v>
      </c>
      <c r="S192" s="835">
        <f t="shared" ca="1" si="54"/>
        <v>17.531871795059068</v>
      </c>
      <c r="T192" s="835">
        <f t="shared" ca="1" si="54"/>
        <v>17.531871795059068</v>
      </c>
      <c r="U192" s="835">
        <f t="shared" ca="1" si="54"/>
        <v>17.531871795059068</v>
      </c>
      <c r="V192" s="835">
        <f t="shared" ca="1" si="54"/>
        <v>17.531871795059068</v>
      </c>
      <c r="W192" s="835">
        <f t="shared" ca="1" si="54"/>
        <v>17.531871795059068</v>
      </c>
      <c r="X192" s="835">
        <f t="shared" ca="1" si="54"/>
        <v>17.531871795059068</v>
      </c>
      <c r="Y192" s="835">
        <f t="shared" ca="1" si="54"/>
        <v>17.531871795059068</v>
      </c>
      <c r="Z192" s="835">
        <f t="shared" ca="1" si="54"/>
        <v>17.531871795059068</v>
      </c>
      <c r="AA192" s="835">
        <f t="shared" ca="1" si="54"/>
        <v>17.531871795059068</v>
      </c>
      <c r="AB192" s="835">
        <f t="shared" ca="1" si="54"/>
        <v>17.531871795059068</v>
      </c>
      <c r="AC192" s="835">
        <f t="shared" ca="1" si="54"/>
        <v>17.531871795059068</v>
      </c>
      <c r="AD192" s="835">
        <f t="shared" ca="1" si="54"/>
        <v>17.531871795059068</v>
      </c>
      <c r="AE192" s="835">
        <f t="shared" ca="1" si="54"/>
        <v>17.531871795059068</v>
      </c>
      <c r="AF192" s="835">
        <f t="shared" ca="1" si="54"/>
        <v>17.531871795059068</v>
      </c>
      <c r="AG192" s="835">
        <f t="shared" ca="1" si="54"/>
        <v>17.531871795059068</v>
      </c>
      <c r="AH192" s="727"/>
      <c r="AI192" s="727"/>
      <c r="AJ192" s="727"/>
      <c r="AK192" s="727"/>
      <c r="AL192" s="727"/>
      <c r="AM192" s="727"/>
      <c r="AN192" s="727"/>
      <c r="AO192" s="727"/>
      <c r="AP192" s="727"/>
      <c r="AQ192" s="727"/>
      <c r="AR192" s="727"/>
      <c r="AS192" s="727"/>
      <c r="AT192" s="727"/>
      <c r="AU192" s="727"/>
      <c r="AV192" s="727"/>
      <c r="AW192" s="727"/>
      <c r="AX192" s="727"/>
      <c r="AY192" s="727"/>
      <c r="AZ192" s="727"/>
      <c r="BA192" s="727"/>
      <c r="BB192" s="727"/>
    </row>
    <row r="193" spans="1:54">
      <c r="A193" s="326"/>
      <c r="B193" s="98" t="s">
        <v>1095</v>
      </c>
      <c r="C193" s="815">
        <f t="shared" ref="C193:AG193" si="55">IF(C186=0,0,$U$38+C186*$U$45)</f>
        <v>0</v>
      </c>
      <c r="D193" s="815">
        <f t="shared" si="55"/>
        <v>0</v>
      </c>
      <c r="E193" s="815">
        <f t="shared" si="55"/>
        <v>0</v>
      </c>
      <c r="F193" s="815">
        <f t="shared" si="55"/>
        <v>0</v>
      </c>
      <c r="G193" s="815">
        <f t="shared" si="55"/>
        <v>0</v>
      </c>
      <c r="H193" s="815">
        <f t="shared" si="55"/>
        <v>0</v>
      </c>
      <c r="I193" s="815">
        <f t="shared" si="55"/>
        <v>0</v>
      </c>
      <c r="J193" s="815">
        <f t="shared" si="55"/>
        <v>0</v>
      </c>
      <c r="K193" s="815">
        <f t="shared" si="55"/>
        <v>-62601.84697874535</v>
      </c>
      <c r="L193" s="815">
        <f t="shared" ca="1" si="55"/>
        <v>865.02370556944436</v>
      </c>
      <c r="M193" s="815">
        <f t="shared" ca="1" si="55"/>
        <v>865.02370556944436</v>
      </c>
      <c r="N193" s="815">
        <f t="shared" ca="1" si="55"/>
        <v>865.02370556944436</v>
      </c>
      <c r="O193" s="815">
        <f t="shared" ca="1" si="55"/>
        <v>865.02370556944436</v>
      </c>
      <c r="P193" s="815">
        <f t="shared" ca="1" si="55"/>
        <v>865.02370556944436</v>
      </c>
      <c r="Q193" s="815">
        <f t="shared" ca="1" si="55"/>
        <v>865.02370556944436</v>
      </c>
      <c r="R193" s="815">
        <f t="shared" ca="1" si="55"/>
        <v>865.02370556944436</v>
      </c>
      <c r="S193" s="815">
        <f t="shared" ca="1" si="55"/>
        <v>865.02370556944436</v>
      </c>
      <c r="T193" s="815">
        <f t="shared" ca="1" si="55"/>
        <v>838.45740637269455</v>
      </c>
      <c r="U193" s="815">
        <f t="shared" ca="1" si="55"/>
        <v>810.72889244418593</v>
      </c>
      <c r="V193" s="815">
        <f t="shared" ca="1" si="55"/>
        <v>784.63638806800236</v>
      </c>
      <c r="W193" s="815">
        <f t="shared" ca="1" si="55"/>
        <v>757.60646073071621</v>
      </c>
      <c r="X193" s="815">
        <f t="shared" ca="1" si="55"/>
        <v>731.94493830531201</v>
      </c>
      <c r="Y193" s="815">
        <f t="shared" ca="1" si="55"/>
        <v>705.50612269905946</v>
      </c>
      <c r="Z193" s="815">
        <f t="shared" ca="1" si="55"/>
        <v>680.23913646900553</v>
      </c>
      <c r="AA193" s="815">
        <f t="shared" ca="1" si="55"/>
        <v>654.33769516369341</v>
      </c>
      <c r="AB193" s="815">
        <f t="shared" ca="1" si="55"/>
        <v>629.5218885496754</v>
      </c>
      <c r="AC193" s="815">
        <f t="shared" ca="1" si="55"/>
        <v>603.97646251332003</v>
      </c>
      <c r="AD193" s="815">
        <f t="shared" ca="1" si="55"/>
        <v>579.56738799940729</v>
      </c>
      <c r="AE193" s="815">
        <f t="shared" ca="1" si="55"/>
        <v>554.33067961891027</v>
      </c>
      <c r="AF193" s="815">
        <f t="shared" ca="1" si="55"/>
        <v>530.33348571269903</v>
      </c>
      <c r="AG193" s="815">
        <f t="shared" ca="1" si="55"/>
        <v>505.3853809926884</v>
      </c>
      <c r="AH193" s="727"/>
      <c r="AI193" s="727"/>
      <c r="AJ193" s="727"/>
      <c r="AK193" s="727"/>
      <c r="AL193" s="727"/>
      <c r="AM193" s="727"/>
      <c r="AN193" s="727"/>
      <c r="AO193" s="727"/>
      <c r="AP193" s="727"/>
      <c r="AQ193" s="727"/>
      <c r="AR193" s="727"/>
      <c r="AS193" s="727"/>
      <c r="AT193" s="727"/>
      <c r="AU193" s="727"/>
      <c r="AV193" s="727"/>
      <c r="AW193" s="727"/>
      <c r="AX193" s="727"/>
      <c r="AY193" s="727"/>
      <c r="AZ193" s="727"/>
      <c r="BA193" s="727"/>
      <c r="BB193" s="727"/>
    </row>
    <row r="194" spans="1:54">
      <c r="A194" s="326"/>
      <c r="B194" s="98"/>
      <c r="C194" s="815"/>
      <c r="D194" s="815"/>
      <c r="E194" s="815"/>
      <c r="F194" s="815"/>
      <c r="G194" s="815"/>
      <c r="H194" s="815"/>
      <c r="I194" s="815"/>
      <c r="J194" s="815"/>
      <c r="K194" s="815"/>
      <c r="L194" s="815"/>
      <c r="M194" s="815"/>
      <c r="N194" s="815"/>
      <c r="O194" s="815"/>
      <c r="P194" s="815"/>
      <c r="Q194" s="815"/>
      <c r="R194" s="815"/>
      <c r="S194" s="815"/>
      <c r="T194" s="815"/>
      <c r="U194" s="815"/>
      <c r="V194" s="815"/>
      <c r="W194" s="815"/>
      <c r="X194" s="815"/>
      <c r="Y194" s="815"/>
      <c r="Z194" s="815"/>
      <c r="AA194" s="815"/>
      <c r="AB194" s="815"/>
      <c r="AC194" s="815"/>
      <c r="AD194" s="815"/>
      <c r="AE194" s="815"/>
      <c r="AF194" s="815"/>
      <c r="AG194" s="815"/>
      <c r="AH194" s="727"/>
      <c r="AI194" s="727"/>
      <c r="AJ194" s="727"/>
      <c r="AK194" s="727"/>
      <c r="AL194" s="727"/>
      <c r="AM194" s="727"/>
      <c r="AN194" s="727"/>
      <c r="AO194" s="727"/>
      <c r="AP194" s="727"/>
      <c r="AQ194" s="727"/>
      <c r="AR194" s="727"/>
      <c r="AS194" s="727"/>
      <c r="AT194" s="727"/>
      <c r="AU194" s="727"/>
      <c r="AV194" s="727"/>
      <c r="AW194" s="727"/>
      <c r="AX194" s="727"/>
      <c r="AY194" s="727"/>
      <c r="AZ194" s="727"/>
      <c r="BA194" s="727"/>
      <c r="BB194" s="727"/>
    </row>
    <row r="195" spans="1:54">
      <c r="A195" s="326"/>
      <c r="B195" s="727"/>
      <c r="C195" s="727"/>
      <c r="D195" s="727"/>
      <c r="E195" s="727"/>
      <c r="F195" s="727"/>
      <c r="G195" s="727"/>
      <c r="H195" s="727"/>
      <c r="I195" s="727"/>
      <c r="J195" s="727"/>
      <c r="K195" s="727"/>
      <c r="L195" s="727"/>
      <c r="M195" s="727"/>
      <c r="N195" s="727"/>
      <c r="O195" s="727"/>
      <c r="P195" s="727"/>
      <c r="Q195" s="727"/>
      <c r="R195" s="727"/>
      <c r="S195" s="727"/>
      <c r="T195" s="727"/>
      <c r="U195" s="727"/>
      <c r="V195" s="727"/>
      <c r="W195" s="727"/>
      <c r="X195" s="727"/>
      <c r="Y195" s="727"/>
      <c r="Z195" s="727"/>
      <c r="AA195" s="727"/>
      <c r="AB195" s="727"/>
      <c r="AC195" s="727"/>
      <c r="AD195" s="727"/>
      <c r="AE195" s="727"/>
      <c r="AF195" s="727"/>
      <c r="AG195" s="727"/>
      <c r="AH195" s="727"/>
      <c r="AI195" s="727"/>
      <c r="AJ195" s="727"/>
      <c r="AK195" s="727"/>
      <c r="AL195" s="727"/>
      <c r="AM195" s="727"/>
      <c r="AN195" s="727"/>
      <c r="AO195" s="727"/>
      <c r="AP195" s="727"/>
      <c r="AQ195" s="727"/>
      <c r="AR195" s="727"/>
      <c r="AS195" s="727"/>
      <c r="AT195" s="727"/>
      <c r="AU195" s="727"/>
      <c r="AV195" s="727"/>
      <c r="AW195" s="727"/>
      <c r="AX195" s="727"/>
      <c r="AY195" s="727"/>
      <c r="AZ195" s="727"/>
      <c r="BA195" s="727"/>
      <c r="BB195" s="727"/>
    </row>
    <row r="196" spans="1:54">
      <c r="A196" s="326"/>
      <c r="B196" s="727"/>
      <c r="C196" s="727"/>
      <c r="D196" s="727"/>
      <c r="E196" s="727"/>
      <c r="F196" s="727"/>
      <c r="G196" s="727"/>
      <c r="H196" s="727"/>
      <c r="I196" s="727"/>
      <c r="J196" s="727"/>
      <c r="K196" s="727"/>
      <c r="L196" s="727"/>
      <c r="M196" s="727"/>
      <c r="N196" s="727"/>
      <c r="O196" s="727"/>
      <c r="P196" s="727"/>
      <c r="Q196" s="727"/>
      <c r="R196" s="727"/>
      <c r="S196" s="727"/>
      <c r="T196" s="727"/>
      <c r="U196" s="727"/>
      <c r="V196" s="727"/>
      <c r="W196" s="727"/>
      <c r="X196" s="727"/>
      <c r="Y196" s="727"/>
      <c r="Z196" s="727"/>
      <c r="AA196" s="727"/>
      <c r="AB196" s="727"/>
      <c r="AC196" s="727"/>
      <c r="AD196" s="727"/>
      <c r="AE196" s="727"/>
      <c r="AF196" s="727"/>
      <c r="AG196" s="727"/>
      <c r="AH196" s="727"/>
      <c r="AI196" s="727"/>
      <c r="AJ196" s="727"/>
      <c r="AK196" s="727"/>
      <c r="AL196" s="727"/>
      <c r="AM196" s="727"/>
      <c r="AN196" s="727"/>
      <c r="AO196" s="727"/>
      <c r="AP196" s="727"/>
      <c r="AQ196" s="727"/>
      <c r="AR196" s="727"/>
      <c r="AS196" s="727"/>
      <c r="AT196" s="727"/>
      <c r="AU196" s="727"/>
      <c r="AV196" s="727"/>
      <c r="AW196" s="727"/>
      <c r="AX196" s="727"/>
      <c r="AY196" s="727"/>
      <c r="AZ196" s="727"/>
      <c r="BA196" s="727"/>
      <c r="BB196" s="727"/>
    </row>
    <row r="197" spans="1:54">
      <c r="A197" s="326"/>
      <c r="B197" s="727"/>
      <c r="C197" s="727"/>
      <c r="D197" s="727"/>
      <c r="E197" s="727"/>
      <c r="F197" s="727"/>
      <c r="G197" s="727"/>
      <c r="H197" s="727"/>
      <c r="I197" s="727"/>
      <c r="J197" s="727"/>
      <c r="K197" s="727"/>
      <c r="L197" s="727"/>
      <c r="M197" s="727"/>
      <c r="N197" s="727"/>
      <c r="O197" s="727"/>
      <c r="P197" s="727"/>
      <c r="Q197" s="727"/>
      <c r="R197" s="727"/>
      <c r="S197" s="727"/>
      <c r="T197" s="727"/>
      <c r="U197" s="727"/>
      <c r="V197" s="727"/>
      <c r="W197" s="727"/>
      <c r="X197" s="727"/>
      <c r="Y197" s="727"/>
      <c r="Z197" s="727"/>
      <c r="AA197" s="727"/>
      <c r="AB197" s="727"/>
      <c r="AC197" s="727"/>
      <c r="AD197" s="727"/>
      <c r="AE197" s="727"/>
      <c r="AF197" s="727"/>
      <c r="AG197" s="727"/>
      <c r="AH197" s="727"/>
      <c r="AI197" s="727"/>
      <c r="AJ197" s="727"/>
      <c r="AK197" s="727"/>
      <c r="AL197" s="727"/>
      <c r="AM197" s="727"/>
      <c r="AN197" s="727"/>
      <c r="AO197" s="727"/>
      <c r="AP197" s="727"/>
      <c r="AQ197" s="727"/>
      <c r="AR197" s="727"/>
      <c r="AS197" s="727"/>
      <c r="AT197" s="727"/>
      <c r="AU197" s="727"/>
      <c r="AV197" s="727"/>
      <c r="AW197" s="727"/>
      <c r="AX197" s="727"/>
      <c r="AY197" s="727"/>
      <c r="AZ197" s="727"/>
      <c r="BA197" s="727"/>
      <c r="BB197" s="727"/>
    </row>
    <row r="198" spans="1:54">
      <c r="A198" s="326"/>
      <c r="B198" s="727"/>
      <c r="C198" s="727"/>
      <c r="D198" s="727"/>
      <c r="E198" s="727"/>
      <c r="F198" s="727"/>
      <c r="G198" s="727"/>
      <c r="H198" s="727"/>
      <c r="I198" s="727"/>
      <c r="J198" s="727"/>
      <c r="K198" s="727"/>
      <c r="L198" s="727"/>
      <c r="M198" s="727"/>
      <c r="N198" s="727"/>
      <c r="O198" s="727"/>
      <c r="P198" s="727"/>
      <c r="Q198" s="727"/>
      <c r="R198" s="727"/>
      <c r="S198" s="727"/>
      <c r="T198" s="727"/>
      <c r="U198" s="727"/>
      <c r="V198" s="727"/>
      <c r="W198" s="727"/>
      <c r="X198" s="727"/>
      <c r="Y198" s="727"/>
      <c r="Z198" s="727"/>
      <c r="AA198" s="727"/>
      <c r="AB198" s="727"/>
      <c r="AC198" s="727"/>
      <c r="AD198" s="727"/>
      <c r="AE198" s="727"/>
      <c r="AF198" s="727"/>
      <c r="AG198" s="727"/>
      <c r="AH198" s="727"/>
      <c r="AI198" s="727"/>
      <c r="AJ198" s="727"/>
      <c r="AK198" s="727"/>
      <c r="AL198" s="727"/>
      <c r="AM198" s="727"/>
      <c r="AN198" s="727"/>
      <c r="AO198" s="727"/>
      <c r="AP198" s="727"/>
      <c r="AQ198" s="727"/>
      <c r="AR198" s="727"/>
      <c r="AS198" s="727"/>
      <c r="AT198" s="727"/>
      <c r="AU198" s="727"/>
      <c r="AV198" s="727"/>
      <c r="AW198" s="727"/>
      <c r="AX198" s="727"/>
      <c r="AY198" s="727"/>
      <c r="AZ198" s="727"/>
      <c r="BA198" s="727"/>
      <c r="BB198" s="727"/>
    </row>
    <row r="199" spans="1:54">
      <c r="A199" s="326"/>
      <c r="B199" s="730" t="s">
        <v>1502</v>
      </c>
      <c r="C199" s="727"/>
      <c r="D199" s="805" t="s">
        <v>1384</v>
      </c>
      <c r="E199" s="805" t="s">
        <v>1397</v>
      </c>
      <c r="F199" s="727"/>
      <c r="G199" s="727"/>
      <c r="H199" s="727"/>
      <c r="I199" s="727"/>
      <c r="J199" s="727"/>
      <c r="K199" s="727"/>
      <c r="L199" s="727"/>
      <c r="M199" s="727"/>
      <c r="N199" s="727"/>
      <c r="O199" s="727"/>
      <c r="P199" s="727"/>
      <c r="Q199" s="727"/>
      <c r="R199" s="727"/>
      <c r="S199" s="727"/>
      <c r="T199" s="727"/>
      <c r="U199" s="727"/>
      <c r="V199" s="727"/>
      <c r="W199" s="727"/>
      <c r="X199" s="727"/>
      <c r="Y199" s="727"/>
      <c r="Z199" s="727"/>
      <c r="AA199" s="727"/>
      <c r="AB199" s="727"/>
      <c r="AC199" s="727"/>
      <c r="AD199" s="727"/>
      <c r="AE199" s="727"/>
      <c r="AF199" s="727"/>
      <c r="AG199" s="727"/>
      <c r="AH199" s="727"/>
      <c r="AI199" s="727"/>
      <c r="AJ199" s="727"/>
      <c r="AK199" s="727"/>
      <c r="AL199" s="727"/>
      <c r="AM199" s="727"/>
      <c r="AN199" s="727"/>
      <c r="AO199" s="727"/>
      <c r="AP199" s="727"/>
      <c r="AQ199" s="727"/>
      <c r="AR199" s="727"/>
      <c r="AS199" s="727"/>
      <c r="AT199" s="727"/>
      <c r="AU199" s="727"/>
      <c r="AV199" s="727"/>
      <c r="AW199" s="727"/>
      <c r="AX199" s="727"/>
      <c r="AY199" s="727"/>
      <c r="AZ199" s="727"/>
      <c r="BA199" s="727"/>
      <c r="BB199" s="727"/>
    </row>
    <row r="200" spans="1:54">
      <c r="A200" s="326"/>
      <c r="C200" s="727"/>
      <c r="D200" s="805" t="s">
        <v>1398</v>
      </c>
      <c r="E200" s="805"/>
      <c r="F200" s="727"/>
      <c r="G200" s="727"/>
      <c r="H200" s="727"/>
      <c r="I200" s="727"/>
      <c r="J200" s="727"/>
      <c r="K200" s="727"/>
      <c r="L200" s="727"/>
      <c r="M200" s="727"/>
      <c r="N200" s="727"/>
      <c r="O200" s="727"/>
      <c r="P200" s="727"/>
      <c r="Q200" s="727"/>
      <c r="R200" s="727"/>
      <c r="S200" s="727"/>
      <c r="T200" s="727"/>
      <c r="U200" s="727"/>
      <c r="V200" s="727"/>
      <c r="W200" s="727"/>
      <c r="X200" s="727"/>
      <c r="Y200" s="727"/>
      <c r="Z200" s="727"/>
      <c r="AA200" s="727"/>
      <c r="AB200" s="727"/>
      <c r="AC200" s="727"/>
      <c r="AD200" s="727"/>
      <c r="AE200" s="727"/>
      <c r="AF200" s="727"/>
      <c r="AG200" s="727"/>
      <c r="AH200" s="727"/>
      <c r="AI200" s="727"/>
      <c r="AJ200" s="727"/>
      <c r="AK200" s="727"/>
      <c r="AL200" s="727"/>
      <c r="AM200" s="727"/>
      <c r="AN200" s="727"/>
      <c r="AO200" s="727"/>
      <c r="AP200" s="727"/>
      <c r="AQ200" s="727"/>
      <c r="AR200" s="727"/>
      <c r="AS200" s="727"/>
      <c r="AT200" s="727"/>
      <c r="AU200" s="727"/>
      <c r="AV200" s="727"/>
      <c r="AW200" s="727"/>
      <c r="AX200" s="727"/>
      <c r="AY200" s="727"/>
      <c r="AZ200" s="727"/>
      <c r="BA200" s="727"/>
      <c r="BB200" s="727"/>
    </row>
    <row r="201" spans="1:54">
      <c r="A201" s="326"/>
      <c r="B201" s="326"/>
      <c r="C201" s="326"/>
      <c r="D201" s="326"/>
      <c r="E201" s="326"/>
      <c r="F201" s="326"/>
      <c r="G201" s="326"/>
      <c r="H201" s="326"/>
      <c r="I201" s="326"/>
      <c r="J201" s="727"/>
      <c r="K201" s="727"/>
      <c r="M201" s="727"/>
      <c r="N201" s="727"/>
      <c r="O201" s="727"/>
      <c r="P201" s="727"/>
      <c r="Q201" s="727"/>
      <c r="S201" s="727"/>
      <c r="T201" s="727"/>
      <c r="U201" s="727"/>
      <c r="V201" s="727"/>
      <c r="W201" s="727"/>
      <c r="X201" s="727"/>
      <c r="Y201" s="727"/>
      <c r="Z201" s="727"/>
      <c r="AA201" s="727"/>
      <c r="AB201" s="727"/>
      <c r="AC201" s="727"/>
      <c r="AD201" s="727"/>
      <c r="AE201" s="727"/>
      <c r="AF201" s="727"/>
      <c r="AG201" s="727"/>
      <c r="AH201" s="727"/>
      <c r="AI201" s="727"/>
      <c r="AJ201" s="727"/>
      <c r="AK201" s="727"/>
      <c r="AL201" s="727"/>
      <c r="AM201" s="727"/>
      <c r="AN201" s="727"/>
      <c r="AO201" s="727"/>
      <c r="AP201" s="727"/>
      <c r="AQ201" s="727"/>
      <c r="AR201" s="727"/>
      <c r="AS201" s="727"/>
      <c r="AT201" s="727"/>
      <c r="AU201" s="727"/>
      <c r="AV201" s="727"/>
      <c r="AW201" s="727"/>
      <c r="AX201" s="727"/>
      <c r="AY201" s="727"/>
      <c r="AZ201" s="727"/>
      <c r="BA201" s="727"/>
      <c r="BB201" s="727"/>
    </row>
    <row r="202" spans="1:54" ht="26.4">
      <c r="A202" s="326"/>
      <c r="B202" s="889" t="s">
        <v>1041</v>
      </c>
      <c r="C202" s="889" t="s">
        <v>1394</v>
      </c>
      <c r="D202" s="889" t="s">
        <v>1399</v>
      </c>
      <c r="E202" s="889" t="s">
        <v>1403</v>
      </c>
      <c r="F202" s="889" t="s">
        <v>1396</v>
      </c>
      <c r="G202" s="889" t="s">
        <v>1395</v>
      </c>
      <c r="H202" s="890"/>
      <c r="I202" s="890"/>
      <c r="J202" s="889" t="s">
        <v>1041</v>
      </c>
      <c r="K202" s="889" t="s">
        <v>1042</v>
      </c>
      <c r="L202" s="889" t="s">
        <v>1043</v>
      </c>
      <c r="M202" s="889" t="s">
        <v>1045</v>
      </c>
      <c r="N202" s="727"/>
      <c r="O202" s="727"/>
      <c r="P202" s="727"/>
      <c r="Q202" s="727"/>
      <c r="R202" s="727"/>
      <c r="S202" s="727"/>
      <c r="T202" s="727"/>
      <c r="U202" s="727"/>
      <c r="V202" s="727"/>
      <c r="W202" s="727"/>
      <c r="X202" s="727"/>
      <c r="Y202" s="727"/>
      <c r="Z202" s="727"/>
      <c r="AA202" s="727"/>
      <c r="AB202" s="727"/>
      <c r="AC202" s="727"/>
      <c r="AD202" s="727"/>
      <c r="AE202" s="727"/>
      <c r="AF202" s="727"/>
      <c r="AG202" s="727"/>
      <c r="AH202" s="727"/>
      <c r="AI202" s="727"/>
      <c r="AJ202" s="727"/>
      <c r="AK202" s="727"/>
      <c r="AL202" s="727"/>
      <c r="AM202" s="727"/>
      <c r="AN202" s="727"/>
      <c r="AO202" s="727"/>
      <c r="AP202" s="727"/>
      <c r="AQ202" s="727"/>
      <c r="AR202" s="727"/>
      <c r="AS202" s="727"/>
      <c r="AT202" s="727"/>
      <c r="AU202" s="727"/>
      <c r="AV202" s="727"/>
      <c r="AW202" s="727"/>
      <c r="AX202" s="727"/>
      <c r="AY202" s="727"/>
      <c r="AZ202" s="727"/>
      <c r="BA202" s="727"/>
      <c r="BB202" s="727"/>
    </row>
    <row r="203" spans="1:54">
      <c r="A203" s="326"/>
      <c r="B203" s="790" t="s">
        <v>1038</v>
      </c>
      <c r="C203" s="790" t="s">
        <v>7</v>
      </c>
      <c r="D203" s="790" t="s">
        <v>1033</v>
      </c>
      <c r="E203" s="790" t="s">
        <v>1034</v>
      </c>
      <c r="F203" s="790" t="s">
        <v>1034</v>
      </c>
      <c r="G203" s="790" t="s">
        <v>1035</v>
      </c>
      <c r="H203" s="727"/>
      <c r="I203" s="727"/>
      <c r="J203" s="790" t="s">
        <v>1053</v>
      </c>
      <c r="K203" s="790" t="s">
        <v>1052</v>
      </c>
      <c r="L203" s="790" t="s">
        <v>1052</v>
      </c>
      <c r="M203" s="790" t="s">
        <v>1052</v>
      </c>
      <c r="N203" s="727"/>
      <c r="O203" s="727"/>
      <c r="P203" s="727"/>
      <c r="Q203" s="727"/>
      <c r="R203" s="727"/>
      <c r="S203" s="727"/>
      <c r="T203" s="727"/>
      <c r="U203" s="727"/>
      <c r="V203" s="727"/>
      <c r="W203" s="727"/>
      <c r="X203" s="727"/>
      <c r="Y203" s="727"/>
      <c r="Z203" s="727"/>
      <c r="AA203" s="727"/>
      <c r="AB203" s="727"/>
      <c r="AC203" s="727"/>
      <c r="AD203" s="727"/>
      <c r="AE203" s="727"/>
      <c r="AF203" s="727"/>
      <c r="AG203" s="727"/>
      <c r="AH203" s="727"/>
      <c r="AI203" s="727"/>
      <c r="AJ203" s="727"/>
      <c r="AK203" s="727"/>
      <c r="AL203" s="727"/>
      <c r="AM203" s="727"/>
      <c r="AN203" s="727"/>
      <c r="AO203" s="727"/>
      <c r="AP203" s="727"/>
      <c r="AQ203" s="727"/>
      <c r="AR203" s="727"/>
      <c r="AS203" s="727"/>
      <c r="AT203" s="727"/>
      <c r="AU203" s="727"/>
      <c r="AV203" s="727"/>
      <c r="AW203" s="727"/>
      <c r="AX203" s="727"/>
      <c r="AY203" s="727"/>
      <c r="AZ203" s="727"/>
      <c r="BA203" s="727"/>
      <c r="BB203" s="727"/>
    </row>
    <row r="204" spans="1:54">
      <c r="A204" s="326"/>
      <c r="B204" s="791">
        <v>0.01</v>
      </c>
      <c r="C204" s="792">
        <v>45.81</v>
      </c>
      <c r="D204" s="779">
        <v>14.67</v>
      </c>
      <c r="E204" s="779">
        <v>2437.1999999999998</v>
      </c>
      <c r="F204" s="779">
        <v>2583.9</v>
      </c>
      <c r="G204" s="779">
        <v>8.1487999999999996</v>
      </c>
      <c r="H204" s="727"/>
      <c r="I204" s="727"/>
      <c r="J204" s="793">
        <v>0.01</v>
      </c>
      <c r="K204" s="794">
        <f>ROW(INDEX($B$204:$B$748,MATCH(J204,$B$204:$B$748,0)))</f>
        <v>204</v>
      </c>
      <c r="L204" s="807">
        <f t="shared" ref="L204:L238" si="56">ROW(INDEX($B$204:$B$748,MATCH(J205,$B$204:$B$748,0)))-1</f>
        <v>220</v>
      </c>
      <c r="M204" s="727"/>
      <c r="N204" s="727"/>
      <c r="O204" s="727"/>
      <c r="P204" s="727"/>
      <c r="Q204" s="727"/>
      <c r="R204" s="727"/>
      <c r="S204" s="727"/>
      <c r="T204" s="727"/>
      <c r="U204" s="727"/>
      <c r="V204" s="727"/>
      <c r="W204" s="727"/>
      <c r="X204" s="727"/>
      <c r="Y204" s="727"/>
      <c r="Z204" s="727"/>
      <c r="AA204" s="727"/>
      <c r="AB204" s="727"/>
      <c r="AC204" s="727"/>
      <c r="AD204" s="727"/>
      <c r="AE204" s="727"/>
      <c r="AF204" s="727"/>
      <c r="AG204" s="727"/>
      <c r="AH204" s="727"/>
      <c r="AI204" s="727"/>
      <c r="AJ204" s="727"/>
      <c r="AK204" s="727"/>
      <c r="AL204" s="727"/>
      <c r="AM204" s="727"/>
      <c r="AN204" s="727"/>
      <c r="AO204" s="727"/>
      <c r="AP204" s="727"/>
      <c r="AQ204" s="727"/>
      <c r="AR204" s="727"/>
      <c r="AS204" s="727"/>
      <c r="AT204" s="727"/>
      <c r="AU204" s="727"/>
      <c r="AV204" s="727"/>
      <c r="AW204" s="727"/>
      <c r="AX204" s="727"/>
      <c r="AY204" s="727"/>
      <c r="AZ204" s="727"/>
      <c r="BA204" s="727"/>
      <c r="BB204" s="727"/>
    </row>
    <row r="205" spans="1:54">
      <c r="A205" s="326"/>
      <c r="B205" s="791">
        <v>0.01</v>
      </c>
      <c r="C205" s="792">
        <v>50</v>
      </c>
      <c r="D205" s="779">
        <v>14.867000000000001</v>
      </c>
      <c r="E205" s="779">
        <v>2443.3000000000002</v>
      </c>
      <c r="F205" s="779">
        <v>2592</v>
      </c>
      <c r="G205" s="779">
        <v>8.1740999999999993</v>
      </c>
      <c r="H205" s="727"/>
      <c r="J205" s="793">
        <v>0.05</v>
      </c>
      <c r="K205" s="794">
        <f t="shared" ref="K205:K239" si="57">ROW(INDEX($B$204:$B$748,MATCH(J205,$B$204:$B$748,0)))</f>
        <v>221</v>
      </c>
      <c r="L205" s="807">
        <f t="shared" si="56"/>
        <v>236</v>
      </c>
      <c r="M205" s="727"/>
      <c r="N205" s="727"/>
      <c r="O205" s="731" t="s">
        <v>1401</v>
      </c>
      <c r="P205" s="727"/>
      <c r="Q205" s="727"/>
      <c r="R205" s="727"/>
      <c r="S205" s="727"/>
      <c r="T205" s="727"/>
      <c r="U205" s="727"/>
      <c r="V205" s="727"/>
      <c r="W205" s="727"/>
      <c r="X205" s="727"/>
      <c r="Y205" s="727"/>
      <c r="Z205" s="727"/>
      <c r="AA205" s="727"/>
      <c r="AB205" s="727"/>
      <c r="AC205" s="727"/>
      <c r="AD205" s="727"/>
      <c r="AE205" s="727"/>
      <c r="AF205" s="727"/>
      <c r="AG205" s="727"/>
      <c r="AH205" s="727"/>
      <c r="AI205" s="727"/>
      <c r="AJ205" s="727"/>
      <c r="AK205" s="727"/>
      <c r="AL205" s="727"/>
      <c r="AM205" s="727"/>
      <c r="AN205" s="727"/>
      <c r="AO205" s="727"/>
      <c r="AP205" s="727"/>
      <c r="AQ205" s="727"/>
      <c r="AR205" s="727"/>
      <c r="AS205" s="727"/>
      <c r="AT205" s="727"/>
      <c r="AU205" s="727"/>
      <c r="AV205" s="727"/>
      <c r="AW205" s="727"/>
      <c r="AX205" s="727"/>
      <c r="AY205" s="727"/>
      <c r="AZ205" s="727"/>
      <c r="BA205" s="727"/>
      <c r="BB205" s="727"/>
    </row>
    <row r="206" spans="1:54">
      <c r="A206" s="326"/>
      <c r="B206" s="791">
        <v>0.01</v>
      </c>
      <c r="C206" s="792">
        <v>100</v>
      </c>
      <c r="D206" s="779">
        <v>17.196000000000002</v>
      </c>
      <c r="E206" s="779">
        <v>2515.5</v>
      </c>
      <c r="F206" s="779">
        <v>2687.5</v>
      </c>
      <c r="G206" s="779">
        <v>8.4489000000000001</v>
      </c>
      <c r="H206" s="727"/>
      <c r="I206" s="727"/>
      <c r="J206" s="793">
        <v>0.1</v>
      </c>
      <c r="K206" s="794">
        <f t="shared" si="57"/>
        <v>237</v>
      </c>
      <c r="L206" s="807">
        <f t="shared" si="56"/>
        <v>252</v>
      </c>
      <c r="M206" s="727"/>
      <c r="N206" s="727"/>
      <c r="O206" s="893" t="s">
        <v>1049</v>
      </c>
      <c r="P206" s="727"/>
      <c r="Q206" s="727"/>
      <c r="R206" s="727"/>
      <c r="S206" s="727"/>
      <c r="T206" s="727"/>
      <c r="U206" s="727"/>
      <c r="V206" s="727"/>
      <c r="W206" s="727"/>
      <c r="X206" s="727"/>
      <c r="Y206" s="727"/>
      <c r="Z206" s="727"/>
      <c r="AA206" s="727"/>
      <c r="AB206" s="727"/>
      <c r="AC206" s="727"/>
      <c r="AD206" s="727"/>
      <c r="AE206" s="727"/>
      <c r="AF206" s="727"/>
      <c r="AG206" s="727"/>
      <c r="AH206" s="727"/>
      <c r="AI206" s="727"/>
      <c r="AJ206" s="727"/>
      <c r="AK206" s="727"/>
      <c r="AL206" s="727"/>
      <c r="AM206" s="727"/>
      <c r="AN206" s="727"/>
      <c r="AO206" s="727"/>
      <c r="AP206" s="727"/>
      <c r="AQ206" s="727"/>
      <c r="AR206" s="727"/>
      <c r="AS206" s="727"/>
      <c r="AT206" s="727"/>
      <c r="AU206" s="727"/>
      <c r="AV206" s="727"/>
      <c r="AW206" s="727"/>
      <c r="AX206" s="727"/>
      <c r="AY206" s="727"/>
      <c r="AZ206" s="727"/>
      <c r="BA206" s="727"/>
      <c r="BB206" s="727"/>
    </row>
    <row r="207" spans="1:54">
      <c r="A207" s="326"/>
      <c r="B207" s="791">
        <v>0.01</v>
      </c>
      <c r="C207" s="792">
        <v>150</v>
      </c>
      <c r="D207" s="779">
        <v>19.513000000000002</v>
      </c>
      <c r="E207" s="779">
        <v>2587.9</v>
      </c>
      <c r="F207" s="779">
        <v>2783</v>
      </c>
      <c r="G207" s="779">
        <v>8.6892999999999994</v>
      </c>
      <c r="H207" s="727"/>
      <c r="I207" s="727"/>
      <c r="J207" s="793">
        <v>0.2</v>
      </c>
      <c r="K207" s="794">
        <f t="shared" si="57"/>
        <v>253</v>
      </c>
      <c r="L207" s="807">
        <f t="shared" si="56"/>
        <v>267</v>
      </c>
      <c r="M207" s="727"/>
      <c r="N207" s="727"/>
      <c r="O207" s="727"/>
      <c r="P207" s="727"/>
      <c r="Q207" s="757" t="s">
        <v>1040</v>
      </c>
      <c r="R207" s="731" t="s">
        <v>1039</v>
      </c>
      <c r="S207" s="727"/>
      <c r="T207" s="727"/>
      <c r="U207" s="727"/>
      <c r="V207" s="727"/>
      <c r="W207" s="727"/>
      <c r="X207" s="727"/>
      <c r="Y207" s="727"/>
      <c r="Z207" s="727"/>
      <c r="AA207" s="727"/>
      <c r="AB207" s="727"/>
      <c r="AC207" s="727"/>
      <c r="AD207" s="727"/>
      <c r="AE207" s="727"/>
      <c r="AF207" s="727"/>
      <c r="AG207" s="727"/>
      <c r="AH207" s="727"/>
      <c r="AI207" s="727"/>
      <c r="AJ207" s="727"/>
      <c r="AK207" s="727"/>
      <c r="AL207" s="727"/>
      <c r="AM207" s="727"/>
      <c r="AN207" s="727"/>
      <c r="AO207" s="727"/>
      <c r="AP207" s="727"/>
      <c r="AQ207" s="727"/>
      <c r="AR207" s="727"/>
      <c r="AS207" s="727"/>
      <c r="AT207" s="727"/>
      <c r="AU207" s="727"/>
      <c r="AV207" s="727"/>
      <c r="AW207" s="727"/>
      <c r="AX207" s="727"/>
      <c r="AY207" s="727"/>
      <c r="AZ207" s="727"/>
      <c r="BA207" s="727"/>
      <c r="BB207" s="727"/>
    </row>
    <row r="208" spans="1:54">
      <c r="A208" s="326"/>
      <c r="B208" s="791">
        <v>0.01</v>
      </c>
      <c r="C208" s="792">
        <v>200</v>
      </c>
      <c r="D208" s="779">
        <v>21.826000000000001</v>
      </c>
      <c r="E208" s="779">
        <v>2661.4</v>
      </c>
      <c r="F208" s="779">
        <v>2879.6</v>
      </c>
      <c r="G208" s="779">
        <v>8.9048999999999996</v>
      </c>
      <c r="H208" s="727"/>
      <c r="I208" s="727"/>
      <c r="J208" s="793">
        <v>0.3</v>
      </c>
      <c r="K208" s="794">
        <f t="shared" si="57"/>
        <v>268</v>
      </c>
      <c r="L208" s="807">
        <f t="shared" si="56"/>
        <v>282</v>
      </c>
      <c r="M208" s="795">
        <f>VLOOKUP($R$209,$J$204:$L$239,2,FALSE)</f>
        <v>464</v>
      </c>
      <c r="N208" s="796" t="s">
        <v>1046</v>
      </c>
      <c r="O208" s="727"/>
      <c r="P208" s="758" t="s">
        <v>952</v>
      </c>
      <c r="Q208" s="759">
        <f>INDEX($B$204:$B$748,MATCH($Q209,$B$204:$B$748,1))</f>
        <v>3.5</v>
      </c>
      <c r="R208" s="727"/>
      <c r="S208" s="727"/>
      <c r="T208" s="727"/>
      <c r="U208" s="727"/>
      <c r="V208" s="727"/>
      <c r="W208" s="727"/>
      <c r="X208" s="727"/>
      <c r="Y208" s="727"/>
      <c r="Z208" s="727"/>
      <c r="AA208" s="727"/>
      <c r="AB208" s="727"/>
      <c r="AC208" s="727"/>
      <c r="AD208" s="727"/>
      <c r="AE208" s="727"/>
      <c r="AF208" s="727"/>
      <c r="AG208" s="727"/>
      <c r="AH208" s="727"/>
      <c r="AI208" s="727"/>
      <c r="AJ208" s="727"/>
      <c r="AK208" s="727"/>
      <c r="AL208" s="727"/>
      <c r="AM208" s="727"/>
      <c r="AN208" s="727"/>
      <c r="AO208" s="727"/>
      <c r="AP208" s="727"/>
      <c r="AQ208" s="727"/>
      <c r="AR208" s="727"/>
      <c r="AS208" s="727"/>
      <c r="AT208" s="727"/>
      <c r="AU208" s="727"/>
      <c r="AV208" s="727"/>
      <c r="AW208" s="727"/>
      <c r="AX208" s="727"/>
      <c r="AY208" s="727"/>
      <c r="AZ208" s="727"/>
      <c r="BA208" s="727"/>
      <c r="BB208" s="727"/>
    </row>
    <row r="209" spans="1:54">
      <c r="A209" s="326"/>
      <c r="B209" s="791">
        <v>0.01</v>
      </c>
      <c r="C209" s="792">
        <v>250</v>
      </c>
      <c r="D209" s="779">
        <v>24.135999999999999</v>
      </c>
      <c r="E209" s="779">
        <v>2736.1</v>
      </c>
      <c r="F209" s="779">
        <v>2977.5</v>
      </c>
      <c r="G209" s="779">
        <v>9.1014999999999997</v>
      </c>
      <c r="H209" s="727"/>
      <c r="I209" s="727"/>
      <c r="J209" s="793">
        <v>0.4</v>
      </c>
      <c r="K209" s="794">
        <f t="shared" si="57"/>
        <v>283</v>
      </c>
      <c r="L209" s="807">
        <f t="shared" si="56"/>
        <v>297</v>
      </c>
      <c r="M209" s="795">
        <f>VLOOKUP($R$209,$J$204:$L$239,3,FALSE)</f>
        <v>478</v>
      </c>
      <c r="N209" s="731" t="s">
        <v>1047</v>
      </c>
      <c r="O209" s="727"/>
      <c r="P209" s="758" t="s">
        <v>951</v>
      </c>
      <c r="Q209" s="762">
        <f>$N$4/1000000</f>
        <v>3.5</v>
      </c>
      <c r="R209" s="798">
        <f>IF(Q209&lt;MIN($B$204:$B$748),MIN($B$204:$B$748),IF(Q209&gt;MAX($B$204:$B$748),MAX($B$204:$B$748),IF(ABS(Q209-Q208)&gt;=ABS(Q210-Q209),Q210,Q208)))</f>
        <v>3.5</v>
      </c>
      <c r="S209" s="763" t="s">
        <v>1044</v>
      </c>
      <c r="T209" s="727"/>
      <c r="U209" s="727"/>
      <c r="V209" s="727"/>
      <c r="W209" s="727"/>
      <c r="X209" s="727"/>
      <c r="Y209" s="727"/>
      <c r="Z209" s="727"/>
      <c r="AA209" s="727"/>
      <c r="AB209" s="727"/>
      <c r="AC209" s="727"/>
      <c r="AD209" s="727"/>
      <c r="AE209" s="727"/>
      <c r="AF209" s="727"/>
      <c r="AG209" s="727"/>
      <c r="AH209" s="727"/>
      <c r="AI209" s="727"/>
      <c r="AJ209" s="727"/>
      <c r="AK209" s="727"/>
      <c r="AL209" s="727"/>
      <c r="AM209" s="727"/>
      <c r="AN209" s="727"/>
      <c r="AO209" s="727"/>
      <c r="AP209" s="727"/>
      <c r="AQ209" s="727"/>
      <c r="AR209" s="727"/>
      <c r="AS209" s="727"/>
      <c r="AT209" s="727"/>
      <c r="AU209" s="727"/>
      <c r="AV209" s="727"/>
      <c r="AW209" s="727"/>
      <c r="AX209" s="727"/>
      <c r="AY209" s="727"/>
      <c r="AZ209" s="727"/>
      <c r="BA209" s="727"/>
      <c r="BB209" s="727"/>
    </row>
    <row r="210" spans="1:54">
      <c r="A210" s="326"/>
      <c r="B210" s="791">
        <v>0.01</v>
      </c>
      <c r="C210" s="792">
        <v>300</v>
      </c>
      <c r="D210" s="779">
        <v>26.446000000000002</v>
      </c>
      <c r="E210" s="779">
        <v>2812.3</v>
      </c>
      <c r="F210" s="779">
        <v>3076.7</v>
      </c>
      <c r="G210" s="779">
        <v>9.2827000000000002</v>
      </c>
      <c r="H210" s="727"/>
      <c r="I210" s="727"/>
      <c r="J210" s="793">
        <v>0.5</v>
      </c>
      <c r="K210" s="794">
        <f t="shared" si="57"/>
        <v>298</v>
      </c>
      <c r="L210" s="807">
        <f t="shared" si="56"/>
        <v>312</v>
      </c>
      <c r="M210" s="727"/>
      <c r="N210" s="727"/>
      <c r="O210" s="727"/>
      <c r="P210" s="758" t="s">
        <v>952</v>
      </c>
      <c r="Q210" s="759">
        <f>INDEX($B$204:$B$748,MATCH($Q209,$B$204:$B$748,1)+1)</f>
        <v>4</v>
      </c>
      <c r="R210" s="727"/>
      <c r="S210" s="727"/>
      <c r="T210" s="727"/>
      <c r="U210" s="727"/>
      <c r="V210" s="727"/>
      <c r="W210" s="727"/>
      <c r="X210" s="727"/>
      <c r="Y210" s="727"/>
      <c r="Z210" s="727"/>
      <c r="AA210" s="727"/>
      <c r="AB210" s="727"/>
      <c r="AC210" s="727"/>
      <c r="AD210" s="727"/>
      <c r="AE210" s="727"/>
      <c r="AF210" s="727"/>
      <c r="AG210" s="727"/>
      <c r="AH210" s="727"/>
      <c r="AI210" s="727"/>
      <c r="AJ210" s="727"/>
      <c r="AK210" s="727"/>
      <c r="AL210" s="727"/>
      <c r="AM210" s="727"/>
      <c r="AN210" s="727"/>
      <c r="AO210" s="727"/>
      <c r="AP210" s="727"/>
      <c r="AQ210" s="727"/>
      <c r="AR210" s="727"/>
      <c r="AS210" s="727"/>
      <c r="AT210" s="727"/>
      <c r="AU210" s="727"/>
      <c r="AV210" s="727"/>
      <c r="AW210" s="727"/>
      <c r="AX210" s="727"/>
      <c r="AY210" s="727"/>
      <c r="AZ210" s="727"/>
      <c r="BA210" s="727"/>
      <c r="BB210" s="727"/>
    </row>
    <row r="211" spans="1:54">
      <c r="A211" s="326"/>
      <c r="B211" s="791">
        <v>0.01</v>
      </c>
      <c r="C211" s="792">
        <v>400</v>
      </c>
      <c r="D211" s="779">
        <v>31.062999999999999</v>
      </c>
      <c r="E211" s="779">
        <v>2969.3</v>
      </c>
      <c r="F211" s="779">
        <v>3280</v>
      </c>
      <c r="G211" s="779">
        <v>9.6094000000000008</v>
      </c>
      <c r="H211" s="727"/>
      <c r="I211" s="727"/>
      <c r="J211" s="793">
        <v>0.6</v>
      </c>
      <c r="K211" s="794">
        <f t="shared" si="57"/>
        <v>313</v>
      </c>
      <c r="L211" s="807">
        <f t="shared" si="56"/>
        <v>327</v>
      </c>
      <c r="M211" s="727"/>
      <c r="N211" s="727"/>
      <c r="O211" s="893" t="s">
        <v>1050</v>
      </c>
      <c r="P211" s="727"/>
      <c r="Q211" s="727"/>
      <c r="R211" s="727"/>
      <c r="S211" s="727"/>
      <c r="T211" s="727"/>
      <c r="U211" s="727"/>
      <c r="V211" s="727"/>
      <c r="W211" s="727"/>
      <c r="X211" s="727"/>
      <c r="Y211" s="727"/>
      <c r="Z211" s="727"/>
      <c r="AA211" s="727"/>
      <c r="AB211" s="727"/>
      <c r="AC211" s="727"/>
      <c r="AD211" s="727"/>
      <c r="AE211" s="727"/>
      <c r="AF211" s="727"/>
      <c r="AG211" s="727"/>
      <c r="AH211" s="727"/>
      <c r="AI211" s="727"/>
      <c r="AJ211" s="727"/>
      <c r="AK211" s="727"/>
      <c r="AL211" s="727"/>
      <c r="AM211" s="727"/>
      <c r="AN211" s="727"/>
      <c r="AO211" s="727"/>
      <c r="AP211" s="727"/>
      <c r="AQ211" s="727"/>
      <c r="AR211" s="727"/>
      <c r="AS211" s="727"/>
      <c r="AT211" s="727"/>
      <c r="AU211" s="727"/>
      <c r="AV211" s="727"/>
      <c r="AW211" s="727"/>
      <c r="AX211" s="727"/>
      <c r="AY211" s="727"/>
      <c r="AZ211" s="727"/>
      <c r="BA211" s="727"/>
      <c r="BB211" s="727"/>
    </row>
    <row r="212" spans="1:54">
      <c r="A212" s="326"/>
      <c r="B212" s="791">
        <v>0.01</v>
      </c>
      <c r="C212" s="792">
        <v>500</v>
      </c>
      <c r="D212" s="779">
        <v>35.68</v>
      </c>
      <c r="E212" s="779">
        <v>3132.9</v>
      </c>
      <c r="F212" s="779">
        <v>3489.7</v>
      </c>
      <c r="G212" s="779">
        <v>9.8998000000000008</v>
      </c>
      <c r="H212" s="727"/>
      <c r="I212" s="727"/>
      <c r="J212" s="793">
        <v>0.8</v>
      </c>
      <c r="K212" s="794">
        <f t="shared" si="57"/>
        <v>328</v>
      </c>
      <c r="L212" s="807">
        <f t="shared" si="56"/>
        <v>342</v>
      </c>
      <c r="M212" s="727"/>
      <c r="N212" s="727"/>
      <c r="O212" s="727"/>
      <c r="P212" s="727"/>
      <c r="Q212" s="757" t="s">
        <v>1105</v>
      </c>
      <c r="R212" s="731" t="s">
        <v>898</v>
      </c>
      <c r="S212" s="727"/>
      <c r="T212" s="727"/>
      <c r="U212" s="727"/>
      <c r="V212" s="727"/>
      <c r="W212" s="727"/>
      <c r="X212" s="727"/>
      <c r="Y212" s="727"/>
      <c r="Z212" s="727"/>
      <c r="AA212" s="727"/>
      <c r="AB212" s="727"/>
      <c r="AC212" s="727"/>
      <c r="AD212" s="727"/>
      <c r="AE212" s="727"/>
      <c r="AF212" s="727"/>
      <c r="AG212" s="727"/>
      <c r="AH212" s="727"/>
      <c r="AI212" s="727"/>
      <c r="AJ212" s="727"/>
      <c r="AK212" s="727"/>
      <c r="AL212" s="727"/>
      <c r="AM212" s="727"/>
      <c r="AN212" s="727"/>
      <c r="AO212" s="727"/>
      <c r="AP212" s="727"/>
      <c r="AQ212" s="727"/>
      <c r="AR212" s="727"/>
      <c r="AS212" s="727"/>
      <c r="AT212" s="727"/>
      <c r="AU212" s="727"/>
      <c r="AV212" s="727"/>
      <c r="AW212" s="727"/>
      <c r="AX212" s="727"/>
      <c r="AY212" s="727"/>
      <c r="AZ212" s="727"/>
      <c r="BA212" s="727"/>
      <c r="BB212" s="727"/>
    </row>
    <row r="213" spans="1:54">
      <c r="A213" s="326"/>
      <c r="B213" s="791">
        <v>0.01</v>
      </c>
      <c r="C213" s="792">
        <v>600</v>
      </c>
      <c r="D213" s="779">
        <v>40.295999999999999</v>
      </c>
      <c r="E213" s="779">
        <v>3303.3</v>
      </c>
      <c r="F213" s="779">
        <v>3706.3</v>
      </c>
      <c r="G213" s="779">
        <v>10.1631</v>
      </c>
      <c r="H213" s="727"/>
      <c r="I213" s="727"/>
      <c r="J213" s="793">
        <v>1</v>
      </c>
      <c r="K213" s="794">
        <f t="shared" si="57"/>
        <v>343</v>
      </c>
      <c r="L213" s="807">
        <f t="shared" si="56"/>
        <v>357</v>
      </c>
      <c r="M213" s="727"/>
      <c r="N213" s="727"/>
      <c r="O213" s="727"/>
      <c r="P213" s="758" t="s">
        <v>952</v>
      </c>
      <c r="Q213" s="759">
        <f ca="1">INDEX(INDIRECT(CONCATENATE("$C$",$M$208)):INDIRECT(CONCATENATE("$C$",$M$209)),MATCH($Q214,INDIRECT(CONCATENATE("$C$",$M$208)):INDIRECT(CONCATENATE("$C$",$M$209)),1))</f>
        <v>250</v>
      </c>
      <c r="R213" s="799">
        <f ca="1">VLOOKUP(Q213,INDIRECT(CONCATENATE("$C$",$M$208)):INDIRECT(CONCATENATE("$G$",$M$209)),4,FALSE)</f>
        <v>2829.7</v>
      </c>
      <c r="S213" s="727"/>
      <c r="T213" s="727"/>
      <c r="U213" s="727"/>
      <c r="V213" s="727"/>
      <c r="W213" s="727"/>
      <c r="X213" s="727"/>
      <c r="Y213" s="727"/>
      <c r="Z213" s="727"/>
      <c r="AA213" s="727"/>
      <c r="AB213" s="727"/>
      <c r="AC213" s="727"/>
      <c r="AD213" s="727"/>
      <c r="AE213" s="727"/>
      <c r="AF213" s="727"/>
      <c r="AG213" s="727"/>
      <c r="AH213" s="727"/>
      <c r="AI213" s="727"/>
      <c r="AJ213" s="727"/>
      <c r="AK213" s="727"/>
      <c r="AL213" s="727"/>
      <c r="AM213" s="727"/>
      <c r="AN213" s="727"/>
      <c r="AO213" s="727"/>
      <c r="AP213" s="727"/>
      <c r="AQ213" s="727"/>
      <c r="AR213" s="727"/>
      <c r="AS213" s="727"/>
      <c r="AT213" s="727"/>
      <c r="AU213" s="727"/>
      <c r="AV213" s="727"/>
      <c r="AW213" s="727"/>
      <c r="AX213" s="727"/>
      <c r="AY213" s="727"/>
      <c r="AZ213" s="727"/>
      <c r="BA213" s="727"/>
      <c r="BB213" s="727"/>
    </row>
    <row r="214" spans="1:54">
      <c r="A214" s="326"/>
      <c r="B214" s="791">
        <v>0.01</v>
      </c>
      <c r="C214" s="792">
        <v>700</v>
      </c>
      <c r="D214" s="779">
        <v>44.911000000000001</v>
      </c>
      <c r="E214" s="779">
        <v>3480.8</v>
      </c>
      <c r="F214" s="779">
        <v>3929.9</v>
      </c>
      <c r="G214" s="779">
        <v>10.4056</v>
      </c>
      <c r="H214" s="727"/>
      <c r="I214" s="727"/>
      <c r="J214" s="793">
        <v>1.2</v>
      </c>
      <c r="K214" s="794">
        <f t="shared" si="57"/>
        <v>358</v>
      </c>
      <c r="L214" s="807">
        <f t="shared" si="56"/>
        <v>372</v>
      </c>
      <c r="M214" s="727"/>
      <c r="N214" s="727"/>
      <c r="O214" s="727"/>
      <c r="P214" s="758" t="s">
        <v>951</v>
      </c>
      <c r="Q214" s="762">
        <f>$I$4</f>
        <v>295</v>
      </c>
      <c r="R214" s="800">
        <f ca="1">IF(Q214&gt;MAX(INDIRECT(CONCATENATE("$C$",$M$208)):INDIRECT(CONCATENATE("$C$",$M$209))),R213,IF(Q214&lt;MIN(INDIRECT(CONCATENATE("$C$",$M$208)):INDIRECT(CONCATENATE("$C$",$M$209))),INDIRECT(CONCATENATE("$F$",$M$208)),R213+(Q214-Q213)*(R215-R213)/(Q215-Q213)))</f>
        <v>2963.53</v>
      </c>
      <c r="S214" s="763" t="s">
        <v>869</v>
      </c>
      <c r="T214" s="727"/>
      <c r="U214" s="731" t="s">
        <v>1388</v>
      </c>
      <c r="V214" s="727"/>
      <c r="W214" s="727"/>
      <c r="X214" s="727"/>
      <c r="Y214" s="727"/>
      <c r="Z214" s="727"/>
      <c r="AA214" s="727"/>
      <c r="AB214" s="727"/>
      <c r="AC214" s="727"/>
      <c r="AD214" s="727"/>
      <c r="AE214" s="727"/>
      <c r="AF214" s="727"/>
      <c r="AG214" s="727"/>
      <c r="AH214" s="727"/>
      <c r="AI214" s="727"/>
      <c r="AJ214" s="727"/>
      <c r="AK214" s="727"/>
      <c r="AL214" s="727"/>
      <c r="AM214" s="727"/>
      <c r="AN214" s="727"/>
      <c r="AO214" s="727"/>
      <c r="AP214" s="727"/>
      <c r="AQ214" s="727"/>
      <c r="AR214" s="727"/>
      <c r="AS214" s="727"/>
      <c r="AT214" s="727"/>
      <c r="AU214" s="727"/>
      <c r="AV214" s="727"/>
      <c r="AW214" s="727"/>
      <c r="AX214" s="727"/>
      <c r="AY214" s="727"/>
      <c r="AZ214" s="727"/>
      <c r="BA214" s="727"/>
      <c r="BB214" s="727"/>
    </row>
    <row r="215" spans="1:54">
      <c r="A215" s="326"/>
      <c r="B215" s="791">
        <v>0.01</v>
      </c>
      <c r="C215" s="792">
        <v>800</v>
      </c>
      <c r="D215" s="779">
        <v>49.527000000000001</v>
      </c>
      <c r="E215" s="779">
        <v>3665.4</v>
      </c>
      <c r="F215" s="779">
        <v>4160.6000000000004</v>
      </c>
      <c r="G215" s="779">
        <v>10.6312</v>
      </c>
      <c r="H215" s="727"/>
      <c r="I215" s="727"/>
      <c r="J215" s="793">
        <v>1.4</v>
      </c>
      <c r="K215" s="794">
        <f t="shared" si="57"/>
        <v>373</v>
      </c>
      <c r="L215" s="807">
        <f t="shared" si="56"/>
        <v>387</v>
      </c>
      <c r="M215" s="727"/>
      <c r="N215" s="727"/>
      <c r="O215" s="727"/>
      <c r="P215" s="758" t="s">
        <v>952</v>
      </c>
      <c r="Q215" s="759">
        <f ca="1">INDEX(INDIRECT(CONCATENATE("$C$",$M$208)):INDIRECT(CONCATENATE("$C$",$M$209)),MATCH($Q214,INDIRECT(CONCATENATE("$C$",$M$208)):INDIRECT(CONCATENATE("$C$",$M$209)),1)+1)</f>
        <v>300</v>
      </c>
      <c r="R215" s="799">
        <f ca="1">VLOOKUP(Q215,INDIRECT(CONCATENATE("$C$",$M$208)):INDIRECT(CONCATENATE("$G$",$M$209)),4,FALSE)</f>
        <v>2978.4</v>
      </c>
      <c r="S215" s="727"/>
      <c r="T215" s="727"/>
      <c r="U215" s="727"/>
      <c r="V215" s="727"/>
      <c r="W215" s="727"/>
      <c r="X215" s="727"/>
      <c r="Y215" s="727"/>
      <c r="Z215" s="727"/>
      <c r="AA215" s="727"/>
      <c r="AB215" s="727"/>
      <c r="AC215" s="727"/>
      <c r="AD215" s="727"/>
      <c r="AE215" s="727"/>
      <c r="AF215" s="727"/>
      <c r="AG215" s="727"/>
      <c r="AH215" s="727"/>
      <c r="AI215" s="727"/>
      <c r="AJ215" s="727"/>
      <c r="AK215" s="727"/>
      <c r="AL215" s="727"/>
      <c r="AM215" s="727"/>
      <c r="AN215" s="727"/>
      <c r="AO215" s="727"/>
      <c r="AP215" s="727"/>
      <c r="AQ215" s="727"/>
      <c r="AR215" s="727"/>
      <c r="AS215" s="727"/>
      <c r="AT215" s="727"/>
      <c r="AU215" s="727"/>
      <c r="AV215" s="727"/>
      <c r="AW215" s="727"/>
      <c r="AX215" s="727"/>
      <c r="AY215" s="727"/>
      <c r="AZ215" s="727"/>
      <c r="BA215" s="727"/>
      <c r="BB215" s="727"/>
    </row>
    <row r="216" spans="1:54">
      <c r="A216" s="326"/>
      <c r="B216" s="791">
        <v>0.01</v>
      </c>
      <c r="C216" s="792">
        <v>900</v>
      </c>
      <c r="D216" s="779">
        <v>54.143000000000001</v>
      </c>
      <c r="E216" s="779">
        <v>3856.9</v>
      </c>
      <c r="F216" s="779">
        <v>4398.3</v>
      </c>
      <c r="G216" s="779">
        <v>10.8429</v>
      </c>
      <c r="H216" s="727"/>
      <c r="I216" s="727"/>
      <c r="J216" s="793">
        <v>1.6</v>
      </c>
      <c r="K216" s="794">
        <f t="shared" si="57"/>
        <v>388</v>
      </c>
      <c r="L216" s="807">
        <f t="shared" si="56"/>
        <v>402</v>
      </c>
      <c r="M216" s="727"/>
      <c r="N216" s="727"/>
      <c r="O216" s="893" t="s">
        <v>1051</v>
      </c>
      <c r="P216" s="727"/>
      <c r="Q216" s="727"/>
      <c r="R216" s="727"/>
      <c r="S216" s="727"/>
      <c r="T216" s="727"/>
      <c r="U216" s="727"/>
      <c r="V216" s="727"/>
      <c r="W216" s="727"/>
      <c r="X216" s="727"/>
      <c r="Y216" s="727"/>
      <c r="Z216" s="727"/>
      <c r="AA216" s="727"/>
      <c r="AB216" s="727"/>
      <c r="AC216" s="727"/>
      <c r="AD216" s="727"/>
      <c r="AE216" s="727"/>
      <c r="AF216" s="727"/>
      <c r="AG216" s="727"/>
      <c r="AH216" s="727"/>
      <c r="AI216" s="727"/>
      <c r="AJ216" s="727"/>
      <c r="AK216" s="727"/>
      <c r="AL216" s="727"/>
      <c r="AM216" s="727"/>
      <c r="AN216" s="727"/>
      <c r="AO216" s="727"/>
      <c r="AP216" s="727"/>
      <c r="AQ216" s="727"/>
      <c r="AR216" s="727"/>
      <c r="AS216" s="727"/>
      <c r="AT216" s="727"/>
      <c r="AU216" s="727"/>
      <c r="AV216" s="727"/>
      <c r="AW216" s="727"/>
      <c r="AX216" s="727"/>
      <c r="AY216" s="727"/>
      <c r="AZ216" s="727"/>
      <c r="BA216" s="727"/>
      <c r="BB216" s="727"/>
    </row>
    <row r="217" spans="1:54">
      <c r="A217" s="326"/>
      <c r="B217" s="791">
        <v>0.01</v>
      </c>
      <c r="C217" s="792">
        <v>1000</v>
      </c>
      <c r="D217" s="779">
        <v>58.758000000000003</v>
      </c>
      <c r="E217" s="779">
        <v>4055.3</v>
      </c>
      <c r="F217" s="779">
        <v>4642.8</v>
      </c>
      <c r="G217" s="779">
        <v>11.042899999999999</v>
      </c>
      <c r="H217" s="727"/>
      <c r="I217" s="727"/>
      <c r="J217" s="793">
        <v>1.8</v>
      </c>
      <c r="K217" s="794">
        <f t="shared" si="57"/>
        <v>403</v>
      </c>
      <c r="L217" s="807">
        <f t="shared" si="56"/>
        <v>417</v>
      </c>
      <c r="M217" s="727"/>
      <c r="N217" s="727"/>
      <c r="O217" s="727"/>
      <c r="P217" s="727"/>
      <c r="Q217" s="757" t="s">
        <v>1105</v>
      </c>
      <c r="R217" s="731" t="s">
        <v>1048</v>
      </c>
      <c r="S217" s="727"/>
      <c r="T217" s="727"/>
      <c r="U217" s="727"/>
      <c r="V217" s="727"/>
      <c r="W217" s="727"/>
      <c r="X217" s="727"/>
      <c r="Y217" s="727"/>
      <c r="Z217" s="727"/>
      <c r="AA217" s="727"/>
      <c r="AB217" s="727"/>
      <c r="AC217" s="727"/>
      <c r="AD217" s="727"/>
      <c r="AE217" s="727"/>
      <c r="AF217" s="727"/>
      <c r="AG217" s="727"/>
      <c r="AH217" s="727"/>
      <c r="AI217" s="727"/>
      <c r="AJ217" s="727"/>
      <c r="AK217" s="727"/>
      <c r="AL217" s="727"/>
      <c r="AM217" s="727"/>
      <c r="AN217" s="727"/>
      <c r="AO217" s="727"/>
      <c r="AP217" s="727"/>
      <c r="AQ217" s="727"/>
      <c r="AR217" s="727"/>
      <c r="AS217" s="727"/>
      <c r="AT217" s="727"/>
      <c r="AU217" s="727"/>
      <c r="AV217" s="727"/>
      <c r="AW217" s="727"/>
      <c r="AX217" s="727"/>
      <c r="AY217" s="727"/>
      <c r="AZ217" s="727"/>
      <c r="BA217" s="727"/>
      <c r="BB217" s="727"/>
    </row>
    <row r="218" spans="1:54">
      <c r="A218" s="326"/>
      <c r="B218" s="791">
        <v>0.01</v>
      </c>
      <c r="C218" s="792">
        <v>1100</v>
      </c>
      <c r="D218" s="779">
        <v>63.372999999999998</v>
      </c>
      <c r="E218" s="779">
        <v>4260</v>
      </c>
      <c r="F218" s="779">
        <v>4893.8</v>
      </c>
      <c r="G218" s="779">
        <v>11.2326</v>
      </c>
      <c r="H218" s="727"/>
      <c r="I218" s="727"/>
      <c r="J218" s="793">
        <v>2</v>
      </c>
      <c r="K218" s="794">
        <f t="shared" si="57"/>
        <v>418</v>
      </c>
      <c r="L218" s="807">
        <f t="shared" si="56"/>
        <v>432</v>
      </c>
      <c r="M218" s="727"/>
      <c r="N218" s="727"/>
      <c r="O218" s="727"/>
      <c r="P218" s="758" t="s">
        <v>952</v>
      </c>
      <c r="Q218" s="759">
        <f ca="1">INDEX(INDIRECT(CONCATENATE("$C$",$M$208)):INDIRECT(CONCATENATE("$C$",$M$209)),MATCH($Q219,INDIRECT(CONCATENATE("$C$",$M$208)):INDIRECT(CONCATENATE("$C$",$M$209)),1))</f>
        <v>250</v>
      </c>
      <c r="R218" s="801">
        <f ca="1">VLOOKUP(Q218,INDIRECT(CONCATENATE("$C$",$M$208)):INDIRECT(CONCATENATE("$G$",$M$209)),5,FALSE)</f>
        <v>6.1764000000000001</v>
      </c>
      <c r="S218" s="727"/>
      <c r="T218" s="727"/>
      <c r="U218" s="727"/>
      <c r="V218" s="727"/>
      <c r="W218" s="727"/>
      <c r="X218" s="727"/>
      <c r="Y218" s="727"/>
      <c r="Z218" s="727"/>
      <c r="AA218" s="727"/>
      <c r="AB218" s="727"/>
      <c r="AC218" s="727"/>
      <c r="AD218" s="727"/>
      <c r="AE218" s="727"/>
      <c r="AF218" s="727"/>
      <c r="AG218" s="727"/>
      <c r="AH218" s="727"/>
      <c r="AI218" s="727"/>
      <c r="AJ218" s="727"/>
      <c r="AK218" s="727"/>
      <c r="AL218" s="727"/>
      <c r="AM218" s="727"/>
      <c r="AN218" s="727"/>
      <c r="AO218" s="727"/>
      <c r="AP218" s="727"/>
      <c r="AQ218" s="727"/>
      <c r="AR218" s="727"/>
      <c r="AS218" s="727"/>
      <c r="AT218" s="727"/>
      <c r="AU218" s="727"/>
      <c r="AV218" s="727"/>
      <c r="AW218" s="727"/>
      <c r="AX218" s="727"/>
      <c r="AY218" s="727"/>
      <c r="AZ218" s="727"/>
      <c r="BA218" s="727"/>
      <c r="BB218" s="727"/>
    </row>
    <row r="219" spans="1:54">
      <c r="A219" s="326"/>
      <c r="B219" s="791">
        <v>0.01</v>
      </c>
      <c r="C219" s="792">
        <v>1200</v>
      </c>
      <c r="D219" s="779">
        <v>67.989000000000004</v>
      </c>
      <c r="E219" s="779">
        <v>4470.8999999999996</v>
      </c>
      <c r="F219" s="779">
        <v>5150.8</v>
      </c>
      <c r="G219" s="779">
        <v>11.4132</v>
      </c>
      <c r="H219" s="727"/>
      <c r="I219" s="727"/>
      <c r="J219" s="793">
        <v>2.5</v>
      </c>
      <c r="K219" s="794">
        <f t="shared" si="57"/>
        <v>433</v>
      </c>
      <c r="L219" s="807">
        <f t="shared" si="56"/>
        <v>448</v>
      </c>
      <c r="M219" s="727"/>
      <c r="N219" s="727"/>
      <c r="O219" s="727"/>
      <c r="P219" s="758" t="s">
        <v>951</v>
      </c>
      <c r="Q219" s="762">
        <f>$I$4</f>
        <v>295</v>
      </c>
      <c r="R219" s="802">
        <f ca="1">IF(Q219&gt;MAX(INDIRECT(CONCATENATE("$C$",$M$208)):INDIRECT(CONCATENATE("$C$",$M$209))),R218,IF(Q219&lt;MIN(INDIRECT(CONCATENATE("$C$",$M$208)):INDIRECT(CONCATENATE("$C$",$M$209))),INDIRECT(CONCATENATE("$G$",$M$208)),R218+(Q219-Q218)*(R220-R218)/(Q220-Q218)))</f>
        <v>6.4212000000000007</v>
      </c>
      <c r="S219" s="763" t="s">
        <v>869</v>
      </c>
      <c r="T219" s="727"/>
      <c r="U219" s="731" t="s">
        <v>1390</v>
      </c>
      <c r="V219" s="727"/>
      <c r="W219" s="727"/>
      <c r="X219" s="727"/>
      <c r="Y219" s="727"/>
      <c r="Z219" s="727"/>
      <c r="AA219" s="727"/>
      <c r="AB219" s="727"/>
      <c r="AC219" s="727"/>
      <c r="AD219" s="727"/>
      <c r="AE219" s="727"/>
      <c r="AF219" s="727"/>
      <c r="AG219" s="727"/>
      <c r="AH219" s="727"/>
      <c r="AI219" s="727"/>
      <c r="AJ219" s="727"/>
      <c r="AK219" s="727"/>
      <c r="AL219" s="727"/>
      <c r="AM219" s="727"/>
      <c r="AN219" s="727"/>
      <c r="AO219" s="727"/>
      <c r="AP219" s="727"/>
      <c r="AQ219" s="727"/>
      <c r="AR219" s="727"/>
      <c r="AS219" s="727"/>
      <c r="AT219" s="727"/>
      <c r="AU219" s="727"/>
      <c r="AV219" s="727"/>
      <c r="AW219" s="727"/>
      <c r="AX219" s="727"/>
      <c r="AY219" s="727"/>
      <c r="AZ219" s="727"/>
      <c r="BA219" s="727"/>
      <c r="BB219" s="727"/>
    </row>
    <row r="220" spans="1:54">
      <c r="A220" s="326"/>
      <c r="B220" s="791">
        <v>0.01</v>
      </c>
      <c r="C220" s="792">
        <v>1300</v>
      </c>
      <c r="D220" s="779">
        <v>72.603999999999999</v>
      </c>
      <c r="E220" s="779">
        <v>4687.3999999999996</v>
      </c>
      <c r="F220" s="779">
        <v>5413.4</v>
      </c>
      <c r="G220" s="779">
        <v>11.585699999999999</v>
      </c>
      <c r="H220" s="727"/>
      <c r="I220" s="727"/>
      <c r="J220" s="793">
        <v>3</v>
      </c>
      <c r="K220" s="794">
        <f t="shared" si="57"/>
        <v>449</v>
      </c>
      <c r="L220" s="807">
        <f t="shared" si="56"/>
        <v>463</v>
      </c>
      <c r="M220" s="727"/>
      <c r="N220" s="727"/>
      <c r="O220" s="727"/>
      <c r="P220" s="758" t="s">
        <v>952</v>
      </c>
      <c r="Q220" s="759">
        <f ca="1">INDEX(INDIRECT(CONCATENATE("$C$",$M$208)):INDIRECT(CONCATENATE("$C$",$M$209)),MATCH($Q219,INDIRECT(CONCATENATE("$C$",$M$208)):INDIRECT(CONCATENATE("$C$",$M$209)),1)+1)</f>
        <v>300</v>
      </c>
      <c r="R220" s="801">
        <f ca="1">VLOOKUP(Q220,INDIRECT(CONCATENATE("$C$",$M$208)):INDIRECT(CONCATENATE("$G$",$M$209)),5,FALSE)</f>
        <v>6.4484000000000004</v>
      </c>
      <c r="S220" s="727"/>
      <c r="T220" s="727"/>
      <c r="U220" s="727"/>
      <c r="V220" s="727"/>
      <c r="W220" s="727"/>
      <c r="X220" s="727"/>
      <c r="Y220" s="727"/>
      <c r="Z220" s="727"/>
      <c r="AA220" s="727"/>
      <c r="AB220" s="727"/>
      <c r="AC220" s="727"/>
      <c r="AD220" s="727"/>
      <c r="AE220" s="727"/>
      <c r="AF220" s="727"/>
      <c r="AG220" s="727"/>
      <c r="AH220" s="727"/>
      <c r="AI220" s="727"/>
      <c r="AJ220" s="727"/>
      <c r="AK220" s="727"/>
      <c r="AL220" s="727"/>
      <c r="AM220" s="727"/>
      <c r="AN220" s="727"/>
      <c r="AO220" s="727"/>
      <c r="AP220" s="727"/>
      <c r="AQ220" s="727"/>
      <c r="AR220" s="727"/>
      <c r="AS220" s="727"/>
      <c r="AT220" s="727"/>
      <c r="AU220" s="727"/>
      <c r="AV220" s="727"/>
      <c r="AW220" s="727"/>
      <c r="AX220" s="727"/>
      <c r="AY220" s="727"/>
      <c r="AZ220" s="727"/>
      <c r="BA220" s="727"/>
      <c r="BB220" s="727"/>
    </row>
    <row r="221" spans="1:54">
      <c r="A221" s="326"/>
      <c r="B221" s="791">
        <v>0.05</v>
      </c>
      <c r="C221" s="792">
        <v>81.319999999999993</v>
      </c>
      <c r="D221" s="779">
        <v>3.2403</v>
      </c>
      <c r="E221" s="779">
        <v>2483.1999999999998</v>
      </c>
      <c r="F221" s="779">
        <v>2645.2</v>
      </c>
      <c r="G221" s="779">
        <v>7.5930999999999997</v>
      </c>
      <c r="H221" s="727"/>
      <c r="I221" s="727"/>
      <c r="J221" s="793">
        <v>3.5</v>
      </c>
      <c r="K221" s="794">
        <f t="shared" si="57"/>
        <v>464</v>
      </c>
      <c r="L221" s="807">
        <f t="shared" si="56"/>
        <v>478</v>
      </c>
      <c r="M221" s="727"/>
      <c r="N221" s="727"/>
      <c r="O221" s="727"/>
      <c r="P221" s="727"/>
      <c r="Q221" s="727"/>
      <c r="R221" s="727"/>
      <c r="S221" s="727"/>
      <c r="T221" s="727"/>
      <c r="U221" s="727"/>
      <c r="V221" s="727"/>
      <c r="W221" s="727"/>
      <c r="X221" s="727"/>
      <c r="Y221" s="727"/>
      <c r="Z221" s="727"/>
      <c r="AA221" s="727"/>
      <c r="AB221" s="727"/>
      <c r="AC221" s="727"/>
      <c r="AD221" s="727"/>
      <c r="AE221" s="727"/>
      <c r="AF221" s="727"/>
      <c r="AG221" s="727"/>
      <c r="AH221" s="727"/>
      <c r="AI221" s="727"/>
      <c r="AJ221" s="727"/>
      <c r="AK221" s="727"/>
      <c r="AL221" s="727"/>
      <c r="AM221" s="727"/>
      <c r="AN221" s="727"/>
      <c r="AO221" s="727"/>
      <c r="AP221" s="727"/>
      <c r="AQ221" s="727"/>
      <c r="AR221" s="727"/>
      <c r="AS221" s="727"/>
      <c r="AT221" s="727"/>
      <c r="AU221" s="727"/>
      <c r="AV221" s="727"/>
      <c r="AW221" s="727"/>
      <c r="AX221" s="727"/>
      <c r="AY221" s="727"/>
      <c r="AZ221" s="727"/>
      <c r="BA221" s="727"/>
      <c r="BB221" s="727"/>
    </row>
    <row r="222" spans="1:54">
      <c r="A222" s="326"/>
      <c r="B222" s="791">
        <v>0.05</v>
      </c>
      <c r="C222" s="792">
        <v>100</v>
      </c>
      <c r="D222" s="779">
        <v>3.4186999999999999</v>
      </c>
      <c r="E222" s="779">
        <v>2511.5</v>
      </c>
      <c r="F222" s="779">
        <v>2682.4</v>
      </c>
      <c r="G222" s="779">
        <v>7.6952999999999996</v>
      </c>
      <c r="H222" s="727"/>
      <c r="I222" s="727"/>
      <c r="J222" s="793">
        <v>4</v>
      </c>
      <c r="K222" s="794">
        <f t="shared" si="57"/>
        <v>479</v>
      </c>
      <c r="L222" s="807">
        <f t="shared" si="56"/>
        <v>493</v>
      </c>
      <c r="M222" s="727"/>
      <c r="N222" s="727"/>
      <c r="O222" s="727"/>
      <c r="P222" s="727"/>
      <c r="Q222" s="727"/>
      <c r="R222" s="727"/>
      <c r="S222" s="727"/>
      <c r="T222" s="727"/>
      <c r="U222" s="727"/>
      <c r="V222" s="727"/>
      <c r="W222" s="727"/>
      <c r="X222" s="727"/>
      <c r="Y222" s="727"/>
      <c r="Z222" s="727"/>
      <c r="AA222" s="727"/>
      <c r="AB222" s="727"/>
      <c r="AC222" s="727"/>
      <c r="AD222" s="727"/>
      <c r="AE222" s="727"/>
      <c r="AF222" s="727"/>
      <c r="AG222" s="727"/>
      <c r="AH222" s="727"/>
      <c r="AI222" s="727"/>
      <c r="AJ222" s="727"/>
      <c r="AK222" s="727"/>
      <c r="AL222" s="727"/>
      <c r="AM222" s="727"/>
      <c r="AN222" s="727"/>
      <c r="AO222" s="727"/>
      <c r="AP222" s="727"/>
      <c r="AQ222" s="727"/>
      <c r="AR222" s="727"/>
      <c r="AS222" s="727"/>
      <c r="AT222" s="727"/>
      <c r="AU222" s="727"/>
      <c r="AV222" s="727"/>
      <c r="AW222" s="727"/>
      <c r="AX222" s="727"/>
      <c r="AY222" s="727"/>
      <c r="AZ222" s="727"/>
      <c r="BA222" s="727"/>
      <c r="BB222" s="727"/>
    </row>
    <row r="223" spans="1:54">
      <c r="A223" s="326"/>
      <c r="B223" s="791">
        <v>0.05</v>
      </c>
      <c r="C223" s="792">
        <v>150</v>
      </c>
      <c r="D223" s="779">
        <v>3.8896999999999999</v>
      </c>
      <c r="E223" s="779">
        <v>2585.6999999999998</v>
      </c>
      <c r="F223" s="779">
        <v>2780.2</v>
      </c>
      <c r="G223" s="779">
        <v>7.9413</v>
      </c>
      <c r="H223" s="727"/>
      <c r="I223" s="727"/>
      <c r="J223" s="793">
        <v>4.5</v>
      </c>
      <c r="K223" s="794">
        <f t="shared" si="57"/>
        <v>494</v>
      </c>
      <c r="L223" s="807">
        <f t="shared" si="56"/>
        <v>508</v>
      </c>
      <c r="M223" s="727"/>
      <c r="N223" s="727"/>
      <c r="O223" s="731" t="s">
        <v>1402</v>
      </c>
      <c r="P223" s="727"/>
      <c r="Q223" s="727"/>
      <c r="R223" s="727"/>
      <c r="S223" s="727"/>
      <c r="T223" s="727"/>
      <c r="U223" s="727"/>
      <c r="V223" s="727"/>
      <c r="W223" s="727"/>
      <c r="X223" s="727"/>
      <c r="Y223" s="727"/>
      <c r="Z223" s="727"/>
      <c r="AA223" s="727"/>
      <c r="AB223" s="727"/>
      <c r="AC223" s="727"/>
      <c r="AD223" s="727"/>
      <c r="AE223" s="727"/>
      <c r="AF223" s="727"/>
      <c r="AG223" s="727"/>
      <c r="AH223" s="727"/>
      <c r="AI223" s="727"/>
      <c r="AJ223" s="727"/>
      <c r="AK223" s="727"/>
      <c r="AL223" s="727"/>
      <c r="AM223" s="727"/>
      <c r="AN223" s="727"/>
      <c r="AO223" s="727"/>
      <c r="AP223" s="727"/>
      <c r="AQ223" s="727"/>
      <c r="AR223" s="727"/>
      <c r="AS223" s="727"/>
      <c r="AT223" s="727"/>
      <c r="AU223" s="727"/>
      <c r="AV223" s="727"/>
      <c r="AW223" s="727"/>
      <c r="AX223" s="727"/>
      <c r="AY223" s="727"/>
      <c r="AZ223" s="727"/>
      <c r="BA223" s="727"/>
      <c r="BB223" s="727"/>
    </row>
    <row r="224" spans="1:54">
      <c r="A224" s="326"/>
      <c r="B224" s="791">
        <v>0.05</v>
      </c>
      <c r="C224" s="792">
        <v>200</v>
      </c>
      <c r="D224" s="779">
        <v>4.3562000000000003</v>
      </c>
      <c r="E224" s="779">
        <v>2660</v>
      </c>
      <c r="F224" s="779">
        <v>2877.8</v>
      </c>
      <c r="G224" s="779">
        <v>8.1592000000000002</v>
      </c>
      <c r="H224" s="727"/>
      <c r="I224" s="727"/>
      <c r="J224" s="793">
        <v>5</v>
      </c>
      <c r="K224" s="794">
        <f t="shared" si="57"/>
        <v>509</v>
      </c>
      <c r="L224" s="807">
        <f t="shared" si="56"/>
        <v>523</v>
      </c>
      <c r="M224" s="727"/>
      <c r="N224" s="727"/>
      <c r="O224" s="893" t="s">
        <v>1049</v>
      </c>
      <c r="P224" s="727"/>
      <c r="Q224" s="727"/>
      <c r="R224" s="727"/>
      <c r="S224" s="727"/>
      <c r="T224" s="727"/>
      <c r="U224" s="727"/>
      <c r="V224" s="727"/>
      <c r="W224" s="727"/>
      <c r="X224" s="727"/>
      <c r="Y224" s="727"/>
      <c r="Z224" s="727"/>
      <c r="AA224" s="727"/>
      <c r="AB224" s="727"/>
      <c r="AC224" s="727"/>
      <c r="AD224" s="727"/>
      <c r="AE224" s="727"/>
      <c r="AF224" s="727"/>
      <c r="AG224" s="727"/>
      <c r="AH224" s="727"/>
      <c r="AI224" s="727"/>
      <c r="AJ224" s="727"/>
      <c r="AK224" s="727"/>
      <c r="AL224" s="727"/>
      <c r="AM224" s="727"/>
      <c r="AN224" s="727"/>
      <c r="AO224" s="727"/>
      <c r="AP224" s="727"/>
      <c r="AQ224" s="727"/>
      <c r="AR224" s="727"/>
      <c r="AS224" s="727"/>
      <c r="AT224" s="727"/>
      <c r="AU224" s="727"/>
      <c r="AV224" s="727"/>
      <c r="AW224" s="727"/>
      <c r="AX224" s="727"/>
      <c r="AY224" s="727"/>
      <c r="AZ224" s="727"/>
      <c r="BA224" s="727"/>
      <c r="BB224" s="727"/>
    </row>
    <row r="225" spans="1:54">
      <c r="A225" s="326"/>
      <c r="B225" s="791">
        <v>0.05</v>
      </c>
      <c r="C225" s="792">
        <v>250</v>
      </c>
      <c r="D225" s="779">
        <v>4.8205999999999998</v>
      </c>
      <c r="E225" s="779">
        <v>2735.1</v>
      </c>
      <c r="F225" s="779">
        <v>2976.2</v>
      </c>
      <c r="G225" s="779">
        <v>8.3567999999999998</v>
      </c>
      <c r="H225" s="727"/>
      <c r="I225" s="727"/>
      <c r="J225" s="793">
        <v>6</v>
      </c>
      <c r="K225" s="794">
        <f t="shared" si="57"/>
        <v>524</v>
      </c>
      <c r="L225" s="807">
        <f t="shared" si="56"/>
        <v>538</v>
      </c>
      <c r="M225" s="727"/>
      <c r="N225" s="727"/>
      <c r="O225" s="727"/>
      <c r="P225" s="727"/>
      <c r="Q225" s="757" t="s">
        <v>1040</v>
      </c>
      <c r="R225" s="731" t="s">
        <v>1039</v>
      </c>
      <c r="S225" s="727"/>
      <c r="T225" s="727"/>
      <c r="U225" s="727"/>
      <c r="V225" s="727"/>
      <c r="W225" s="727"/>
      <c r="X225" s="727"/>
      <c r="Y225" s="727"/>
      <c r="Z225" s="727"/>
      <c r="AA225" s="727"/>
      <c r="AB225" s="727"/>
      <c r="AC225" s="727"/>
      <c r="AD225" s="727"/>
      <c r="AE225" s="727"/>
      <c r="AF225" s="727"/>
      <c r="AG225" s="727"/>
      <c r="AH225" s="727"/>
      <c r="AI225" s="727"/>
      <c r="AJ225" s="727"/>
      <c r="AK225" s="727"/>
      <c r="AL225" s="727"/>
      <c r="AM225" s="727"/>
      <c r="AN225" s="727"/>
      <c r="AO225" s="727"/>
      <c r="AP225" s="727"/>
      <c r="AQ225" s="727"/>
      <c r="AR225" s="727"/>
      <c r="AS225" s="727"/>
      <c r="AT225" s="727"/>
      <c r="AU225" s="727"/>
      <c r="AV225" s="727"/>
      <c r="AW225" s="727"/>
      <c r="AX225" s="727"/>
      <c r="AY225" s="727"/>
      <c r="AZ225" s="727"/>
      <c r="BA225" s="727"/>
      <c r="BB225" s="727"/>
    </row>
    <row r="226" spans="1:54">
      <c r="A226" s="326"/>
      <c r="B226" s="791">
        <v>0.05</v>
      </c>
      <c r="C226" s="792">
        <v>300</v>
      </c>
      <c r="D226" s="779">
        <v>5.2840999999999996</v>
      </c>
      <c r="E226" s="779">
        <v>2811.6</v>
      </c>
      <c r="F226" s="779">
        <v>3075.8</v>
      </c>
      <c r="G226" s="779">
        <v>8.5387000000000004</v>
      </c>
      <c r="H226" s="727"/>
      <c r="I226" s="727"/>
      <c r="J226" s="793">
        <v>7</v>
      </c>
      <c r="K226" s="794">
        <f t="shared" si="57"/>
        <v>539</v>
      </c>
      <c r="L226" s="807">
        <f t="shared" si="56"/>
        <v>553</v>
      </c>
      <c r="M226" s="795">
        <f>VLOOKUP($R$227,$J$204:$L$239,2,FALSE)</f>
        <v>298</v>
      </c>
      <c r="N226" s="796" t="s">
        <v>1046</v>
      </c>
      <c r="O226" s="727"/>
      <c r="P226" s="758" t="s">
        <v>952</v>
      </c>
      <c r="Q226" s="759">
        <f>INDEX($B$204:$B$748,MATCH($Q227,$B$204:$B$748,1))</f>
        <v>0.5</v>
      </c>
      <c r="R226" s="727"/>
      <c r="S226" s="727"/>
      <c r="T226" s="727"/>
      <c r="U226" s="727"/>
      <c r="V226" s="727"/>
      <c r="W226" s="727"/>
      <c r="X226" s="727"/>
      <c r="Y226" s="727"/>
      <c r="Z226" s="727"/>
      <c r="AA226" s="727"/>
      <c r="AB226" s="727"/>
      <c r="AC226" s="727"/>
      <c r="AD226" s="727"/>
      <c r="AE226" s="727"/>
      <c r="AF226" s="727"/>
      <c r="AG226" s="727"/>
      <c r="AH226" s="727"/>
      <c r="AI226" s="727"/>
      <c r="AJ226" s="727"/>
      <c r="AK226" s="727"/>
      <c r="AL226" s="727"/>
      <c r="AM226" s="727"/>
      <c r="AN226" s="727"/>
      <c r="AO226" s="727"/>
      <c r="AP226" s="727"/>
      <c r="AQ226" s="727"/>
      <c r="AR226" s="727"/>
      <c r="AS226" s="727"/>
      <c r="AT226" s="727"/>
      <c r="AU226" s="727"/>
      <c r="AV226" s="727"/>
      <c r="AW226" s="727"/>
      <c r="AX226" s="727"/>
      <c r="AY226" s="727"/>
      <c r="AZ226" s="727"/>
      <c r="BA226" s="727"/>
      <c r="BB226" s="727"/>
    </row>
    <row r="227" spans="1:54">
      <c r="A227" s="326"/>
      <c r="B227" s="791">
        <v>0.05</v>
      </c>
      <c r="C227" s="792">
        <v>400</v>
      </c>
      <c r="D227" s="779">
        <v>6.2093999999999996</v>
      </c>
      <c r="E227" s="779">
        <v>2968.9</v>
      </c>
      <c r="F227" s="779">
        <v>3279.3</v>
      </c>
      <c r="G227" s="779">
        <v>8.8658999999999999</v>
      </c>
      <c r="H227" s="727"/>
      <c r="I227" s="727"/>
      <c r="J227" s="793">
        <v>8</v>
      </c>
      <c r="K227" s="794">
        <f t="shared" si="57"/>
        <v>554</v>
      </c>
      <c r="L227" s="807">
        <f t="shared" si="56"/>
        <v>568</v>
      </c>
      <c r="M227" s="795">
        <f>VLOOKUP($R$227,$J$204:$L$239,3,FALSE)</f>
        <v>312</v>
      </c>
      <c r="N227" s="731" t="s">
        <v>1047</v>
      </c>
      <c r="O227" s="727"/>
      <c r="P227" s="758" t="s">
        <v>951</v>
      </c>
      <c r="Q227" s="762">
        <f>$I$6/1000000</f>
        <v>0.5</v>
      </c>
      <c r="R227" s="798">
        <f>IF(Q227&lt;MIN($B$204:$B$748),MIN($B$204:$B$748),IF(Q227&gt;MAX($B$204:$B$748),MAX($B$204:$B$748),IF(ABS(Q227-Q226)&gt;=ABS(Q228-Q227),Q228,Q226)))</f>
        <v>0.5</v>
      </c>
      <c r="S227" s="763" t="s">
        <v>1044</v>
      </c>
      <c r="T227" s="727"/>
      <c r="U227" s="727"/>
      <c r="V227" s="727"/>
      <c r="W227" s="727"/>
      <c r="X227" s="727"/>
      <c r="Y227" s="727"/>
      <c r="Z227" s="727"/>
      <c r="AA227" s="727"/>
      <c r="AB227" s="727"/>
      <c r="AC227" s="727"/>
      <c r="AD227" s="727"/>
      <c r="AE227" s="727"/>
      <c r="AF227" s="727"/>
      <c r="AG227" s="727"/>
      <c r="AH227" s="727"/>
      <c r="AI227" s="727"/>
      <c r="AJ227" s="727"/>
      <c r="AK227" s="727"/>
      <c r="AL227" s="727"/>
      <c r="AM227" s="727"/>
      <c r="AN227" s="727"/>
      <c r="AO227" s="727"/>
      <c r="AP227" s="727"/>
      <c r="AQ227" s="727"/>
      <c r="AR227" s="727"/>
      <c r="AS227" s="727"/>
      <c r="AT227" s="727"/>
      <c r="AU227" s="727"/>
      <c r="AV227" s="727"/>
      <c r="AW227" s="727"/>
      <c r="AX227" s="727"/>
      <c r="AY227" s="727"/>
      <c r="AZ227" s="727"/>
      <c r="BA227" s="727"/>
      <c r="BB227" s="727"/>
    </row>
    <row r="228" spans="1:54">
      <c r="A228" s="326"/>
      <c r="B228" s="791">
        <v>0.05</v>
      </c>
      <c r="C228" s="792">
        <v>500</v>
      </c>
      <c r="D228" s="779">
        <v>7.1337999999999999</v>
      </c>
      <c r="E228" s="779">
        <v>3132.6</v>
      </c>
      <c r="F228" s="779">
        <v>3489.3</v>
      </c>
      <c r="G228" s="779">
        <v>9.1565999999999992</v>
      </c>
      <c r="H228" s="727"/>
      <c r="I228" s="727"/>
      <c r="J228" s="793">
        <v>9</v>
      </c>
      <c r="K228" s="794">
        <f t="shared" si="57"/>
        <v>569</v>
      </c>
      <c r="L228" s="807">
        <f t="shared" si="56"/>
        <v>584</v>
      </c>
      <c r="M228" s="727"/>
      <c r="N228" s="727"/>
      <c r="O228" s="727"/>
      <c r="P228" s="758" t="s">
        <v>952</v>
      </c>
      <c r="Q228" s="759">
        <f>INDEX($B$204:$B$748,MATCH($Q227,$B$204:$B$748,1)+1)</f>
        <v>0.6</v>
      </c>
      <c r="R228" s="727"/>
      <c r="S228" s="727"/>
      <c r="T228" s="727"/>
      <c r="U228" s="727"/>
      <c r="V228" s="727"/>
      <c r="W228" s="727"/>
      <c r="X228" s="727"/>
      <c r="Y228" s="727"/>
      <c r="Z228" s="727"/>
      <c r="AA228" s="727"/>
      <c r="AB228" s="727"/>
      <c r="AC228" s="727"/>
      <c r="AD228" s="727"/>
      <c r="AE228" s="727"/>
      <c r="AF228" s="727"/>
      <c r="AG228" s="727"/>
      <c r="AH228" s="727"/>
      <c r="AI228" s="727"/>
      <c r="AJ228" s="727"/>
      <c r="AK228" s="727"/>
      <c r="AL228" s="727"/>
      <c r="AM228" s="727"/>
      <c r="AN228" s="727"/>
      <c r="AO228" s="727"/>
      <c r="AP228" s="727"/>
      <c r="AQ228" s="727"/>
      <c r="AR228" s="727"/>
      <c r="AS228" s="727"/>
      <c r="AT228" s="727"/>
      <c r="AU228" s="727"/>
      <c r="AV228" s="727"/>
      <c r="AW228" s="727"/>
      <c r="AX228" s="727"/>
      <c r="AY228" s="727"/>
      <c r="AZ228" s="727"/>
      <c r="BA228" s="727"/>
      <c r="BB228" s="727"/>
    </row>
    <row r="229" spans="1:54">
      <c r="A229" s="326"/>
      <c r="B229" s="791">
        <v>0.05</v>
      </c>
      <c r="C229" s="792">
        <v>600</v>
      </c>
      <c r="D229" s="779">
        <v>8.0577000000000005</v>
      </c>
      <c r="E229" s="779">
        <v>3303.1</v>
      </c>
      <c r="F229" s="779">
        <v>3706</v>
      </c>
      <c r="G229" s="779">
        <v>9.4200999999999997</v>
      </c>
      <c r="H229" s="727"/>
      <c r="I229" s="727"/>
      <c r="J229" s="793">
        <v>10</v>
      </c>
      <c r="K229" s="794">
        <f t="shared" si="57"/>
        <v>585</v>
      </c>
      <c r="L229" s="807">
        <f t="shared" si="56"/>
        <v>600</v>
      </c>
      <c r="M229" s="727"/>
      <c r="N229" s="727"/>
      <c r="O229" s="893" t="s">
        <v>1050</v>
      </c>
      <c r="P229" s="727"/>
      <c r="Q229" s="727"/>
      <c r="R229" s="727"/>
      <c r="S229" s="727"/>
      <c r="T229" s="727"/>
      <c r="U229" s="727"/>
      <c r="V229" s="727"/>
      <c r="W229" s="727"/>
      <c r="X229" s="727"/>
      <c r="Y229" s="727"/>
      <c r="Z229" s="727"/>
      <c r="AA229" s="727"/>
      <c r="AB229" s="727"/>
      <c r="AC229" s="727"/>
      <c r="AD229" s="727"/>
      <c r="AE229" s="727"/>
      <c r="AF229" s="727"/>
      <c r="AG229" s="727"/>
      <c r="AH229" s="727"/>
      <c r="AI229" s="727"/>
      <c r="AJ229" s="727"/>
      <c r="AK229" s="727"/>
      <c r="AL229" s="727"/>
      <c r="AM229" s="727"/>
      <c r="AN229" s="727"/>
      <c r="AO229" s="727"/>
      <c r="AP229" s="727"/>
      <c r="AQ229" s="727"/>
      <c r="AR229" s="727"/>
      <c r="AS229" s="727"/>
      <c r="AT229" s="727"/>
      <c r="AU229" s="727"/>
      <c r="AV229" s="727"/>
      <c r="AW229" s="727"/>
      <c r="AX229" s="727"/>
      <c r="AY229" s="727"/>
      <c r="AZ229" s="727"/>
      <c r="BA229" s="727"/>
      <c r="BB229" s="727"/>
    </row>
    <row r="230" spans="1:54">
      <c r="A230" s="326"/>
      <c r="B230" s="791">
        <v>0.05</v>
      </c>
      <c r="C230" s="792">
        <v>700</v>
      </c>
      <c r="D230" s="779">
        <v>8.9812999999999992</v>
      </c>
      <c r="E230" s="779">
        <v>3480.6</v>
      </c>
      <c r="F230" s="779">
        <v>3929.7</v>
      </c>
      <c r="G230" s="779">
        <v>9.6625999999999994</v>
      </c>
      <c r="H230" s="727"/>
      <c r="I230" s="727"/>
      <c r="J230" s="793">
        <v>12.5</v>
      </c>
      <c r="K230" s="794">
        <f t="shared" si="57"/>
        <v>601</v>
      </c>
      <c r="L230" s="807">
        <f t="shared" si="56"/>
        <v>615</v>
      </c>
      <c r="M230" s="727"/>
      <c r="N230" s="727"/>
      <c r="O230" s="727"/>
      <c r="P230" s="727"/>
      <c r="Q230" s="757" t="s">
        <v>1105</v>
      </c>
      <c r="R230" s="731" t="s">
        <v>898</v>
      </c>
      <c r="S230" s="727"/>
      <c r="T230" s="727"/>
      <c r="U230" s="727"/>
      <c r="V230" s="727"/>
      <c r="W230" s="727"/>
      <c r="X230" s="727"/>
      <c r="Y230" s="727"/>
      <c r="Z230" s="727"/>
      <c r="AA230" s="727"/>
      <c r="AB230" s="727"/>
      <c r="AC230" s="727"/>
      <c r="AD230" s="727"/>
      <c r="AE230" s="727"/>
      <c r="AF230" s="727"/>
      <c r="AG230" s="727"/>
      <c r="AH230" s="727"/>
      <c r="AI230" s="727"/>
      <c r="AJ230" s="727"/>
      <c r="AK230" s="727"/>
      <c r="AL230" s="727"/>
      <c r="AM230" s="727"/>
      <c r="AN230" s="727"/>
      <c r="AO230" s="727"/>
      <c r="AP230" s="727"/>
      <c r="AQ230" s="727"/>
      <c r="AR230" s="727"/>
      <c r="AS230" s="727"/>
      <c r="AT230" s="727"/>
      <c r="AU230" s="727"/>
      <c r="AV230" s="727"/>
      <c r="AW230" s="727"/>
      <c r="AX230" s="727"/>
      <c r="AY230" s="727"/>
      <c r="AZ230" s="727"/>
      <c r="BA230" s="727"/>
      <c r="BB230" s="727"/>
    </row>
    <row r="231" spans="1:54">
      <c r="A231" s="326"/>
      <c r="B231" s="791">
        <v>0.05</v>
      </c>
      <c r="C231" s="792">
        <v>800</v>
      </c>
      <c r="D231" s="779">
        <v>9.9047000000000001</v>
      </c>
      <c r="E231" s="779">
        <v>3665.2</v>
      </c>
      <c r="F231" s="779">
        <v>4160.3999999999996</v>
      </c>
      <c r="G231" s="779">
        <v>9.8882999999999992</v>
      </c>
      <c r="H231" s="727"/>
      <c r="I231" s="727"/>
      <c r="J231" s="793">
        <v>15</v>
      </c>
      <c r="K231" s="794">
        <f t="shared" si="57"/>
        <v>616</v>
      </c>
      <c r="L231" s="807">
        <f t="shared" si="56"/>
        <v>630</v>
      </c>
      <c r="M231" s="727"/>
      <c r="N231" s="727"/>
      <c r="O231" s="727"/>
      <c r="P231" s="758" t="s">
        <v>952</v>
      </c>
      <c r="Q231" s="759">
        <f ca="1">INDEX(INDIRECT(CONCATENATE("$C$",$M$208)):INDIRECT(CONCATENATE("$C$",$M$209)),MATCH($Q232,INDIRECT(CONCATENATE("$C$",$M$208)):INDIRECT(CONCATENATE("$C$",$M$209)),1))</f>
        <v>250</v>
      </c>
      <c r="R231" s="799">
        <f ca="1">VLOOKUP(Q231,INDIRECT(CONCATENATE("$C$",$M$208)):INDIRECT(CONCATENATE("$G$",$M$209)),4,FALSE)</f>
        <v>2829.7</v>
      </c>
      <c r="S231" s="727"/>
      <c r="T231" s="727"/>
      <c r="U231" s="727"/>
      <c r="V231" s="727"/>
      <c r="W231" s="727"/>
      <c r="X231" s="727"/>
      <c r="Y231" s="727"/>
      <c r="Z231" s="727"/>
      <c r="AA231" s="727"/>
      <c r="AB231" s="727"/>
      <c r="AC231" s="727"/>
      <c r="AD231" s="727"/>
      <c r="AE231" s="727"/>
      <c r="AF231" s="727"/>
      <c r="AG231" s="727"/>
      <c r="AH231" s="727"/>
      <c r="AI231" s="727"/>
      <c r="AJ231" s="727"/>
      <c r="AK231" s="727"/>
      <c r="AL231" s="727"/>
      <c r="AM231" s="727"/>
      <c r="AN231" s="727"/>
      <c r="AO231" s="727"/>
      <c r="AP231" s="727"/>
      <c r="AQ231" s="727"/>
      <c r="AR231" s="727"/>
      <c r="AS231" s="727"/>
      <c r="AT231" s="727"/>
      <c r="AU231" s="727"/>
      <c r="AV231" s="727"/>
      <c r="AW231" s="727"/>
      <c r="AX231" s="727"/>
      <c r="AY231" s="727"/>
      <c r="AZ231" s="727"/>
      <c r="BA231" s="727"/>
      <c r="BB231" s="727"/>
    </row>
    <row r="232" spans="1:54">
      <c r="A232" s="326"/>
      <c r="B232" s="791">
        <v>0.05</v>
      </c>
      <c r="C232" s="792">
        <v>900</v>
      </c>
      <c r="D232" s="779">
        <v>10.827999999999999</v>
      </c>
      <c r="E232" s="779">
        <v>3856.8</v>
      </c>
      <c r="F232" s="779">
        <v>4398.2</v>
      </c>
      <c r="G232" s="779">
        <v>10.1</v>
      </c>
      <c r="H232" s="727"/>
      <c r="I232" s="727"/>
      <c r="J232" s="793">
        <v>17.5</v>
      </c>
      <c r="K232" s="794">
        <f t="shared" si="57"/>
        <v>631</v>
      </c>
      <c r="L232" s="807">
        <f t="shared" si="56"/>
        <v>644</v>
      </c>
      <c r="M232" s="727"/>
      <c r="N232" s="727"/>
      <c r="O232" s="727"/>
      <c r="P232" s="758" t="s">
        <v>951</v>
      </c>
      <c r="Q232" s="762">
        <f>$I$4</f>
        <v>295</v>
      </c>
      <c r="R232" s="800">
        <f ca="1">IF(Q232&gt;MAX(INDIRECT(CONCATENATE("$C$",$M$208)):INDIRECT(CONCATENATE("$C$",$M$209))),R231,IF(Q232&lt;MIN(INDIRECT(CONCATENATE("$C$",$M$208)):INDIRECT(CONCATENATE("$C$",$M$209))),INDIRECT(CONCATENATE("$F$",$M$208)),R231+(Q232-Q231)*(R233-R231)/(Q233-Q231)))</f>
        <v>2963.53</v>
      </c>
      <c r="S232" s="763" t="s">
        <v>869</v>
      </c>
      <c r="T232" s="727"/>
      <c r="U232" s="731" t="s">
        <v>1388</v>
      </c>
      <c r="V232" s="727"/>
      <c r="W232" s="727"/>
      <c r="X232" s="727"/>
      <c r="Y232" s="727"/>
      <c r="Z232" s="727"/>
      <c r="AA232" s="727"/>
      <c r="AB232" s="727"/>
      <c r="AC232" s="727"/>
      <c r="AD232" s="727"/>
      <c r="AE232" s="727"/>
      <c r="AF232" s="727"/>
      <c r="AG232" s="727"/>
      <c r="AH232" s="727"/>
      <c r="AI232" s="727"/>
      <c r="AJ232" s="727"/>
      <c r="AK232" s="727"/>
      <c r="AL232" s="727"/>
      <c r="AM232" s="727"/>
      <c r="AN232" s="727"/>
      <c r="AO232" s="727"/>
      <c r="AP232" s="727"/>
      <c r="AQ232" s="727"/>
      <c r="AR232" s="727"/>
      <c r="AS232" s="727"/>
      <c r="AT232" s="727"/>
      <c r="AU232" s="727"/>
      <c r="AV232" s="727"/>
      <c r="AW232" s="727"/>
      <c r="AX232" s="727"/>
      <c r="AY232" s="727"/>
      <c r="AZ232" s="727"/>
      <c r="BA232" s="727"/>
      <c r="BB232" s="727"/>
    </row>
    <row r="233" spans="1:54">
      <c r="A233" s="326"/>
      <c r="B233" s="791">
        <v>0.05</v>
      </c>
      <c r="C233" s="792">
        <v>1000</v>
      </c>
      <c r="D233" s="779">
        <v>11.751300000000001</v>
      </c>
      <c r="E233" s="779">
        <v>4055.2</v>
      </c>
      <c r="F233" s="779">
        <v>4642.7</v>
      </c>
      <c r="G233" s="779">
        <v>10.3</v>
      </c>
      <c r="H233" s="727"/>
      <c r="I233" s="727"/>
      <c r="J233" s="793">
        <v>20</v>
      </c>
      <c r="K233" s="794">
        <f t="shared" si="57"/>
        <v>645</v>
      </c>
      <c r="L233" s="807">
        <f t="shared" si="56"/>
        <v>658</v>
      </c>
      <c r="M233" s="727"/>
      <c r="N233" s="727"/>
      <c r="O233" s="727"/>
      <c r="P233" s="758" t="s">
        <v>952</v>
      </c>
      <c r="Q233" s="759">
        <f ca="1">INDEX(INDIRECT(CONCATENATE("$C$",$M$208)):INDIRECT(CONCATENATE("$C$",$M$209)),MATCH($Q232,INDIRECT(CONCATENATE("$C$",$M$208)):INDIRECT(CONCATENATE("$C$",$M$209)),1)+1)</f>
        <v>300</v>
      </c>
      <c r="R233" s="799">
        <f ca="1">VLOOKUP(Q233,INDIRECT(CONCATENATE("$C$",$M$208)):INDIRECT(CONCATENATE("$G$",$M$209)),4,FALSE)</f>
        <v>2978.4</v>
      </c>
      <c r="S233" s="727"/>
      <c r="T233" s="727"/>
      <c r="U233" s="727"/>
      <c r="V233" s="727"/>
      <c r="W233" s="727"/>
      <c r="X233" s="727"/>
      <c r="Y233" s="727"/>
      <c r="Z233" s="727"/>
      <c r="AA233" s="727"/>
      <c r="AB233" s="727"/>
      <c r="AC233" s="727"/>
      <c r="AD233" s="727"/>
      <c r="AE233" s="727"/>
      <c r="AF233" s="727"/>
      <c r="AG233" s="727"/>
      <c r="AH233" s="727"/>
      <c r="AI233" s="727"/>
      <c r="AJ233" s="727"/>
      <c r="AK233" s="727"/>
      <c r="AL233" s="727"/>
      <c r="AM233" s="727"/>
      <c r="AN233" s="727"/>
      <c r="AO233" s="727"/>
      <c r="AP233" s="727"/>
      <c r="AQ233" s="727"/>
      <c r="AR233" s="727"/>
      <c r="AS233" s="727"/>
      <c r="AT233" s="727"/>
      <c r="AU233" s="727"/>
      <c r="AV233" s="727"/>
      <c r="AW233" s="727"/>
      <c r="AX233" s="727"/>
      <c r="AY233" s="727"/>
      <c r="AZ233" s="727"/>
      <c r="BA233" s="727"/>
      <c r="BB233" s="727"/>
    </row>
    <row r="234" spans="1:54">
      <c r="A234" s="326"/>
      <c r="B234" s="791">
        <v>0.05</v>
      </c>
      <c r="C234" s="792">
        <v>1100</v>
      </c>
      <c r="D234" s="779">
        <v>12.6745</v>
      </c>
      <c r="E234" s="779">
        <v>4259.8999999999996</v>
      </c>
      <c r="F234" s="779">
        <v>4893.7</v>
      </c>
      <c r="G234" s="779">
        <v>10.489699999999999</v>
      </c>
      <c r="H234" s="727"/>
      <c r="I234" s="727"/>
      <c r="J234" s="793">
        <v>25</v>
      </c>
      <c r="K234" s="794">
        <f t="shared" si="57"/>
        <v>659</v>
      </c>
      <c r="L234" s="807">
        <f t="shared" si="56"/>
        <v>673</v>
      </c>
      <c r="M234" s="727"/>
      <c r="N234" s="727"/>
      <c r="O234" s="893" t="s">
        <v>1051</v>
      </c>
      <c r="P234" s="727"/>
      <c r="Q234" s="727"/>
      <c r="R234" s="727"/>
      <c r="S234" s="727"/>
      <c r="T234" s="727"/>
      <c r="U234" s="727"/>
      <c r="V234" s="727"/>
      <c r="W234" s="727"/>
      <c r="X234" s="727"/>
      <c r="Y234" s="727"/>
      <c r="Z234" s="727"/>
      <c r="AA234" s="727"/>
      <c r="AB234" s="727"/>
      <c r="AC234" s="727"/>
      <c r="AD234" s="727"/>
      <c r="AE234" s="727"/>
      <c r="AF234" s="727"/>
      <c r="AG234" s="727"/>
      <c r="AH234" s="727"/>
      <c r="AI234" s="727"/>
      <c r="AJ234" s="727"/>
      <c r="AK234" s="727"/>
      <c r="AL234" s="727"/>
      <c r="AM234" s="727"/>
      <c r="AN234" s="727"/>
      <c r="AO234" s="727"/>
      <c r="AP234" s="727"/>
      <c r="AQ234" s="727"/>
      <c r="AR234" s="727"/>
      <c r="AS234" s="727"/>
      <c r="AT234" s="727"/>
      <c r="AU234" s="727"/>
      <c r="AV234" s="727"/>
      <c r="AW234" s="727"/>
      <c r="AX234" s="727"/>
      <c r="AY234" s="727"/>
      <c r="AZ234" s="727"/>
      <c r="BA234" s="727"/>
      <c r="BB234" s="727"/>
    </row>
    <row r="235" spans="1:54">
      <c r="A235" s="326"/>
      <c r="B235" s="791">
        <v>0.05</v>
      </c>
      <c r="C235" s="792">
        <v>1200</v>
      </c>
      <c r="D235" s="779">
        <v>13.5977</v>
      </c>
      <c r="E235" s="779">
        <v>4470.8</v>
      </c>
      <c r="F235" s="779">
        <v>5150.7</v>
      </c>
      <c r="G235" s="779">
        <v>10.670400000000001</v>
      </c>
      <c r="H235" s="727"/>
      <c r="I235" s="727"/>
      <c r="J235" s="793">
        <v>30</v>
      </c>
      <c r="K235" s="794">
        <f t="shared" si="57"/>
        <v>674</v>
      </c>
      <c r="L235" s="807">
        <f t="shared" si="56"/>
        <v>688</v>
      </c>
      <c r="M235" s="727"/>
      <c r="N235" s="727"/>
      <c r="O235" s="727"/>
      <c r="P235" s="727"/>
      <c r="Q235" s="757" t="s">
        <v>1105</v>
      </c>
      <c r="R235" s="731" t="s">
        <v>1048</v>
      </c>
      <c r="S235" s="727"/>
      <c r="T235" s="727"/>
      <c r="U235" s="727"/>
      <c r="V235" s="727"/>
      <c r="W235" s="727"/>
      <c r="X235" s="727"/>
      <c r="Y235" s="727"/>
      <c r="Z235" s="727"/>
      <c r="AA235" s="727"/>
      <c r="AB235" s="727"/>
      <c r="AC235" s="727"/>
      <c r="AD235" s="727"/>
      <c r="AE235" s="727"/>
      <c r="AF235" s="727"/>
      <c r="AG235" s="727"/>
      <c r="AH235" s="727"/>
      <c r="AI235" s="727"/>
      <c r="AJ235" s="727"/>
      <c r="AK235" s="727"/>
      <c r="AL235" s="727"/>
      <c r="AM235" s="727"/>
      <c r="AN235" s="727"/>
      <c r="AO235" s="727"/>
      <c r="AP235" s="727"/>
      <c r="AQ235" s="727"/>
      <c r="AR235" s="727"/>
      <c r="AS235" s="727"/>
      <c r="AT235" s="727"/>
      <c r="AU235" s="727"/>
      <c r="AV235" s="727"/>
      <c r="AW235" s="727"/>
      <c r="AX235" s="727"/>
      <c r="AY235" s="727"/>
      <c r="AZ235" s="727"/>
      <c r="BA235" s="727"/>
      <c r="BB235" s="727"/>
    </row>
    <row r="236" spans="1:54">
      <c r="A236" s="326"/>
      <c r="B236" s="791">
        <v>0.05</v>
      </c>
      <c r="C236" s="792">
        <v>1300</v>
      </c>
      <c r="D236" s="779">
        <v>14.520899999999999</v>
      </c>
      <c r="E236" s="779">
        <v>4687.3</v>
      </c>
      <c r="F236" s="779">
        <v>5413.3</v>
      </c>
      <c r="G236" s="779">
        <v>10.8429</v>
      </c>
      <c r="H236" s="727"/>
      <c r="I236" s="727"/>
      <c r="J236" s="793">
        <v>35</v>
      </c>
      <c r="K236" s="794">
        <f t="shared" si="57"/>
        <v>689</v>
      </c>
      <c r="L236" s="807">
        <f t="shared" si="56"/>
        <v>703</v>
      </c>
      <c r="M236" s="727"/>
      <c r="N236" s="727"/>
      <c r="O236" s="727"/>
      <c r="P236" s="758" t="s">
        <v>952</v>
      </c>
      <c r="Q236" s="759">
        <f ca="1">INDEX(INDIRECT(CONCATENATE("$C$",$M$208)):INDIRECT(CONCATENATE("$C$",$M$209)),MATCH($Q237,INDIRECT(CONCATENATE("$C$",$M$208)):INDIRECT(CONCATENATE("$C$",$M$209)),1))</f>
        <v>250</v>
      </c>
      <c r="R236" s="801">
        <f ca="1">VLOOKUP(Q236,INDIRECT(CONCATENATE("$C$",$M$208)):INDIRECT(CONCATENATE("$G$",$M$209)),5,FALSE)</f>
        <v>6.1764000000000001</v>
      </c>
      <c r="S236" s="727"/>
      <c r="T236" s="727"/>
      <c r="U236" s="727"/>
      <c r="V236" s="727"/>
      <c r="W236" s="727"/>
      <c r="X236" s="727"/>
      <c r="Y236" s="727"/>
      <c r="Z236" s="727"/>
      <c r="AA236" s="727"/>
      <c r="AB236" s="727"/>
      <c r="AC236" s="727"/>
      <c r="AD236" s="727"/>
      <c r="AE236" s="727"/>
      <c r="AF236" s="727"/>
      <c r="AG236" s="727"/>
      <c r="AH236" s="727"/>
      <c r="AI236" s="727"/>
      <c r="AJ236" s="727"/>
      <c r="AK236" s="727"/>
      <c r="AL236" s="727"/>
      <c r="AM236" s="727"/>
      <c r="AN236" s="727"/>
      <c r="AO236" s="727"/>
      <c r="AP236" s="727"/>
      <c r="AQ236" s="727"/>
      <c r="AR236" s="727"/>
      <c r="AS236" s="727"/>
      <c r="AT236" s="727"/>
      <c r="AU236" s="727"/>
      <c r="AV236" s="727"/>
      <c r="AW236" s="727"/>
      <c r="AX236" s="727"/>
      <c r="AY236" s="727"/>
      <c r="AZ236" s="727"/>
      <c r="BA236" s="727"/>
      <c r="BB236" s="727"/>
    </row>
    <row r="237" spans="1:54">
      <c r="A237" s="326"/>
      <c r="B237" s="791">
        <v>0.1</v>
      </c>
      <c r="C237" s="792">
        <v>99.61</v>
      </c>
      <c r="D237" s="779">
        <v>1.6940999999999999</v>
      </c>
      <c r="E237" s="779">
        <v>2505.6</v>
      </c>
      <c r="F237" s="779">
        <v>2675</v>
      </c>
      <c r="G237" s="779">
        <v>7.3589000000000002</v>
      </c>
      <c r="H237" s="727"/>
      <c r="I237" s="727"/>
      <c r="J237" s="793">
        <v>40</v>
      </c>
      <c r="K237" s="794">
        <f t="shared" si="57"/>
        <v>704</v>
      </c>
      <c r="L237" s="807">
        <f t="shared" si="56"/>
        <v>718</v>
      </c>
      <c r="M237" s="727"/>
      <c r="N237" s="727"/>
      <c r="O237" s="727"/>
      <c r="P237" s="758" t="s">
        <v>951</v>
      </c>
      <c r="Q237" s="762">
        <f>$I$4</f>
        <v>295</v>
      </c>
      <c r="R237" s="802">
        <f ca="1">IF(Q237&gt;MAX(INDIRECT(CONCATENATE("$C$",$M$208)):INDIRECT(CONCATENATE("$C$",$M$209))),R236,IF(Q237&lt;MIN(INDIRECT(CONCATENATE("$C$",$M$208)):INDIRECT(CONCATENATE("$C$",$M$209))),INDIRECT(CONCATENATE("$G$",$M$208)),R236+(Q237-Q236)*(R238-R236)/(Q238-Q236)))</f>
        <v>6.4212000000000007</v>
      </c>
      <c r="S237" s="763" t="s">
        <v>869</v>
      </c>
      <c r="T237" s="727"/>
      <c r="U237" s="731" t="s">
        <v>1390</v>
      </c>
      <c r="V237" s="727"/>
      <c r="W237" s="727"/>
      <c r="X237" s="727"/>
      <c r="Y237" s="727"/>
      <c r="Z237" s="727"/>
      <c r="AA237" s="727"/>
      <c r="AB237" s="727"/>
      <c r="AC237" s="727"/>
      <c r="AD237" s="727"/>
      <c r="AE237" s="727"/>
      <c r="AF237" s="727"/>
      <c r="AG237" s="727"/>
      <c r="AH237" s="727"/>
      <c r="AI237" s="727"/>
      <c r="AJ237" s="727"/>
      <c r="AK237" s="727"/>
      <c r="AL237" s="727"/>
      <c r="AM237" s="727"/>
      <c r="AN237" s="727"/>
      <c r="AO237" s="727"/>
      <c r="AP237" s="727"/>
      <c r="AQ237" s="727"/>
      <c r="AR237" s="727"/>
      <c r="AS237" s="727"/>
      <c r="AT237" s="727"/>
      <c r="AU237" s="727"/>
      <c r="AV237" s="727"/>
      <c r="AW237" s="727"/>
      <c r="AX237" s="727"/>
      <c r="AY237" s="727"/>
      <c r="AZ237" s="727"/>
      <c r="BA237" s="727"/>
      <c r="BB237" s="727"/>
    </row>
    <row r="238" spans="1:54">
      <c r="A238" s="326"/>
      <c r="B238" s="791">
        <v>0.1</v>
      </c>
      <c r="C238" s="792">
        <v>100</v>
      </c>
      <c r="D238" s="779">
        <v>1.6959</v>
      </c>
      <c r="E238" s="779">
        <v>2506.1999999999998</v>
      </c>
      <c r="F238" s="779">
        <v>2675.8</v>
      </c>
      <c r="G238" s="779">
        <v>7.3611000000000004</v>
      </c>
      <c r="H238" s="727"/>
      <c r="I238" s="727"/>
      <c r="J238" s="793">
        <v>50</v>
      </c>
      <c r="K238" s="794">
        <f t="shared" si="57"/>
        <v>719</v>
      </c>
      <c r="L238" s="807">
        <f t="shared" si="56"/>
        <v>733</v>
      </c>
      <c r="M238" s="727"/>
      <c r="N238" s="727"/>
      <c r="O238" s="727"/>
      <c r="P238" s="758" t="s">
        <v>952</v>
      </c>
      <c r="Q238" s="759">
        <f ca="1">INDEX(INDIRECT(CONCATENATE("$C$",$M$208)):INDIRECT(CONCATENATE("$C$",$M$209)),MATCH($Q237,INDIRECT(CONCATENATE("$C$",$M$208)):INDIRECT(CONCATENATE("$C$",$M$209)),1)+1)</f>
        <v>300</v>
      </c>
      <c r="R238" s="801">
        <f ca="1">VLOOKUP(Q238,INDIRECT(CONCATENATE("$C$",$M$208)):INDIRECT(CONCATENATE("$G$",$M$209)),5,FALSE)</f>
        <v>6.4484000000000004</v>
      </c>
      <c r="S238" s="727"/>
      <c r="T238" s="727"/>
      <c r="U238" s="727"/>
      <c r="V238" s="727"/>
      <c r="W238" s="727"/>
      <c r="X238" s="727"/>
      <c r="Y238" s="727"/>
      <c r="Z238" s="727"/>
      <c r="AA238" s="727"/>
      <c r="AB238" s="727"/>
      <c r="AC238" s="727"/>
      <c r="AD238" s="727"/>
      <c r="AE238" s="727"/>
      <c r="AF238" s="727"/>
      <c r="AG238" s="727"/>
      <c r="AH238" s="727"/>
      <c r="AI238" s="727"/>
      <c r="AJ238" s="727"/>
      <c r="AK238" s="727"/>
      <c r="AL238" s="727"/>
      <c r="AM238" s="727"/>
      <c r="AN238" s="727"/>
      <c r="AO238" s="727"/>
      <c r="AP238" s="727"/>
      <c r="AQ238" s="727"/>
      <c r="AR238" s="727"/>
      <c r="AS238" s="727"/>
      <c r="AT238" s="727"/>
      <c r="AU238" s="727"/>
      <c r="AV238" s="727"/>
      <c r="AW238" s="727"/>
      <c r="AX238" s="727"/>
      <c r="AY238" s="727"/>
      <c r="AZ238" s="727"/>
      <c r="BA238" s="727"/>
      <c r="BB238" s="727"/>
    </row>
    <row r="239" spans="1:54">
      <c r="A239" s="326"/>
      <c r="B239" s="791">
        <v>0.1</v>
      </c>
      <c r="C239" s="792">
        <v>150</v>
      </c>
      <c r="D239" s="779">
        <v>1.9367000000000001</v>
      </c>
      <c r="E239" s="779">
        <v>2582.9</v>
      </c>
      <c r="F239" s="779">
        <v>2776.6</v>
      </c>
      <c r="G239" s="779">
        <v>7.6147999999999998</v>
      </c>
      <c r="H239" s="727"/>
      <c r="I239" s="727"/>
      <c r="J239" s="793">
        <v>60</v>
      </c>
      <c r="K239" s="794">
        <f t="shared" si="57"/>
        <v>734</v>
      </c>
      <c r="L239" s="807">
        <f>K204+ROWS(B204:B748)-1</f>
        <v>748</v>
      </c>
      <c r="M239" s="727"/>
      <c r="N239" s="727"/>
      <c r="O239" s="727"/>
      <c r="P239" s="727"/>
      <c r="Q239" s="727"/>
      <c r="R239" s="727"/>
      <c r="S239" s="727"/>
      <c r="T239" s="727"/>
      <c r="U239" s="727"/>
      <c r="V239" s="727"/>
      <c r="W239" s="727"/>
      <c r="X239" s="727"/>
      <c r="Y239" s="727"/>
      <c r="Z239" s="727"/>
      <c r="AA239" s="727"/>
      <c r="AB239" s="727"/>
      <c r="AC239" s="727"/>
      <c r="AD239" s="727"/>
      <c r="AE239" s="727"/>
      <c r="AF239" s="727"/>
      <c r="AG239" s="727"/>
      <c r="AH239" s="727"/>
      <c r="AI239" s="727"/>
      <c r="AJ239" s="727"/>
      <c r="AK239" s="727"/>
      <c r="AL239" s="727"/>
      <c r="AM239" s="727"/>
      <c r="AN239" s="727"/>
      <c r="AO239" s="727"/>
      <c r="AP239" s="727"/>
      <c r="AQ239" s="727"/>
      <c r="AR239" s="727"/>
      <c r="AS239" s="727"/>
      <c r="AT239" s="727"/>
      <c r="AU239" s="727"/>
      <c r="AV239" s="727"/>
      <c r="AW239" s="727"/>
      <c r="AX239" s="727"/>
      <c r="AY239" s="727"/>
      <c r="AZ239" s="727"/>
      <c r="BA239" s="727"/>
      <c r="BB239" s="727"/>
    </row>
    <row r="240" spans="1:54">
      <c r="A240" s="326"/>
      <c r="B240" s="791">
        <v>0.1</v>
      </c>
      <c r="C240" s="792">
        <v>200</v>
      </c>
      <c r="D240" s="779">
        <v>2.1724000000000001</v>
      </c>
      <c r="E240" s="779">
        <v>2658.2</v>
      </c>
      <c r="F240" s="779">
        <v>2875.5</v>
      </c>
      <c r="G240" s="779">
        <v>7.8356000000000003</v>
      </c>
      <c r="H240" s="727"/>
      <c r="I240" s="727"/>
      <c r="J240" s="727"/>
      <c r="K240" s="727"/>
      <c r="L240" s="727"/>
      <c r="M240" s="727"/>
      <c r="N240" s="727"/>
      <c r="O240" s="727"/>
      <c r="Q240" s="727"/>
      <c r="R240" s="727"/>
      <c r="S240" s="727"/>
      <c r="T240" s="727"/>
      <c r="U240" s="727"/>
      <c r="V240" s="727"/>
      <c r="W240" s="727"/>
      <c r="X240" s="727"/>
      <c r="Y240" s="727"/>
      <c r="Z240" s="727"/>
      <c r="AA240" s="727"/>
      <c r="AB240" s="727"/>
      <c r="AC240" s="727"/>
      <c r="AD240" s="727"/>
      <c r="AE240" s="727"/>
      <c r="AF240" s="727"/>
      <c r="AG240" s="727"/>
      <c r="AH240" s="727"/>
      <c r="AI240" s="727"/>
      <c r="AJ240" s="727"/>
      <c r="AK240" s="727"/>
      <c r="AL240" s="727"/>
      <c r="AM240" s="727"/>
      <c r="AN240" s="727"/>
      <c r="AO240" s="727"/>
      <c r="AP240" s="727"/>
      <c r="AQ240" s="727"/>
      <c r="AR240" s="727"/>
      <c r="AS240" s="727"/>
      <c r="AT240" s="727"/>
      <c r="AU240" s="727"/>
      <c r="AV240" s="727"/>
      <c r="AW240" s="727"/>
      <c r="AX240" s="727"/>
      <c r="AY240" s="727"/>
      <c r="AZ240" s="727"/>
      <c r="BA240" s="727"/>
      <c r="BB240" s="727"/>
    </row>
    <row r="241" spans="1:54">
      <c r="A241" s="326"/>
      <c r="B241" s="791">
        <v>0.1</v>
      </c>
      <c r="C241" s="792">
        <v>250</v>
      </c>
      <c r="D241" s="779">
        <v>2.4062000000000001</v>
      </c>
      <c r="E241" s="779">
        <v>2733.9</v>
      </c>
      <c r="F241" s="779">
        <v>2974.5</v>
      </c>
      <c r="G241" s="779">
        <v>8.0345999999999993</v>
      </c>
      <c r="H241" s="727"/>
      <c r="I241" s="727"/>
      <c r="J241" s="727"/>
      <c r="K241" s="727"/>
      <c r="L241" s="727"/>
      <c r="M241" s="727"/>
      <c r="N241" s="727"/>
      <c r="O241" s="727"/>
      <c r="P241" s="727"/>
      <c r="Q241" s="727"/>
      <c r="R241" s="727"/>
      <c r="S241" s="727"/>
      <c r="T241" s="727"/>
      <c r="U241" s="727"/>
      <c r="V241" s="727"/>
      <c r="W241" s="727"/>
      <c r="X241" s="727"/>
      <c r="Y241" s="727"/>
      <c r="Z241" s="727"/>
      <c r="AA241" s="727"/>
      <c r="AB241" s="727"/>
      <c r="AC241" s="727"/>
      <c r="AD241" s="727"/>
      <c r="AE241" s="727"/>
      <c r="AF241" s="727"/>
      <c r="AG241" s="727"/>
      <c r="AH241" s="727"/>
      <c r="AI241" s="727"/>
      <c r="AJ241" s="727"/>
      <c r="AK241" s="727"/>
      <c r="AL241" s="727"/>
      <c r="AM241" s="727"/>
      <c r="AN241" s="727"/>
      <c r="AO241" s="727"/>
      <c r="AP241" s="727"/>
      <c r="AQ241" s="727"/>
      <c r="AR241" s="727"/>
      <c r="AS241" s="727"/>
      <c r="AT241" s="727"/>
      <c r="AU241" s="727"/>
      <c r="AV241" s="727"/>
      <c r="AW241" s="727"/>
      <c r="AX241" s="727"/>
      <c r="AY241" s="727"/>
      <c r="AZ241" s="727"/>
      <c r="BA241" s="727"/>
      <c r="BB241" s="727"/>
    </row>
    <row r="242" spans="1:54">
      <c r="A242" s="326"/>
      <c r="B242" s="791">
        <v>0.1</v>
      </c>
      <c r="C242" s="792">
        <v>300</v>
      </c>
      <c r="D242" s="779">
        <v>2.6389</v>
      </c>
      <c r="E242" s="779">
        <v>2810.7</v>
      </c>
      <c r="F242" s="779">
        <v>3074.5</v>
      </c>
      <c r="G242" s="779">
        <v>8.2172000000000001</v>
      </c>
      <c r="H242" s="727"/>
      <c r="I242" s="727"/>
      <c r="J242" s="727"/>
      <c r="K242" s="727"/>
      <c r="L242" s="727"/>
      <c r="M242" s="727"/>
      <c r="N242" s="727"/>
      <c r="O242" s="727"/>
      <c r="P242" s="727"/>
      <c r="Q242" s="727"/>
      <c r="R242" s="727"/>
      <c r="S242" s="727"/>
      <c r="T242" s="727"/>
      <c r="U242" s="727"/>
      <c r="V242" s="727"/>
      <c r="W242" s="727"/>
      <c r="X242" s="727"/>
      <c r="Y242" s="727"/>
      <c r="Z242" s="727"/>
      <c r="AA242" s="727"/>
      <c r="AB242" s="727"/>
      <c r="AC242" s="727"/>
      <c r="AD242" s="727"/>
      <c r="AE242" s="727"/>
      <c r="AF242" s="727"/>
      <c r="AG242" s="727"/>
      <c r="AH242" s="727"/>
      <c r="AI242" s="727"/>
      <c r="AJ242" s="727"/>
      <c r="AK242" s="727"/>
      <c r="AL242" s="727"/>
      <c r="AM242" s="727"/>
      <c r="AN242" s="727"/>
      <c r="AO242" s="727"/>
      <c r="AP242" s="727"/>
      <c r="AQ242" s="727"/>
      <c r="AR242" s="727"/>
      <c r="AS242" s="727"/>
      <c r="AT242" s="727"/>
      <c r="AU242" s="727"/>
      <c r="AV242" s="727"/>
      <c r="AW242" s="727"/>
      <c r="AX242" s="727"/>
      <c r="AY242" s="727"/>
      <c r="AZ242" s="727"/>
      <c r="BA242" s="727"/>
      <c r="BB242" s="727"/>
    </row>
    <row r="243" spans="1:54">
      <c r="A243" s="326"/>
      <c r="B243" s="791">
        <v>0.1</v>
      </c>
      <c r="C243" s="792">
        <v>400</v>
      </c>
      <c r="D243" s="779">
        <v>3.1027</v>
      </c>
      <c r="E243" s="779">
        <v>2968.3</v>
      </c>
      <c r="F243" s="779">
        <v>3278.6</v>
      </c>
      <c r="G243" s="779">
        <v>8.5451999999999995</v>
      </c>
      <c r="H243" s="727"/>
      <c r="I243" s="727"/>
      <c r="J243" s="727"/>
      <c r="K243" s="727"/>
      <c r="L243" s="727"/>
      <c r="M243" s="727"/>
      <c r="N243" s="727"/>
      <c r="O243" s="727"/>
      <c r="P243" s="727"/>
      <c r="Q243" s="727"/>
      <c r="R243" s="727"/>
      <c r="S243" s="727"/>
      <c r="T243" s="727"/>
      <c r="U243" s="727"/>
      <c r="V243" s="727"/>
      <c r="W243" s="727"/>
      <c r="X243" s="727"/>
      <c r="Y243" s="727"/>
      <c r="Z243" s="727"/>
      <c r="AA243" s="727"/>
      <c r="AB243" s="727"/>
      <c r="AC243" s="727"/>
      <c r="AD243" s="727"/>
      <c r="AE243" s="727"/>
      <c r="AF243" s="727"/>
      <c r="AG243" s="727"/>
      <c r="AH243" s="727"/>
      <c r="AI243" s="727"/>
      <c r="AJ243" s="727"/>
      <c r="AK243" s="727"/>
      <c r="AL243" s="727"/>
      <c r="AM243" s="727"/>
      <c r="AN243" s="727"/>
      <c r="AO243" s="727"/>
      <c r="AP243" s="727"/>
      <c r="AQ243" s="727"/>
      <c r="AR243" s="727"/>
      <c r="AS243" s="727"/>
      <c r="AT243" s="727"/>
      <c r="AU243" s="727"/>
      <c r="AV243" s="727"/>
      <c r="AW243" s="727"/>
      <c r="AX243" s="727"/>
      <c r="AY243" s="727"/>
      <c r="AZ243" s="727"/>
      <c r="BA243" s="727"/>
      <c r="BB243" s="727"/>
    </row>
    <row r="244" spans="1:54">
      <c r="A244" s="326"/>
      <c r="B244" s="791">
        <v>0.1</v>
      </c>
      <c r="C244" s="792">
        <v>500</v>
      </c>
      <c r="D244" s="779">
        <v>3.5655000000000001</v>
      </c>
      <c r="E244" s="779">
        <v>3132.2</v>
      </c>
      <c r="F244" s="779">
        <v>3488.7</v>
      </c>
      <c r="G244" s="779">
        <v>8.8361999999999998</v>
      </c>
      <c r="H244" s="727"/>
      <c r="I244" s="727"/>
      <c r="J244" s="727"/>
      <c r="K244" s="727"/>
      <c r="L244" s="727"/>
      <c r="M244" s="727"/>
      <c r="N244" s="727"/>
      <c r="O244" s="727"/>
      <c r="P244" s="727"/>
      <c r="Q244" s="727"/>
      <c r="R244" s="727"/>
      <c r="S244" s="727"/>
      <c r="T244" s="727"/>
      <c r="U244" s="727"/>
      <c r="V244" s="727"/>
      <c r="W244" s="727"/>
      <c r="X244" s="727"/>
      <c r="Y244" s="727"/>
      <c r="Z244" s="727"/>
      <c r="AA244" s="727"/>
      <c r="AB244" s="727"/>
      <c r="AC244" s="727"/>
      <c r="AD244" s="727"/>
      <c r="AE244" s="727"/>
      <c r="AF244" s="727"/>
      <c r="AG244" s="727"/>
      <c r="AH244" s="727"/>
      <c r="AI244" s="727"/>
      <c r="AJ244" s="727"/>
      <c r="AK244" s="727"/>
      <c r="AL244" s="727"/>
      <c r="AM244" s="727"/>
      <c r="AN244" s="727"/>
      <c r="AO244" s="727"/>
      <c r="AP244" s="727"/>
      <c r="AQ244" s="727"/>
      <c r="AR244" s="727"/>
      <c r="AS244" s="727"/>
      <c r="AT244" s="727"/>
      <c r="AU244" s="727"/>
      <c r="AV244" s="727"/>
      <c r="AW244" s="727"/>
      <c r="AX244" s="727"/>
      <c r="AY244" s="727"/>
      <c r="AZ244" s="727"/>
      <c r="BA244" s="727"/>
      <c r="BB244" s="727"/>
    </row>
    <row r="245" spans="1:54">
      <c r="A245" s="326"/>
      <c r="B245" s="791">
        <v>0.1</v>
      </c>
      <c r="C245" s="792">
        <v>600</v>
      </c>
      <c r="D245" s="779">
        <v>4.0278999999999998</v>
      </c>
      <c r="E245" s="779">
        <v>3302.8</v>
      </c>
      <c r="F245" s="779">
        <v>3705.6</v>
      </c>
      <c r="G245" s="779">
        <v>9.0998999999999999</v>
      </c>
      <c r="H245" s="727"/>
      <c r="I245" s="727"/>
      <c r="J245" s="727"/>
      <c r="K245" s="727"/>
      <c r="L245" s="727"/>
      <c r="M245" s="727"/>
      <c r="N245" s="727"/>
      <c r="O245" s="727"/>
      <c r="P245" s="727"/>
      <c r="Q245" s="727"/>
      <c r="R245" s="727"/>
      <c r="S245" s="727"/>
      <c r="T245" s="727"/>
      <c r="U245" s="727"/>
      <c r="V245" s="727"/>
      <c r="W245" s="727"/>
      <c r="X245" s="727"/>
      <c r="Y245" s="727"/>
      <c r="Z245" s="727"/>
      <c r="AA245" s="727"/>
      <c r="AB245" s="727"/>
      <c r="AC245" s="727"/>
      <c r="AD245" s="727"/>
      <c r="AE245" s="727"/>
      <c r="AF245" s="727"/>
      <c r="AG245" s="727"/>
      <c r="AH245" s="727"/>
      <c r="AI245" s="727"/>
      <c r="AJ245" s="727"/>
      <c r="AK245" s="727"/>
      <c r="AL245" s="727"/>
      <c r="AM245" s="727"/>
      <c r="AN245" s="727"/>
      <c r="AO245" s="727"/>
      <c r="AP245" s="727"/>
      <c r="AQ245" s="727"/>
      <c r="AR245" s="727"/>
      <c r="AS245" s="727"/>
      <c r="AT245" s="727"/>
      <c r="AU245" s="727"/>
      <c r="AV245" s="727"/>
      <c r="AW245" s="727"/>
      <c r="AX245" s="727"/>
      <c r="AY245" s="727"/>
      <c r="AZ245" s="727"/>
      <c r="BA245" s="727"/>
      <c r="BB245" s="727"/>
    </row>
    <row r="246" spans="1:54">
      <c r="A246" s="326"/>
      <c r="B246" s="791">
        <v>0.1</v>
      </c>
      <c r="C246" s="792">
        <v>700</v>
      </c>
      <c r="D246" s="779">
        <v>4.49</v>
      </c>
      <c r="E246" s="779">
        <v>3480.4</v>
      </c>
      <c r="F246" s="779">
        <v>3929.4</v>
      </c>
      <c r="G246" s="779">
        <v>9.3423999999999996</v>
      </c>
      <c r="H246" s="727"/>
      <c r="I246" s="727"/>
      <c r="J246" s="727"/>
      <c r="K246" s="727"/>
      <c r="L246" s="727"/>
      <c r="M246" s="727"/>
      <c r="N246" s="727"/>
      <c r="O246" s="727"/>
      <c r="P246" s="727"/>
      <c r="Q246" s="727"/>
      <c r="R246" s="727"/>
      <c r="S246" s="727"/>
      <c r="T246" s="727"/>
      <c r="U246" s="727"/>
      <c r="V246" s="727"/>
      <c r="W246" s="727"/>
      <c r="X246" s="727"/>
      <c r="Y246" s="727"/>
      <c r="Z246" s="727"/>
      <c r="AA246" s="727"/>
      <c r="AB246" s="727"/>
      <c r="AC246" s="727"/>
      <c r="AD246" s="727"/>
      <c r="AE246" s="727"/>
      <c r="AF246" s="727"/>
      <c r="AG246" s="727"/>
      <c r="AH246" s="727"/>
      <c r="AI246" s="727"/>
      <c r="AJ246" s="727"/>
      <c r="AK246" s="727"/>
      <c r="AL246" s="727"/>
      <c r="AM246" s="727"/>
      <c r="AN246" s="727"/>
      <c r="AO246" s="727"/>
      <c r="AP246" s="727"/>
      <c r="AQ246" s="727"/>
      <c r="AR246" s="727"/>
      <c r="AS246" s="727"/>
      <c r="AT246" s="727"/>
      <c r="AU246" s="727"/>
      <c r="AV246" s="727"/>
      <c r="AW246" s="727"/>
      <c r="AX246" s="727"/>
      <c r="AY246" s="727"/>
      <c r="AZ246" s="727"/>
      <c r="BA246" s="727"/>
      <c r="BB246" s="727"/>
    </row>
    <row r="247" spans="1:54">
      <c r="A247" s="326"/>
      <c r="B247" s="791">
        <v>0.1</v>
      </c>
      <c r="C247" s="792">
        <v>800</v>
      </c>
      <c r="D247" s="779">
        <v>4.9519000000000002</v>
      </c>
      <c r="E247" s="779">
        <v>3665</v>
      </c>
      <c r="F247" s="779">
        <v>4160.2</v>
      </c>
      <c r="G247" s="779">
        <v>9.5681999999999992</v>
      </c>
      <c r="H247" s="727"/>
      <c r="I247" s="727"/>
      <c r="J247" s="727"/>
      <c r="K247" s="727"/>
      <c r="L247" s="727"/>
      <c r="M247" s="727"/>
      <c r="N247" s="727"/>
      <c r="O247" s="727"/>
      <c r="P247" s="727"/>
      <c r="Q247" s="727"/>
      <c r="R247" s="727"/>
      <c r="S247" s="727"/>
      <c r="T247" s="727"/>
      <c r="U247" s="727"/>
      <c r="V247" s="727"/>
      <c r="W247" s="727"/>
      <c r="X247" s="727"/>
      <c r="Y247" s="727"/>
      <c r="Z247" s="727"/>
      <c r="AA247" s="727"/>
      <c r="AB247" s="727"/>
      <c r="AC247" s="727"/>
      <c r="AD247" s="727"/>
      <c r="AE247" s="727"/>
      <c r="AF247" s="727"/>
      <c r="AG247" s="727"/>
      <c r="AH247" s="727"/>
      <c r="AI247" s="727"/>
      <c r="AJ247" s="727"/>
      <c r="AK247" s="727"/>
      <c r="AL247" s="727"/>
      <c r="AM247" s="727"/>
      <c r="AN247" s="727"/>
      <c r="AO247" s="727"/>
      <c r="AP247" s="727"/>
      <c r="AQ247" s="727"/>
      <c r="AR247" s="727"/>
      <c r="AS247" s="727"/>
      <c r="AT247" s="727"/>
      <c r="AU247" s="727"/>
      <c r="AV247" s="727"/>
      <c r="AW247" s="727"/>
      <c r="AX247" s="727"/>
      <c r="AY247" s="727"/>
      <c r="AZ247" s="727"/>
      <c r="BA247" s="727"/>
      <c r="BB247" s="727"/>
    </row>
    <row r="248" spans="1:54">
      <c r="A248" s="326"/>
      <c r="B248" s="791">
        <v>0.1</v>
      </c>
      <c r="C248" s="792">
        <v>900</v>
      </c>
      <c r="D248" s="779">
        <v>5.4137000000000004</v>
      </c>
      <c r="E248" s="779">
        <v>3856.7</v>
      </c>
      <c r="F248" s="779">
        <v>4398</v>
      </c>
      <c r="G248" s="779">
        <v>9.7799999999999994</v>
      </c>
      <c r="H248" s="727"/>
      <c r="I248" s="727"/>
      <c r="J248" s="727"/>
      <c r="K248" s="727"/>
      <c r="L248" s="727"/>
      <c r="M248" s="727"/>
      <c r="N248" s="727"/>
      <c r="O248" s="727"/>
      <c r="P248" s="727"/>
      <c r="Q248" s="727"/>
      <c r="R248" s="727"/>
      <c r="S248" s="727"/>
      <c r="T248" s="727"/>
      <c r="U248" s="727"/>
      <c r="V248" s="727"/>
      <c r="W248" s="727"/>
      <c r="X248" s="727"/>
      <c r="Y248" s="727"/>
      <c r="Z248" s="727"/>
      <c r="AA248" s="727"/>
      <c r="AB248" s="727"/>
      <c r="AC248" s="727"/>
      <c r="AD248" s="727"/>
      <c r="AE248" s="727"/>
      <c r="AF248" s="727"/>
      <c r="AG248" s="727"/>
      <c r="AH248" s="727"/>
      <c r="AI248" s="727"/>
      <c r="AJ248" s="727"/>
      <c r="AK248" s="727"/>
      <c r="AL248" s="727"/>
      <c r="AM248" s="727"/>
      <c r="AN248" s="727"/>
      <c r="AO248" s="727"/>
      <c r="AP248" s="727"/>
      <c r="AQ248" s="727"/>
      <c r="AR248" s="727"/>
      <c r="AS248" s="727"/>
      <c r="AT248" s="727"/>
      <c r="AU248" s="727"/>
      <c r="AV248" s="727"/>
      <c r="AW248" s="727"/>
      <c r="AX248" s="727"/>
      <c r="AY248" s="727"/>
      <c r="AZ248" s="727"/>
      <c r="BA248" s="727"/>
      <c r="BB248" s="727"/>
    </row>
    <row r="249" spans="1:54">
      <c r="A249" s="326"/>
      <c r="B249" s="791">
        <v>0.1</v>
      </c>
      <c r="C249" s="792">
        <v>1000</v>
      </c>
      <c r="D249" s="779">
        <v>5.8754999999999997</v>
      </c>
      <c r="E249" s="779">
        <v>4055</v>
      </c>
      <c r="F249" s="779">
        <v>4642.6000000000004</v>
      </c>
      <c r="G249" s="779">
        <v>9.98</v>
      </c>
      <c r="H249" s="727"/>
      <c r="I249" s="727"/>
      <c r="J249" s="727"/>
      <c r="K249" s="727"/>
      <c r="L249" s="727"/>
      <c r="M249" s="727"/>
      <c r="N249" s="727"/>
      <c r="O249" s="727"/>
      <c r="Q249" s="727"/>
      <c r="R249" s="727"/>
      <c r="S249" s="727"/>
      <c r="T249" s="727"/>
      <c r="U249" s="727"/>
      <c r="V249" s="727"/>
      <c r="W249" s="727"/>
      <c r="X249" s="727"/>
      <c r="Y249" s="727"/>
      <c r="Z249" s="727"/>
      <c r="AA249" s="727"/>
      <c r="AB249" s="727"/>
      <c r="AC249" s="727"/>
      <c r="AD249" s="727"/>
      <c r="AE249" s="727"/>
      <c r="AF249" s="727"/>
      <c r="AG249" s="727"/>
      <c r="AH249" s="727"/>
      <c r="AI249" s="727"/>
      <c r="AJ249" s="727"/>
      <c r="AK249" s="727"/>
      <c r="AL249" s="727"/>
      <c r="AM249" s="727"/>
      <c r="AN249" s="727"/>
      <c r="AO249" s="727"/>
      <c r="AP249" s="727"/>
      <c r="AQ249" s="727"/>
      <c r="AR249" s="727"/>
      <c r="AS249" s="727"/>
      <c r="AT249" s="727"/>
      <c r="AU249" s="727"/>
      <c r="AV249" s="727"/>
      <c r="AW249" s="727"/>
      <c r="AX249" s="727"/>
      <c r="AY249" s="727"/>
      <c r="AZ249" s="727"/>
      <c r="BA249" s="727"/>
      <c r="BB249" s="727"/>
    </row>
    <row r="250" spans="1:54">
      <c r="A250" s="326"/>
      <c r="B250" s="791">
        <v>0.1</v>
      </c>
      <c r="C250" s="792">
        <v>1100</v>
      </c>
      <c r="D250" s="779">
        <v>6.3372000000000002</v>
      </c>
      <c r="E250" s="779">
        <v>4259.8</v>
      </c>
      <c r="F250" s="779">
        <v>4893.6000000000004</v>
      </c>
      <c r="G250" s="779">
        <v>10.1698</v>
      </c>
      <c r="H250" s="727"/>
      <c r="I250" s="727"/>
      <c r="J250" s="727"/>
      <c r="K250" s="727"/>
      <c r="L250" s="727"/>
      <c r="M250" s="727"/>
      <c r="N250" s="727"/>
      <c r="P250" s="727"/>
      <c r="Q250" s="727"/>
      <c r="R250" s="727"/>
      <c r="S250" s="727"/>
      <c r="T250" s="727"/>
      <c r="U250" s="727"/>
      <c r="V250" s="727"/>
      <c r="W250" s="727"/>
      <c r="X250" s="727"/>
      <c r="Y250" s="727"/>
      <c r="Z250" s="727"/>
      <c r="AA250" s="727"/>
      <c r="AB250" s="727"/>
      <c r="AC250" s="727"/>
      <c r="AD250" s="727"/>
      <c r="AE250" s="727"/>
      <c r="AF250" s="727"/>
      <c r="AG250" s="727"/>
      <c r="AH250" s="727"/>
      <c r="AI250" s="727"/>
      <c r="AJ250" s="727"/>
      <c r="AK250" s="727"/>
      <c r="AL250" s="727"/>
      <c r="AM250" s="727"/>
      <c r="AN250" s="727"/>
      <c r="AO250" s="727"/>
      <c r="AP250" s="727"/>
      <c r="AQ250" s="727"/>
      <c r="AR250" s="727"/>
      <c r="AS250" s="727"/>
      <c r="AT250" s="727"/>
      <c r="AU250" s="727"/>
      <c r="AV250" s="727"/>
      <c r="AW250" s="727"/>
      <c r="AX250" s="727"/>
      <c r="AY250" s="727"/>
      <c r="AZ250" s="727"/>
      <c r="BA250" s="727"/>
      <c r="BB250" s="727"/>
    </row>
    <row r="251" spans="1:54">
      <c r="A251" s="326"/>
      <c r="B251" s="791">
        <v>0.1</v>
      </c>
      <c r="C251" s="792">
        <v>1200</v>
      </c>
      <c r="D251" s="779">
        <v>6.7988</v>
      </c>
      <c r="E251" s="779">
        <v>4470.7</v>
      </c>
      <c r="F251" s="779">
        <v>5150.6000000000004</v>
      </c>
      <c r="G251" s="779">
        <v>10.3504</v>
      </c>
      <c r="H251" s="727"/>
      <c r="I251" s="727"/>
      <c r="J251" s="727"/>
      <c r="K251" s="727"/>
      <c r="L251" s="727"/>
      <c r="M251" s="727"/>
      <c r="N251" s="727"/>
      <c r="O251" s="727"/>
      <c r="P251" s="727"/>
      <c r="Q251" s="727"/>
      <c r="R251" s="727"/>
      <c r="S251" s="727"/>
      <c r="T251" s="727"/>
      <c r="U251" s="727"/>
      <c r="V251" s="727"/>
      <c r="W251" s="727"/>
      <c r="X251" s="727"/>
      <c r="Y251" s="727"/>
      <c r="Z251" s="727"/>
      <c r="AA251" s="727"/>
      <c r="AB251" s="727"/>
      <c r="AC251" s="727"/>
      <c r="AD251" s="727"/>
      <c r="AE251" s="727"/>
      <c r="AF251" s="727"/>
      <c r="AG251" s="727"/>
      <c r="AH251" s="727"/>
      <c r="AI251" s="727"/>
      <c r="AJ251" s="727"/>
      <c r="AK251" s="727"/>
      <c r="AL251" s="727"/>
      <c r="AM251" s="727"/>
      <c r="AN251" s="727"/>
      <c r="AO251" s="727"/>
      <c r="AP251" s="727"/>
      <c r="AQ251" s="727"/>
      <c r="AR251" s="727"/>
      <c r="AS251" s="727"/>
      <c r="AT251" s="727"/>
      <c r="AU251" s="727"/>
      <c r="AV251" s="727"/>
      <c r="AW251" s="727"/>
      <c r="AX251" s="727"/>
      <c r="AY251" s="727"/>
      <c r="AZ251" s="727"/>
      <c r="BA251" s="727"/>
      <c r="BB251" s="727"/>
    </row>
    <row r="252" spans="1:54">
      <c r="A252" s="326"/>
      <c r="B252" s="791">
        <v>0.1</v>
      </c>
      <c r="C252" s="792">
        <v>1300</v>
      </c>
      <c r="D252" s="779">
        <v>7.2605000000000004</v>
      </c>
      <c r="E252" s="779">
        <v>4687.2</v>
      </c>
      <c r="F252" s="779">
        <v>5413.3</v>
      </c>
      <c r="G252" s="779">
        <v>10.5229</v>
      </c>
      <c r="H252" s="727"/>
      <c r="I252" s="727"/>
      <c r="J252" s="727"/>
      <c r="K252" s="727"/>
      <c r="L252" s="727"/>
      <c r="M252" s="727"/>
      <c r="N252" s="727"/>
      <c r="O252" s="727"/>
      <c r="P252" s="727"/>
      <c r="Q252" s="727"/>
      <c r="R252" s="727"/>
      <c r="S252" s="727"/>
      <c r="T252" s="727"/>
      <c r="U252" s="727"/>
      <c r="V252" s="727"/>
      <c r="W252" s="727"/>
      <c r="X252" s="727"/>
      <c r="Y252" s="727"/>
      <c r="Z252" s="727"/>
      <c r="AA252" s="727"/>
      <c r="AB252" s="727"/>
      <c r="AC252" s="727"/>
      <c r="AD252" s="727"/>
      <c r="AE252" s="727"/>
      <c r="AF252" s="727"/>
      <c r="AG252" s="727"/>
      <c r="AH252" s="727"/>
      <c r="AI252" s="727"/>
      <c r="AJ252" s="727"/>
      <c r="AK252" s="727"/>
      <c r="AL252" s="727"/>
      <c r="AM252" s="727"/>
      <c r="AN252" s="727"/>
      <c r="AO252" s="727"/>
      <c r="AP252" s="727"/>
      <c r="AQ252" s="727"/>
      <c r="AR252" s="727"/>
      <c r="AS252" s="727"/>
      <c r="AT252" s="727"/>
      <c r="AU252" s="727"/>
      <c r="AV252" s="727"/>
      <c r="AW252" s="727"/>
      <c r="AX252" s="727"/>
      <c r="AY252" s="727"/>
      <c r="AZ252" s="727"/>
      <c r="BA252" s="727"/>
      <c r="BB252" s="727"/>
    </row>
    <row r="253" spans="1:54">
      <c r="A253" s="326"/>
      <c r="B253" s="791">
        <v>0.2</v>
      </c>
      <c r="C253" s="792">
        <v>120.21</v>
      </c>
      <c r="D253" s="779">
        <v>0.88578000000000001</v>
      </c>
      <c r="E253" s="779">
        <v>2529.1</v>
      </c>
      <c r="F253" s="779">
        <v>2706.3</v>
      </c>
      <c r="G253" s="779">
        <v>7.1269999999999998</v>
      </c>
      <c r="H253" s="727"/>
      <c r="I253" s="727"/>
      <c r="J253" s="727"/>
      <c r="K253" s="727"/>
      <c r="L253" s="727"/>
      <c r="M253" s="727"/>
      <c r="N253" s="727"/>
      <c r="O253" s="727"/>
      <c r="P253" s="727"/>
      <c r="Q253" s="727"/>
      <c r="R253" s="727"/>
      <c r="S253" s="727"/>
      <c r="T253" s="727"/>
      <c r="U253" s="727"/>
      <c r="V253" s="727"/>
      <c r="W253" s="727"/>
      <c r="X253" s="727"/>
      <c r="Y253" s="727"/>
      <c r="Z253" s="727"/>
      <c r="AA253" s="727"/>
      <c r="AB253" s="727"/>
      <c r="AC253" s="727"/>
      <c r="AD253" s="727"/>
      <c r="AE253" s="727"/>
      <c r="AF253" s="727"/>
      <c r="AG253" s="727"/>
      <c r="AH253" s="727"/>
      <c r="AI253" s="727"/>
      <c r="AJ253" s="727"/>
      <c r="AK253" s="727"/>
      <c r="AL253" s="727"/>
      <c r="AM253" s="727"/>
      <c r="AN253" s="727"/>
      <c r="AO253" s="727"/>
      <c r="AP253" s="727"/>
      <c r="AQ253" s="727"/>
      <c r="AR253" s="727"/>
      <c r="AS253" s="727"/>
      <c r="AT253" s="727"/>
      <c r="AU253" s="727"/>
      <c r="AV253" s="727"/>
      <c r="AW253" s="727"/>
      <c r="AX253" s="727"/>
      <c r="AY253" s="727"/>
      <c r="AZ253" s="727"/>
      <c r="BA253" s="727"/>
      <c r="BB253" s="727"/>
    </row>
    <row r="254" spans="1:54">
      <c r="A254" s="326"/>
      <c r="B254" s="791">
        <v>0.2</v>
      </c>
      <c r="C254" s="792">
        <v>150</v>
      </c>
      <c r="D254" s="779">
        <v>0.95986000000000005</v>
      </c>
      <c r="E254" s="779">
        <v>2577.1</v>
      </c>
      <c r="F254" s="779">
        <v>2769.1</v>
      </c>
      <c r="G254" s="779">
        <v>7.2809999999999997</v>
      </c>
      <c r="H254" s="727"/>
      <c r="I254" s="727"/>
      <c r="J254" s="727"/>
      <c r="K254" s="727"/>
      <c r="L254" s="727"/>
      <c r="M254" s="727"/>
      <c r="N254" s="727"/>
      <c r="O254" s="727"/>
      <c r="P254" s="727"/>
      <c r="Q254" s="727"/>
      <c r="R254" s="727"/>
      <c r="S254" s="727"/>
      <c r="T254" s="727"/>
      <c r="U254" s="727"/>
      <c r="V254" s="727"/>
      <c r="W254" s="727"/>
      <c r="X254" s="727"/>
      <c r="Y254" s="727"/>
      <c r="Z254" s="727"/>
      <c r="AA254" s="727"/>
      <c r="AB254" s="727"/>
      <c r="AC254" s="727"/>
      <c r="AD254" s="727"/>
      <c r="AE254" s="727"/>
      <c r="AF254" s="727"/>
      <c r="AG254" s="727"/>
      <c r="AH254" s="727"/>
      <c r="AI254" s="727"/>
      <c r="AJ254" s="727"/>
      <c r="AK254" s="727"/>
      <c r="AL254" s="727"/>
      <c r="AM254" s="727"/>
      <c r="AN254" s="727"/>
      <c r="AO254" s="727"/>
      <c r="AP254" s="727"/>
      <c r="AQ254" s="727"/>
      <c r="AR254" s="727"/>
      <c r="AS254" s="727"/>
      <c r="AT254" s="727"/>
      <c r="AU254" s="727"/>
      <c r="AV254" s="727"/>
      <c r="AW254" s="727"/>
      <c r="AX254" s="727"/>
      <c r="AY254" s="727"/>
      <c r="AZ254" s="727"/>
      <c r="BA254" s="727"/>
      <c r="BB254" s="727"/>
    </row>
    <row r="255" spans="1:54">
      <c r="A255" s="326"/>
      <c r="B255" s="791">
        <v>0.2</v>
      </c>
      <c r="C255" s="792">
        <v>200</v>
      </c>
      <c r="D255" s="779">
        <v>1.08049</v>
      </c>
      <c r="E255" s="779">
        <v>2654.6</v>
      </c>
      <c r="F255" s="779">
        <v>2870.7</v>
      </c>
      <c r="G255" s="779">
        <v>7.5080999999999998</v>
      </c>
      <c r="H255" s="727"/>
      <c r="I255" s="727"/>
      <c r="J255" s="727"/>
      <c r="K255" s="727"/>
      <c r="L255" s="727"/>
      <c r="M255" s="727"/>
      <c r="N255" s="727"/>
      <c r="O255" s="727"/>
      <c r="P255" s="727"/>
      <c r="Q255" s="727"/>
      <c r="R255" s="727"/>
      <c r="S255" s="727"/>
      <c r="T255" s="727"/>
      <c r="U255" s="727"/>
      <c r="V255" s="727"/>
      <c r="W255" s="727"/>
      <c r="X255" s="727"/>
      <c r="Y255" s="727"/>
      <c r="Z255" s="727"/>
      <c r="AA255" s="727"/>
      <c r="AB255" s="727"/>
      <c r="AC255" s="727"/>
      <c r="AD255" s="727"/>
      <c r="AE255" s="727"/>
      <c r="AF255" s="727"/>
      <c r="AG255" s="727"/>
      <c r="AH255" s="727"/>
      <c r="AI255" s="727"/>
      <c r="AJ255" s="727"/>
      <c r="AK255" s="727"/>
      <c r="AL255" s="727"/>
      <c r="AM255" s="727"/>
      <c r="AN255" s="727"/>
      <c r="AO255" s="727"/>
      <c r="AP255" s="727"/>
      <c r="AQ255" s="727"/>
      <c r="AR255" s="727"/>
      <c r="AS255" s="727"/>
      <c r="AT255" s="727"/>
      <c r="AU255" s="727"/>
      <c r="AV255" s="727"/>
      <c r="AW255" s="727"/>
      <c r="AX255" s="727"/>
      <c r="AY255" s="727"/>
      <c r="AZ255" s="727"/>
      <c r="BA255" s="727"/>
      <c r="BB255" s="727"/>
    </row>
    <row r="256" spans="1:54">
      <c r="A256" s="326"/>
      <c r="B256" s="791">
        <v>0.2</v>
      </c>
      <c r="C256" s="792">
        <v>250</v>
      </c>
      <c r="D256" s="779">
        <v>1.1989000000000001</v>
      </c>
      <c r="E256" s="779">
        <v>2731.4</v>
      </c>
      <c r="F256" s="779">
        <v>2971.2</v>
      </c>
      <c r="G256" s="779">
        <v>7.71</v>
      </c>
      <c r="H256" s="727"/>
      <c r="I256" s="727"/>
      <c r="J256" s="727"/>
      <c r="K256" s="727"/>
      <c r="L256" s="727"/>
      <c r="M256" s="727"/>
      <c r="N256" s="727"/>
      <c r="O256" s="727"/>
      <c r="P256" s="727"/>
      <c r="Q256" s="727"/>
      <c r="R256" s="727"/>
      <c r="S256" s="727"/>
      <c r="T256" s="727"/>
      <c r="U256" s="727"/>
      <c r="V256" s="727"/>
      <c r="W256" s="727"/>
      <c r="X256" s="727"/>
      <c r="Y256" s="727"/>
      <c r="Z256" s="727"/>
      <c r="AA256" s="727"/>
      <c r="AB256" s="727"/>
      <c r="AC256" s="727"/>
      <c r="AD256" s="727"/>
      <c r="AE256" s="727"/>
      <c r="AF256" s="727"/>
      <c r="AG256" s="727"/>
      <c r="AH256" s="727"/>
      <c r="AI256" s="727"/>
      <c r="AJ256" s="727"/>
      <c r="AK256" s="727"/>
      <c r="AL256" s="727"/>
      <c r="AM256" s="727"/>
      <c r="AN256" s="727"/>
      <c r="AO256" s="727"/>
      <c r="AP256" s="727"/>
      <c r="AQ256" s="727"/>
      <c r="AR256" s="727"/>
      <c r="AS256" s="727"/>
      <c r="AT256" s="727"/>
      <c r="AU256" s="727"/>
      <c r="AV256" s="727"/>
      <c r="AW256" s="727"/>
      <c r="AX256" s="727"/>
      <c r="AY256" s="727"/>
      <c r="AZ256" s="727"/>
      <c r="BA256" s="727"/>
      <c r="BB256" s="727"/>
    </row>
    <row r="257" spans="1:54">
      <c r="A257" s="326"/>
      <c r="B257" s="791">
        <v>0.2</v>
      </c>
      <c r="C257" s="792">
        <v>300</v>
      </c>
      <c r="D257" s="779">
        <v>1.31623</v>
      </c>
      <c r="E257" s="779">
        <v>2808.8</v>
      </c>
      <c r="F257" s="779">
        <v>3072.1</v>
      </c>
      <c r="G257" s="779">
        <v>7.8940999999999999</v>
      </c>
      <c r="H257" s="727"/>
      <c r="I257" s="727"/>
      <c r="J257" s="727"/>
      <c r="K257" s="727"/>
      <c r="L257" s="727"/>
      <c r="M257" s="727"/>
      <c r="N257" s="727"/>
      <c r="O257" s="727"/>
      <c r="P257" s="727"/>
      <c r="Q257" s="727"/>
      <c r="R257" s="727"/>
      <c r="S257" s="727"/>
      <c r="T257" s="727"/>
      <c r="U257" s="727"/>
      <c r="V257" s="727"/>
      <c r="W257" s="727"/>
      <c r="X257" s="727"/>
      <c r="Y257" s="727"/>
      <c r="Z257" s="727"/>
      <c r="AA257" s="727"/>
      <c r="AB257" s="727"/>
      <c r="AC257" s="727"/>
      <c r="AD257" s="727"/>
      <c r="AE257" s="727"/>
      <c r="AF257" s="727"/>
      <c r="AG257" s="727"/>
      <c r="AH257" s="727"/>
      <c r="AI257" s="727"/>
      <c r="AJ257" s="727"/>
      <c r="AK257" s="727"/>
      <c r="AL257" s="727"/>
      <c r="AM257" s="727"/>
      <c r="AN257" s="727"/>
      <c r="AO257" s="727"/>
      <c r="AP257" s="727"/>
      <c r="AQ257" s="727"/>
      <c r="AR257" s="727"/>
      <c r="AS257" s="727"/>
      <c r="AT257" s="727"/>
      <c r="AU257" s="727"/>
      <c r="AV257" s="727"/>
      <c r="AW257" s="727"/>
      <c r="AX257" s="727"/>
      <c r="AY257" s="727"/>
      <c r="AZ257" s="727"/>
      <c r="BA257" s="727"/>
      <c r="BB257" s="727"/>
    </row>
    <row r="258" spans="1:54">
      <c r="A258" s="326"/>
      <c r="B258" s="791">
        <v>0.2</v>
      </c>
      <c r="C258" s="792">
        <v>400</v>
      </c>
      <c r="D258" s="779">
        <v>1.5493399999999999</v>
      </c>
      <c r="E258" s="779">
        <v>2967.2</v>
      </c>
      <c r="F258" s="779">
        <v>3277</v>
      </c>
      <c r="G258" s="779">
        <v>8.2235999999999994</v>
      </c>
      <c r="H258" s="727"/>
      <c r="I258" s="727"/>
      <c r="J258" s="727"/>
      <c r="K258" s="727"/>
      <c r="L258" s="727"/>
      <c r="M258" s="727"/>
      <c r="N258" s="727"/>
      <c r="O258" s="727"/>
      <c r="P258" s="727"/>
      <c r="Q258" s="727"/>
      <c r="R258" s="727"/>
      <c r="S258" s="727"/>
      <c r="T258" s="727"/>
      <c r="U258" s="727"/>
      <c r="V258" s="727"/>
      <c r="W258" s="727"/>
      <c r="X258" s="727"/>
      <c r="Y258" s="727"/>
      <c r="Z258" s="727"/>
      <c r="AA258" s="727"/>
      <c r="AB258" s="727"/>
      <c r="AC258" s="727"/>
      <c r="AD258" s="727"/>
      <c r="AE258" s="727"/>
      <c r="AF258" s="727"/>
      <c r="AG258" s="727"/>
      <c r="AH258" s="727"/>
      <c r="AI258" s="727"/>
      <c r="AJ258" s="727"/>
      <c r="AK258" s="727"/>
      <c r="AL258" s="727"/>
      <c r="AM258" s="727"/>
      <c r="AN258" s="727"/>
      <c r="AO258" s="727"/>
      <c r="AP258" s="727"/>
      <c r="AQ258" s="727"/>
      <c r="AR258" s="727"/>
      <c r="AS258" s="727"/>
      <c r="AT258" s="727"/>
      <c r="AU258" s="727"/>
      <c r="AV258" s="727"/>
      <c r="AW258" s="727"/>
      <c r="AX258" s="727"/>
      <c r="AY258" s="727"/>
      <c r="AZ258" s="727"/>
      <c r="BA258" s="727"/>
      <c r="BB258" s="727"/>
    </row>
    <row r="259" spans="1:54">
      <c r="A259" s="326"/>
      <c r="B259" s="791">
        <v>0.2</v>
      </c>
      <c r="C259" s="792">
        <v>500</v>
      </c>
      <c r="D259" s="779">
        <v>1.78142</v>
      </c>
      <c r="E259" s="779">
        <v>3131.4</v>
      </c>
      <c r="F259" s="779">
        <v>3487.7</v>
      </c>
      <c r="G259" s="779">
        <v>8.5152999999999999</v>
      </c>
      <c r="H259" s="727"/>
      <c r="I259" s="727"/>
      <c r="J259" s="727"/>
      <c r="K259" s="727"/>
      <c r="L259" s="727"/>
      <c r="M259" s="727"/>
      <c r="N259" s="727"/>
      <c r="O259" s="727"/>
      <c r="P259" s="727"/>
      <c r="Q259" s="727"/>
      <c r="R259" s="727"/>
      <c r="S259" s="727"/>
      <c r="T259" s="727"/>
      <c r="U259" s="727"/>
      <c r="V259" s="727"/>
      <c r="W259" s="727"/>
      <c r="X259" s="727"/>
      <c r="Y259" s="727"/>
      <c r="Z259" s="727"/>
      <c r="AA259" s="727"/>
      <c r="AB259" s="727"/>
      <c r="AC259" s="727"/>
      <c r="AD259" s="727"/>
      <c r="AE259" s="727"/>
      <c r="AF259" s="727"/>
      <c r="AG259" s="727"/>
      <c r="AH259" s="727"/>
      <c r="AI259" s="727"/>
      <c r="AJ259" s="727"/>
      <c r="AK259" s="727"/>
      <c r="AL259" s="727"/>
      <c r="AM259" s="727"/>
      <c r="AN259" s="727"/>
      <c r="AO259" s="727"/>
      <c r="AP259" s="727"/>
      <c r="AQ259" s="727"/>
      <c r="AR259" s="727"/>
      <c r="AS259" s="727"/>
      <c r="AT259" s="727"/>
      <c r="AU259" s="727"/>
      <c r="AV259" s="727"/>
      <c r="AW259" s="727"/>
      <c r="AX259" s="727"/>
      <c r="AY259" s="727"/>
      <c r="AZ259" s="727"/>
      <c r="BA259" s="727"/>
      <c r="BB259" s="727"/>
    </row>
    <row r="260" spans="1:54">
      <c r="A260" s="326"/>
      <c r="B260" s="791">
        <v>0.2</v>
      </c>
      <c r="C260" s="792">
        <v>600</v>
      </c>
      <c r="D260" s="779">
        <v>2.01302</v>
      </c>
      <c r="E260" s="779">
        <v>3302.2</v>
      </c>
      <c r="F260" s="779">
        <v>3704.8</v>
      </c>
      <c r="G260" s="779">
        <v>8.7792999999999992</v>
      </c>
      <c r="H260" s="727"/>
      <c r="I260" s="727"/>
      <c r="J260" s="727"/>
      <c r="K260" s="727"/>
      <c r="L260" s="727"/>
      <c r="M260" s="727"/>
      <c r="N260" s="727"/>
      <c r="O260" s="727"/>
      <c r="P260" s="727"/>
      <c r="Q260" s="727"/>
      <c r="R260" s="727"/>
      <c r="S260" s="727"/>
      <c r="T260" s="727"/>
      <c r="U260" s="727"/>
      <c r="V260" s="727"/>
      <c r="W260" s="727"/>
      <c r="X260" s="727"/>
      <c r="Y260" s="727"/>
      <c r="Z260" s="727"/>
      <c r="AA260" s="727"/>
      <c r="AB260" s="727"/>
      <c r="AC260" s="727"/>
      <c r="AD260" s="727"/>
      <c r="AE260" s="727"/>
      <c r="AF260" s="727"/>
      <c r="AG260" s="727"/>
      <c r="AH260" s="727"/>
      <c r="AI260" s="727"/>
      <c r="AJ260" s="727"/>
      <c r="AK260" s="727"/>
      <c r="AL260" s="727"/>
      <c r="AM260" s="727"/>
      <c r="AN260" s="727"/>
      <c r="AO260" s="727"/>
      <c r="AP260" s="727"/>
      <c r="AQ260" s="727"/>
      <c r="AR260" s="727"/>
      <c r="AS260" s="727"/>
      <c r="AT260" s="727"/>
      <c r="AU260" s="727"/>
      <c r="AV260" s="727"/>
      <c r="AW260" s="727"/>
      <c r="AX260" s="727"/>
      <c r="AY260" s="727"/>
      <c r="AZ260" s="727"/>
      <c r="BA260" s="727"/>
      <c r="BB260" s="727"/>
    </row>
    <row r="261" spans="1:54">
      <c r="A261" s="326"/>
      <c r="B261" s="791">
        <v>0.2</v>
      </c>
      <c r="C261" s="792">
        <v>700</v>
      </c>
      <c r="D261" s="779">
        <v>2.2443399999999998</v>
      </c>
      <c r="E261" s="779">
        <v>3479.9</v>
      </c>
      <c r="F261" s="779">
        <v>3928.8</v>
      </c>
      <c r="G261" s="779">
        <v>9.0221</v>
      </c>
      <c r="H261" s="727"/>
      <c r="I261" s="727"/>
      <c r="J261" s="727"/>
      <c r="K261" s="727"/>
      <c r="L261" s="727"/>
      <c r="M261" s="727"/>
      <c r="N261" s="727"/>
      <c r="O261" s="727"/>
      <c r="P261" s="727"/>
      <c r="Q261" s="727"/>
      <c r="R261" s="727"/>
      <c r="S261" s="727"/>
      <c r="T261" s="727"/>
      <c r="U261" s="727"/>
      <c r="V261" s="727"/>
      <c r="W261" s="727"/>
      <c r="X261" s="727"/>
      <c r="Y261" s="727"/>
      <c r="Z261" s="727"/>
      <c r="AA261" s="727"/>
      <c r="AB261" s="727"/>
      <c r="AC261" s="727"/>
      <c r="AD261" s="727"/>
      <c r="AE261" s="727"/>
      <c r="AF261" s="727"/>
      <c r="AG261" s="727"/>
      <c r="AH261" s="727"/>
      <c r="AI261" s="727"/>
      <c r="AJ261" s="727"/>
      <c r="AK261" s="727"/>
      <c r="AL261" s="727"/>
      <c r="AM261" s="727"/>
      <c r="AN261" s="727"/>
      <c r="AO261" s="727"/>
      <c r="AP261" s="727"/>
      <c r="AQ261" s="727"/>
      <c r="AR261" s="727"/>
      <c r="AS261" s="727"/>
      <c r="AT261" s="727"/>
      <c r="AU261" s="727"/>
      <c r="AV261" s="727"/>
      <c r="AW261" s="727"/>
      <c r="AX261" s="727"/>
      <c r="AY261" s="727"/>
      <c r="AZ261" s="727"/>
      <c r="BA261" s="727"/>
      <c r="BB261" s="727"/>
    </row>
    <row r="262" spans="1:54">
      <c r="A262" s="326"/>
      <c r="B262" s="791">
        <v>0.2</v>
      </c>
      <c r="C262" s="792">
        <v>800</v>
      </c>
      <c r="D262" s="779">
        <v>2.4754999999999998</v>
      </c>
      <c r="E262" s="779">
        <v>3664.7</v>
      </c>
      <c r="F262" s="779">
        <v>4159.8</v>
      </c>
      <c r="G262" s="779">
        <v>9.2478999999999996</v>
      </c>
      <c r="H262" s="727"/>
      <c r="I262" s="727"/>
      <c r="J262" s="727"/>
      <c r="K262" s="727"/>
      <c r="L262" s="727"/>
      <c r="M262" s="727"/>
      <c r="N262" s="727"/>
      <c r="O262" s="727"/>
      <c r="P262" s="727"/>
      <c r="Q262" s="727"/>
      <c r="R262" s="727"/>
      <c r="S262" s="727"/>
      <c r="T262" s="727"/>
      <c r="U262" s="727"/>
      <c r="V262" s="727"/>
      <c r="W262" s="727"/>
      <c r="X262" s="727"/>
      <c r="Y262" s="727"/>
      <c r="Z262" s="727"/>
      <c r="AA262" s="727"/>
      <c r="AB262" s="727"/>
      <c r="AC262" s="727"/>
      <c r="AD262" s="727"/>
      <c r="AE262" s="727"/>
      <c r="AF262" s="727"/>
      <c r="AG262" s="727"/>
      <c r="AH262" s="727"/>
      <c r="AI262" s="727"/>
      <c r="AJ262" s="727"/>
      <c r="AK262" s="727"/>
      <c r="AL262" s="727"/>
      <c r="AM262" s="727"/>
      <c r="AN262" s="727"/>
      <c r="AO262" s="727"/>
      <c r="AP262" s="727"/>
      <c r="AQ262" s="727"/>
      <c r="AR262" s="727"/>
      <c r="AS262" s="727"/>
      <c r="AT262" s="727"/>
      <c r="AU262" s="727"/>
      <c r="AV262" s="727"/>
      <c r="AW262" s="727"/>
      <c r="AX262" s="727"/>
      <c r="AY262" s="727"/>
      <c r="AZ262" s="727"/>
      <c r="BA262" s="727"/>
      <c r="BB262" s="727"/>
    </row>
    <row r="263" spans="1:54">
      <c r="A263" s="326"/>
      <c r="B263" s="791">
        <v>0.2</v>
      </c>
      <c r="C263" s="792">
        <v>900</v>
      </c>
      <c r="D263" s="779">
        <v>2.7065600000000001</v>
      </c>
      <c r="E263" s="779">
        <v>3856.3</v>
      </c>
      <c r="F263" s="779">
        <v>4397.7</v>
      </c>
      <c r="G263" s="779">
        <v>9.4597999999999995</v>
      </c>
      <c r="H263" s="727"/>
      <c r="I263" s="727"/>
      <c r="J263" s="727"/>
      <c r="K263" s="727"/>
      <c r="L263" s="727"/>
      <c r="M263" s="727"/>
      <c r="N263" s="727"/>
      <c r="O263" s="727"/>
      <c r="P263" s="727"/>
      <c r="Q263" s="727"/>
      <c r="R263" s="727"/>
      <c r="S263" s="727"/>
      <c r="T263" s="727"/>
      <c r="U263" s="727"/>
      <c r="V263" s="727"/>
      <c r="W263" s="727"/>
      <c r="X263" s="727"/>
      <c r="Y263" s="727"/>
      <c r="Z263" s="727"/>
      <c r="AA263" s="727"/>
      <c r="AB263" s="727"/>
      <c r="AC263" s="727"/>
      <c r="AD263" s="727"/>
      <c r="AE263" s="727"/>
      <c r="AF263" s="727"/>
      <c r="AG263" s="727"/>
      <c r="AH263" s="727"/>
      <c r="AI263" s="727"/>
      <c r="AJ263" s="727"/>
      <c r="AK263" s="727"/>
      <c r="AL263" s="727"/>
      <c r="AM263" s="727"/>
      <c r="AN263" s="727"/>
      <c r="AO263" s="727"/>
      <c r="AP263" s="727"/>
      <c r="AQ263" s="727"/>
      <c r="AR263" s="727"/>
      <c r="AS263" s="727"/>
      <c r="AT263" s="727"/>
      <c r="AU263" s="727"/>
      <c r="AV263" s="727"/>
      <c r="AW263" s="727"/>
      <c r="AX263" s="727"/>
      <c r="AY263" s="727"/>
      <c r="AZ263" s="727"/>
      <c r="BA263" s="727"/>
      <c r="BB263" s="727"/>
    </row>
    <row r="264" spans="1:54">
      <c r="A264" s="326"/>
      <c r="B264" s="791">
        <v>0.2</v>
      </c>
      <c r="C264" s="792">
        <v>1000</v>
      </c>
      <c r="D264" s="779">
        <v>2.9375499999999999</v>
      </c>
      <c r="E264" s="779">
        <v>4054.8</v>
      </c>
      <c r="F264" s="779">
        <v>4642.3</v>
      </c>
      <c r="G264" s="779">
        <v>9.6599000000000004</v>
      </c>
      <c r="H264" s="727"/>
      <c r="I264" s="727"/>
      <c r="J264" s="727"/>
      <c r="K264" s="727"/>
      <c r="L264" s="727"/>
      <c r="M264" s="727"/>
      <c r="N264" s="727"/>
      <c r="O264" s="727"/>
      <c r="P264" s="727"/>
      <c r="Q264" s="727"/>
      <c r="R264" s="727"/>
      <c r="S264" s="727"/>
      <c r="T264" s="727"/>
      <c r="U264" s="727"/>
      <c r="V264" s="727"/>
      <c r="W264" s="727"/>
      <c r="X264" s="727"/>
      <c r="Y264" s="727"/>
      <c r="Z264" s="727"/>
      <c r="AA264" s="727"/>
      <c r="AB264" s="727"/>
      <c r="AC264" s="727"/>
      <c r="AD264" s="727"/>
      <c r="AE264" s="727"/>
      <c r="AF264" s="727"/>
      <c r="AG264" s="727"/>
      <c r="AH264" s="727"/>
      <c r="AI264" s="727"/>
      <c r="AJ264" s="727"/>
      <c r="AK264" s="727"/>
      <c r="AL264" s="727"/>
      <c r="AM264" s="727"/>
      <c r="AN264" s="727"/>
      <c r="AO264" s="727"/>
      <c r="AP264" s="727"/>
      <c r="AQ264" s="727"/>
      <c r="AR264" s="727"/>
      <c r="AS264" s="727"/>
      <c r="AT264" s="727"/>
      <c r="AU264" s="727"/>
      <c r="AV264" s="727"/>
      <c r="AW264" s="727"/>
      <c r="AX264" s="727"/>
      <c r="AY264" s="727"/>
      <c r="AZ264" s="727"/>
      <c r="BA264" s="727"/>
      <c r="BB264" s="727"/>
    </row>
    <row r="265" spans="1:54">
      <c r="A265" s="326"/>
      <c r="B265" s="791">
        <v>0.2</v>
      </c>
      <c r="C265" s="792">
        <v>1100</v>
      </c>
      <c r="D265" s="779">
        <v>3.1684800000000002</v>
      </c>
      <c r="E265" s="779">
        <v>4259.6000000000004</v>
      </c>
      <c r="F265" s="779">
        <v>4893.3</v>
      </c>
      <c r="G265" s="779">
        <v>9.8497000000000003</v>
      </c>
      <c r="H265" s="727"/>
      <c r="I265" s="727"/>
      <c r="J265" s="727"/>
      <c r="K265" s="727"/>
      <c r="L265" s="727"/>
      <c r="M265" s="727"/>
      <c r="N265" s="727"/>
      <c r="O265" s="727"/>
      <c r="P265" s="727"/>
      <c r="Q265" s="727"/>
      <c r="R265" s="727"/>
      <c r="S265" s="727"/>
      <c r="T265" s="727"/>
      <c r="U265" s="727"/>
      <c r="V265" s="727"/>
      <c r="W265" s="727"/>
      <c r="X265" s="727"/>
      <c r="Y265" s="727"/>
      <c r="Z265" s="727"/>
      <c r="AA265" s="727"/>
      <c r="AB265" s="727"/>
      <c r="AC265" s="727"/>
      <c r="AD265" s="727"/>
      <c r="AE265" s="727"/>
      <c r="AF265" s="727"/>
      <c r="AG265" s="727"/>
      <c r="AH265" s="727"/>
      <c r="AI265" s="727"/>
      <c r="AJ265" s="727"/>
      <c r="AK265" s="727"/>
      <c r="AL265" s="727"/>
      <c r="AM265" s="727"/>
      <c r="AN265" s="727"/>
      <c r="AO265" s="727"/>
      <c r="AP265" s="727"/>
      <c r="AQ265" s="727"/>
      <c r="AR265" s="727"/>
      <c r="AS265" s="727"/>
      <c r="AT265" s="727"/>
      <c r="AU265" s="727"/>
      <c r="AV265" s="727"/>
      <c r="AW265" s="727"/>
      <c r="AX265" s="727"/>
      <c r="AY265" s="727"/>
      <c r="AZ265" s="727"/>
      <c r="BA265" s="727"/>
      <c r="BB265" s="727"/>
    </row>
    <row r="266" spans="1:54">
      <c r="A266" s="326"/>
      <c r="B266" s="791">
        <v>0.2</v>
      </c>
      <c r="C266" s="792">
        <v>1200</v>
      </c>
      <c r="D266" s="779">
        <v>3.3993799999999998</v>
      </c>
      <c r="E266" s="779">
        <v>4470.5</v>
      </c>
      <c r="F266" s="779">
        <v>5150.3999999999996</v>
      </c>
      <c r="G266" s="779">
        <v>10.0304</v>
      </c>
      <c r="H266" s="727"/>
      <c r="I266" s="727"/>
      <c r="J266" s="727"/>
      <c r="K266" s="727"/>
      <c r="L266" s="727"/>
      <c r="M266" s="727"/>
      <c r="N266" s="727"/>
      <c r="O266" s="727"/>
      <c r="P266" s="727"/>
      <c r="Q266" s="727"/>
      <c r="R266" s="727"/>
      <c r="S266" s="727"/>
      <c r="T266" s="727"/>
      <c r="U266" s="727"/>
      <c r="V266" s="727"/>
      <c r="W266" s="727"/>
      <c r="X266" s="727"/>
      <c r="Y266" s="727"/>
      <c r="Z266" s="727"/>
      <c r="AA266" s="727"/>
      <c r="AB266" s="727"/>
      <c r="AC266" s="727"/>
      <c r="AD266" s="727"/>
      <c r="AE266" s="727"/>
      <c r="AF266" s="727"/>
      <c r="AG266" s="727"/>
      <c r="AH266" s="727"/>
      <c r="AI266" s="727"/>
      <c r="AJ266" s="727"/>
      <c r="AK266" s="727"/>
      <c r="AL266" s="727"/>
      <c r="AM266" s="727"/>
      <c r="AN266" s="727"/>
      <c r="AO266" s="727"/>
      <c r="AP266" s="727"/>
      <c r="AQ266" s="727"/>
      <c r="AR266" s="727"/>
      <c r="AS266" s="727"/>
      <c r="AT266" s="727"/>
      <c r="AU266" s="727"/>
      <c r="AV266" s="727"/>
      <c r="AW266" s="727"/>
      <c r="AX266" s="727"/>
      <c r="AY266" s="727"/>
      <c r="AZ266" s="727"/>
      <c r="BA266" s="727"/>
      <c r="BB266" s="727"/>
    </row>
    <row r="267" spans="1:54">
      <c r="A267" s="326"/>
      <c r="B267" s="791">
        <v>0.2</v>
      </c>
      <c r="C267" s="792">
        <v>1300</v>
      </c>
      <c r="D267" s="779">
        <v>3.6302599999999998</v>
      </c>
      <c r="E267" s="779">
        <v>4687.1000000000004</v>
      </c>
      <c r="F267" s="779">
        <v>5413.1</v>
      </c>
      <c r="G267" s="779">
        <v>10.2029</v>
      </c>
      <c r="H267" s="727"/>
      <c r="I267" s="727"/>
      <c r="J267" s="727"/>
      <c r="K267" s="727"/>
      <c r="L267" s="727"/>
      <c r="M267" s="727"/>
      <c r="N267" s="727"/>
      <c r="O267" s="727"/>
      <c r="P267" s="727"/>
      <c r="Q267" s="727"/>
      <c r="R267" s="727"/>
      <c r="S267" s="727"/>
      <c r="T267" s="727"/>
      <c r="U267" s="727"/>
      <c r="V267" s="727"/>
      <c r="W267" s="727"/>
      <c r="X267" s="727"/>
      <c r="Y267" s="727"/>
      <c r="Z267" s="727"/>
      <c r="AA267" s="727"/>
      <c r="AB267" s="727"/>
      <c r="AC267" s="727"/>
      <c r="AD267" s="727"/>
      <c r="AE267" s="727"/>
      <c r="AF267" s="727"/>
      <c r="AG267" s="727"/>
      <c r="AH267" s="727"/>
      <c r="AI267" s="727"/>
      <c r="AJ267" s="727"/>
      <c r="AK267" s="727"/>
      <c r="AL267" s="727"/>
      <c r="AM267" s="727"/>
      <c r="AN267" s="727"/>
      <c r="AO267" s="727"/>
      <c r="AP267" s="727"/>
      <c r="AQ267" s="727"/>
      <c r="AR267" s="727"/>
      <c r="AS267" s="727"/>
      <c r="AT267" s="727"/>
      <c r="AU267" s="727"/>
      <c r="AV267" s="727"/>
      <c r="AW267" s="727"/>
      <c r="AX267" s="727"/>
      <c r="AY267" s="727"/>
      <c r="AZ267" s="727"/>
      <c r="BA267" s="727"/>
      <c r="BB267" s="727"/>
    </row>
    <row r="268" spans="1:54">
      <c r="A268" s="326"/>
      <c r="B268" s="791">
        <v>0.3</v>
      </c>
      <c r="C268" s="792">
        <v>133.52000000000001</v>
      </c>
      <c r="D268" s="779">
        <v>0.60582000000000003</v>
      </c>
      <c r="E268" s="779">
        <v>2543.1999999999998</v>
      </c>
      <c r="F268" s="779">
        <v>2724.9</v>
      </c>
      <c r="G268" s="779">
        <v>6.9916999999999998</v>
      </c>
      <c r="H268" s="727"/>
      <c r="I268" s="727"/>
      <c r="J268" s="727"/>
      <c r="K268" s="727"/>
      <c r="L268" s="727"/>
      <c r="M268" s="727"/>
      <c r="N268" s="727"/>
      <c r="O268" s="727"/>
      <c r="P268" s="727"/>
      <c r="Q268" s="727"/>
      <c r="R268" s="727"/>
      <c r="S268" s="727"/>
      <c r="T268" s="727"/>
      <c r="U268" s="727"/>
      <c r="V268" s="727"/>
      <c r="W268" s="727"/>
      <c r="X268" s="727"/>
      <c r="Y268" s="727"/>
      <c r="Z268" s="727"/>
      <c r="AA268" s="727"/>
      <c r="AB268" s="727"/>
      <c r="AC268" s="727"/>
      <c r="AD268" s="727"/>
      <c r="AE268" s="727"/>
      <c r="AF268" s="727"/>
      <c r="AG268" s="727"/>
      <c r="AH268" s="727"/>
      <c r="AI268" s="727"/>
      <c r="AJ268" s="727"/>
      <c r="AK268" s="727"/>
      <c r="AL268" s="727"/>
      <c r="AM268" s="727"/>
      <c r="AN268" s="727"/>
      <c r="AO268" s="727"/>
      <c r="AP268" s="727"/>
      <c r="AQ268" s="727"/>
      <c r="AR268" s="727"/>
      <c r="AS268" s="727"/>
      <c r="AT268" s="727"/>
      <c r="AU268" s="727"/>
      <c r="AV268" s="727"/>
      <c r="AW268" s="727"/>
      <c r="AX268" s="727"/>
      <c r="AY268" s="727"/>
      <c r="AZ268" s="727"/>
      <c r="BA268" s="727"/>
      <c r="BB268" s="727"/>
    </row>
    <row r="269" spans="1:54">
      <c r="A269" s="326"/>
      <c r="B269" s="791">
        <v>0.3</v>
      </c>
      <c r="C269" s="792">
        <v>150</v>
      </c>
      <c r="D269" s="779">
        <v>0.63402000000000003</v>
      </c>
      <c r="E269" s="779">
        <v>2571</v>
      </c>
      <c r="F269" s="779">
        <v>2761.2</v>
      </c>
      <c r="G269" s="779">
        <v>7.0792000000000002</v>
      </c>
      <c r="H269" s="727"/>
      <c r="I269" s="727"/>
      <c r="J269" s="727"/>
      <c r="K269" s="727"/>
      <c r="L269" s="727"/>
      <c r="M269" s="727"/>
      <c r="N269" s="727"/>
      <c r="O269" s="727"/>
      <c r="P269" s="727"/>
      <c r="Q269" s="727"/>
      <c r="R269" s="727"/>
      <c r="S269" s="727"/>
      <c r="T269" s="727"/>
      <c r="U269" s="727"/>
      <c r="V269" s="727"/>
      <c r="W269" s="727"/>
      <c r="X269" s="727"/>
      <c r="Y269" s="727"/>
      <c r="Z269" s="727"/>
      <c r="AA269" s="727"/>
      <c r="AB269" s="727"/>
      <c r="AC269" s="727"/>
      <c r="AD269" s="727"/>
      <c r="AE269" s="727"/>
      <c r="AF269" s="727"/>
      <c r="AG269" s="727"/>
      <c r="AH269" s="727"/>
      <c r="AI269" s="727"/>
      <c r="AJ269" s="727"/>
      <c r="AK269" s="727"/>
      <c r="AL269" s="727"/>
      <c r="AM269" s="727"/>
      <c r="AN269" s="727"/>
      <c r="AO269" s="727"/>
      <c r="AP269" s="727"/>
      <c r="AQ269" s="727"/>
      <c r="AR269" s="727"/>
      <c r="AS269" s="727"/>
      <c r="AT269" s="727"/>
      <c r="AU269" s="727"/>
      <c r="AV269" s="727"/>
      <c r="AW269" s="727"/>
      <c r="AX269" s="727"/>
      <c r="AY269" s="727"/>
      <c r="AZ269" s="727"/>
      <c r="BA269" s="727"/>
      <c r="BB269" s="727"/>
    </row>
    <row r="270" spans="1:54">
      <c r="A270" s="326"/>
      <c r="B270" s="791">
        <v>0.3</v>
      </c>
      <c r="C270" s="792">
        <v>200</v>
      </c>
      <c r="D270" s="779">
        <v>0.71643000000000001</v>
      </c>
      <c r="E270" s="779">
        <v>2651</v>
      </c>
      <c r="F270" s="779">
        <v>2865.9</v>
      </c>
      <c r="G270" s="779">
        <v>7.3132000000000001</v>
      </c>
      <c r="H270" s="727"/>
      <c r="I270" s="727"/>
      <c r="J270" s="727"/>
      <c r="K270" s="727"/>
      <c r="L270" s="727"/>
      <c r="M270" s="727"/>
      <c r="N270" s="727"/>
      <c r="O270" s="727"/>
      <c r="P270" s="727"/>
      <c r="Q270" s="727"/>
      <c r="R270" s="727"/>
      <c r="S270" s="727"/>
      <c r="T270" s="727"/>
      <c r="U270" s="727"/>
      <c r="V270" s="727"/>
      <c r="W270" s="727"/>
      <c r="X270" s="727"/>
      <c r="Y270" s="727"/>
      <c r="Z270" s="727"/>
      <c r="AA270" s="727"/>
      <c r="AB270" s="727"/>
      <c r="AC270" s="727"/>
      <c r="AD270" s="727"/>
      <c r="AE270" s="727"/>
      <c r="AF270" s="727"/>
      <c r="AG270" s="727"/>
      <c r="AH270" s="727"/>
      <c r="AI270" s="727"/>
      <c r="AJ270" s="727"/>
      <c r="AK270" s="727"/>
      <c r="AL270" s="727"/>
      <c r="AM270" s="727"/>
      <c r="AN270" s="727"/>
      <c r="AO270" s="727"/>
      <c r="AP270" s="727"/>
      <c r="AQ270" s="727"/>
      <c r="AR270" s="727"/>
      <c r="AS270" s="727"/>
      <c r="AT270" s="727"/>
      <c r="AU270" s="727"/>
      <c r="AV270" s="727"/>
      <c r="AW270" s="727"/>
      <c r="AX270" s="727"/>
      <c r="AY270" s="727"/>
      <c r="AZ270" s="727"/>
      <c r="BA270" s="727"/>
      <c r="BB270" s="727"/>
    </row>
    <row r="271" spans="1:54">
      <c r="A271" s="326"/>
      <c r="B271" s="791">
        <v>0.3</v>
      </c>
      <c r="C271" s="792">
        <v>250</v>
      </c>
      <c r="D271" s="779">
        <v>0.79644999999999999</v>
      </c>
      <c r="E271" s="779">
        <v>2728.9</v>
      </c>
      <c r="F271" s="779">
        <v>2967.9</v>
      </c>
      <c r="G271" s="779">
        <v>7.5179999999999998</v>
      </c>
      <c r="H271" s="727"/>
      <c r="I271" s="727"/>
      <c r="J271" s="727"/>
      <c r="K271" s="727"/>
      <c r="L271" s="727"/>
      <c r="M271" s="727"/>
      <c r="N271" s="727"/>
      <c r="O271" s="727"/>
      <c r="P271" s="727"/>
      <c r="Q271" s="727"/>
      <c r="R271" s="727"/>
      <c r="S271" s="727"/>
      <c r="T271" s="727"/>
      <c r="U271" s="727"/>
      <c r="V271" s="727"/>
      <c r="W271" s="727"/>
      <c r="X271" s="727"/>
      <c r="Y271" s="727"/>
      <c r="Z271" s="727"/>
      <c r="AA271" s="727"/>
      <c r="AB271" s="727"/>
      <c r="AC271" s="727"/>
      <c r="AD271" s="727"/>
      <c r="AE271" s="727"/>
      <c r="AF271" s="727"/>
      <c r="AG271" s="727"/>
      <c r="AH271" s="727"/>
      <c r="AI271" s="727"/>
      <c r="AJ271" s="727"/>
      <c r="AK271" s="727"/>
      <c r="AL271" s="727"/>
      <c r="AM271" s="727"/>
      <c r="AN271" s="727"/>
      <c r="AO271" s="727"/>
      <c r="AP271" s="727"/>
      <c r="AQ271" s="727"/>
      <c r="AR271" s="727"/>
      <c r="AS271" s="727"/>
      <c r="AT271" s="727"/>
      <c r="AU271" s="727"/>
      <c r="AV271" s="727"/>
      <c r="AW271" s="727"/>
      <c r="AX271" s="727"/>
      <c r="AY271" s="727"/>
      <c r="AZ271" s="727"/>
      <c r="BA271" s="727"/>
      <c r="BB271" s="727"/>
    </row>
    <row r="272" spans="1:54">
      <c r="A272" s="326"/>
      <c r="B272" s="791">
        <v>0.3</v>
      </c>
      <c r="C272" s="792">
        <v>300</v>
      </c>
      <c r="D272" s="779">
        <v>0.87534999999999996</v>
      </c>
      <c r="E272" s="779">
        <v>2807</v>
      </c>
      <c r="F272" s="779">
        <v>3069.6</v>
      </c>
      <c r="G272" s="779">
        <v>7.7037000000000004</v>
      </c>
      <c r="H272" s="727"/>
      <c r="I272" s="727"/>
      <c r="J272" s="727"/>
      <c r="K272" s="727"/>
      <c r="L272" s="727"/>
      <c r="M272" s="727"/>
      <c r="N272" s="727"/>
      <c r="O272" s="727"/>
      <c r="P272" s="727"/>
      <c r="Q272" s="727"/>
      <c r="R272" s="727"/>
      <c r="S272" s="727"/>
      <c r="T272" s="727"/>
      <c r="U272" s="727"/>
      <c r="V272" s="727"/>
      <c r="W272" s="727"/>
      <c r="X272" s="727"/>
      <c r="Y272" s="727"/>
      <c r="Z272" s="727"/>
      <c r="AA272" s="727"/>
      <c r="AB272" s="727"/>
      <c r="AC272" s="727"/>
      <c r="AD272" s="727"/>
      <c r="AE272" s="727"/>
      <c r="AF272" s="727"/>
      <c r="AG272" s="727"/>
      <c r="AH272" s="727"/>
      <c r="AI272" s="727"/>
      <c r="AJ272" s="727"/>
      <c r="AK272" s="727"/>
      <c r="AL272" s="727"/>
      <c r="AM272" s="727"/>
      <c r="AN272" s="727"/>
      <c r="AO272" s="727"/>
      <c r="AP272" s="727"/>
      <c r="AQ272" s="727"/>
      <c r="AR272" s="727"/>
      <c r="AS272" s="727"/>
      <c r="AT272" s="727"/>
      <c r="AU272" s="727"/>
      <c r="AV272" s="727"/>
      <c r="AW272" s="727"/>
      <c r="AX272" s="727"/>
      <c r="AY272" s="727"/>
      <c r="AZ272" s="727"/>
      <c r="BA272" s="727"/>
      <c r="BB272" s="727"/>
    </row>
    <row r="273" spans="1:54">
      <c r="A273" s="326"/>
      <c r="B273" s="791">
        <v>0.3</v>
      </c>
      <c r="C273" s="792">
        <v>400</v>
      </c>
      <c r="D273" s="779">
        <v>1.03155</v>
      </c>
      <c r="E273" s="779">
        <v>2966</v>
      </c>
      <c r="F273" s="779">
        <v>3275.5</v>
      </c>
      <c r="G273" s="779">
        <v>8.0347000000000008</v>
      </c>
      <c r="H273" s="727"/>
      <c r="I273" s="727"/>
      <c r="J273" s="727"/>
      <c r="K273" s="727"/>
      <c r="L273" s="727"/>
      <c r="M273" s="727"/>
      <c r="N273" s="727"/>
      <c r="O273" s="727"/>
      <c r="P273" s="727"/>
      <c r="Q273" s="727"/>
      <c r="R273" s="727"/>
      <c r="S273" s="727"/>
      <c r="T273" s="727"/>
      <c r="U273" s="727"/>
      <c r="V273" s="727"/>
      <c r="W273" s="727"/>
      <c r="X273" s="727"/>
      <c r="Y273" s="727"/>
      <c r="Z273" s="727"/>
      <c r="AA273" s="727"/>
      <c r="AB273" s="727"/>
      <c r="AC273" s="727"/>
      <c r="AD273" s="727"/>
      <c r="AE273" s="727"/>
      <c r="AF273" s="727"/>
      <c r="AG273" s="727"/>
      <c r="AH273" s="727"/>
      <c r="AI273" s="727"/>
      <c r="AJ273" s="727"/>
      <c r="AK273" s="727"/>
      <c r="AL273" s="727"/>
      <c r="AM273" s="727"/>
      <c r="AN273" s="727"/>
      <c r="AO273" s="727"/>
      <c r="AP273" s="727"/>
      <c r="AQ273" s="727"/>
      <c r="AR273" s="727"/>
      <c r="AS273" s="727"/>
      <c r="AT273" s="727"/>
      <c r="AU273" s="727"/>
      <c r="AV273" s="727"/>
      <c r="AW273" s="727"/>
      <c r="AX273" s="727"/>
      <c r="AY273" s="727"/>
      <c r="AZ273" s="727"/>
      <c r="BA273" s="727"/>
      <c r="BB273" s="727"/>
    </row>
    <row r="274" spans="1:54">
      <c r="A274" s="326"/>
      <c r="B274" s="791">
        <v>0.3</v>
      </c>
      <c r="C274" s="792">
        <v>500</v>
      </c>
      <c r="D274" s="779">
        <v>1.18672</v>
      </c>
      <c r="E274" s="779">
        <v>3130.6</v>
      </c>
      <c r="F274" s="779">
        <v>3486.6</v>
      </c>
      <c r="G274" s="779">
        <v>8.3270999999999997</v>
      </c>
      <c r="H274" s="727"/>
      <c r="I274" s="727"/>
      <c r="J274" s="727"/>
      <c r="K274" s="727"/>
      <c r="L274" s="727"/>
      <c r="M274" s="727"/>
      <c r="N274" s="727"/>
      <c r="O274" s="727"/>
      <c r="P274" s="727"/>
      <c r="Q274" s="727"/>
      <c r="R274" s="727"/>
      <c r="S274" s="727"/>
      <c r="T274" s="727"/>
      <c r="U274" s="727"/>
      <c r="V274" s="727"/>
      <c r="W274" s="727"/>
      <c r="X274" s="727"/>
      <c r="Y274" s="727"/>
      <c r="Z274" s="727"/>
      <c r="AA274" s="727"/>
      <c r="AB274" s="727"/>
      <c r="AC274" s="727"/>
      <c r="AD274" s="727"/>
      <c r="AE274" s="727"/>
      <c r="AF274" s="727"/>
      <c r="AG274" s="727"/>
      <c r="AH274" s="727"/>
      <c r="AI274" s="727"/>
      <c r="AJ274" s="727"/>
      <c r="AK274" s="727"/>
      <c r="AL274" s="727"/>
      <c r="AM274" s="727"/>
      <c r="AN274" s="727"/>
      <c r="AO274" s="727"/>
      <c r="AP274" s="727"/>
      <c r="AQ274" s="727"/>
      <c r="AR274" s="727"/>
      <c r="AS274" s="727"/>
      <c r="AT274" s="727"/>
      <c r="AU274" s="727"/>
      <c r="AV274" s="727"/>
      <c r="AW274" s="727"/>
      <c r="AX274" s="727"/>
      <c r="AY274" s="727"/>
      <c r="AZ274" s="727"/>
      <c r="BA274" s="727"/>
      <c r="BB274" s="727"/>
    </row>
    <row r="275" spans="1:54">
      <c r="A275" s="326"/>
      <c r="B275" s="791">
        <v>0.3</v>
      </c>
      <c r="C275" s="792">
        <v>600</v>
      </c>
      <c r="D275" s="779">
        <v>1.3413900000000001</v>
      </c>
      <c r="E275" s="779">
        <v>3301.6</v>
      </c>
      <c r="F275" s="779">
        <v>3704</v>
      </c>
      <c r="G275" s="779">
        <v>8.5914999999999999</v>
      </c>
      <c r="H275" s="727"/>
      <c r="I275" s="727"/>
      <c r="J275" s="727"/>
      <c r="K275" s="727"/>
      <c r="L275" s="727"/>
      <c r="M275" s="727"/>
      <c r="N275" s="727"/>
      <c r="O275" s="727"/>
      <c r="P275" s="727"/>
      <c r="Q275" s="727"/>
      <c r="R275" s="727"/>
      <c r="S275" s="727"/>
      <c r="T275" s="727"/>
      <c r="U275" s="727"/>
      <c r="V275" s="727"/>
      <c r="W275" s="727"/>
      <c r="X275" s="727"/>
      <c r="Y275" s="727"/>
      <c r="Z275" s="727"/>
      <c r="AA275" s="727"/>
      <c r="AB275" s="727"/>
      <c r="AC275" s="727"/>
      <c r="AD275" s="727"/>
      <c r="AE275" s="727"/>
      <c r="AF275" s="727"/>
      <c r="AG275" s="727"/>
      <c r="AH275" s="727"/>
      <c r="AI275" s="727"/>
      <c r="AJ275" s="727"/>
      <c r="AK275" s="727"/>
      <c r="AL275" s="727"/>
      <c r="AM275" s="727"/>
      <c r="AN275" s="727"/>
      <c r="AO275" s="727"/>
      <c r="AP275" s="727"/>
      <c r="AQ275" s="727"/>
      <c r="AR275" s="727"/>
      <c r="AS275" s="727"/>
      <c r="AT275" s="727"/>
      <c r="AU275" s="727"/>
      <c r="AV275" s="727"/>
      <c r="AW275" s="727"/>
      <c r="AX275" s="727"/>
      <c r="AY275" s="727"/>
      <c r="AZ275" s="727"/>
      <c r="BA275" s="727"/>
      <c r="BB275" s="727"/>
    </row>
    <row r="276" spans="1:54">
      <c r="A276" s="326"/>
      <c r="B276" s="791">
        <v>0.3</v>
      </c>
      <c r="C276" s="792">
        <v>700</v>
      </c>
      <c r="D276" s="779">
        <v>1.4958</v>
      </c>
      <c r="E276" s="779">
        <v>3479.5</v>
      </c>
      <c r="F276" s="779">
        <v>3928.2</v>
      </c>
      <c r="G276" s="779">
        <v>8.8345000000000002</v>
      </c>
      <c r="H276" s="727"/>
      <c r="I276" s="727"/>
      <c r="J276" s="727"/>
      <c r="K276" s="727"/>
      <c r="L276" s="727"/>
      <c r="M276" s="727"/>
      <c r="N276" s="727"/>
      <c r="O276" s="727"/>
      <c r="P276" s="727"/>
      <c r="Q276" s="727"/>
      <c r="R276" s="727"/>
      <c r="S276" s="727"/>
      <c r="T276" s="727"/>
      <c r="U276" s="727"/>
      <c r="V276" s="727"/>
      <c r="W276" s="727"/>
      <c r="X276" s="727"/>
      <c r="Y276" s="727"/>
      <c r="Z276" s="727"/>
      <c r="AA276" s="727"/>
      <c r="AB276" s="727"/>
      <c r="AC276" s="727"/>
      <c r="AD276" s="727"/>
      <c r="AE276" s="727"/>
      <c r="AF276" s="727"/>
      <c r="AG276" s="727"/>
      <c r="AH276" s="727"/>
      <c r="AI276" s="727"/>
      <c r="AJ276" s="727"/>
      <c r="AK276" s="727"/>
      <c r="AL276" s="727"/>
      <c r="AM276" s="727"/>
      <c r="AN276" s="727"/>
      <c r="AO276" s="727"/>
      <c r="AP276" s="727"/>
      <c r="AQ276" s="727"/>
      <c r="AR276" s="727"/>
      <c r="AS276" s="727"/>
      <c r="AT276" s="727"/>
      <c r="AU276" s="727"/>
      <c r="AV276" s="727"/>
      <c r="AW276" s="727"/>
      <c r="AX276" s="727"/>
      <c r="AY276" s="727"/>
      <c r="AZ276" s="727"/>
      <c r="BA276" s="727"/>
      <c r="BB276" s="727"/>
    </row>
    <row r="277" spans="1:54">
      <c r="A277" s="326"/>
      <c r="B277" s="791">
        <v>0.3</v>
      </c>
      <c r="C277" s="792">
        <v>800</v>
      </c>
      <c r="D277" s="779">
        <v>1.65004</v>
      </c>
      <c r="E277" s="779">
        <v>3664.3</v>
      </c>
      <c r="F277" s="779">
        <v>4159.3</v>
      </c>
      <c r="G277" s="779">
        <v>9.0604999999999993</v>
      </c>
      <c r="H277" s="727"/>
      <c r="I277" s="727"/>
      <c r="J277" s="727"/>
      <c r="K277" s="727"/>
      <c r="L277" s="727"/>
      <c r="M277" s="727"/>
      <c r="N277" s="727"/>
      <c r="O277" s="727"/>
      <c r="P277" s="727"/>
      <c r="Q277" s="727"/>
      <c r="R277" s="727"/>
      <c r="S277" s="727"/>
      <c r="T277" s="727"/>
      <c r="U277" s="727"/>
      <c r="V277" s="727"/>
      <c r="W277" s="727"/>
      <c r="X277" s="727"/>
      <c r="Y277" s="727"/>
      <c r="Z277" s="727"/>
      <c r="AA277" s="727"/>
      <c r="AB277" s="727"/>
      <c r="AC277" s="727"/>
      <c r="AD277" s="727"/>
      <c r="AE277" s="727"/>
      <c r="AF277" s="727"/>
      <c r="AG277" s="727"/>
      <c r="AH277" s="727"/>
      <c r="AI277" s="727"/>
      <c r="AJ277" s="727"/>
      <c r="AK277" s="727"/>
      <c r="AL277" s="727"/>
      <c r="AM277" s="727"/>
      <c r="AN277" s="727"/>
      <c r="AO277" s="727"/>
      <c r="AP277" s="727"/>
      <c r="AQ277" s="727"/>
      <c r="AR277" s="727"/>
      <c r="AS277" s="727"/>
      <c r="AT277" s="727"/>
      <c r="AU277" s="727"/>
      <c r="AV277" s="727"/>
      <c r="AW277" s="727"/>
      <c r="AX277" s="727"/>
      <c r="AY277" s="727"/>
      <c r="AZ277" s="727"/>
      <c r="BA277" s="727"/>
      <c r="BB277" s="727"/>
    </row>
    <row r="278" spans="1:54">
      <c r="A278" s="326"/>
      <c r="B278" s="791">
        <v>0.3</v>
      </c>
      <c r="C278" s="792">
        <v>900</v>
      </c>
      <c r="D278" s="779">
        <v>1.8041700000000001</v>
      </c>
      <c r="E278" s="779">
        <v>3856</v>
      </c>
      <c r="F278" s="779">
        <v>4397.3</v>
      </c>
      <c r="G278" s="779">
        <v>9.2725000000000009</v>
      </c>
      <c r="H278" s="727"/>
      <c r="I278" s="727"/>
      <c r="J278" s="727"/>
      <c r="K278" s="727"/>
      <c r="L278" s="727"/>
      <c r="M278" s="727"/>
      <c r="N278" s="727"/>
      <c r="O278" s="727"/>
      <c r="P278" s="727"/>
      <c r="Q278" s="727"/>
      <c r="R278" s="727"/>
      <c r="S278" s="727"/>
      <c r="T278" s="727"/>
      <c r="U278" s="727"/>
      <c r="V278" s="727"/>
      <c r="W278" s="727"/>
      <c r="X278" s="727"/>
      <c r="Y278" s="727"/>
      <c r="Z278" s="727"/>
      <c r="AA278" s="727"/>
      <c r="AB278" s="727"/>
      <c r="AC278" s="727"/>
      <c r="AD278" s="727"/>
      <c r="AE278" s="727"/>
      <c r="AF278" s="727"/>
      <c r="AG278" s="727"/>
      <c r="AH278" s="727"/>
      <c r="AI278" s="727"/>
      <c r="AJ278" s="727"/>
      <c r="AK278" s="727"/>
      <c r="AL278" s="727"/>
      <c r="AM278" s="727"/>
      <c r="AN278" s="727"/>
      <c r="AO278" s="727"/>
      <c r="AP278" s="727"/>
      <c r="AQ278" s="727"/>
      <c r="AR278" s="727"/>
      <c r="AS278" s="727"/>
      <c r="AT278" s="727"/>
      <c r="AU278" s="727"/>
      <c r="AV278" s="727"/>
      <c r="AW278" s="727"/>
      <c r="AX278" s="727"/>
      <c r="AY278" s="727"/>
      <c r="AZ278" s="727"/>
      <c r="BA278" s="727"/>
      <c r="BB278" s="727"/>
    </row>
    <row r="279" spans="1:54">
      <c r="A279" s="326"/>
      <c r="B279" s="791">
        <v>0.3</v>
      </c>
      <c r="C279" s="792">
        <v>1000</v>
      </c>
      <c r="D279" s="779">
        <v>1.95824</v>
      </c>
      <c r="E279" s="779">
        <v>4054.5</v>
      </c>
      <c r="F279" s="779">
        <v>4642</v>
      </c>
      <c r="G279" s="779">
        <v>9.4725999999999999</v>
      </c>
      <c r="H279" s="727"/>
      <c r="I279" s="727"/>
      <c r="J279" s="727"/>
      <c r="K279" s="727"/>
      <c r="L279" s="727"/>
      <c r="M279" s="727"/>
      <c r="N279" s="727"/>
      <c r="O279" s="727"/>
      <c r="P279" s="727"/>
      <c r="Q279" s="727"/>
      <c r="R279" s="727"/>
      <c r="S279" s="727"/>
      <c r="T279" s="727"/>
      <c r="U279" s="727"/>
      <c r="V279" s="727"/>
      <c r="W279" s="727"/>
      <c r="X279" s="727"/>
      <c r="Y279" s="727"/>
      <c r="Z279" s="727"/>
      <c r="AA279" s="727"/>
      <c r="AB279" s="727"/>
      <c r="AC279" s="727"/>
      <c r="AD279" s="727"/>
      <c r="AE279" s="727"/>
      <c r="AF279" s="727"/>
      <c r="AG279" s="727"/>
      <c r="AH279" s="727"/>
      <c r="AI279" s="727"/>
      <c r="AJ279" s="727"/>
      <c r="AK279" s="727"/>
      <c r="AL279" s="727"/>
      <c r="AM279" s="727"/>
      <c r="AN279" s="727"/>
      <c r="AO279" s="727"/>
      <c r="AP279" s="727"/>
      <c r="AQ279" s="727"/>
      <c r="AR279" s="727"/>
      <c r="AS279" s="727"/>
      <c r="AT279" s="727"/>
      <c r="AU279" s="727"/>
      <c r="AV279" s="727"/>
      <c r="AW279" s="727"/>
      <c r="AX279" s="727"/>
      <c r="AY279" s="727"/>
      <c r="AZ279" s="727"/>
      <c r="BA279" s="727"/>
      <c r="BB279" s="727"/>
    </row>
    <row r="280" spans="1:54">
      <c r="A280" s="326"/>
      <c r="B280" s="791">
        <v>0.3</v>
      </c>
      <c r="C280" s="792">
        <v>1100</v>
      </c>
      <c r="D280" s="779">
        <v>2.11226</v>
      </c>
      <c r="E280" s="779">
        <v>4259.3999999999996</v>
      </c>
      <c r="F280" s="779">
        <v>4893.1000000000004</v>
      </c>
      <c r="G280" s="779">
        <v>9.6623999999999999</v>
      </c>
      <c r="H280" s="727"/>
      <c r="I280" s="727"/>
      <c r="J280" s="727"/>
      <c r="K280" s="727"/>
      <c r="L280" s="727"/>
      <c r="M280" s="727"/>
      <c r="N280" s="727"/>
      <c r="O280" s="727"/>
      <c r="P280" s="727"/>
      <c r="Q280" s="727"/>
      <c r="R280" s="727"/>
      <c r="S280" s="727"/>
      <c r="T280" s="727"/>
      <c r="U280" s="727"/>
      <c r="V280" s="727"/>
      <c r="W280" s="727"/>
      <c r="X280" s="727"/>
      <c r="Y280" s="727"/>
      <c r="Z280" s="727"/>
      <c r="AA280" s="727"/>
      <c r="AB280" s="727"/>
      <c r="AC280" s="727"/>
      <c r="AD280" s="727"/>
      <c r="AE280" s="727"/>
      <c r="AF280" s="727"/>
      <c r="AG280" s="727"/>
      <c r="AH280" s="727"/>
      <c r="AI280" s="727"/>
      <c r="AJ280" s="727"/>
      <c r="AK280" s="727"/>
      <c r="AL280" s="727"/>
      <c r="AM280" s="727"/>
      <c r="AN280" s="727"/>
      <c r="AO280" s="727"/>
      <c r="AP280" s="727"/>
      <c r="AQ280" s="727"/>
      <c r="AR280" s="727"/>
      <c r="AS280" s="727"/>
      <c r="AT280" s="727"/>
      <c r="AU280" s="727"/>
      <c r="AV280" s="727"/>
      <c r="AW280" s="727"/>
      <c r="AX280" s="727"/>
      <c r="AY280" s="727"/>
      <c r="AZ280" s="727"/>
      <c r="BA280" s="727"/>
      <c r="BB280" s="727"/>
    </row>
    <row r="281" spans="1:54">
      <c r="A281" s="326"/>
      <c r="B281" s="791">
        <v>0.3</v>
      </c>
      <c r="C281" s="792">
        <v>1200</v>
      </c>
      <c r="D281" s="779">
        <v>2.2662399999999998</v>
      </c>
      <c r="E281" s="779">
        <v>4470.3</v>
      </c>
      <c r="F281" s="779">
        <v>5150.2</v>
      </c>
      <c r="G281" s="779">
        <v>9.8430999999999997</v>
      </c>
      <c r="H281" s="727"/>
      <c r="I281" s="727"/>
      <c r="J281" s="727"/>
      <c r="K281" s="727"/>
      <c r="L281" s="727"/>
      <c r="M281" s="727"/>
      <c r="N281" s="727"/>
      <c r="O281" s="727"/>
      <c r="P281" s="727"/>
      <c r="Q281" s="727"/>
      <c r="R281" s="727"/>
      <c r="S281" s="727"/>
      <c r="T281" s="727"/>
      <c r="U281" s="727"/>
      <c r="V281" s="727"/>
      <c r="W281" s="727"/>
      <c r="X281" s="727"/>
      <c r="Y281" s="727"/>
      <c r="Z281" s="727"/>
      <c r="AA281" s="727"/>
      <c r="AB281" s="727"/>
      <c r="AC281" s="727"/>
      <c r="AD281" s="727"/>
      <c r="AE281" s="727"/>
      <c r="AF281" s="727"/>
      <c r="AG281" s="727"/>
      <c r="AH281" s="727"/>
      <c r="AI281" s="727"/>
      <c r="AJ281" s="727"/>
      <c r="AK281" s="727"/>
      <c r="AL281" s="727"/>
      <c r="AM281" s="727"/>
      <c r="AN281" s="727"/>
      <c r="AO281" s="727"/>
      <c r="AP281" s="727"/>
      <c r="AQ281" s="727"/>
      <c r="AR281" s="727"/>
      <c r="AS281" s="727"/>
      <c r="AT281" s="727"/>
      <c r="AU281" s="727"/>
      <c r="AV281" s="727"/>
      <c r="AW281" s="727"/>
      <c r="AX281" s="727"/>
      <c r="AY281" s="727"/>
      <c r="AZ281" s="727"/>
      <c r="BA281" s="727"/>
      <c r="BB281" s="727"/>
    </row>
    <row r="282" spans="1:54">
      <c r="A282" s="326"/>
      <c r="B282" s="791">
        <v>0.3</v>
      </c>
      <c r="C282" s="792">
        <v>1300</v>
      </c>
      <c r="D282" s="779">
        <v>2.4201899999999998</v>
      </c>
      <c r="E282" s="779">
        <v>4686.8999999999996</v>
      </c>
      <c r="F282" s="779">
        <v>5413</v>
      </c>
      <c r="G282" s="779">
        <v>10.015700000000001</v>
      </c>
      <c r="H282" s="727"/>
      <c r="I282" s="727"/>
      <c r="J282" s="727"/>
      <c r="K282" s="727"/>
      <c r="L282" s="727"/>
      <c r="M282" s="727"/>
      <c r="N282" s="727"/>
      <c r="O282" s="727"/>
      <c r="P282" s="727"/>
      <c r="Q282" s="727"/>
      <c r="R282" s="727"/>
      <c r="S282" s="727"/>
      <c r="T282" s="727"/>
      <c r="U282" s="727"/>
      <c r="V282" s="727"/>
      <c r="W282" s="727"/>
      <c r="X282" s="727"/>
      <c r="Y282" s="727"/>
      <c r="Z282" s="727"/>
      <c r="AA282" s="727"/>
      <c r="AB282" s="727"/>
      <c r="AC282" s="727"/>
      <c r="AD282" s="727"/>
      <c r="AE282" s="727"/>
      <c r="AF282" s="727"/>
      <c r="AG282" s="727"/>
      <c r="AH282" s="727"/>
      <c r="AI282" s="727"/>
      <c r="AJ282" s="727"/>
      <c r="AK282" s="727"/>
      <c r="AL282" s="727"/>
      <c r="AM282" s="727"/>
      <c r="AN282" s="727"/>
      <c r="AO282" s="727"/>
      <c r="AP282" s="727"/>
      <c r="AQ282" s="727"/>
      <c r="AR282" s="727"/>
      <c r="AS282" s="727"/>
      <c r="AT282" s="727"/>
      <c r="AU282" s="727"/>
      <c r="AV282" s="727"/>
      <c r="AW282" s="727"/>
      <c r="AX282" s="727"/>
      <c r="AY282" s="727"/>
      <c r="AZ282" s="727"/>
      <c r="BA282" s="727"/>
      <c r="BB282" s="727"/>
    </row>
    <row r="283" spans="1:54">
      <c r="A283" s="326"/>
      <c r="B283" s="791">
        <v>0.4</v>
      </c>
      <c r="C283" s="792">
        <v>143.61000000000001</v>
      </c>
      <c r="D283" s="779">
        <v>0.46242</v>
      </c>
      <c r="E283" s="779">
        <v>2553.1</v>
      </c>
      <c r="F283" s="779">
        <v>2738.1</v>
      </c>
      <c r="G283" s="779">
        <v>6.8955000000000002</v>
      </c>
      <c r="H283" s="727"/>
      <c r="I283" s="727"/>
      <c r="J283" s="727"/>
      <c r="K283" s="727"/>
      <c r="L283" s="727"/>
      <c r="M283" s="727"/>
      <c r="N283" s="727"/>
      <c r="O283" s="727"/>
      <c r="P283" s="727"/>
      <c r="Q283" s="727"/>
      <c r="R283" s="727"/>
      <c r="S283" s="727"/>
      <c r="T283" s="727"/>
      <c r="U283" s="727"/>
      <c r="V283" s="727"/>
      <c r="W283" s="727"/>
      <c r="X283" s="727"/>
      <c r="Y283" s="727"/>
      <c r="Z283" s="727"/>
      <c r="AA283" s="727"/>
      <c r="AB283" s="727"/>
      <c r="AC283" s="727"/>
      <c r="AD283" s="727"/>
      <c r="AE283" s="727"/>
      <c r="AF283" s="727"/>
      <c r="AG283" s="727"/>
      <c r="AH283" s="727"/>
      <c r="AI283" s="727"/>
      <c r="AJ283" s="727"/>
      <c r="AK283" s="727"/>
      <c r="AL283" s="727"/>
      <c r="AM283" s="727"/>
      <c r="AN283" s="727"/>
      <c r="AO283" s="727"/>
      <c r="AP283" s="727"/>
      <c r="AQ283" s="727"/>
      <c r="AR283" s="727"/>
      <c r="AS283" s="727"/>
      <c r="AT283" s="727"/>
      <c r="AU283" s="727"/>
      <c r="AV283" s="727"/>
      <c r="AW283" s="727"/>
      <c r="AX283" s="727"/>
      <c r="AY283" s="727"/>
      <c r="AZ283" s="727"/>
      <c r="BA283" s="727"/>
      <c r="BB283" s="727"/>
    </row>
    <row r="284" spans="1:54">
      <c r="A284" s="326"/>
      <c r="B284" s="791">
        <v>0.4</v>
      </c>
      <c r="C284" s="792">
        <v>150</v>
      </c>
      <c r="D284" s="779">
        <v>0.47088000000000002</v>
      </c>
      <c r="E284" s="779">
        <v>2564.4</v>
      </c>
      <c r="F284" s="779">
        <v>2752.8</v>
      </c>
      <c r="G284" s="779">
        <v>6.9306000000000001</v>
      </c>
      <c r="H284" s="727"/>
      <c r="I284" s="727"/>
      <c r="J284" s="727"/>
      <c r="K284" s="727"/>
      <c r="L284" s="727"/>
      <c r="M284" s="727"/>
      <c r="N284" s="727"/>
      <c r="O284" s="727"/>
      <c r="P284" s="727"/>
      <c r="Q284" s="727"/>
      <c r="R284" s="727"/>
      <c r="S284" s="727"/>
      <c r="T284" s="727"/>
      <c r="U284" s="727"/>
      <c r="V284" s="727"/>
      <c r="W284" s="727"/>
      <c r="X284" s="727"/>
      <c r="Y284" s="727"/>
      <c r="Z284" s="727"/>
      <c r="AA284" s="727"/>
      <c r="AB284" s="727"/>
      <c r="AC284" s="727"/>
      <c r="AD284" s="727"/>
      <c r="AE284" s="727"/>
      <c r="AF284" s="727"/>
      <c r="AG284" s="727"/>
      <c r="AH284" s="727"/>
      <c r="AI284" s="727"/>
      <c r="AJ284" s="727"/>
      <c r="AK284" s="727"/>
      <c r="AL284" s="727"/>
      <c r="AM284" s="727"/>
      <c r="AN284" s="727"/>
      <c r="AO284" s="727"/>
      <c r="AP284" s="727"/>
      <c r="AQ284" s="727"/>
      <c r="AR284" s="727"/>
      <c r="AS284" s="727"/>
      <c r="AT284" s="727"/>
      <c r="AU284" s="727"/>
      <c r="AV284" s="727"/>
      <c r="AW284" s="727"/>
      <c r="AX284" s="727"/>
      <c r="AY284" s="727"/>
      <c r="AZ284" s="727"/>
      <c r="BA284" s="727"/>
      <c r="BB284" s="727"/>
    </row>
    <row r="285" spans="1:54">
      <c r="A285" s="326"/>
      <c r="B285" s="791">
        <v>0.4</v>
      </c>
      <c r="C285" s="792">
        <v>200</v>
      </c>
      <c r="D285" s="779">
        <v>0.53434000000000004</v>
      </c>
      <c r="E285" s="779">
        <v>2647.2</v>
      </c>
      <c r="F285" s="779">
        <v>2860.9</v>
      </c>
      <c r="G285" s="779">
        <v>7.1722999999999999</v>
      </c>
      <c r="H285" s="727"/>
      <c r="I285" s="727"/>
      <c r="J285" s="727"/>
      <c r="K285" s="727"/>
      <c r="L285" s="727"/>
      <c r="M285" s="727"/>
      <c r="N285" s="727"/>
      <c r="O285" s="727"/>
      <c r="P285" s="727"/>
      <c r="Q285" s="727"/>
      <c r="R285" s="727"/>
      <c r="S285" s="727"/>
      <c r="T285" s="727"/>
      <c r="U285" s="727"/>
      <c r="V285" s="727"/>
      <c r="W285" s="727"/>
      <c r="X285" s="727"/>
      <c r="Y285" s="727"/>
      <c r="Z285" s="727"/>
      <c r="AA285" s="727"/>
      <c r="AB285" s="727"/>
      <c r="AC285" s="727"/>
      <c r="AD285" s="727"/>
      <c r="AE285" s="727"/>
      <c r="AF285" s="727"/>
      <c r="AG285" s="727"/>
      <c r="AH285" s="727"/>
      <c r="AI285" s="727"/>
      <c r="AJ285" s="727"/>
      <c r="AK285" s="727"/>
      <c r="AL285" s="727"/>
      <c r="AM285" s="727"/>
      <c r="AN285" s="727"/>
      <c r="AO285" s="727"/>
      <c r="AP285" s="727"/>
      <c r="AQ285" s="727"/>
      <c r="AR285" s="727"/>
      <c r="AS285" s="727"/>
      <c r="AT285" s="727"/>
      <c r="AU285" s="727"/>
      <c r="AV285" s="727"/>
      <c r="AW285" s="727"/>
      <c r="AX285" s="727"/>
      <c r="AY285" s="727"/>
      <c r="AZ285" s="727"/>
      <c r="BA285" s="727"/>
      <c r="BB285" s="727"/>
    </row>
    <row r="286" spans="1:54">
      <c r="A286" s="326"/>
      <c r="B286" s="791">
        <v>0.4</v>
      </c>
      <c r="C286" s="792">
        <v>250</v>
      </c>
      <c r="D286" s="779">
        <v>0.59519999999999995</v>
      </c>
      <c r="E286" s="779">
        <v>2726.4</v>
      </c>
      <c r="F286" s="779">
        <v>2964.5</v>
      </c>
      <c r="G286" s="779">
        <v>7.3803999999999998</v>
      </c>
      <c r="H286" s="727"/>
      <c r="I286" s="727"/>
      <c r="J286" s="727"/>
      <c r="K286" s="727"/>
      <c r="L286" s="727"/>
      <c r="M286" s="727"/>
      <c r="N286" s="727"/>
      <c r="O286" s="727"/>
      <c r="P286" s="727"/>
      <c r="Q286" s="727"/>
      <c r="R286" s="727"/>
      <c r="S286" s="727"/>
      <c r="T286" s="727"/>
      <c r="U286" s="727"/>
      <c r="V286" s="727"/>
      <c r="W286" s="727"/>
      <c r="X286" s="727"/>
      <c r="Y286" s="727"/>
      <c r="Z286" s="727"/>
      <c r="AA286" s="727"/>
      <c r="AB286" s="727"/>
      <c r="AC286" s="727"/>
      <c r="AD286" s="727"/>
      <c r="AE286" s="727"/>
      <c r="AF286" s="727"/>
      <c r="AG286" s="727"/>
      <c r="AH286" s="727"/>
      <c r="AI286" s="727"/>
      <c r="AJ286" s="727"/>
      <c r="AK286" s="727"/>
      <c r="AL286" s="727"/>
      <c r="AM286" s="727"/>
      <c r="AN286" s="727"/>
      <c r="AO286" s="727"/>
      <c r="AP286" s="727"/>
      <c r="AQ286" s="727"/>
      <c r="AR286" s="727"/>
      <c r="AS286" s="727"/>
      <c r="AT286" s="727"/>
      <c r="AU286" s="727"/>
      <c r="AV286" s="727"/>
      <c r="AW286" s="727"/>
      <c r="AX286" s="727"/>
      <c r="AY286" s="727"/>
      <c r="AZ286" s="727"/>
      <c r="BA286" s="727"/>
      <c r="BB286" s="727"/>
    </row>
    <row r="287" spans="1:54">
      <c r="A287" s="326"/>
      <c r="B287" s="791">
        <v>0.4</v>
      </c>
      <c r="C287" s="792">
        <v>300</v>
      </c>
      <c r="D287" s="779">
        <v>0.65488999999999997</v>
      </c>
      <c r="E287" s="779">
        <v>2805.1</v>
      </c>
      <c r="F287" s="779">
        <v>3067.1</v>
      </c>
      <c r="G287" s="779">
        <v>7.5677000000000003</v>
      </c>
      <c r="H287" s="727"/>
      <c r="I287" s="727"/>
      <c r="J287" s="727"/>
      <c r="K287" s="727"/>
      <c r="L287" s="727"/>
      <c r="M287" s="727"/>
      <c r="N287" s="727"/>
      <c r="O287" s="727"/>
      <c r="P287" s="727"/>
      <c r="Q287" s="727"/>
      <c r="R287" s="727"/>
      <c r="S287" s="727"/>
      <c r="T287" s="727"/>
      <c r="U287" s="727"/>
      <c r="V287" s="727"/>
      <c r="W287" s="727"/>
      <c r="X287" s="727"/>
      <c r="Y287" s="727"/>
      <c r="Z287" s="727"/>
      <c r="AA287" s="727"/>
      <c r="AB287" s="727"/>
      <c r="AC287" s="727"/>
      <c r="AD287" s="727"/>
      <c r="AE287" s="727"/>
      <c r="AF287" s="727"/>
      <c r="AG287" s="727"/>
      <c r="AH287" s="727"/>
      <c r="AI287" s="727"/>
      <c r="AJ287" s="727"/>
      <c r="AK287" s="727"/>
      <c r="AL287" s="727"/>
      <c r="AM287" s="727"/>
      <c r="AN287" s="727"/>
      <c r="AO287" s="727"/>
      <c r="AP287" s="727"/>
      <c r="AQ287" s="727"/>
      <c r="AR287" s="727"/>
      <c r="AS287" s="727"/>
      <c r="AT287" s="727"/>
      <c r="AU287" s="727"/>
      <c r="AV287" s="727"/>
      <c r="AW287" s="727"/>
      <c r="AX287" s="727"/>
      <c r="AY287" s="727"/>
      <c r="AZ287" s="727"/>
      <c r="BA287" s="727"/>
      <c r="BB287" s="727"/>
    </row>
    <row r="288" spans="1:54">
      <c r="A288" s="326"/>
      <c r="B288" s="791">
        <v>0.4</v>
      </c>
      <c r="C288" s="792">
        <v>400</v>
      </c>
      <c r="D288" s="779">
        <v>0.77264999999999995</v>
      </c>
      <c r="E288" s="779">
        <v>2964.9</v>
      </c>
      <c r="F288" s="779">
        <v>3273.9</v>
      </c>
      <c r="G288" s="779">
        <v>7.9002999999999997</v>
      </c>
      <c r="H288" s="727"/>
      <c r="I288" s="727"/>
      <c r="J288" s="727"/>
      <c r="K288" s="727"/>
      <c r="L288" s="727"/>
      <c r="M288" s="727"/>
      <c r="N288" s="727"/>
      <c r="O288" s="727"/>
      <c r="P288" s="727"/>
      <c r="Q288" s="727"/>
      <c r="R288" s="727"/>
      <c r="S288" s="727"/>
      <c r="T288" s="727"/>
      <c r="U288" s="727"/>
      <c r="V288" s="727"/>
      <c r="W288" s="727"/>
      <c r="X288" s="727"/>
      <c r="Y288" s="727"/>
      <c r="Z288" s="727"/>
      <c r="AA288" s="727"/>
      <c r="AB288" s="727"/>
      <c r="AC288" s="727"/>
      <c r="AD288" s="727"/>
      <c r="AE288" s="727"/>
      <c r="AF288" s="727"/>
      <c r="AG288" s="727"/>
      <c r="AH288" s="727"/>
      <c r="AI288" s="727"/>
      <c r="AJ288" s="727"/>
      <c r="AK288" s="727"/>
      <c r="AL288" s="727"/>
      <c r="AM288" s="727"/>
      <c r="AN288" s="727"/>
      <c r="AO288" s="727"/>
      <c r="AP288" s="727"/>
      <c r="AQ288" s="727"/>
      <c r="AR288" s="727"/>
      <c r="AS288" s="727"/>
      <c r="AT288" s="727"/>
      <c r="AU288" s="727"/>
      <c r="AV288" s="727"/>
      <c r="AW288" s="727"/>
      <c r="AX288" s="727"/>
      <c r="AY288" s="727"/>
      <c r="AZ288" s="727"/>
      <c r="BA288" s="727"/>
      <c r="BB288" s="727"/>
    </row>
    <row r="289" spans="1:54">
      <c r="A289" s="326"/>
      <c r="B289" s="791">
        <v>0.4</v>
      </c>
      <c r="C289" s="792">
        <v>500</v>
      </c>
      <c r="D289" s="779">
        <v>0.88936000000000004</v>
      </c>
      <c r="E289" s="779">
        <v>3129.8</v>
      </c>
      <c r="F289" s="779">
        <v>3485.5</v>
      </c>
      <c r="G289" s="779">
        <v>8.1933000000000007</v>
      </c>
      <c r="H289" s="727"/>
      <c r="I289" s="727"/>
      <c r="J289" s="727"/>
      <c r="K289" s="727"/>
      <c r="L289" s="727"/>
      <c r="M289" s="727"/>
      <c r="N289" s="727"/>
      <c r="O289" s="727"/>
      <c r="P289" s="727"/>
      <c r="Q289" s="727"/>
      <c r="R289" s="727"/>
      <c r="S289" s="727"/>
      <c r="T289" s="727"/>
      <c r="U289" s="727"/>
      <c r="V289" s="727"/>
      <c r="W289" s="727"/>
      <c r="X289" s="727"/>
      <c r="Y289" s="727"/>
      <c r="Z289" s="727"/>
      <c r="AA289" s="727"/>
      <c r="AB289" s="727"/>
      <c r="AC289" s="727"/>
      <c r="AD289" s="727"/>
      <c r="AE289" s="727"/>
      <c r="AF289" s="727"/>
      <c r="AG289" s="727"/>
      <c r="AH289" s="727"/>
      <c r="AI289" s="727"/>
      <c r="AJ289" s="727"/>
      <c r="AK289" s="727"/>
      <c r="AL289" s="727"/>
      <c r="AM289" s="727"/>
      <c r="AN289" s="727"/>
      <c r="AO289" s="727"/>
      <c r="AP289" s="727"/>
      <c r="AQ289" s="727"/>
      <c r="AR289" s="727"/>
      <c r="AS289" s="727"/>
      <c r="AT289" s="727"/>
      <c r="AU289" s="727"/>
      <c r="AV289" s="727"/>
      <c r="AW289" s="727"/>
      <c r="AX289" s="727"/>
      <c r="AY289" s="727"/>
      <c r="AZ289" s="727"/>
      <c r="BA289" s="727"/>
      <c r="BB289" s="727"/>
    </row>
    <row r="290" spans="1:54">
      <c r="A290" s="326"/>
      <c r="B290" s="791">
        <v>0.4</v>
      </c>
      <c r="C290" s="792">
        <v>600</v>
      </c>
      <c r="D290" s="779">
        <v>1.0055799999999999</v>
      </c>
      <c r="E290" s="779">
        <v>3301</v>
      </c>
      <c r="F290" s="779">
        <v>3703.3</v>
      </c>
      <c r="G290" s="779">
        <v>8.4580000000000002</v>
      </c>
      <c r="H290" s="727"/>
      <c r="I290" s="727"/>
      <c r="J290" s="727"/>
      <c r="K290" s="727"/>
      <c r="L290" s="727"/>
      <c r="M290" s="727"/>
      <c r="N290" s="727"/>
      <c r="O290" s="727"/>
      <c r="P290" s="727"/>
      <c r="Q290" s="727"/>
      <c r="R290" s="727"/>
      <c r="S290" s="727"/>
      <c r="T290" s="727"/>
      <c r="U290" s="727"/>
      <c r="V290" s="727"/>
      <c r="W290" s="727"/>
      <c r="X290" s="727"/>
      <c r="Y290" s="727"/>
      <c r="Z290" s="727"/>
      <c r="AA290" s="727"/>
      <c r="AB290" s="727"/>
      <c r="AC290" s="727"/>
      <c r="AD290" s="727"/>
      <c r="AE290" s="727"/>
      <c r="AF290" s="727"/>
      <c r="AG290" s="727"/>
      <c r="AH290" s="727"/>
      <c r="AI290" s="727"/>
      <c r="AJ290" s="727"/>
      <c r="AK290" s="727"/>
      <c r="AL290" s="727"/>
      <c r="AM290" s="727"/>
      <c r="AN290" s="727"/>
      <c r="AO290" s="727"/>
      <c r="AP290" s="727"/>
      <c r="AQ290" s="727"/>
      <c r="AR290" s="727"/>
      <c r="AS290" s="727"/>
      <c r="AT290" s="727"/>
      <c r="AU290" s="727"/>
      <c r="AV290" s="727"/>
      <c r="AW290" s="727"/>
      <c r="AX290" s="727"/>
      <c r="AY290" s="727"/>
      <c r="AZ290" s="727"/>
      <c r="BA290" s="727"/>
      <c r="BB290" s="727"/>
    </row>
    <row r="291" spans="1:54">
      <c r="A291" s="326"/>
      <c r="B291" s="791">
        <v>0.4</v>
      </c>
      <c r="C291" s="792">
        <v>700</v>
      </c>
      <c r="D291" s="779">
        <v>1.1215200000000001</v>
      </c>
      <c r="E291" s="779">
        <v>3479</v>
      </c>
      <c r="F291" s="779">
        <v>3927.6</v>
      </c>
      <c r="G291" s="779">
        <v>8.7012</v>
      </c>
      <c r="H291" s="727"/>
      <c r="I291" s="727"/>
      <c r="J291" s="727"/>
      <c r="K291" s="727"/>
      <c r="L291" s="727"/>
      <c r="M291" s="727"/>
      <c r="N291" s="727"/>
      <c r="O291" s="727"/>
      <c r="P291" s="727"/>
      <c r="Q291" s="727"/>
      <c r="R291" s="727"/>
      <c r="S291" s="727"/>
      <c r="T291" s="727"/>
      <c r="U291" s="727"/>
      <c r="V291" s="727"/>
      <c r="W291" s="727"/>
      <c r="X291" s="727"/>
      <c r="Y291" s="727"/>
      <c r="Z291" s="727"/>
      <c r="AA291" s="727"/>
      <c r="AB291" s="727"/>
      <c r="AC291" s="727"/>
      <c r="AD291" s="727"/>
      <c r="AE291" s="727"/>
      <c r="AF291" s="727"/>
      <c r="AG291" s="727"/>
      <c r="AH291" s="727"/>
      <c r="AI291" s="727"/>
      <c r="AJ291" s="727"/>
      <c r="AK291" s="727"/>
      <c r="AL291" s="727"/>
      <c r="AM291" s="727"/>
      <c r="AN291" s="727"/>
      <c r="AO291" s="727"/>
      <c r="AP291" s="727"/>
      <c r="AQ291" s="727"/>
      <c r="AR291" s="727"/>
      <c r="AS291" s="727"/>
      <c r="AT291" s="727"/>
      <c r="AU291" s="727"/>
      <c r="AV291" s="727"/>
      <c r="AW291" s="727"/>
      <c r="AX291" s="727"/>
      <c r="AY291" s="727"/>
      <c r="AZ291" s="727"/>
      <c r="BA291" s="727"/>
      <c r="BB291" s="727"/>
    </row>
    <row r="292" spans="1:54">
      <c r="A292" s="326"/>
      <c r="B292" s="791">
        <v>0.4</v>
      </c>
      <c r="C292" s="792">
        <v>800</v>
      </c>
      <c r="D292" s="779">
        <v>1.2373000000000001</v>
      </c>
      <c r="E292" s="779">
        <v>3663.9</v>
      </c>
      <c r="F292" s="779">
        <v>4158.8999999999996</v>
      </c>
      <c r="G292" s="779">
        <v>8.9274000000000004</v>
      </c>
      <c r="H292" s="727"/>
      <c r="I292" s="727"/>
      <c r="J292" s="727"/>
      <c r="K292" s="727"/>
      <c r="L292" s="727"/>
      <c r="M292" s="727"/>
      <c r="N292" s="727"/>
      <c r="O292" s="727"/>
      <c r="P292" s="727"/>
      <c r="Q292" s="727"/>
      <c r="R292" s="727"/>
      <c r="S292" s="727"/>
      <c r="T292" s="727"/>
      <c r="U292" s="727"/>
      <c r="V292" s="727"/>
      <c r="W292" s="727"/>
      <c r="X292" s="727"/>
      <c r="Y292" s="727"/>
      <c r="Z292" s="727"/>
      <c r="AA292" s="727"/>
      <c r="AB292" s="727"/>
      <c r="AC292" s="727"/>
      <c r="AD292" s="727"/>
      <c r="AE292" s="727"/>
      <c r="AF292" s="727"/>
      <c r="AG292" s="727"/>
      <c r="AH292" s="727"/>
      <c r="AI292" s="727"/>
      <c r="AJ292" s="727"/>
      <c r="AK292" s="727"/>
      <c r="AL292" s="727"/>
      <c r="AM292" s="727"/>
      <c r="AN292" s="727"/>
      <c r="AO292" s="727"/>
      <c r="AP292" s="727"/>
      <c r="AQ292" s="727"/>
      <c r="AR292" s="727"/>
      <c r="AS292" s="727"/>
      <c r="AT292" s="727"/>
      <c r="AU292" s="727"/>
      <c r="AV292" s="727"/>
      <c r="AW292" s="727"/>
      <c r="AX292" s="727"/>
      <c r="AY292" s="727"/>
      <c r="AZ292" s="727"/>
      <c r="BA292" s="727"/>
      <c r="BB292" s="727"/>
    </row>
    <row r="293" spans="1:54">
      <c r="A293" s="326"/>
      <c r="B293" s="791">
        <v>0.4</v>
      </c>
      <c r="C293" s="792">
        <v>900</v>
      </c>
      <c r="D293" s="779">
        <v>1.3529800000000001</v>
      </c>
      <c r="E293" s="779">
        <v>3855.7</v>
      </c>
      <c r="F293" s="779">
        <v>4396.8999999999996</v>
      </c>
      <c r="G293" s="779">
        <v>9.1394000000000002</v>
      </c>
      <c r="H293" s="727"/>
      <c r="I293" s="727"/>
      <c r="J293" s="727"/>
      <c r="K293" s="727"/>
      <c r="L293" s="727"/>
      <c r="M293" s="727"/>
      <c r="N293" s="727"/>
      <c r="O293" s="727"/>
      <c r="P293" s="727"/>
      <c r="Q293" s="727"/>
      <c r="R293" s="727"/>
      <c r="S293" s="727"/>
      <c r="T293" s="727"/>
      <c r="U293" s="727"/>
      <c r="V293" s="727"/>
      <c r="W293" s="727"/>
      <c r="X293" s="727"/>
      <c r="Y293" s="727"/>
      <c r="Z293" s="727"/>
      <c r="AA293" s="727"/>
      <c r="AB293" s="727"/>
      <c r="AC293" s="727"/>
      <c r="AD293" s="727"/>
      <c r="AE293" s="727"/>
      <c r="AF293" s="727"/>
      <c r="AG293" s="727"/>
      <c r="AH293" s="727"/>
      <c r="AI293" s="727"/>
      <c r="AJ293" s="727"/>
      <c r="AK293" s="727"/>
      <c r="AL293" s="727"/>
      <c r="AM293" s="727"/>
      <c r="AN293" s="727"/>
      <c r="AO293" s="727"/>
      <c r="AP293" s="727"/>
      <c r="AQ293" s="727"/>
      <c r="AR293" s="727"/>
      <c r="AS293" s="727"/>
      <c r="AT293" s="727"/>
      <c r="AU293" s="727"/>
      <c r="AV293" s="727"/>
      <c r="AW293" s="727"/>
      <c r="AX293" s="727"/>
      <c r="AY293" s="727"/>
      <c r="AZ293" s="727"/>
      <c r="BA293" s="727"/>
      <c r="BB293" s="727"/>
    </row>
    <row r="294" spans="1:54">
      <c r="A294" s="326"/>
      <c r="B294" s="791">
        <v>0.4</v>
      </c>
      <c r="C294" s="792">
        <v>1000</v>
      </c>
      <c r="D294" s="779">
        <v>1.4685900000000001</v>
      </c>
      <c r="E294" s="779">
        <v>4054.3</v>
      </c>
      <c r="F294" s="779">
        <v>4641.7</v>
      </c>
      <c r="G294" s="779">
        <v>9.3396000000000008</v>
      </c>
      <c r="H294" s="727"/>
      <c r="I294" s="727"/>
      <c r="J294" s="727"/>
      <c r="K294" s="727"/>
      <c r="L294" s="727"/>
      <c r="M294" s="727"/>
      <c r="N294" s="727"/>
      <c r="O294" s="727"/>
      <c r="P294" s="727"/>
      <c r="Q294" s="727"/>
      <c r="R294" s="727"/>
      <c r="S294" s="727"/>
      <c r="T294" s="727"/>
      <c r="U294" s="727"/>
      <c r="V294" s="727"/>
      <c r="W294" s="727"/>
      <c r="X294" s="727"/>
      <c r="Y294" s="727"/>
      <c r="Z294" s="727"/>
      <c r="AA294" s="727"/>
      <c r="AB294" s="727"/>
      <c r="AC294" s="727"/>
      <c r="AD294" s="727"/>
      <c r="AE294" s="727"/>
      <c r="AF294" s="727"/>
      <c r="AG294" s="727"/>
      <c r="AH294" s="727"/>
      <c r="AI294" s="727"/>
      <c r="AJ294" s="727"/>
      <c r="AK294" s="727"/>
      <c r="AL294" s="727"/>
      <c r="AM294" s="727"/>
      <c r="AN294" s="727"/>
      <c r="AO294" s="727"/>
      <c r="AP294" s="727"/>
      <c r="AQ294" s="727"/>
      <c r="AR294" s="727"/>
      <c r="AS294" s="727"/>
      <c r="AT294" s="727"/>
      <c r="AU294" s="727"/>
      <c r="AV294" s="727"/>
      <c r="AW294" s="727"/>
      <c r="AX294" s="727"/>
      <c r="AY294" s="727"/>
      <c r="AZ294" s="727"/>
      <c r="BA294" s="727"/>
      <c r="BB294" s="727"/>
    </row>
    <row r="295" spans="1:54">
      <c r="A295" s="326"/>
      <c r="B295" s="791">
        <v>0.4</v>
      </c>
      <c r="C295" s="792">
        <v>1100</v>
      </c>
      <c r="D295" s="779">
        <v>1.5841400000000001</v>
      </c>
      <c r="E295" s="779">
        <v>4259.2</v>
      </c>
      <c r="F295" s="779">
        <v>4892.8999999999996</v>
      </c>
      <c r="G295" s="779">
        <v>9.5295000000000005</v>
      </c>
      <c r="H295" s="727"/>
      <c r="I295" s="727"/>
      <c r="J295" s="727"/>
      <c r="K295" s="727"/>
      <c r="L295" s="727"/>
      <c r="M295" s="727"/>
      <c r="N295" s="727"/>
      <c r="O295" s="727"/>
      <c r="P295" s="727"/>
      <c r="Q295" s="727"/>
      <c r="R295" s="727"/>
      <c r="S295" s="727"/>
      <c r="T295" s="727"/>
      <c r="U295" s="727"/>
      <c r="V295" s="727"/>
      <c r="W295" s="727"/>
      <c r="X295" s="727"/>
      <c r="Y295" s="727"/>
      <c r="Z295" s="727"/>
      <c r="AA295" s="727"/>
      <c r="AB295" s="727"/>
      <c r="AC295" s="727"/>
      <c r="AD295" s="727"/>
      <c r="AE295" s="727"/>
      <c r="AF295" s="727"/>
      <c r="AG295" s="727"/>
      <c r="AH295" s="727"/>
      <c r="AI295" s="727"/>
      <c r="AJ295" s="727"/>
      <c r="AK295" s="727"/>
      <c r="AL295" s="727"/>
      <c r="AM295" s="727"/>
      <c r="AN295" s="727"/>
      <c r="AO295" s="727"/>
      <c r="AP295" s="727"/>
      <c r="AQ295" s="727"/>
      <c r="AR295" s="727"/>
      <c r="AS295" s="727"/>
      <c r="AT295" s="727"/>
      <c r="AU295" s="727"/>
      <c r="AV295" s="727"/>
      <c r="AW295" s="727"/>
      <c r="AX295" s="727"/>
      <c r="AY295" s="727"/>
      <c r="AZ295" s="727"/>
      <c r="BA295" s="727"/>
      <c r="BB295" s="727"/>
    </row>
    <row r="296" spans="1:54">
      <c r="A296" s="326"/>
      <c r="B296" s="791">
        <v>0.4</v>
      </c>
      <c r="C296" s="792">
        <v>1200</v>
      </c>
      <c r="D296" s="779">
        <v>1.6996599999999999</v>
      </c>
      <c r="E296" s="779">
        <v>4470.2</v>
      </c>
      <c r="F296" s="779">
        <v>5150</v>
      </c>
      <c r="G296" s="779">
        <v>9.7102000000000004</v>
      </c>
      <c r="H296" s="727"/>
      <c r="I296" s="727"/>
      <c r="J296" s="727"/>
      <c r="K296" s="727"/>
      <c r="L296" s="727"/>
      <c r="M296" s="727"/>
      <c r="N296" s="727"/>
      <c r="O296" s="727"/>
      <c r="P296" s="727"/>
      <c r="Q296" s="727"/>
      <c r="R296" s="727"/>
      <c r="S296" s="727"/>
      <c r="T296" s="727"/>
      <c r="U296" s="727"/>
      <c r="V296" s="727"/>
      <c r="W296" s="727"/>
      <c r="X296" s="727"/>
      <c r="Y296" s="727"/>
      <c r="Z296" s="727"/>
      <c r="AA296" s="727"/>
      <c r="AB296" s="727"/>
      <c r="AC296" s="727"/>
      <c r="AD296" s="727"/>
      <c r="AE296" s="727"/>
      <c r="AF296" s="727"/>
      <c r="AG296" s="727"/>
      <c r="AH296" s="727"/>
      <c r="AI296" s="727"/>
      <c r="AJ296" s="727"/>
      <c r="AK296" s="727"/>
      <c r="AL296" s="727"/>
      <c r="AM296" s="727"/>
      <c r="AN296" s="727"/>
      <c r="AO296" s="727"/>
      <c r="AP296" s="727"/>
      <c r="AQ296" s="727"/>
      <c r="AR296" s="727"/>
      <c r="AS296" s="727"/>
      <c r="AT296" s="727"/>
      <c r="AU296" s="727"/>
      <c r="AV296" s="727"/>
      <c r="AW296" s="727"/>
      <c r="AX296" s="727"/>
      <c r="AY296" s="727"/>
      <c r="AZ296" s="727"/>
      <c r="BA296" s="727"/>
      <c r="BB296" s="727"/>
    </row>
    <row r="297" spans="1:54">
      <c r="A297" s="326"/>
      <c r="B297" s="791">
        <v>0.4</v>
      </c>
      <c r="C297" s="792">
        <v>1300</v>
      </c>
      <c r="D297" s="779">
        <v>1.8151600000000001</v>
      </c>
      <c r="E297" s="779">
        <v>4686.7</v>
      </c>
      <c r="F297" s="779">
        <v>5412.8</v>
      </c>
      <c r="G297" s="779">
        <v>9.8827999999999996</v>
      </c>
      <c r="H297" s="727"/>
      <c r="I297" s="727"/>
      <c r="J297" s="727"/>
      <c r="K297" s="727"/>
      <c r="L297" s="727"/>
      <c r="M297" s="727"/>
      <c r="N297" s="727"/>
      <c r="O297" s="727"/>
      <c r="P297" s="727"/>
      <c r="Q297" s="727"/>
      <c r="R297" s="727"/>
      <c r="S297" s="727"/>
      <c r="T297" s="727"/>
      <c r="U297" s="727"/>
      <c r="V297" s="727"/>
      <c r="W297" s="727"/>
      <c r="X297" s="727"/>
      <c r="Y297" s="727"/>
      <c r="Z297" s="727"/>
      <c r="AA297" s="727"/>
      <c r="AB297" s="727"/>
      <c r="AC297" s="727"/>
      <c r="AD297" s="727"/>
      <c r="AE297" s="727"/>
      <c r="AF297" s="727"/>
      <c r="AG297" s="727"/>
      <c r="AH297" s="727"/>
      <c r="AI297" s="727"/>
      <c r="AJ297" s="727"/>
      <c r="AK297" s="727"/>
      <c r="AL297" s="727"/>
      <c r="AM297" s="727"/>
      <c r="AN297" s="727"/>
      <c r="AO297" s="727"/>
      <c r="AP297" s="727"/>
      <c r="AQ297" s="727"/>
      <c r="AR297" s="727"/>
      <c r="AS297" s="727"/>
      <c r="AT297" s="727"/>
      <c r="AU297" s="727"/>
      <c r="AV297" s="727"/>
      <c r="AW297" s="727"/>
      <c r="AX297" s="727"/>
      <c r="AY297" s="727"/>
      <c r="AZ297" s="727"/>
      <c r="BA297" s="727"/>
      <c r="BB297" s="727"/>
    </row>
    <row r="298" spans="1:54">
      <c r="A298" s="326"/>
      <c r="B298" s="791">
        <v>0.5</v>
      </c>
      <c r="C298" s="792">
        <v>151.83000000000001</v>
      </c>
      <c r="D298" s="779">
        <v>0.37483</v>
      </c>
      <c r="E298" s="779">
        <v>2560.6999999999998</v>
      </c>
      <c r="F298" s="779">
        <v>2748.1</v>
      </c>
      <c r="G298" s="779">
        <v>6.8207000000000004</v>
      </c>
      <c r="H298" s="727"/>
      <c r="I298" s="727"/>
      <c r="J298" s="727"/>
      <c r="K298" s="727"/>
      <c r="L298" s="727"/>
      <c r="M298" s="727"/>
      <c r="N298" s="727"/>
      <c r="O298" s="727"/>
      <c r="P298" s="727"/>
      <c r="Q298" s="727"/>
      <c r="R298" s="727"/>
      <c r="S298" s="727"/>
      <c r="T298" s="727"/>
      <c r="U298" s="727"/>
      <c r="V298" s="727"/>
      <c r="W298" s="727"/>
      <c r="X298" s="727"/>
      <c r="Y298" s="727"/>
      <c r="Z298" s="727"/>
      <c r="AA298" s="727"/>
      <c r="AB298" s="727"/>
      <c r="AC298" s="727"/>
      <c r="AD298" s="727"/>
      <c r="AE298" s="727"/>
      <c r="AF298" s="727"/>
      <c r="AG298" s="727"/>
      <c r="AH298" s="727"/>
      <c r="AI298" s="727"/>
      <c r="AJ298" s="727"/>
      <c r="AK298" s="727"/>
      <c r="AL298" s="727"/>
      <c r="AM298" s="727"/>
      <c r="AN298" s="727"/>
      <c r="AO298" s="727"/>
      <c r="AP298" s="727"/>
      <c r="AQ298" s="727"/>
      <c r="AR298" s="727"/>
      <c r="AS298" s="727"/>
      <c r="AT298" s="727"/>
      <c r="AU298" s="727"/>
      <c r="AV298" s="727"/>
      <c r="AW298" s="727"/>
      <c r="AX298" s="727"/>
      <c r="AY298" s="727"/>
      <c r="AZ298" s="727"/>
      <c r="BA298" s="727"/>
      <c r="BB298" s="727"/>
    </row>
    <row r="299" spans="1:54">
      <c r="A299" s="326"/>
      <c r="B299" s="791">
        <v>0.5</v>
      </c>
      <c r="C299" s="792">
        <v>200</v>
      </c>
      <c r="D299" s="779">
        <v>0.42503000000000002</v>
      </c>
      <c r="E299" s="779">
        <v>2643.3</v>
      </c>
      <c r="F299" s="779">
        <v>2855.8</v>
      </c>
      <c r="G299" s="779">
        <v>7.0609999999999999</v>
      </c>
      <c r="H299" s="727"/>
      <c r="I299" s="727"/>
      <c r="J299" s="727"/>
      <c r="K299" s="727"/>
      <c r="L299" s="727"/>
      <c r="M299" s="727"/>
      <c r="N299" s="727"/>
      <c r="O299" s="727"/>
      <c r="P299" s="727"/>
      <c r="Q299" s="727"/>
      <c r="R299" s="727"/>
      <c r="S299" s="727"/>
      <c r="T299" s="727"/>
      <c r="U299" s="727"/>
      <c r="V299" s="727"/>
      <c r="W299" s="727"/>
      <c r="X299" s="727"/>
      <c r="Y299" s="727"/>
      <c r="Z299" s="727"/>
      <c r="AA299" s="727"/>
      <c r="AB299" s="727"/>
      <c r="AC299" s="727"/>
      <c r="AD299" s="727"/>
      <c r="AE299" s="727"/>
      <c r="AF299" s="727"/>
      <c r="AG299" s="727"/>
      <c r="AH299" s="727"/>
      <c r="AI299" s="727"/>
      <c r="AJ299" s="727"/>
      <c r="AK299" s="727"/>
      <c r="AL299" s="727"/>
      <c r="AM299" s="727"/>
      <c r="AN299" s="727"/>
      <c r="AO299" s="727"/>
      <c r="AP299" s="727"/>
      <c r="AQ299" s="727"/>
      <c r="AR299" s="727"/>
      <c r="AS299" s="727"/>
      <c r="AT299" s="727"/>
      <c r="AU299" s="727"/>
      <c r="AV299" s="727"/>
      <c r="AW299" s="727"/>
      <c r="AX299" s="727"/>
      <c r="AY299" s="727"/>
      <c r="AZ299" s="727"/>
      <c r="BA299" s="727"/>
      <c r="BB299" s="727"/>
    </row>
    <row r="300" spans="1:54">
      <c r="A300" s="326"/>
      <c r="B300" s="791">
        <v>0.5</v>
      </c>
      <c r="C300" s="792">
        <v>250</v>
      </c>
      <c r="D300" s="779">
        <v>0.47443000000000002</v>
      </c>
      <c r="E300" s="779">
        <v>2723.8</v>
      </c>
      <c r="F300" s="779">
        <v>2961</v>
      </c>
      <c r="G300" s="779">
        <v>7.2725</v>
      </c>
      <c r="H300" s="727"/>
      <c r="I300" s="727"/>
      <c r="J300" s="727"/>
      <c r="K300" s="727"/>
      <c r="L300" s="727"/>
      <c r="M300" s="727"/>
      <c r="N300" s="727"/>
      <c r="O300" s="727"/>
      <c r="P300" s="727"/>
      <c r="Q300" s="727"/>
      <c r="R300" s="727"/>
      <c r="S300" s="727"/>
      <c r="T300" s="727"/>
      <c r="U300" s="727"/>
      <c r="V300" s="727"/>
      <c r="W300" s="727"/>
      <c r="X300" s="727"/>
      <c r="Y300" s="727"/>
      <c r="Z300" s="727"/>
      <c r="AA300" s="727"/>
      <c r="AB300" s="727"/>
      <c r="AC300" s="727"/>
      <c r="AD300" s="727"/>
      <c r="AE300" s="727"/>
      <c r="AF300" s="727"/>
      <c r="AG300" s="727"/>
      <c r="AH300" s="727"/>
      <c r="AI300" s="727"/>
      <c r="AJ300" s="727"/>
      <c r="AK300" s="727"/>
      <c r="AL300" s="727"/>
      <c r="AM300" s="727"/>
      <c r="AN300" s="727"/>
      <c r="AO300" s="727"/>
      <c r="AP300" s="727"/>
      <c r="AQ300" s="727"/>
      <c r="AR300" s="727"/>
      <c r="AS300" s="727"/>
      <c r="AT300" s="727"/>
      <c r="AU300" s="727"/>
      <c r="AV300" s="727"/>
      <c r="AW300" s="727"/>
      <c r="AX300" s="727"/>
      <c r="AY300" s="727"/>
      <c r="AZ300" s="727"/>
      <c r="BA300" s="727"/>
      <c r="BB300" s="727"/>
    </row>
    <row r="301" spans="1:54">
      <c r="A301" s="326"/>
      <c r="B301" s="791">
        <v>0.5</v>
      </c>
      <c r="C301" s="792">
        <v>300</v>
      </c>
      <c r="D301" s="779">
        <v>0.52261000000000002</v>
      </c>
      <c r="E301" s="779">
        <v>2803.3</v>
      </c>
      <c r="F301" s="779">
        <v>3064.6</v>
      </c>
      <c r="G301" s="779">
        <v>7.4614000000000003</v>
      </c>
      <c r="H301" s="727"/>
      <c r="I301" s="727"/>
      <c r="J301" s="727"/>
      <c r="K301" s="727"/>
      <c r="L301" s="727"/>
      <c r="M301" s="727"/>
      <c r="N301" s="727"/>
      <c r="O301" s="727"/>
      <c r="P301" s="727"/>
      <c r="Q301" s="727"/>
      <c r="R301" s="727"/>
      <c r="S301" s="727"/>
      <c r="T301" s="727"/>
      <c r="U301" s="727"/>
      <c r="V301" s="727"/>
      <c r="W301" s="727"/>
      <c r="X301" s="727"/>
      <c r="Y301" s="727"/>
      <c r="Z301" s="727"/>
      <c r="AA301" s="727"/>
      <c r="AB301" s="727"/>
      <c r="AC301" s="727"/>
      <c r="AD301" s="727"/>
      <c r="AE301" s="727"/>
      <c r="AF301" s="727"/>
      <c r="AG301" s="727"/>
      <c r="AH301" s="727"/>
      <c r="AI301" s="727"/>
      <c r="AJ301" s="727"/>
      <c r="AK301" s="727"/>
      <c r="AL301" s="727"/>
      <c r="AM301" s="727"/>
      <c r="AN301" s="727"/>
      <c r="AO301" s="727"/>
      <c r="AP301" s="727"/>
      <c r="AQ301" s="727"/>
      <c r="AR301" s="727"/>
      <c r="AS301" s="727"/>
      <c r="AT301" s="727"/>
      <c r="AU301" s="727"/>
      <c r="AV301" s="727"/>
      <c r="AW301" s="727"/>
      <c r="AX301" s="727"/>
      <c r="AY301" s="727"/>
      <c r="AZ301" s="727"/>
      <c r="BA301" s="727"/>
      <c r="BB301" s="727"/>
    </row>
    <row r="302" spans="1:54">
      <c r="A302" s="326"/>
      <c r="B302" s="791">
        <v>0.5</v>
      </c>
      <c r="C302" s="792">
        <v>350</v>
      </c>
      <c r="D302" s="779">
        <v>0.57015000000000005</v>
      </c>
      <c r="E302" s="779">
        <v>2883</v>
      </c>
      <c r="F302" s="779">
        <v>3168.1</v>
      </c>
      <c r="G302" s="779">
        <v>7.6345999999999998</v>
      </c>
      <c r="H302" s="727"/>
      <c r="I302" s="727"/>
      <c r="J302" s="727"/>
      <c r="K302" s="727"/>
      <c r="L302" s="727"/>
      <c r="M302" s="727"/>
      <c r="N302" s="727"/>
      <c r="O302" s="727"/>
      <c r="P302" s="727"/>
      <c r="Q302" s="727"/>
      <c r="R302" s="727"/>
      <c r="S302" s="727"/>
      <c r="T302" s="727"/>
      <c r="U302" s="727"/>
      <c r="V302" s="727"/>
      <c r="W302" s="727"/>
      <c r="X302" s="727"/>
      <c r="Y302" s="727"/>
      <c r="Z302" s="727"/>
      <c r="AA302" s="727"/>
      <c r="AB302" s="727"/>
      <c r="AC302" s="727"/>
      <c r="AD302" s="727"/>
      <c r="AE302" s="727"/>
      <c r="AF302" s="727"/>
      <c r="AG302" s="727"/>
      <c r="AH302" s="727"/>
      <c r="AI302" s="727"/>
      <c r="AJ302" s="727"/>
      <c r="AK302" s="727"/>
      <c r="AL302" s="727"/>
      <c r="AM302" s="727"/>
      <c r="AN302" s="727"/>
      <c r="AO302" s="727"/>
      <c r="AP302" s="727"/>
      <c r="AQ302" s="727"/>
      <c r="AR302" s="727"/>
      <c r="AS302" s="727"/>
      <c r="AT302" s="727"/>
      <c r="AU302" s="727"/>
      <c r="AV302" s="727"/>
      <c r="AW302" s="727"/>
      <c r="AX302" s="727"/>
      <c r="AY302" s="727"/>
      <c r="AZ302" s="727"/>
      <c r="BA302" s="727"/>
      <c r="BB302" s="727"/>
    </row>
    <row r="303" spans="1:54">
      <c r="A303" s="326"/>
      <c r="B303" s="791">
        <v>0.5</v>
      </c>
      <c r="C303" s="792">
        <v>400</v>
      </c>
      <c r="D303" s="779">
        <v>0.61731000000000003</v>
      </c>
      <c r="E303" s="779">
        <v>2963.7</v>
      </c>
      <c r="F303" s="779">
        <v>3272.4</v>
      </c>
      <c r="G303" s="779">
        <v>7.7956000000000003</v>
      </c>
      <c r="H303" s="727"/>
      <c r="I303" s="727"/>
      <c r="J303" s="727"/>
      <c r="K303" s="727"/>
      <c r="L303" s="727"/>
      <c r="M303" s="727"/>
      <c r="N303" s="727"/>
      <c r="O303" s="727"/>
      <c r="P303" s="727"/>
      <c r="Q303" s="727"/>
      <c r="R303" s="727"/>
      <c r="S303" s="727"/>
      <c r="T303" s="727"/>
      <c r="U303" s="727"/>
      <c r="V303" s="727"/>
      <c r="W303" s="727"/>
      <c r="X303" s="727"/>
      <c r="Y303" s="727"/>
      <c r="Z303" s="727"/>
      <c r="AA303" s="727"/>
      <c r="AB303" s="727"/>
      <c r="AC303" s="727"/>
      <c r="AD303" s="727"/>
      <c r="AE303" s="727"/>
      <c r="AF303" s="727"/>
      <c r="AG303" s="727"/>
      <c r="AH303" s="727"/>
      <c r="AI303" s="727"/>
      <c r="AJ303" s="727"/>
      <c r="AK303" s="727"/>
      <c r="AL303" s="727"/>
      <c r="AM303" s="727"/>
      <c r="AN303" s="727"/>
      <c r="AO303" s="727"/>
      <c r="AP303" s="727"/>
      <c r="AQ303" s="727"/>
      <c r="AR303" s="727"/>
      <c r="AS303" s="727"/>
      <c r="AT303" s="727"/>
      <c r="AU303" s="727"/>
      <c r="AV303" s="727"/>
      <c r="AW303" s="727"/>
      <c r="AX303" s="727"/>
      <c r="AY303" s="727"/>
      <c r="AZ303" s="727"/>
      <c r="BA303" s="727"/>
      <c r="BB303" s="727"/>
    </row>
    <row r="304" spans="1:54">
      <c r="A304" s="326"/>
      <c r="B304" s="791">
        <v>0.5</v>
      </c>
      <c r="C304" s="792">
        <v>500</v>
      </c>
      <c r="D304" s="779">
        <v>0.71094999999999997</v>
      </c>
      <c r="E304" s="779">
        <v>3129</v>
      </c>
      <c r="F304" s="779">
        <v>3484.5</v>
      </c>
      <c r="G304" s="779">
        <v>8.0892999999999997</v>
      </c>
      <c r="H304" s="727"/>
      <c r="I304" s="727"/>
      <c r="J304" s="727"/>
      <c r="K304" s="727"/>
      <c r="L304" s="727"/>
      <c r="M304" s="727"/>
      <c r="N304" s="727"/>
      <c r="O304" s="727"/>
      <c r="P304" s="727"/>
      <c r="Q304" s="727"/>
      <c r="R304" s="727"/>
      <c r="S304" s="727"/>
      <c r="T304" s="727"/>
      <c r="U304" s="727"/>
      <c r="V304" s="727"/>
      <c r="W304" s="727"/>
      <c r="X304" s="727"/>
      <c r="Y304" s="727"/>
      <c r="Z304" s="727"/>
      <c r="AA304" s="727"/>
      <c r="AB304" s="727"/>
      <c r="AC304" s="727"/>
      <c r="AD304" s="727"/>
      <c r="AE304" s="727"/>
      <c r="AF304" s="727"/>
      <c r="AG304" s="727"/>
      <c r="AH304" s="727"/>
      <c r="AI304" s="727"/>
      <c r="AJ304" s="727"/>
      <c r="AK304" s="727"/>
      <c r="AL304" s="727"/>
      <c r="AM304" s="727"/>
      <c r="AN304" s="727"/>
      <c r="AO304" s="727"/>
      <c r="AP304" s="727"/>
      <c r="AQ304" s="727"/>
      <c r="AR304" s="727"/>
      <c r="AS304" s="727"/>
      <c r="AT304" s="727"/>
      <c r="AU304" s="727"/>
      <c r="AV304" s="727"/>
      <c r="AW304" s="727"/>
      <c r="AX304" s="727"/>
      <c r="AY304" s="727"/>
      <c r="AZ304" s="727"/>
      <c r="BA304" s="727"/>
      <c r="BB304" s="727"/>
    </row>
    <row r="305" spans="1:54">
      <c r="A305" s="326"/>
      <c r="B305" s="791">
        <v>0.5</v>
      </c>
      <c r="C305" s="792">
        <v>600</v>
      </c>
      <c r="D305" s="779">
        <v>0.80408999999999997</v>
      </c>
      <c r="E305" s="779">
        <v>3300.4</v>
      </c>
      <c r="F305" s="779">
        <v>3702.5</v>
      </c>
      <c r="G305" s="779">
        <v>8.3544</v>
      </c>
      <c r="H305" s="727"/>
      <c r="I305" s="727"/>
      <c r="J305" s="727"/>
      <c r="K305" s="727"/>
      <c r="L305" s="727"/>
      <c r="M305" s="727"/>
      <c r="N305" s="727"/>
      <c r="O305" s="727"/>
      <c r="P305" s="727"/>
      <c r="Q305" s="727"/>
      <c r="R305" s="727"/>
      <c r="S305" s="727"/>
      <c r="T305" s="727"/>
      <c r="U305" s="727"/>
      <c r="V305" s="727"/>
      <c r="W305" s="727"/>
      <c r="X305" s="727"/>
      <c r="Y305" s="727"/>
      <c r="Z305" s="727"/>
      <c r="AA305" s="727"/>
      <c r="AB305" s="727"/>
      <c r="AC305" s="727"/>
      <c r="AD305" s="727"/>
      <c r="AE305" s="727"/>
      <c r="AF305" s="727"/>
      <c r="AG305" s="727"/>
      <c r="AH305" s="727"/>
      <c r="AI305" s="727"/>
      <c r="AJ305" s="727"/>
      <c r="AK305" s="727"/>
      <c r="AL305" s="727"/>
      <c r="AM305" s="727"/>
      <c r="AN305" s="727"/>
      <c r="AO305" s="727"/>
      <c r="AP305" s="727"/>
      <c r="AQ305" s="727"/>
      <c r="AR305" s="727"/>
      <c r="AS305" s="727"/>
      <c r="AT305" s="727"/>
      <c r="AU305" s="727"/>
      <c r="AV305" s="727"/>
      <c r="AW305" s="727"/>
      <c r="AX305" s="727"/>
      <c r="AY305" s="727"/>
      <c r="AZ305" s="727"/>
      <c r="BA305" s="727"/>
      <c r="BB305" s="727"/>
    </row>
    <row r="306" spans="1:54">
      <c r="A306" s="326"/>
      <c r="B306" s="791">
        <v>0.5</v>
      </c>
      <c r="C306" s="792">
        <v>700</v>
      </c>
      <c r="D306" s="779">
        <v>0.89695999999999998</v>
      </c>
      <c r="E306" s="779">
        <v>3478.6</v>
      </c>
      <c r="F306" s="779">
        <v>3927</v>
      </c>
      <c r="G306" s="779">
        <v>8.5977999999999994</v>
      </c>
      <c r="H306" s="727"/>
      <c r="I306" s="727"/>
      <c r="J306" s="727"/>
      <c r="K306" s="727"/>
      <c r="L306" s="727"/>
      <c r="M306" s="727"/>
      <c r="N306" s="727"/>
      <c r="O306" s="727"/>
      <c r="P306" s="727"/>
      <c r="Q306" s="727"/>
      <c r="R306" s="727"/>
      <c r="S306" s="727"/>
      <c r="T306" s="727"/>
      <c r="U306" s="727"/>
      <c r="V306" s="727"/>
      <c r="W306" s="727"/>
      <c r="X306" s="727"/>
      <c r="Y306" s="727"/>
      <c r="Z306" s="727"/>
      <c r="AA306" s="727"/>
      <c r="AB306" s="727"/>
      <c r="AC306" s="727"/>
      <c r="AD306" s="727"/>
      <c r="AE306" s="727"/>
      <c r="AF306" s="727"/>
      <c r="AG306" s="727"/>
      <c r="AH306" s="727"/>
      <c r="AI306" s="727"/>
      <c r="AJ306" s="727"/>
      <c r="AK306" s="727"/>
      <c r="AL306" s="727"/>
      <c r="AM306" s="727"/>
      <c r="AN306" s="727"/>
      <c r="AO306" s="727"/>
      <c r="AP306" s="727"/>
      <c r="AQ306" s="727"/>
      <c r="AR306" s="727"/>
      <c r="AS306" s="727"/>
      <c r="AT306" s="727"/>
      <c r="AU306" s="727"/>
      <c r="AV306" s="727"/>
      <c r="AW306" s="727"/>
      <c r="AX306" s="727"/>
      <c r="AY306" s="727"/>
      <c r="AZ306" s="727"/>
      <c r="BA306" s="727"/>
      <c r="BB306" s="727"/>
    </row>
    <row r="307" spans="1:54">
      <c r="A307" s="326"/>
      <c r="B307" s="791">
        <v>0.5</v>
      </c>
      <c r="C307" s="792">
        <v>800</v>
      </c>
      <c r="D307" s="779">
        <v>0.98965999999999998</v>
      </c>
      <c r="E307" s="779">
        <v>3663.6</v>
      </c>
      <c r="F307" s="779">
        <v>4158.3999999999996</v>
      </c>
      <c r="G307" s="779">
        <v>8.8239999999999998</v>
      </c>
      <c r="H307" s="727"/>
      <c r="I307" s="727"/>
      <c r="J307" s="727"/>
      <c r="K307" s="727"/>
      <c r="L307" s="727"/>
      <c r="M307" s="727"/>
      <c r="N307" s="727"/>
      <c r="O307" s="727"/>
      <c r="P307" s="727"/>
      <c r="Q307" s="727"/>
      <c r="R307" s="727"/>
      <c r="S307" s="727"/>
      <c r="T307" s="727"/>
      <c r="U307" s="727"/>
      <c r="V307" s="727"/>
      <c r="W307" s="727"/>
      <c r="X307" s="727"/>
      <c r="Y307" s="727"/>
      <c r="Z307" s="727"/>
      <c r="AA307" s="727"/>
      <c r="AB307" s="727"/>
      <c r="AC307" s="727"/>
      <c r="AD307" s="727"/>
      <c r="AE307" s="727"/>
      <c r="AF307" s="727"/>
      <c r="AG307" s="727"/>
      <c r="AH307" s="727"/>
      <c r="AI307" s="727"/>
      <c r="AJ307" s="727"/>
      <c r="AK307" s="727"/>
      <c r="AL307" s="727"/>
      <c r="AM307" s="727"/>
      <c r="AN307" s="727"/>
      <c r="AO307" s="727"/>
      <c r="AP307" s="727"/>
      <c r="AQ307" s="727"/>
      <c r="AR307" s="727"/>
      <c r="AS307" s="727"/>
      <c r="AT307" s="727"/>
      <c r="AU307" s="727"/>
      <c r="AV307" s="727"/>
      <c r="AW307" s="727"/>
      <c r="AX307" s="727"/>
      <c r="AY307" s="727"/>
      <c r="AZ307" s="727"/>
      <c r="BA307" s="727"/>
      <c r="BB307" s="727"/>
    </row>
    <row r="308" spans="1:54">
      <c r="A308" s="326"/>
      <c r="B308" s="791">
        <v>0.5</v>
      </c>
      <c r="C308" s="792">
        <v>900</v>
      </c>
      <c r="D308" s="779">
        <v>1.0822700000000001</v>
      </c>
      <c r="E308" s="779">
        <v>3855.4</v>
      </c>
      <c r="F308" s="779">
        <v>4396.6000000000004</v>
      </c>
      <c r="G308" s="779">
        <v>9.0361999999999991</v>
      </c>
      <c r="H308" s="727"/>
      <c r="I308" s="727"/>
      <c r="J308" s="727"/>
      <c r="K308" s="727"/>
      <c r="L308" s="727"/>
      <c r="M308" s="727"/>
      <c r="N308" s="727"/>
      <c r="O308" s="727"/>
      <c r="P308" s="727"/>
      <c r="Q308" s="727"/>
      <c r="R308" s="727"/>
      <c r="S308" s="727"/>
      <c r="T308" s="727"/>
      <c r="U308" s="727"/>
      <c r="V308" s="727"/>
      <c r="W308" s="727"/>
      <c r="X308" s="727"/>
      <c r="Y308" s="727"/>
      <c r="Z308" s="727"/>
      <c r="AA308" s="727"/>
      <c r="AB308" s="727"/>
      <c r="AC308" s="727"/>
      <c r="AD308" s="727"/>
      <c r="AE308" s="727"/>
      <c r="AF308" s="727"/>
      <c r="AG308" s="727"/>
      <c r="AH308" s="727"/>
      <c r="AI308" s="727"/>
      <c r="AJ308" s="727"/>
      <c r="AK308" s="727"/>
      <c r="AL308" s="727"/>
      <c r="AM308" s="727"/>
      <c r="AN308" s="727"/>
      <c r="AO308" s="727"/>
      <c r="AP308" s="727"/>
      <c r="AQ308" s="727"/>
      <c r="AR308" s="727"/>
      <c r="AS308" s="727"/>
      <c r="AT308" s="727"/>
      <c r="AU308" s="727"/>
      <c r="AV308" s="727"/>
      <c r="AW308" s="727"/>
      <c r="AX308" s="727"/>
      <c r="AY308" s="727"/>
      <c r="AZ308" s="727"/>
      <c r="BA308" s="727"/>
      <c r="BB308" s="727"/>
    </row>
    <row r="309" spans="1:54">
      <c r="A309" s="326"/>
      <c r="B309" s="791">
        <v>0.5</v>
      </c>
      <c r="C309" s="792">
        <v>1000</v>
      </c>
      <c r="D309" s="779">
        <v>1.1748000000000001</v>
      </c>
      <c r="E309" s="779">
        <v>4054</v>
      </c>
      <c r="F309" s="779">
        <v>4641.3999999999996</v>
      </c>
      <c r="G309" s="779">
        <v>9.2363999999999997</v>
      </c>
      <c r="H309" s="727"/>
      <c r="I309" s="727"/>
      <c r="J309" s="727"/>
      <c r="K309" s="727"/>
      <c r="L309" s="727"/>
      <c r="M309" s="727"/>
      <c r="N309" s="727"/>
      <c r="O309" s="727"/>
      <c r="P309" s="727"/>
      <c r="Q309" s="727"/>
      <c r="R309" s="727"/>
      <c r="S309" s="727"/>
      <c r="T309" s="727"/>
      <c r="U309" s="727"/>
      <c r="V309" s="727"/>
      <c r="W309" s="727"/>
      <c r="X309" s="727"/>
      <c r="Y309" s="727"/>
      <c r="Z309" s="727"/>
      <c r="AA309" s="727"/>
      <c r="AB309" s="727"/>
      <c r="AC309" s="727"/>
      <c r="AD309" s="727"/>
      <c r="AE309" s="727"/>
      <c r="AF309" s="727"/>
      <c r="AG309" s="727"/>
      <c r="AH309" s="727"/>
      <c r="AI309" s="727"/>
      <c r="AJ309" s="727"/>
      <c r="AK309" s="727"/>
      <c r="AL309" s="727"/>
      <c r="AM309" s="727"/>
      <c r="AN309" s="727"/>
      <c r="AO309" s="727"/>
      <c r="AP309" s="727"/>
      <c r="AQ309" s="727"/>
      <c r="AR309" s="727"/>
      <c r="AS309" s="727"/>
      <c r="AT309" s="727"/>
      <c r="AU309" s="727"/>
      <c r="AV309" s="727"/>
      <c r="AW309" s="727"/>
      <c r="AX309" s="727"/>
      <c r="AY309" s="727"/>
      <c r="AZ309" s="727"/>
      <c r="BA309" s="727"/>
      <c r="BB309" s="727"/>
    </row>
    <row r="310" spans="1:54">
      <c r="A310" s="326"/>
      <c r="B310" s="791">
        <v>0.5</v>
      </c>
      <c r="C310" s="792">
        <v>1100</v>
      </c>
      <c r="D310" s="779">
        <v>1.26728</v>
      </c>
      <c r="E310" s="779">
        <v>4259</v>
      </c>
      <c r="F310" s="779">
        <v>4892.6000000000004</v>
      </c>
      <c r="G310" s="779">
        <v>9.4262999999999995</v>
      </c>
      <c r="H310" s="727"/>
      <c r="I310" s="727"/>
      <c r="J310" s="727"/>
      <c r="K310" s="727"/>
      <c r="L310" s="727"/>
      <c r="M310" s="727"/>
      <c r="N310" s="727"/>
      <c r="O310" s="727"/>
      <c r="P310" s="727"/>
      <c r="Q310" s="727"/>
      <c r="R310" s="727"/>
      <c r="S310" s="727"/>
      <c r="T310" s="727"/>
      <c r="U310" s="727"/>
      <c r="V310" s="727"/>
      <c r="W310" s="727"/>
      <c r="X310" s="727"/>
      <c r="Y310" s="727"/>
      <c r="Z310" s="727"/>
      <c r="AA310" s="727"/>
      <c r="AB310" s="727"/>
      <c r="AC310" s="727"/>
      <c r="AD310" s="727"/>
      <c r="AE310" s="727"/>
      <c r="AF310" s="727"/>
      <c r="AG310" s="727"/>
      <c r="AH310" s="727"/>
      <c r="AI310" s="727"/>
      <c r="AJ310" s="727"/>
      <c r="AK310" s="727"/>
      <c r="AL310" s="727"/>
      <c r="AM310" s="727"/>
      <c r="AN310" s="727"/>
      <c r="AO310" s="727"/>
      <c r="AP310" s="727"/>
      <c r="AQ310" s="727"/>
      <c r="AR310" s="727"/>
      <c r="AS310" s="727"/>
      <c r="AT310" s="727"/>
      <c r="AU310" s="727"/>
      <c r="AV310" s="727"/>
      <c r="AW310" s="727"/>
      <c r="AX310" s="727"/>
      <c r="AY310" s="727"/>
      <c r="AZ310" s="727"/>
      <c r="BA310" s="727"/>
      <c r="BB310" s="727"/>
    </row>
    <row r="311" spans="1:54">
      <c r="A311" s="326"/>
      <c r="B311" s="791">
        <v>0.5</v>
      </c>
      <c r="C311" s="792">
        <v>1200</v>
      </c>
      <c r="D311" s="779">
        <v>1.35972</v>
      </c>
      <c r="E311" s="779">
        <v>4470</v>
      </c>
      <c r="F311" s="779">
        <v>5149.8</v>
      </c>
      <c r="G311" s="779">
        <v>9.6071000000000009</v>
      </c>
      <c r="H311" s="727"/>
      <c r="I311" s="727"/>
      <c r="J311" s="727"/>
      <c r="K311" s="727"/>
      <c r="L311" s="727"/>
      <c r="M311" s="727"/>
      <c r="N311" s="727"/>
      <c r="O311" s="727"/>
      <c r="P311" s="727"/>
      <c r="Q311" s="727"/>
      <c r="R311" s="727"/>
      <c r="S311" s="727"/>
      <c r="T311" s="727"/>
      <c r="U311" s="727"/>
      <c r="V311" s="727"/>
      <c r="W311" s="727"/>
      <c r="X311" s="727"/>
      <c r="Y311" s="727"/>
      <c r="Z311" s="727"/>
      <c r="AA311" s="727"/>
      <c r="AB311" s="727"/>
      <c r="AC311" s="727"/>
      <c r="AD311" s="727"/>
      <c r="AE311" s="727"/>
      <c r="AF311" s="727"/>
      <c r="AG311" s="727"/>
      <c r="AH311" s="727"/>
      <c r="AI311" s="727"/>
      <c r="AJ311" s="727"/>
      <c r="AK311" s="727"/>
      <c r="AL311" s="727"/>
      <c r="AM311" s="727"/>
      <c r="AN311" s="727"/>
      <c r="AO311" s="727"/>
      <c r="AP311" s="727"/>
      <c r="AQ311" s="727"/>
      <c r="AR311" s="727"/>
      <c r="AS311" s="727"/>
      <c r="AT311" s="727"/>
      <c r="AU311" s="727"/>
      <c r="AV311" s="727"/>
      <c r="AW311" s="727"/>
      <c r="AX311" s="727"/>
      <c r="AY311" s="727"/>
      <c r="AZ311" s="727"/>
      <c r="BA311" s="727"/>
      <c r="BB311" s="727"/>
    </row>
    <row r="312" spans="1:54">
      <c r="A312" s="326"/>
      <c r="B312" s="791">
        <v>0.5</v>
      </c>
      <c r="C312" s="792">
        <v>1300</v>
      </c>
      <c r="D312" s="779">
        <v>1.45214</v>
      </c>
      <c r="E312" s="779">
        <v>4686.6000000000004</v>
      </c>
      <c r="F312" s="779">
        <v>5412.6</v>
      </c>
      <c r="G312" s="779">
        <v>9.7797000000000001</v>
      </c>
      <c r="H312" s="727"/>
      <c r="I312" s="727"/>
      <c r="J312" s="727"/>
      <c r="K312" s="727"/>
      <c r="L312" s="727"/>
      <c r="M312" s="727"/>
      <c r="N312" s="727"/>
      <c r="O312" s="727"/>
      <c r="P312" s="727"/>
      <c r="Q312" s="727"/>
      <c r="R312" s="727"/>
      <c r="S312" s="727"/>
      <c r="T312" s="727"/>
      <c r="U312" s="727"/>
      <c r="V312" s="727"/>
      <c r="W312" s="727"/>
      <c r="X312" s="727"/>
      <c r="Y312" s="727"/>
      <c r="Z312" s="727"/>
      <c r="AA312" s="727"/>
      <c r="AB312" s="727"/>
      <c r="AC312" s="727"/>
      <c r="AD312" s="727"/>
      <c r="AE312" s="727"/>
      <c r="AF312" s="727"/>
      <c r="AG312" s="727"/>
      <c r="AH312" s="727"/>
      <c r="AI312" s="727"/>
      <c r="AJ312" s="727"/>
      <c r="AK312" s="727"/>
      <c r="AL312" s="727"/>
      <c r="AM312" s="727"/>
      <c r="AN312" s="727"/>
      <c r="AO312" s="727"/>
      <c r="AP312" s="727"/>
      <c r="AQ312" s="727"/>
      <c r="AR312" s="727"/>
      <c r="AS312" s="727"/>
      <c r="AT312" s="727"/>
      <c r="AU312" s="727"/>
      <c r="AV312" s="727"/>
      <c r="AW312" s="727"/>
      <c r="AX312" s="727"/>
      <c r="AY312" s="727"/>
      <c r="AZ312" s="727"/>
      <c r="BA312" s="727"/>
      <c r="BB312" s="727"/>
    </row>
    <row r="313" spans="1:54">
      <c r="A313" s="326"/>
      <c r="B313" s="791">
        <v>0.6</v>
      </c>
      <c r="C313" s="792">
        <v>158.83000000000001</v>
      </c>
      <c r="D313" s="779">
        <v>0.31559999999999999</v>
      </c>
      <c r="E313" s="779">
        <v>2566.8000000000002</v>
      </c>
      <c r="F313" s="779">
        <v>2756.2</v>
      </c>
      <c r="G313" s="779">
        <v>6.7592999999999996</v>
      </c>
      <c r="H313" s="727"/>
      <c r="I313" s="727"/>
      <c r="J313" s="727"/>
      <c r="K313" s="727"/>
      <c r="L313" s="727"/>
      <c r="M313" s="727"/>
      <c r="N313" s="727"/>
      <c r="O313" s="727"/>
      <c r="P313" s="727"/>
      <c r="Q313" s="727"/>
      <c r="R313" s="727"/>
      <c r="S313" s="727"/>
      <c r="T313" s="727"/>
      <c r="U313" s="727"/>
      <c r="V313" s="727"/>
      <c r="W313" s="727"/>
      <c r="X313" s="727"/>
      <c r="Y313" s="727"/>
      <c r="Z313" s="727"/>
      <c r="AA313" s="727"/>
      <c r="AB313" s="727"/>
      <c r="AC313" s="727"/>
      <c r="AD313" s="727"/>
      <c r="AE313" s="727"/>
      <c r="AF313" s="727"/>
      <c r="AG313" s="727"/>
      <c r="AH313" s="727"/>
      <c r="AI313" s="727"/>
      <c r="AJ313" s="727"/>
      <c r="AK313" s="727"/>
      <c r="AL313" s="727"/>
      <c r="AM313" s="727"/>
      <c r="AN313" s="727"/>
      <c r="AO313" s="727"/>
      <c r="AP313" s="727"/>
      <c r="AQ313" s="727"/>
      <c r="AR313" s="727"/>
      <c r="AS313" s="727"/>
      <c r="AT313" s="727"/>
      <c r="AU313" s="727"/>
      <c r="AV313" s="727"/>
      <c r="AW313" s="727"/>
      <c r="AX313" s="727"/>
      <c r="AY313" s="727"/>
      <c r="AZ313" s="727"/>
      <c r="BA313" s="727"/>
      <c r="BB313" s="727"/>
    </row>
    <row r="314" spans="1:54">
      <c r="A314" s="326"/>
      <c r="B314" s="791">
        <v>0.6</v>
      </c>
      <c r="C314" s="792">
        <v>200</v>
      </c>
      <c r="D314" s="779">
        <v>0.35211999999999999</v>
      </c>
      <c r="E314" s="779">
        <v>2639.4</v>
      </c>
      <c r="F314" s="779">
        <v>2850.6</v>
      </c>
      <c r="G314" s="779">
        <v>6.9683000000000002</v>
      </c>
      <c r="H314" s="727"/>
      <c r="I314" s="727"/>
      <c r="J314" s="727"/>
      <c r="K314" s="727"/>
      <c r="L314" s="727"/>
      <c r="M314" s="727"/>
      <c r="N314" s="727"/>
      <c r="O314" s="727"/>
      <c r="P314" s="727"/>
      <c r="Q314" s="727"/>
      <c r="R314" s="727"/>
      <c r="S314" s="727"/>
      <c r="T314" s="727"/>
      <c r="U314" s="727"/>
      <c r="V314" s="727"/>
      <c r="W314" s="727"/>
      <c r="X314" s="727"/>
      <c r="Y314" s="727"/>
      <c r="Z314" s="727"/>
      <c r="AA314" s="727"/>
      <c r="AB314" s="727"/>
      <c r="AC314" s="727"/>
      <c r="AD314" s="727"/>
      <c r="AE314" s="727"/>
      <c r="AF314" s="727"/>
      <c r="AG314" s="727"/>
      <c r="AH314" s="727"/>
      <c r="AI314" s="727"/>
      <c r="AJ314" s="727"/>
      <c r="AK314" s="727"/>
      <c r="AL314" s="727"/>
      <c r="AM314" s="727"/>
      <c r="AN314" s="727"/>
      <c r="AO314" s="727"/>
      <c r="AP314" s="727"/>
      <c r="AQ314" s="727"/>
      <c r="AR314" s="727"/>
      <c r="AS314" s="727"/>
      <c r="AT314" s="727"/>
      <c r="AU314" s="727"/>
      <c r="AV314" s="727"/>
      <c r="AW314" s="727"/>
      <c r="AX314" s="727"/>
      <c r="AY314" s="727"/>
      <c r="AZ314" s="727"/>
      <c r="BA314" s="727"/>
      <c r="BB314" s="727"/>
    </row>
    <row r="315" spans="1:54">
      <c r="A315" s="326"/>
      <c r="B315" s="791">
        <v>0.6</v>
      </c>
      <c r="C315" s="792">
        <v>250</v>
      </c>
      <c r="D315" s="779">
        <v>0.39389999999999997</v>
      </c>
      <c r="E315" s="779">
        <v>2721.2</v>
      </c>
      <c r="F315" s="779">
        <v>2957.6</v>
      </c>
      <c r="G315" s="779">
        <v>7.1833</v>
      </c>
      <c r="H315" s="727"/>
      <c r="I315" s="727"/>
      <c r="J315" s="727"/>
      <c r="K315" s="727"/>
      <c r="L315" s="727"/>
      <c r="M315" s="727"/>
      <c r="N315" s="727"/>
      <c r="O315" s="727"/>
      <c r="P315" s="727"/>
      <c r="Q315" s="727"/>
      <c r="R315" s="727"/>
      <c r="S315" s="727"/>
      <c r="T315" s="727"/>
      <c r="U315" s="727"/>
      <c r="V315" s="727"/>
      <c r="W315" s="727"/>
      <c r="X315" s="727"/>
      <c r="Y315" s="727"/>
      <c r="Z315" s="727"/>
      <c r="AA315" s="727"/>
      <c r="AB315" s="727"/>
      <c r="AC315" s="727"/>
      <c r="AD315" s="727"/>
      <c r="AE315" s="727"/>
      <c r="AF315" s="727"/>
      <c r="AG315" s="727"/>
      <c r="AH315" s="727"/>
      <c r="AI315" s="727"/>
      <c r="AJ315" s="727"/>
      <c r="AK315" s="727"/>
      <c r="AL315" s="727"/>
      <c r="AM315" s="727"/>
      <c r="AN315" s="727"/>
      <c r="AO315" s="727"/>
      <c r="AP315" s="727"/>
      <c r="AQ315" s="727"/>
      <c r="AR315" s="727"/>
      <c r="AS315" s="727"/>
      <c r="AT315" s="727"/>
      <c r="AU315" s="727"/>
      <c r="AV315" s="727"/>
      <c r="AW315" s="727"/>
      <c r="AX315" s="727"/>
      <c r="AY315" s="727"/>
      <c r="AZ315" s="727"/>
      <c r="BA315" s="727"/>
      <c r="BB315" s="727"/>
    </row>
    <row r="316" spans="1:54">
      <c r="A316" s="326"/>
      <c r="B316" s="791">
        <v>0.6</v>
      </c>
      <c r="C316" s="792">
        <v>300</v>
      </c>
      <c r="D316" s="779">
        <v>0.43441999999999997</v>
      </c>
      <c r="E316" s="779">
        <v>2801.4</v>
      </c>
      <c r="F316" s="779">
        <v>3062</v>
      </c>
      <c r="G316" s="779">
        <v>7.3739999999999997</v>
      </c>
      <c r="H316" s="727"/>
      <c r="I316" s="727"/>
      <c r="J316" s="727"/>
      <c r="K316" s="727"/>
      <c r="L316" s="727"/>
      <c r="M316" s="727"/>
      <c r="N316" s="727"/>
      <c r="O316" s="727"/>
      <c r="P316" s="727"/>
      <c r="Q316" s="727"/>
      <c r="R316" s="727"/>
      <c r="S316" s="727"/>
      <c r="T316" s="727"/>
      <c r="U316" s="727"/>
      <c r="V316" s="727"/>
      <c r="W316" s="727"/>
      <c r="X316" s="727"/>
      <c r="Y316" s="727"/>
      <c r="Z316" s="727"/>
      <c r="AA316" s="727"/>
      <c r="AB316" s="727"/>
      <c r="AC316" s="727"/>
      <c r="AD316" s="727"/>
      <c r="AE316" s="727"/>
      <c r="AF316" s="727"/>
      <c r="AG316" s="727"/>
      <c r="AH316" s="727"/>
      <c r="AI316" s="727"/>
      <c r="AJ316" s="727"/>
      <c r="AK316" s="727"/>
      <c r="AL316" s="727"/>
      <c r="AM316" s="727"/>
      <c r="AN316" s="727"/>
      <c r="AO316" s="727"/>
      <c r="AP316" s="727"/>
      <c r="AQ316" s="727"/>
      <c r="AR316" s="727"/>
      <c r="AS316" s="727"/>
      <c r="AT316" s="727"/>
      <c r="AU316" s="727"/>
      <c r="AV316" s="727"/>
      <c r="AW316" s="727"/>
      <c r="AX316" s="727"/>
      <c r="AY316" s="727"/>
      <c r="AZ316" s="727"/>
      <c r="BA316" s="727"/>
      <c r="BB316" s="727"/>
    </row>
    <row r="317" spans="1:54">
      <c r="A317" s="326"/>
      <c r="B317" s="791">
        <v>0.6</v>
      </c>
      <c r="C317" s="792">
        <v>350</v>
      </c>
      <c r="D317" s="779">
        <v>0.47427999999999998</v>
      </c>
      <c r="E317" s="779">
        <v>2881.6</v>
      </c>
      <c r="F317" s="779">
        <v>3166.1</v>
      </c>
      <c r="G317" s="779">
        <v>7.5480999999999998</v>
      </c>
      <c r="H317" s="727"/>
      <c r="I317" s="727"/>
      <c r="J317" s="727"/>
      <c r="K317" s="727"/>
      <c r="L317" s="727"/>
      <c r="M317" s="727"/>
      <c r="N317" s="727"/>
      <c r="O317" s="727"/>
      <c r="P317" s="727"/>
      <c r="Q317" s="727"/>
      <c r="R317" s="727"/>
      <c r="S317" s="727"/>
      <c r="T317" s="727"/>
      <c r="U317" s="727"/>
      <c r="V317" s="727"/>
      <c r="W317" s="727"/>
      <c r="X317" s="727"/>
      <c r="Y317" s="727"/>
      <c r="Z317" s="727"/>
      <c r="AA317" s="727"/>
      <c r="AB317" s="727"/>
      <c r="AC317" s="727"/>
      <c r="AD317" s="727"/>
      <c r="AE317" s="727"/>
      <c r="AF317" s="727"/>
      <c r="AG317" s="727"/>
      <c r="AH317" s="727"/>
      <c r="AI317" s="727"/>
      <c r="AJ317" s="727"/>
      <c r="AK317" s="727"/>
      <c r="AL317" s="727"/>
      <c r="AM317" s="727"/>
      <c r="AN317" s="727"/>
      <c r="AO317" s="727"/>
      <c r="AP317" s="727"/>
      <c r="AQ317" s="727"/>
      <c r="AR317" s="727"/>
      <c r="AS317" s="727"/>
      <c r="AT317" s="727"/>
      <c r="AU317" s="727"/>
      <c r="AV317" s="727"/>
      <c r="AW317" s="727"/>
      <c r="AX317" s="727"/>
      <c r="AY317" s="727"/>
      <c r="AZ317" s="727"/>
      <c r="BA317" s="727"/>
      <c r="BB317" s="727"/>
    </row>
    <row r="318" spans="1:54">
      <c r="A318" s="326"/>
      <c r="B318" s="791">
        <v>0.6</v>
      </c>
      <c r="C318" s="792">
        <v>400</v>
      </c>
      <c r="D318" s="779">
        <v>0.51373999999999997</v>
      </c>
      <c r="E318" s="779">
        <v>2962.5</v>
      </c>
      <c r="F318" s="779">
        <v>3270.8</v>
      </c>
      <c r="G318" s="779">
        <v>7.7096999999999998</v>
      </c>
      <c r="H318" s="727"/>
      <c r="I318" s="727"/>
      <c r="J318" s="727"/>
      <c r="K318" s="727"/>
      <c r="L318" s="727"/>
      <c r="M318" s="727"/>
      <c r="N318" s="727"/>
      <c r="O318" s="727"/>
      <c r="P318" s="727"/>
      <c r="Q318" s="727"/>
      <c r="R318" s="727"/>
      <c r="S318" s="727"/>
      <c r="T318" s="727"/>
      <c r="U318" s="727"/>
      <c r="V318" s="727"/>
      <c r="W318" s="727"/>
      <c r="X318" s="727"/>
      <c r="Y318" s="727"/>
      <c r="Z318" s="727"/>
      <c r="AA318" s="727"/>
      <c r="AB318" s="727"/>
      <c r="AC318" s="727"/>
      <c r="AD318" s="727"/>
      <c r="AE318" s="727"/>
      <c r="AF318" s="727"/>
      <c r="AG318" s="727"/>
      <c r="AH318" s="727"/>
      <c r="AI318" s="727"/>
      <c r="AJ318" s="727"/>
      <c r="AK318" s="727"/>
      <c r="AL318" s="727"/>
      <c r="AM318" s="727"/>
      <c r="AN318" s="727"/>
      <c r="AO318" s="727"/>
      <c r="AP318" s="727"/>
      <c r="AQ318" s="727"/>
      <c r="AR318" s="727"/>
      <c r="AS318" s="727"/>
      <c r="AT318" s="727"/>
      <c r="AU318" s="727"/>
      <c r="AV318" s="727"/>
      <c r="AW318" s="727"/>
      <c r="AX318" s="727"/>
      <c r="AY318" s="727"/>
      <c r="AZ318" s="727"/>
      <c r="BA318" s="727"/>
      <c r="BB318" s="727"/>
    </row>
    <row r="319" spans="1:54">
      <c r="A319" s="326"/>
      <c r="B319" s="791">
        <v>0.6</v>
      </c>
      <c r="C319" s="792">
        <v>500</v>
      </c>
      <c r="D319" s="779">
        <v>0.59199999999999997</v>
      </c>
      <c r="E319" s="779">
        <v>3128.2</v>
      </c>
      <c r="F319" s="779">
        <v>3483.4</v>
      </c>
      <c r="G319" s="779">
        <v>8.0040999999999993</v>
      </c>
      <c r="H319" s="727"/>
      <c r="I319" s="727"/>
      <c r="J319" s="727"/>
      <c r="K319" s="727"/>
      <c r="L319" s="727"/>
      <c r="M319" s="727"/>
      <c r="N319" s="727"/>
      <c r="O319" s="727"/>
      <c r="P319" s="727"/>
      <c r="Q319" s="727"/>
      <c r="R319" s="727"/>
      <c r="S319" s="727"/>
      <c r="T319" s="727"/>
      <c r="U319" s="727"/>
      <c r="V319" s="727"/>
      <c r="W319" s="727"/>
      <c r="X319" s="727"/>
      <c r="Y319" s="727"/>
      <c r="Z319" s="727"/>
      <c r="AA319" s="727"/>
      <c r="AB319" s="727"/>
      <c r="AC319" s="727"/>
      <c r="AD319" s="727"/>
      <c r="AE319" s="727"/>
      <c r="AF319" s="727"/>
      <c r="AG319" s="727"/>
      <c r="AH319" s="727"/>
      <c r="AI319" s="727"/>
      <c r="AJ319" s="727"/>
      <c r="AK319" s="727"/>
      <c r="AL319" s="727"/>
      <c r="AM319" s="727"/>
      <c r="AN319" s="727"/>
      <c r="AO319" s="727"/>
      <c r="AP319" s="727"/>
      <c r="AQ319" s="727"/>
      <c r="AR319" s="727"/>
      <c r="AS319" s="727"/>
      <c r="AT319" s="727"/>
      <c r="AU319" s="727"/>
      <c r="AV319" s="727"/>
      <c r="AW319" s="727"/>
      <c r="AX319" s="727"/>
      <c r="AY319" s="727"/>
      <c r="AZ319" s="727"/>
      <c r="BA319" s="727"/>
      <c r="BB319" s="727"/>
    </row>
    <row r="320" spans="1:54">
      <c r="A320" s="326"/>
      <c r="B320" s="791">
        <v>0.6</v>
      </c>
      <c r="C320" s="792">
        <v>600</v>
      </c>
      <c r="D320" s="779">
        <v>0.66976000000000002</v>
      </c>
      <c r="E320" s="779">
        <v>3299.8</v>
      </c>
      <c r="F320" s="779">
        <v>3701.7</v>
      </c>
      <c r="G320" s="779">
        <v>8.2695000000000007</v>
      </c>
      <c r="H320" s="727"/>
      <c r="I320" s="727"/>
      <c r="J320" s="727"/>
      <c r="K320" s="727"/>
      <c r="L320" s="727"/>
      <c r="M320" s="727"/>
      <c r="N320" s="727"/>
      <c r="O320" s="727"/>
      <c r="P320" s="727"/>
      <c r="Q320" s="727"/>
      <c r="R320" s="727"/>
      <c r="S320" s="727"/>
      <c r="T320" s="727"/>
      <c r="U320" s="727"/>
      <c r="V320" s="727"/>
      <c r="W320" s="727"/>
      <c r="X320" s="727"/>
      <c r="Y320" s="727"/>
      <c r="Z320" s="727"/>
      <c r="AA320" s="727"/>
      <c r="AB320" s="727"/>
      <c r="AC320" s="727"/>
      <c r="AD320" s="727"/>
      <c r="AE320" s="727"/>
      <c r="AF320" s="727"/>
      <c r="AG320" s="727"/>
      <c r="AH320" s="727"/>
      <c r="AI320" s="727"/>
      <c r="AJ320" s="727"/>
      <c r="AK320" s="727"/>
      <c r="AL320" s="727"/>
      <c r="AM320" s="727"/>
      <c r="AN320" s="727"/>
      <c r="AO320" s="727"/>
      <c r="AP320" s="727"/>
      <c r="AQ320" s="727"/>
      <c r="AR320" s="727"/>
      <c r="AS320" s="727"/>
      <c r="AT320" s="727"/>
      <c r="AU320" s="727"/>
      <c r="AV320" s="727"/>
      <c r="AW320" s="727"/>
      <c r="AX320" s="727"/>
      <c r="AY320" s="727"/>
      <c r="AZ320" s="727"/>
      <c r="BA320" s="727"/>
      <c r="BB320" s="727"/>
    </row>
    <row r="321" spans="1:54">
      <c r="A321" s="326"/>
      <c r="B321" s="791">
        <v>0.6</v>
      </c>
      <c r="C321" s="792">
        <v>700</v>
      </c>
      <c r="D321" s="779">
        <v>0.74724999999999997</v>
      </c>
      <c r="E321" s="779">
        <v>3478.1</v>
      </c>
      <c r="F321" s="779">
        <v>3926.4</v>
      </c>
      <c r="G321" s="779">
        <v>8.5131999999999994</v>
      </c>
      <c r="H321" s="727"/>
      <c r="I321" s="727"/>
      <c r="J321" s="727"/>
      <c r="K321" s="727"/>
      <c r="L321" s="727"/>
      <c r="M321" s="727"/>
      <c r="N321" s="727"/>
      <c r="O321" s="727"/>
      <c r="P321" s="727"/>
      <c r="Q321" s="727"/>
      <c r="R321" s="727"/>
      <c r="S321" s="727"/>
      <c r="T321" s="727"/>
      <c r="U321" s="727"/>
      <c r="V321" s="727"/>
      <c r="W321" s="727"/>
      <c r="X321" s="727"/>
      <c r="Y321" s="727"/>
      <c r="Z321" s="727"/>
      <c r="AA321" s="727"/>
      <c r="AB321" s="727"/>
      <c r="AC321" s="727"/>
      <c r="AD321" s="727"/>
      <c r="AE321" s="727"/>
      <c r="AF321" s="727"/>
      <c r="AG321" s="727"/>
      <c r="AH321" s="727"/>
      <c r="AI321" s="727"/>
      <c r="AJ321" s="727"/>
      <c r="AK321" s="727"/>
      <c r="AL321" s="727"/>
      <c r="AM321" s="727"/>
      <c r="AN321" s="727"/>
      <c r="AO321" s="727"/>
      <c r="AP321" s="727"/>
      <c r="AQ321" s="727"/>
      <c r="AR321" s="727"/>
      <c r="AS321" s="727"/>
      <c r="AT321" s="727"/>
      <c r="AU321" s="727"/>
      <c r="AV321" s="727"/>
      <c r="AW321" s="727"/>
      <c r="AX321" s="727"/>
      <c r="AY321" s="727"/>
      <c r="AZ321" s="727"/>
      <c r="BA321" s="727"/>
      <c r="BB321" s="727"/>
    </row>
    <row r="322" spans="1:54">
      <c r="A322" s="326"/>
      <c r="B322" s="791">
        <v>0.6</v>
      </c>
      <c r="C322" s="792">
        <v>800</v>
      </c>
      <c r="D322" s="779">
        <v>0.82457000000000003</v>
      </c>
      <c r="E322" s="779">
        <v>3663.2</v>
      </c>
      <c r="F322" s="779">
        <v>4157.8999999999996</v>
      </c>
      <c r="G322" s="779">
        <v>8.7394999999999996</v>
      </c>
      <c r="H322" s="727"/>
      <c r="I322" s="727"/>
      <c r="J322" s="727"/>
      <c r="K322" s="727"/>
      <c r="L322" s="727"/>
      <c r="M322" s="727"/>
      <c r="N322" s="727"/>
      <c r="O322" s="727"/>
      <c r="P322" s="727"/>
      <c r="Q322" s="727"/>
      <c r="R322" s="727"/>
      <c r="S322" s="727"/>
      <c r="T322" s="727"/>
      <c r="U322" s="727"/>
      <c r="V322" s="727"/>
      <c r="W322" s="727"/>
      <c r="X322" s="727"/>
      <c r="Y322" s="727"/>
      <c r="Z322" s="727"/>
      <c r="AA322" s="727"/>
      <c r="AB322" s="727"/>
      <c r="AC322" s="727"/>
      <c r="AD322" s="727"/>
      <c r="AE322" s="727"/>
      <c r="AF322" s="727"/>
      <c r="AG322" s="727"/>
      <c r="AH322" s="727"/>
      <c r="AI322" s="727"/>
      <c r="AJ322" s="727"/>
      <c r="AK322" s="727"/>
      <c r="AL322" s="727"/>
      <c r="AM322" s="727"/>
      <c r="AN322" s="727"/>
      <c r="AO322" s="727"/>
      <c r="AP322" s="727"/>
      <c r="AQ322" s="727"/>
      <c r="AR322" s="727"/>
      <c r="AS322" s="727"/>
      <c r="AT322" s="727"/>
      <c r="AU322" s="727"/>
      <c r="AV322" s="727"/>
      <c r="AW322" s="727"/>
      <c r="AX322" s="727"/>
      <c r="AY322" s="727"/>
      <c r="AZ322" s="727"/>
      <c r="BA322" s="727"/>
      <c r="BB322" s="727"/>
    </row>
    <row r="323" spans="1:54">
      <c r="A323" s="326"/>
      <c r="B323" s="791">
        <v>0.6</v>
      </c>
      <c r="C323" s="792">
        <v>900</v>
      </c>
      <c r="D323" s="779">
        <v>0.90178999999999998</v>
      </c>
      <c r="E323" s="779">
        <v>3855.1</v>
      </c>
      <c r="F323" s="779">
        <v>4396.2</v>
      </c>
      <c r="G323" s="779">
        <v>8.9518000000000004</v>
      </c>
      <c r="H323" s="727"/>
      <c r="I323" s="727"/>
      <c r="J323" s="727"/>
      <c r="K323" s="727"/>
      <c r="L323" s="727"/>
      <c r="M323" s="727"/>
      <c r="N323" s="727"/>
      <c r="O323" s="727"/>
      <c r="P323" s="727"/>
      <c r="Q323" s="727"/>
      <c r="R323" s="727"/>
      <c r="S323" s="727"/>
      <c r="T323" s="727"/>
      <c r="U323" s="727"/>
      <c r="V323" s="727"/>
      <c r="W323" s="727"/>
      <c r="X323" s="727"/>
      <c r="Y323" s="727"/>
      <c r="Z323" s="727"/>
      <c r="AA323" s="727"/>
      <c r="AB323" s="727"/>
      <c r="AC323" s="727"/>
      <c r="AD323" s="727"/>
      <c r="AE323" s="727"/>
      <c r="AF323" s="727"/>
      <c r="AG323" s="727"/>
      <c r="AH323" s="727"/>
      <c r="AI323" s="727"/>
      <c r="AJ323" s="727"/>
      <c r="AK323" s="727"/>
      <c r="AL323" s="727"/>
      <c r="AM323" s="727"/>
      <c r="AN323" s="727"/>
      <c r="AO323" s="727"/>
      <c r="AP323" s="727"/>
      <c r="AQ323" s="727"/>
      <c r="AR323" s="727"/>
      <c r="AS323" s="727"/>
      <c r="AT323" s="727"/>
      <c r="AU323" s="727"/>
      <c r="AV323" s="727"/>
      <c r="AW323" s="727"/>
      <c r="AX323" s="727"/>
      <c r="AY323" s="727"/>
      <c r="AZ323" s="727"/>
      <c r="BA323" s="727"/>
      <c r="BB323" s="727"/>
    </row>
    <row r="324" spans="1:54">
      <c r="A324" s="326"/>
      <c r="B324" s="791">
        <v>0.6</v>
      </c>
      <c r="C324" s="792">
        <v>1000</v>
      </c>
      <c r="D324" s="779">
        <v>0.97892999999999997</v>
      </c>
      <c r="E324" s="779">
        <v>4053.8</v>
      </c>
      <c r="F324" s="779">
        <v>4641.1000000000004</v>
      </c>
      <c r="G324" s="779">
        <v>9.1521000000000008</v>
      </c>
      <c r="H324" s="727"/>
      <c r="I324" s="727"/>
      <c r="J324" s="727"/>
      <c r="K324" s="727"/>
      <c r="L324" s="727"/>
      <c r="M324" s="727"/>
      <c r="N324" s="727"/>
      <c r="O324" s="727"/>
      <c r="P324" s="727"/>
      <c r="Q324" s="727"/>
      <c r="R324" s="727"/>
      <c r="S324" s="727"/>
      <c r="T324" s="727"/>
      <c r="U324" s="727"/>
      <c r="V324" s="727"/>
      <c r="W324" s="727"/>
      <c r="X324" s="727"/>
      <c r="Y324" s="727"/>
      <c r="Z324" s="727"/>
      <c r="AA324" s="727"/>
      <c r="AB324" s="727"/>
      <c r="AC324" s="727"/>
      <c r="AD324" s="727"/>
      <c r="AE324" s="727"/>
      <c r="AF324" s="727"/>
      <c r="AG324" s="727"/>
      <c r="AH324" s="727"/>
      <c r="AI324" s="727"/>
      <c r="AJ324" s="727"/>
      <c r="AK324" s="727"/>
      <c r="AL324" s="727"/>
      <c r="AM324" s="727"/>
      <c r="AN324" s="727"/>
      <c r="AO324" s="727"/>
      <c r="AP324" s="727"/>
      <c r="AQ324" s="727"/>
      <c r="AR324" s="727"/>
      <c r="AS324" s="727"/>
      <c r="AT324" s="727"/>
      <c r="AU324" s="727"/>
      <c r="AV324" s="727"/>
      <c r="AW324" s="727"/>
      <c r="AX324" s="727"/>
      <c r="AY324" s="727"/>
      <c r="AZ324" s="727"/>
      <c r="BA324" s="727"/>
      <c r="BB324" s="727"/>
    </row>
    <row r="325" spans="1:54">
      <c r="A325" s="326"/>
      <c r="B325" s="791">
        <v>0.6</v>
      </c>
      <c r="C325" s="792">
        <v>1100</v>
      </c>
      <c r="D325" s="779">
        <v>1.05603</v>
      </c>
      <c r="E325" s="779">
        <v>4258.8</v>
      </c>
      <c r="F325" s="779">
        <v>4892.3999999999996</v>
      </c>
      <c r="G325" s="779">
        <v>9.3420000000000005</v>
      </c>
      <c r="H325" s="727"/>
      <c r="I325" s="727"/>
      <c r="J325" s="727"/>
      <c r="K325" s="727"/>
      <c r="L325" s="727"/>
      <c r="M325" s="727"/>
      <c r="N325" s="727"/>
      <c r="O325" s="727"/>
      <c r="P325" s="727"/>
      <c r="Q325" s="727"/>
      <c r="R325" s="727"/>
      <c r="S325" s="727"/>
      <c r="T325" s="727"/>
      <c r="U325" s="727"/>
      <c r="V325" s="727"/>
      <c r="W325" s="727"/>
      <c r="X325" s="727"/>
      <c r="Y325" s="727"/>
      <c r="Z325" s="727"/>
      <c r="AA325" s="727"/>
      <c r="AB325" s="727"/>
      <c r="AC325" s="727"/>
      <c r="AD325" s="727"/>
      <c r="AE325" s="727"/>
      <c r="AF325" s="727"/>
      <c r="AG325" s="727"/>
      <c r="AH325" s="727"/>
      <c r="AI325" s="727"/>
      <c r="AJ325" s="727"/>
      <c r="AK325" s="727"/>
      <c r="AL325" s="727"/>
      <c r="AM325" s="727"/>
      <c r="AN325" s="727"/>
      <c r="AO325" s="727"/>
      <c r="AP325" s="727"/>
      <c r="AQ325" s="727"/>
      <c r="AR325" s="727"/>
      <c r="AS325" s="727"/>
      <c r="AT325" s="727"/>
      <c r="AU325" s="727"/>
      <c r="AV325" s="727"/>
      <c r="AW325" s="727"/>
      <c r="AX325" s="727"/>
      <c r="AY325" s="727"/>
      <c r="AZ325" s="727"/>
      <c r="BA325" s="727"/>
      <c r="BB325" s="727"/>
    </row>
    <row r="326" spans="1:54">
      <c r="A326" s="326"/>
      <c r="B326" s="791">
        <v>0.6</v>
      </c>
      <c r="C326" s="792">
        <v>1200</v>
      </c>
      <c r="D326" s="779">
        <v>1.1330899999999999</v>
      </c>
      <c r="E326" s="779">
        <v>4469.8</v>
      </c>
      <c r="F326" s="779">
        <v>5149.6000000000004</v>
      </c>
      <c r="G326" s="779">
        <v>9.5228999999999999</v>
      </c>
      <c r="H326" s="727"/>
      <c r="I326" s="727"/>
      <c r="J326" s="727"/>
      <c r="K326" s="727"/>
      <c r="L326" s="727"/>
      <c r="M326" s="727"/>
      <c r="N326" s="727"/>
      <c r="O326" s="727"/>
      <c r="P326" s="727"/>
      <c r="Q326" s="727"/>
      <c r="R326" s="727"/>
      <c r="S326" s="727"/>
      <c r="T326" s="727"/>
      <c r="U326" s="727"/>
      <c r="V326" s="727"/>
      <c r="W326" s="727"/>
      <c r="X326" s="727"/>
      <c r="Y326" s="727"/>
      <c r="Z326" s="727"/>
      <c r="AA326" s="727"/>
      <c r="AB326" s="727"/>
      <c r="AC326" s="727"/>
      <c r="AD326" s="727"/>
      <c r="AE326" s="727"/>
      <c r="AF326" s="727"/>
      <c r="AG326" s="727"/>
      <c r="AH326" s="727"/>
      <c r="AI326" s="727"/>
      <c r="AJ326" s="727"/>
      <c r="AK326" s="727"/>
      <c r="AL326" s="727"/>
      <c r="AM326" s="727"/>
      <c r="AN326" s="727"/>
      <c r="AO326" s="727"/>
      <c r="AP326" s="727"/>
      <c r="AQ326" s="727"/>
      <c r="AR326" s="727"/>
      <c r="AS326" s="727"/>
      <c r="AT326" s="727"/>
      <c r="AU326" s="727"/>
      <c r="AV326" s="727"/>
      <c r="AW326" s="727"/>
      <c r="AX326" s="727"/>
      <c r="AY326" s="727"/>
      <c r="AZ326" s="727"/>
      <c r="BA326" s="727"/>
      <c r="BB326" s="727"/>
    </row>
    <row r="327" spans="1:54">
      <c r="A327" s="326"/>
      <c r="B327" s="791">
        <v>0.6</v>
      </c>
      <c r="C327" s="792">
        <v>1300</v>
      </c>
      <c r="D327" s="779">
        <v>1.2101200000000001</v>
      </c>
      <c r="E327" s="779">
        <v>4686.3999999999996</v>
      </c>
      <c r="F327" s="779">
        <v>5412.5</v>
      </c>
      <c r="G327" s="779">
        <v>9.6954999999999991</v>
      </c>
      <c r="H327" s="727"/>
      <c r="I327" s="727"/>
      <c r="J327" s="727"/>
      <c r="K327" s="727"/>
      <c r="L327" s="727"/>
      <c r="M327" s="727"/>
      <c r="N327" s="727"/>
      <c r="O327" s="727"/>
      <c r="P327" s="727"/>
      <c r="Q327" s="727"/>
      <c r="R327" s="727"/>
      <c r="S327" s="727"/>
      <c r="T327" s="727"/>
      <c r="U327" s="727"/>
      <c r="V327" s="727"/>
      <c r="W327" s="727"/>
      <c r="X327" s="727"/>
      <c r="Y327" s="727"/>
      <c r="Z327" s="727"/>
      <c r="AA327" s="727"/>
      <c r="AB327" s="727"/>
      <c r="AC327" s="727"/>
      <c r="AD327" s="727"/>
      <c r="AE327" s="727"/>
      <c r="AF327" s="727"/>
      <c r="AG327" s="727"/>
      <c r="AH327" s="727"/>
      <c r="AI327" s="727"/>
      <c r="AJ327" s="727"/>
      <c r="AK327" s="727"/>
      <c r="AL327" s="727"/>
      <c r="AM327" s="727"/>
      <c r="AN327" s="727"/>
      <c r="AO327" s="727"/>
      <c r="AP327" s="727"/>
      <c r="AQ327" s="727"/>
      <c r="AR327" s="727"/>
      <c r="AS327" s="727"/>
      <c r="AT327" s="727"/>
      <c r="AU327" s="727"/>
      <c r="AV327" s="727"/>
      <c r="AW327" s="727"/>
      <c r="AX327" s="727"/>
      <c r="AY327" s="727"/>
      <c r="AZ327" s="727"/>
      <c r="BA327" s="727"/>
      <c r="BB327" s="727"/>
    </row>
    <row r="328" spans="1:54">
      <c r="A328" s="326"/>
      <c r="B328" s="791">
        <v>0.8</v>
      </c>
      <c r="C328" s="792">
        <v>170.41</v>
      </c>
      <c r="D328" s="779">
        <v>0.24035000000000001</v>
      </c>
      <c r="E328" s="779">
        <v>2576</v>
      </c>
      <c r="F328" s="779">
        <v>2768.3</v>
      </c>
      <c r="G328" s="779">
        <v>6.6616</v>
      </c>
      <c r="H328" s="727"/>
      <c r="I328" s="727"/>
      <c r="J328" s="727"/>
      <c r="K328" s="727"/>
      <c r="L328" s="727"/>
      <c r="M328" s="727"/>
      <c r="N328" s="727"/>
      <c r="O328" s="727"/>
      <c r="P328" s="727"/>
      <c r="Q328" s="727"/>
      <c r="R328" s="727"/>
      <c r="S328" s="727"/>
      <c r="T328" s="727"/>
      <c r="U328" s="727"/>
      <c r="V328" s="727"/>
      <c r="W328" s="727"/>
      <c r="X328" s="727"/>
      <c r="Y328" s="727"/>
      <c r="Z328" s="727"/>
      <c r="AA328" s="727"/>
      <c r="AB328" s="727"/>
      <c r="AC328" s="727"/>
      <c r="AD328" s="727"/>
      <c r="AE328" s="727"/>
      <c r="AF328" s="727"/>
      <c r="AG328" s="727"/>
      <c r="AH328" s="727"/>
      <c r="AI328" s="727"/>
      <c r="AJ328" s="727"/>
      <c r="AK328" s="727"/>
      <c r="AL328" s="727"/>
      <c r="AM328" s="727"/>
      <c r="AN328" s="727"/>
      <c r="AO328" s="727"/>
      <c r="AP328" s="727"/>
      <c r="AQ328" s="727"/>
      <c r="AR328" s="727"/>
      <c r="AS328" s="727"/>
      <c r="AT328" s="727"/>
      <c r="AU328" s="727"/>
      <c r="AV328" s="727"/>
      <c r="AW328" s="727"/>
      <c r="AX328" s="727"/>
      <c r="AY328" s="727"/>
      <c r="AZ328" s="727"/>
      <c r="BA328" s="727"/>
      <c r="BB328" s="727"/>
    </row>
    <row r="329" spans="1:54">
      <c r="A329" s="326"/>
      <c r="B329" s="791">
        <v>0.8</v>
      </c>
      <c r="C329" s="792">
        <v>200</v>
      </c>
      <c r="D329" s="779">
        <v>0.26088</v>
      </c>
      <c r="E329" s="779">
        <v>2631.1</v>
      </c>
      <c r="F329" s="779">
        <v>2839.8</v>
      </c>
      <c r="G329" s="779">
        <v>6.8177000000000003</v>
      </c>
      <c r="H329" s="727"/>
      <c r="I329" s="727"/>
      <c r="J329" s="727"/>
      <c r="K329" s="727"/>
      <c r="L329" s="727"/>
      <c r="M329" s="727"/>
      <c r="N329" s="727"/>
      <c r="O329" s="727"/>
      <c r="P329" s="727"/>
      <c r="Q329" s="727"/>
      <c r="R329" s="727"/>
      <c r="S329" s="727"/>
      <c r="T329" s="727"/>
      <c r="U329" s="727"/>
      <c r="V329" s="727"/>
      <c r="W329" s="727"/>
      <c r="X329" s="727"/>
      <c r="Y329" s="727"/>
      <c r="Z329" s="727"/>
      <c r="AA329" s="727"/>
      <c r="AB329" s="727"/>
      <c r="AC329" s="727"/>
      <c r="AD329" s="727"/>
      <c r="AE329" s="727"/>
      <c r="AF329" s="727"/>
      <c r="AG329" s="727"/>
      <c r="AH329" s="727"/>
      <c r="AI329" s="727"/>
      <c r="AJ329" s="727"/>
      <c r="AK329" s="727"/>
      <c r="AL329" s="727"/>
      <c r="AM329" s="727"/>
      <c r="AN329" s="727"/>
      <c r="AO329" s="727"/>
      <c r="AP329" s="727"/>
      <c r="AQ329" s="727"/>
      <c r="AR329" s="727"/>
      <c r="AS329" s="727"/>
      <c r="AT329" s="727"/>
      <c r="AU329" s="727"/>
      <c r="AV329" s="727"/>
      <c r="AW329" s="727"/>
      <c r="AX329" s="727"/>
      <c r="AY329" s="727"/>
      <c r="AZ329" s="727"/>
      <c r="BA329" s="727"/>
      <c r="BB329" s="727"/>
    </row>
    <row r="330" spans="1:54">
      <c r="A330" s="326"/>
      <c r="B330" s="791">
        <v>0.8</v>
      </c>
      <c r="C330" s="792">
        <v>250</v>
      </c>
      <c r="D330" s="779">
        <v>0.29321000000000003</v>
      </c>
      <c r="E330" s="779">
        <v>2715.9</v>
      </c>
      <c r="F330" s="779">
        <v>2950.4</v>
      </c>
      <c r="G330" s="779">
        <v>7.0401999999999996</v>
      </c>
      <c r="H330" s="727"/>
      <c r="I330" s="727"/>
      <c r="J330" s="727"/>
      <c r="K330" s="727"/>
      <c r="L330" s="727"/>
      <c r="M330" s="727"/>
      <c r="N330" s="727"/>
      <c r="O330" s="727"/>
      <c r="P330" s="727"/>
      <c r="Q330" s="727"/>
      <c r="R330" s="727"/>
      <c r="S330" s="727"/>
      <c r="T330" s="727"/>
      <c r="U330" s="727"/>
      <c r="V330" s="727"/>
      <c r="W330" s="727"/>
      <c r="X330" s="727"/>
      <c r="Y330" s="727"/>
      <c r="Z330" s="727"/>
      <c r="AA330" s="727"/>
      <c r="AB330" s="727"/>
      <c r="AC330" s="727"/>
      <c r="AD330" s="727"/>
      <c r="AE330" s="727"/>
      <c r="AF330" s="727"/>
      <c r="AG330" s="727"/>
      <c r="AH330" s="727"/>
      <c r="AI330" s="727"/>
      <c r="AJ330" s="727"/>
      <c r="AK330" s="727"/>
      <c r="AL330" s="727"/>
      <c r="AM330" s="727"/>
      <c r="AN330" s="727"/>
      <c r="AO330" s="727"/>
      <c r="AP330" s="727"/>
      <c r="AQ330" s="727"/>
      <c r="AR330" s="727"/>
      <c r="AS330" s="727"/>
      <c r="AT330" s="727"/>
      <c r="AU330" s="727"/>
      <c r="AV330" s="727"/>
      <c r="AW330" s="727"/>
      <c r="AX330" s="727"/>
      <c r="AY330" s="727"/>
      <c r="AZ330" s="727"/>
      <c r="BA330" s="727"/>
      <c r="BB330" s="727"/>
    </row>
    <row r="331" spans="1:54">
      <c r="A331" s="326"/>
      <c r="B331" s="791">
        <v>0.8</v>
      </c>
      <c r="C331" s="792">
        <v>300</v>
      </c>
      <c r="D331" s="779">
        <v>0.32416</v>
      </c>
      <c r="E331" s="779">
        <v>2797.5</v>
      </c>
      <c r="F331" s="779">
        <v>3056.9</v>
      </c>
      <c r="G331" s="779">
        <v>7.2344999999999997</v>
      </c>
      <c r="H331" s="727"/>
      <c r="I331" s="727"/>
      <c r="J331" s="727"/>
      <c r="K331" s="727"/>
      <c r="L331" s="727"/>
      <c r="M331" s="727"/>
      <c r="N331" s="727"/>
      <c r="O331" s="727"/>
      <c r="P331" s="727"/>
      <c r="Q331" s="727"/>
      <c r="R331" s="727"/>
      <c r="S331" s="727"/>
      <c r="T331" s="727"/>
      <c r="U331" s="727"/>
      <c r="V331" s="727"/>
      <c r="W331" s="727"/>
      <c r="X331" s="727"/>
      <c r="Y331" s="727"/>
      <c r="Z331" s="727"/>
      <c r="AA331" s="727"/>
      <c r="AB331" s="727"/>
      <c r="AC331" s="727"/>
      <c r="AD331" s="727"/>
      <c r="AE331" s="727"/>
      <c r="AF331" s="727"/>
      <c r="AG331" s="727"/>
      <c r="AH331" s="727"/>
      <c r="AI331" s="727"/>
      <c r="AJ331" s="727"/>
      <c r="AK331" s="727"/>
      <c r="AL331" s="727"/>
      <c r="AM331" s="727"/>
      <c r="AN331" s="727"/>
      <c r="AO331" s="727"/>
      <c r="AP331" s="727"/>
      <c r="AQ331" s="727"/>
      <c r="AR331" s="727"/>
      <c r="AS331" s="727"/>
      <c r="AT331" s="727"/>
      <c r="AU331" s="727"/>
      <c r="AV331" s="727"/>
      <c r="AW331" s="727"/>
      <c r="AX331" s="727"/>
      <c r="AY331" s="727"/>
      <c r="AZ331" s="727"/>
      <c r="BA331" s="727"/>
      <c r="BB331" s="727"/>
    </row>
    <row r="332" spans="1:54">
      <c r="A332" s="326"/>
      <c r="B332" s="791">
        <v>0.8</v>
      </c>
      <c r="C332" s="792">
        <v>350</v>
      </c>
      <c r="D332" s="779">
        <v>0.35442000000000001</v>
      </c>
      <c r="E332" s="779">
        <v>2878.6</v>
      </c>
      <c r="F332" s="779">
        <v>3162.2</v>
      </c>
      <c r="G332" s="779">
        <v>7.4107000000000003</v>
      </c>
      <c r="H332" s="727"/>
      <c r="I332" s="727"/>
      <c r="J332" s="727"/>
      <c r="K332" s="727"/>
      <c r="L332" s="727"/>
      <c r="M332" s="727"/>
      <c r="N332" s="727"/>
      <c r="O332" s="727"/>
      <c r="P332" s="727"/>
      <c r="Q332" s="727"/>
      <c r="R332" s="727"/>
      <c r="S332" s="727"/>
      <c r="T332" s="727"/>
      <c r="U332" s="727"/>
      <c r="V332" s="727"/>
      <c r="W332" s="727"/>
      <c r="X332" s="727"/>
      <c r="Y332" s="727"/>
      <c r="Z332" s="727"/>
      <c r="AA332" s="727"/>
      <c r="AB332" s="727"/>
      <c r="AC332" s="727"/>
      <c r="AD332" s="727"/>
      <c r="AE332" s="727"/>
      <c r="AF332" s="727"/>
      <c r="AG332" s="727"/>
      <c r="AH332" s="727"/>
      <c r="AI332" s="727"/>
      <c r="AJ332" s="727"/>
      <c r="AK332" s="727"/>
      <c r="AL332" s="727"/>
      <c r="AM332" s="727"/>
      <c r="AN332" s="727"/>
      <c r="AO332" s="727"/>
      <c r="AP332" s="727"/>
      <c r="AQ332" s="727"/>
      <c r="AR332" s="727"/>
      <c r="AS332" s="727"/>
      <c r="AT332" s="727"/>
      <c r="AU332" s="727"/>
      <c r="AV332" s="727"/>
      <c r="AW332" s="727"/>
      <c r="AX332" s="727"/>
      <c r="AY332" s="727"/>
      <c r="AZ332" s="727"/>
      <c r="BA332" s="727"/>
      <c r="BB332" s="727"/>
    </row>
    <row r="333" spans="1:54">
      <c r="A333" s="326"/>
      <c r="B333" s="791">
        <v>0.8</v>
      </c>
      <c r="C333" s="792">
        <v>400</v>
      </c>
      <c r="D333" s="779">
        <v>0.38429000000000002</v>
      </c>
      <c r="E333" s="779">
        <v>2960.2</v>
      </c>
      <c r="F333" s="779">
        <v>3267.7</v>
      </c>
      <c r="G333" s="779">
        <v>7.5735000000000001</v>
      </c>
      <c r="H333" s="727"/>
      <c r="I333" s="727"/>
      <c r="J333" s="727"/>
      <c r="K333" s="727"/>
      <c r="L333" s="727"/>
      <c r="M333" s="727"/>
      <c r="N333" s="727"/>
      <c r="O333" s="727"/>
      <c r="P333" s="727"/>
      <c r="Q333" s="727"/>
      <c r="R333" s="727"/>
      <c r="S333" s="727"/>
      <c r="T333" s="727"/>
      <c r="U333" s="727"/>
      <c r="V333" s="727"/>
      <c r="W333" s="727"/>
      <c r="X333" s="727"/>
      <c r="Y333" s="727"/>
      <c r="Z333" s="727"/>
      <c r="AA333" s="727"/>
      <c r="AB333" s="727"/>
      <c r="AC333" s="727"/>
      <c r="AD333" s="727"/>
      <c r="AE333" s="727"/>
      <c r="AF333" s="727"/>
      <c r="AG333" s="727"/>
      <c r="AH333" s="727"/>
      <c r="AI333" s="727"/>
      <c r="AJ333" s="727"/>
      <c r="AK333" s="727"/>
      <c r="AL333" s="727"/>
      <c r="AM333" s="727"/>
      <c r="AN333" s="727"/>
      <c r="AO333" s="727"/>
      <c r="AP333" s="727"/>
      <c r="AQ333" s="727"/>
      <c r="AR333" s="727"/>
      <c r="AS333" s="727"/>
      <c r="AT333" s="727"/>
      <c r="AU333" s="727"/>
      <c r="AV333" s="727"/>
      <c r="AW333" s="727"/>
      <c r="AX333" s="727"/>
      <c r="AY333" s="727"/>
      <c r="AZ333" s="727"/>
      <c r="BA333" s="727"/>
      <c r="BB333" s="727"/>
    </row>
    <row r="334" spans="1:54">
      <c r="A334" s="326"/>
      <c r="B334" s="791">
        <v>0.8</v>
      </c>
      <c r="C334" s="792">
        <v>500</v>
      </c>
      <c r="D334" s="779">
        <v>0.44331999999999999</v>
      </c>
      <c r="E334" s="779">
        <v>3126.6</v>
      </c>
      <c r="F334" s="779">
        <v>3481.3</v>
      </c>
      <c r="G334" s="779">
        <v>7.8692000000000002</v>
      </c>
      <c r="H334" s="727"/>
      <c r="I334" s="727"/>
      <c r="J334" s="727"/>
      <c r="K334" s="727"/>
      <c r="L334" s="727"/>
      <c r="M334" s="727"/>
      <c r="N334" s="727"/>
      <c r="O334" s="727"/>
      <c r="P334" s="727"/>
      <c r="Q334" s="727"/>
      <c r="R334" s="727"/>
      <c r="S334" s="727"/>
      <c r="T334" s="727"/>
      <c r="U334" s="727"/>
      <c r="V334" s="727"/>
      <c r="W334" s="727"/>
      <c r="X334" s="727"/>
      <c r="Y334" s="727"/>
      <c r="Z334" s="727"/>
      <c r="AA334" s="727"/>
      <c r="AB334" s="727"/>
      <c r="AC334" s="727"/>
      <c r="AD334" s="727"/>
      <c r="AE334" s="727"/>
      <c r="AF334" s="727"/>
      <c r="AG334" s="727"/>
      <c r="AH334" s="727"/>
      <c r="AI334" s="727"/>
      <c r="AJ334" s="727"/>
      <c r="AK334" s="727"/>
      <c r="AL334" s="727"/>
      <c r="AM334" s="727"/>
      <c r="AN334" s="727"/>
      <c r="AO334" s="727"/>
      <c r="AP334" s="727"/>
      <c r="AQ334" s="727"/>
      <c r="AR334" s="727"/>
      <c r="AS334" s="727"/>
      <c r="AT334" s="727"/>
      <c r="AU334" s="727"/>
      <c r="AV334" s="727"/>
      <c r="AW334" s="727"/>
      <c r="AX334" s="727"/>
      <c r="AY334" s="727"/>
      <c r="AZ334" s="727"/>
      <c r="BA334" s="727"/>
      <c r="BB334" s="727"/>
    </row>
    <row r="335" spans="1:54">
      <c r="A335" s="326"/>
      <c r="B335" s="791">
        <v>0.8</v>
      </c>
      <c r="C335" s="792">
        <v>600</v>
      </c>
      <c r="D335" s="779">
        <v>0.50185999999999997</v>
      </c>
      <c r="E335" s="779">
        <v>3298.7</v>
      </c>
      <c r="F335" s="779">
        <v>3700.1</v>
      </c>
      <c r="G335" s="779">
        <v>8.1354000000000006</v>
      </c>
      <c r="H335" s="727"/>
      <c r="I335" s="727"/>
      <c r="J335" s="727"/>
      <c r="K335" s="727"/>
      <c r="L335" s="727"/>
      <c r="M335" s="727"/>
      <c r="N335" s="727"/>
      <c r="O335" s="727"/>
      <c r="P335" s="727"/>
      <c r="Q335" s="727"/>
      <c r="R335" s="727"/>
      <c r="S335" s="727"/>
      <c r="T335" s="727"/>
      <c r="U335" s="727"/>
      <c r="V335" s="727"/>
      <c r="W335" s="727"/>
      <c r="X335" s="727"/>
      <c r="Y335" s="727"/>
      <c r="Z335" s="727"/>
      <c r="AA335" s="727"/>
      <c r="AB335" s="727"/>
      <c r="AC335" s="727"/>
      <c r="AD335" s="727"/>
      <c r="AE335" s="727"/>
      <c r="AF335" s="727"/>
      <c r="AG335" s="727"/>
      <c r="AH335" s="727"/>
      <c r="AI335" s="727"/>
      <c r="AJ335" s="727"/>
      <c r="AK335" s="727"/>
      <c r="AL335" s="727"/>
      <c r="AM335" s="727"/>
      <c r="AN335" s="727"/>
      <c r="AO335" s="727"/>
      <c r="AP335" s="727"/>
      <c r="AQ335" s="727"/>
      <c r="AR335" s="727"/>
      <c r="AS335" s="727"/>
      <c r="AT335" s="727"/>
      <c r="AU335" s="727"/>
      <c r="AV335" s="727"/>
      <c r="AW335" s="727"/>
      <c r="AX335" s="727"/>
      <c r="AY335" s="727"/>
      <c r="AZ335" s="727"/>
      <c r="BA335" s="727"/>
      <c r="BB335" s="727"/>
    </row>
    <row r="336" spans="1:54">
      <c r="A336" s="326"/>
      <c r="B336" s="791">
        <v>0.8</v>
      </c>
      <c r="C336" s="792">
        <v>700</v>
      </c>
      <c r="D336" s="779">
        <v>0.56011</v>
      </c>
      <c r="E336" s="779">
        <v>3477.2</v>
      </c>
      <c r="F336" s="779">
        <v>3925.3</v>
      </c>
      <c r="G336" s="779">
        <v>8.3794000000000004</v>
      </c>
      <c r="H336" s="727"/>
      <c r="I336" s="727"/>
      <c r="J336" s="727"/>
      <c r="K336" s="727"/>
      <c r="L336" s="727"/>
      <c r="M336" s="727"/>
      <c r="N336" s="727"/>
      <c r="O336" s="727"/>
      <c r="P336" s="727"/>
      <c r="Q336" s="727"/>
      <c r="R336" s="727"/>
      <c r="S336" s="727"/>
      <c r="T336" s="727"/>
      <c r="U336" s="727"/>
      <c r="V336" s="727"/>
      <c r="W336" s="727"/>
      <c r="X336" s="727"/>
      <c r="Y336" s="727"/>
      <c r="Z336" s="727"/>
      <c r="AA336" s="727"/>
      <c r="AB336" s="727"/>
      <c r="AC336" s="727"/>
      <c r="AD336" s="727"/>
      <c r="AE336" s="727"/>
      <c r="AF336" s="727"/>
      <c r="AG336" s="727"/>
      <c r="AH336" s="727"/>
      <c r="AI336" s="727"/>
      <c r="AJ336" s="727"/>
      <c r="AK336" s="727"/>
      <c r="AL336" s="727"/>
      <c r="AM336" s="727"/>
      <c r="AN336" s="727"/>
      <c r="AO336" s="727"/>
      <c r="AP336" s="727"/>
      <c r="AQ336" s="727"/>
      <c r="AR336" s="727"/>
      <c r="AS336" s="727"/>
      <c r="AT336" s="727"/>
      <c r="AU336" s="727"/>
      <c r="AV336" s="727"/>
      <c r="AW336" s="727"/>
      <c r="AX336" s="727"/>
      <c r="AY336" s="727"/>
      <c r="AZ336" s="727"/>
      <c r="BA336" s="727"/>
      <c r="BB336" s="727"/>
    </row>
    <row r="337" spans="1:54">
      <c r="A337" s="326"/>
      <c r="B337" s="791">
        <v>0.8</v>
      </c>
      <c r="C337" s="792">
        <v>800</v>
      </c>
      <c r="D337" s="779">
        <v>0.61819999999999997</v>
      </c>
      <c r="E337" s="779">
        <v>3662.5</v>
      </c>
      <c r="F337" s="779">
        <v>4157</v>
      </c>
      <c r="G337" s="779">
        <v>8.6060999999999996</v>
      </c>
      <c r="H337" s="727"/>
      <c r="I337" s="727"/>
      <c r="J337" s="727"/>
      <c r="K337" s="727"/>
      <c r="L337" s="727"/>
      <c r="M337" s="727"/>
      <c r="N337" s="727"/>
      <c r="O337" s="727"/>
      <c r="P337" s="727"/>
      <c r="Q337" s="727"/>
      <c r="R337" s="727"/>
      <c r="S337" s="727"/>
      <c r="T337" s="727"/>
      <c r="U337" s="727"/>
      <c r="V337" s="727"/>
      <c r="W337" s="727"/>
      <c r="X337" s="727"/>
      <c r="Y337" s="727"/>
      <c r="Z337" s="727"/>
      <c r="AA337" s="727"/>
      <c r="AB337" s="727"/>
      <c r="AC337" s="727"/>
      <c r="AD337" s="727"/>
      <c r="AE337" s="727"/>
      <c r="AF337" s="727"/>
      <c r="AG337" s="727"/>
      <c r="AH337" s="727"/>
      <c r="AI337" s="727"/>
      <c r="AJ337" s="727"/>
      <c r="AK337" s="727"/>
      <c r="AL337" s="727"/>
      <c r="AM337" s="727"/>
      <c r="AN337" s="727"/>
      <c r="AO337" s="727"/>
      <c r="AP337" s="727"/>
      <c r="AQ337" s="727"/>
      <c r="AR337" s="727"/>
      <c r="AS337" s="727"/>
      <c r="AT337" s="727"/>
      <c r="AU337" s="727"/>
      <c r="AV337" s="727"/>
      <c r="AW337" s="727"/>
      <c r="AX337" s="727"/>
      <c r="AY337" s="727"/>
      <c r="AZ337" s="727"/>
      <c r="BA337" s="727"/>
      <c r="BB337" s="727"/>
    </row>
    <row r="338" spans="1:54">
      <c r="A338" s="326"/>
      <c r="B338" s="791">
        <v>0.8</v>
      </c>
      <c r="C338" s="792">
        <v>900</v>
      </c>
      <c r="D338" s="779">
        <v>0.67618999999999996</v>
      </c>
      <c r="E338" s="779">
        <v>3854.5</v>
      </c>
      <c r="F338" s="779">
        <v>4395.5</v>
      </c>
      <c r="G338" s="779">
        <v>8.8185000000000002</v>
      </c>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727"/>
      <c r="AL338" s="727"/>
      <c r="AM338" s="727"/>
      <c r="AN338" s="727"/>
      <c r="AO338" s="727"/>
      <c r="AP338" s="727"/>
      <c r="AQ338" s="727"/>
      <c r="AR338" s="727"/>
      <c r="AS338" s="727"/>
      <c r="AT338" s="727"/>
      <c r="AU338" s="727"/>
      <c r="AV338" s="727"/>
      <c r="AW338" s="727"/>
      <c r="AX338" s="727"/>
      <c r="AY338" s="727"/>
      <c r="AZ338" s="727"/>
      <c r="BA338" s="727"/>
      <c r="BB338" s="727"/>
    </row>
    <row r="339" spans="1:54">
      <c r="A339" s="326"/>
      <c r="B339" s="791">
        <v>0.8</v>
      </c>
      <c r="C339" s="792">
        <v>1000</v>
      </c>
      <c r="D339" s="779">
        <v>0.73411000000000004</v>
      </c>
      <c r="E339" s="779">
        <v>4053.3</v>
      </c>
      <c r="F339" s="779">
        <v>4640.5</v>
      </c>
      <c r="G339" s="779">
        <v>9.0189000000000004</v>
      </c>
      <c r="H339" s="727"/>
      <c r="I339" s="727"/>
      <c r="J339" s="727"/>
      <c r="K339" s="727"/>
      <c r="L339" s="727"/>
      <c r="M339" s="727"/>
      <c r="N339" s="727"/>
      <c r="O339" s="727"/>
      <c r="P339" s="727"/>
      <c r="Q339" s="727"/>
      <c r="R339" s="727"/>
      <c r="S339" s="727"/>
      <c r="T339" s="727"/>
      <c r="U339" s="727"/>
      <c r="V339" s="727"/>
      <c r="W339" s="727"/>
      <c r="X339" s="727"/>
      <c r="Y339" s="727"/>
      <c r="Z339" s="727"/>
      <c r="AA339" s="727"/>
      <c r="AB339" s="727"/>
      <c r="AC339" s="727"/>
      <c r="AD339" s="727"/>
      <c r="AE339" s="727"/>
      <c r="AF339" s="727"/>
      <c r="AG339" s="727"/>
      <c r="AH339" s="727"/>
      <c r="AI339" s="727"/>
      <c r="AJ339" s="727"/>
      <c r="AK339" s="727"/>
      <c r="AL339" s="727"/>
      <c r="AM339" s="727"/>
      <c r="AN339" s="727"/>
      <c r="AO339" s="727"/>
      <c r="AP339" s="727"/>
      <c r="AQ339" s="727"/>
      <c r="AR339" s="727"/>
      <c r="AS339" s="727"/>
      <c r="AT339" s="727"/>
      <c r="AU339" s="727"/>
      <c r="AV339" s="727"/>
      <c r="AW339" s="727"/>
      <c r="AX339" s="727"/>
      <c r="AY339" s="727"/>
      <c r="AZ339" s="727"/>
      <c r="BA339" s="727"/>
      <c r="BB339" s="727"/>
    </row>
    <row r="340" spans="1:54">
      <c r="A340" s="326"/>
      <c r="B340" s="791">
        <v>0.8</v>
      </c>
      <c r="C340" s="792">
        <v>1100</v>
      </c>
      <c r="D340" s="779">
        <v>0.79196999999999995</v>
      </c>
      <c r="E340" s="779">
        <v>4258.3</v>
      </c>
      <c r="F340" s="779">
        <v>4891.8999999999996</v>
      </c>
      <c r="G340" s="779">
        <v>9.2089999999999996</v>
      </c>
      <c r="H340" s="727"/>
      <c r="I340" s="727"/>
      <c r="J340" s="727"/>
      <c r="K340" s="727"/>
      <c r="L340" s="727"/>
      <c r="M340" s="727"/>
      <c r="N340" s="727"/>
      <c r="O340" s="727"/>
      <c r="P340" s="727"/>
      <c r="Q340" s="727"/>
      <c r="R340" s="727"/>
      <c r="S340" s="727"/>
      <c r="T340" s="727"/>
      <c r="U340" s="727"/>
      <c r="V340" s="727"/>
      <c r="W340" s="727"/>
      <c r="X340" s="727"/>
      <c r="Y340" s="727"/>
      <c r="Z340" s="727"/>
      <c r="AA340" s="727"/>
      <c r="AB340" s="727"/>
      <c r="AC340" s="727"/>
      <c r="AD340" s="727"/>
      <c r="AE340" s="727"/>
      <c r="AF340" s="727"/>
      <c r="AG340" s="727"/>
      <c r="AH340" s="727"/>
      <c r="AI340" s="727"/>
      <c r="AJ340" s="727"/>
      <c r="AK340" s="727"/>
      <c r="AL340" s="727"/>
      <c r="AM340" s="727"/>
      <c r="AN340" s="727"/>
      <c r="AO340" s="727"/>
      <c r="AP340" s="727"/>
      <c r="AQ340" s="727"/>
      <c r="AR340" s="727"/>
      <c r="AS340" s="727"/>
      <c r="AT340" s="727"/>
      <c r="AU340" s="727"/>
      <c r="AV340" s="727"/>
      <c r="AW340" s="727"/>
      <c r="AX340" s="727"/>
      <c r="AY340" s="727"/>
      <c r="AZ340" s="727"/>
      <c r="BA340" s="727"/>
      <c r="BB340" s="727"/>
    </row>
    <row r="341" spans="1:54">
      <c r="A341" s="326"/>
      <c r="B341" s="791">
        <v>0.8</v>
      </c>
      <c r="C341" s="792">
        <v>1200</v>
      </c>
      <c r="D341" s="779">
        <v>0.8498</v>
      </c>
      <c r="E341" s="779">
        <v>4469.3999999999996</v>
      </c>
      <c r="F341" s="779">
        <v>5149.3</v>
      </c>
      <c r="G341" s="779">
        <v>9.3897999999999993</v>
      </c>
      <c r="H341" s="727"/>
      <c r="I341" s="727"/>
      <c r="J341" s="727"/>
      <c r="K341" s="727"/>
      <c r="L341" s="727"/>
      <c r="M341" s="727"/>
      <c r="N341" s="727"/>
      <c r="O341" s="727"/>
      <c r="P341" s="727"/>
      <c r="Q341" s="727"/>
      <c r="R341" s="727"/>
      <c r="S341" s="727"/>
      <c r="T341" s="727"/>
      <c r="U341" s="727"/>
      <c r="V341" s="727"/>
      <c r="W341" s="727"/>
      <c r="X341" s="727"/>
      <c r="Y341" s="727"/>
      <c r="Z341" s="727"/>
      <c r="AA341" s="727"/>
      <c r="AB341" s="727"/>
      <c r="AC341" s="727"/>
      <c r="AD341" s="727"/>
      <c r="AE341" s="727"/>
      <c r="AF341" s="727"/>
      <c r="AG341" s="727"/>
      <c r="AH341" s="727"/>
      <c r="AI341" s="727"/>
      <c r="AJ341" s="727"/>
      <c r="AK341" s="727"/>
      <c r="AL341" s="727"/>
      <c r="AM341" s="727"/>
      <c r="AN341" s="727"/>
      <c r="AO341" s="727"/>
      <c r="AP341" s="727"/>
      <c r="AQ341" s="727"/>
      <c r="AR341" s="727"/>
      <c r="AS341" s="727"/>
      <c r="AT341" s="727"/>
      <c r="AU341" s="727"/>
      <c r="AV341" s="727"/>
      <c r="AW341" s="727"/>
      <c r="AX341" s="727"/>
      <c r="AY341" s="727"/>
      <c r="AZ341" s="727"/>
      <c r="BA341" s="727"/>
      <c r="BB341" s="727"/>
    </row>
    <row r="342" spans="1:54">
      <c r="A342" s="326"/>
      <c r="B342" s="791">
        <v>0.8</v>
      </c>
      <c r="C342" s="792">
        <v>1300</v>
      </c>
      <c r="D342" s="779">
        <v>0.90761000000000003</v>
      </c>
      <c r="E342" s="779">
        <v>4686.1000000000004</v>
      </c>
      <c r="F342" s="779">
        <v>5412.2</v>
      </c>
      <c r="G342" s="779">
        <v>9.5625</v>
      </c>
      <c r="H342" s="727"/>
      <c r="I342" s="727"/>
      <c r="J342" s="727"/>
      <c r="K342" s="727"/>
      <c r="L342" s="727"/>
      <c r="M342" s="727"/>
      <c r="N342" s="727"/>
      <c r="O342" s="727"/>
      <c r="P342" s="727"/>
      <c r="Q342" s="727"/>
      <c r="R342" s="727"/>
      <c r="S342" s="727"/>
      <c r="T342" s="727"/>
      <c r="U342" s="727"/>
      <c r="V342" s="727"/>
      <c r="W342" s="727"/>
      <c r="X342" s="727"/>
      <c r="Y342" s="727"/>
      <c r="Z342" s="727"/>
      <c r="AA342" s="727"/>
      <c r="AB342" s="727"/>
      <c r="AC342" s="727"/>
      <c r="AD342" s="727"/>
      <c r="AE342" s="727"/>
      <c r="AF342" s="727"/>
      <c r="AG342" s="727"/>
      <c r="AH342" s="727"/>
      <c r="AI342" s="727"/>
      <c r="AJ342" s="727"/>
      <c r="AK342" s="727"/>
      <c r="AL342" s="727"/>
      <c r="AM342" s="727"/>
      <c r="AN342" s="727"/>
      <c r="AO342" s="727"/>
      <c r="AP342" s="727"/>
      <c r="AQ342" s="727"/>
      <c r="AR342" s="727"/>
      <c r="AS342" s="727"/>
      <c r="AT342" s="727"/>
      <c r="AU342" s="727"/>
      <c r="AV342" s="727"/>
      <c r="AW342" s="727"/>
      <c r="AX342" s="727"/>
      <c r="AY342" s="727"/>
      <c r="AZ342" s="727"/>
      <c r="BA342" s="727"/>
      <c r="BB342" s="727"/>
    </row>
    <row r="343" spans="1:54">
      <c r="A343" s="326"/>
      <c r="B343" s="791">
        <v>1</v>
      </c>
      <c r="C343" s="792">
        <v>179.88</v>
      </c>
      <c r="D343" s="779">
        <v>0.19436999999999999</v>
      </c>
      <c r="E343" s="779">
        <v>2582.8000000000002</v>
      </c>
      <c r="F343" s="779">
        <v>2777.1</v>
      </c>
      <c r="G343" s="779">
        <v>6.585</v>
      </c>
      <c r="H343" s="727"/>
      <c r="I343" s="727"/>
      <c r="J343" s="727"/>
      <c r="K343" s="727"/>
      <c r="L343" s="727"/>
      <c r="M343" s="727"/>
      <c r="N343" s="727"/>
      <c r="O343" s="727"/>
      <c r="P343" s="727"/>
      <c r="Q343" s="727"/>
      <c r="R343" s="727"/>
      <c r="S343" s="727"/>
      <c r="T343" s="727"/>
      <c r="U343" s="727"/>
      <c r="V343" s="727"/>
      <c r="W343" s="727"/>
      <c r="X343" s="727"/>
      <c r="Y343" s="727"/>
      <c r="Z343" s="727"/>
      <c r="AA343" s="727"/>
      <c r="AB343" s="727"/>
      <c r="AC343" s="727"/>
      <c r="AD343" s="727"/>
      <c r="AE343" s="727"/>
      <c r="AF343" s="727"/>
      <c r="AG343" s="727"/>
      <c r="AH343" s="727"/>
      <c r="AI343" s="727"/>
      <c r="AJ343" s="727"/>
      <c r="AK343" s="727"/>
      <c r="AL343" s="727"/>
      <c r="AM343" s="727"/>
      <c r="AN343" s="727"/>
      <c r="AO343" s="727"/>
      <c r="AP343" s="727"/>
      <c r="AQ343" s="727"/>
      <c r="AR343" s="727"/>
      <c r="AS343" s="727"/>
      <c r="AT343" s="727"/>
      <c r="AU343" s="727"/>
      <c r="AV343" s="727"/>
      <c r="AW343" s="727"/>
      <c r="AX343" s="727"/>
      <c r="AY343" s="727"/>
      <c r="AZ343" s="727"/>
      <c r="BA343" s="727"/>
      <c r="BB343" s="727"/>
    </row>
    <row r="344" spans="1:54">
      <c r="A344" s="326"/>
      <c r="B344" s="791">
        <v>1</v>
      </c>
      <c r="C344" s="792">
        <v>200</v>
      </c>
      <c r="D344" s="779">
        <v>0.20602000000000001</v>
      </c>
      <c r="E344" s="779">
        <v>2622.3</v>
      </c>
      <c r="F344" s="779">
        <v>2828.3</v>
      </c>
      <c r="G344" s="779">
        <v>6.6955999999999998</v>
      </c>
      <c r="H344" s="727"/>
      <c r="I344" s="727"/>
      <c r="J344" s="727"/>
      <c r="K344" s="727"/>
      <c r="L344" s="727"/>
      <c r="M344" s="727"/>
      <c r="N344" s="727"/>
      <c r="O344" s="727"/>
      <c r="P344" s="727"/>
      <c r="Q344" s="727"/>
      <c r="R344" s="727"/>
      <c r="S344" s="727"/>
      <c r="T344" s="727"/>
      <c r="U344" s="727"/>
      <c r="V344" s="727"/>
      <c r="W344" s="727"/>
      <c r="X344" s="727"/>
      <c r="Y344" s="727"/>
      <c r="Z344" s="727"/>
      <c r="AA344" s="727"/>
      <c r="AB344" s="727"/>
      <c r="AC344" s="727"/>
      <c r="AD344" s="727"/>
      <c r="AE344" s="727"/>
      <c r="AF344" s="727"/>
      <c r="AG344" s="727"/>
      <c r="AH344" s="727"/>
      <c r="AI344" s="727"/>
      <c r="AJ344" s="727"/>
      <c r="AK344" s="727"/>
      <c r="AL344" s="727"/>
      <c r="AM344" s="727"/>
      <c r="AN344" s="727"/>
      <c r="AO344" s="727"/>
      <c r="AP344" s="727"/>
      <c r="AQ344" s="727"/>
      <c r="AR344" s="727"/>
      <c r="AS344" s="727"/>
      <c r="AT344" s="727"/>
      <c r="AU344" s="727"/>
      <c r="AV344" s="727"/>
      <c r="AW344" s="727"/>
      <c r="AX344" s="727"/>
      <c r="AY344" s="727"/>
      <c r="AZ344" s="727"/>
      <c r="BA344" s="727"/>
      <c r="BB344" s="727"/>
    </row>
    <row r="345" spans="1:54">
      <c r="A345" s="326"/>
      <c r="B345" s="791">
        <v>1</v>
      </c>
      <c r="C345" s="792">
        <v>250</v>
      </c>
      <c r="D345" s="779">
        <v>0.23275000000000001</v>
      </c>
      <c r="E345" s="779">
        <v>2710.4</v>
      </c>
      <c r="F345" s="779">
        <v>2943.1</v>
      </c>
      <c r="G345" s="779">
        <v>6.9264999999999999</v>
      </c>
      <c r="H345" s="727"/>
      <c r="I345" s="727"/>
      <c r="J345" s="727"/>
      <c r="K345" s="727"/>
      <c r="L345" s="727"/>
      <c r="M345" s="727"/>
      <c r="N345" s="727"/>
      <c r="O345" s="727"/>
      <c r="P345" s="727"/>
      <c r="Q345" s="727"/>
      <c r="R345" s="727"/>
      <c r="S345" s="727"/>
      <c r="T345" s="727"/>
      <c r="U345" s="727"/>
      <c r="V345" s="727"/>
      <c r="W345" s="727"/>
      <c r="X345" s="727"/>
      <c r="Y345" s="727"/>
      <c r="Z345" s="727"/>
      <c r="AA345" s="727"/>
      <c r="AB345" s="727"/>
      <c r="AC345" s="727"/>
      <c r="AD345" s="727"/>
      <c r="AE345" s="727"/>
      <c r="AF345" s="727"/>
      <c r="AG345" s="727"/>
      <c r="AH345" s="727"/>
      <c r="AI345" s="727"/>
      <c r="AJ345" s="727"/>
      <c r="AK345" s="727"/>
      <c r="AL345" s="727"/>
      <c r="AM345" s="727"/>
      <c r="AN345" s="727"/>
      <c r="AO345" s="727"/>
      <c r="AP345" s="727"/>
      <c r="AQ345" s="727"/>
      <c r="AR345" s="727"/>
      <c r="AS345" s="727"/>
      <c r="AT345" s="727"/>
      <c r="AU345" s="727"/>
      <c r="AV345" s="727"/>
      <c r="AW345" s="727"/>
      <c r="AX345" s="727"/>
      <c r="AY345" s="727"/>
      <c r="AZ345" s="727"/>
      <c r="BA345" s="727"/>
      <c r="BB345" s="727"/>
    </row>
    <row r="346" spans="1:54">
      <c r="A346" s="326"/>
      <c r="B346" s="791">
        <v>1</v>
      </c>
      <c r="C346" s="792">
        <v>300</v>
      </c>
      <c r="D346" s="779">
        <v>0.25799</v>
      </c>
      <c r="E346" s="779">
        <v>2793.7</v>
      </c>
      <c r="F346" s="779">
        <v>3051.6</v>
      </c>
      <c r="G346" s="779">
        <v>7.1246</v>
      </c>
      <c r="H346" s="727"/>
      <c r="I346" s="727"/>
      <c r="J346" s="727"/>
      <c r="K346" s="727"/>
      <c r="L346" s="727"/>
      <c r="M346" s="727"/>
      <c r="N346" s="727"/>
      <c r="O346" s="727"/>
      <c r="P346" s="727"/>
      <c r="Q346" s="727"/>
      <c r="R346" s="727"/>
      <c r="S346" s="727"/>
      <c r="T346" s="727"/>
      <c r="U346" s="727"/>
      <c r="V346" s="727"/>
      <c r="W346" s="727"/>
      <c r="X346" s="727"/>
      <c r="Y346" s="727"/>
      <c r="Z346" s="727"/>
      <c r="AA346" s="727"/>
      <c r="AB346" s="727"/>
      <c r="AC346" s="727"/>
      <c r="AD346" s="727"/>
      <c r="AE346" s="727"/>
      <c r="AF346" s="727"/>
      <c r="AG346" s="727"/>
      <c r="AH346" s="727"/>
      <c r="AI346" s="727"/>
      <c r="AJ346" s="727"/>
      <c r="AK346" s="727"/>
      <c r="AL346" s="727"/>
      <c r="AM346" s="727"/>
      <c r="AN346" s="727"/>
      <c r="AO346" s="727"/>
      <c r="AP346" s="727"/>
      <c r="AQ346" s="727"/>
      <c r="AR346" s="727"/>
      <c r="AS346" s="727"/>
      <c r="AT346" s="727"/>
      <c r="AU346" s="727"/>
      <c r="AV346" s="727"/>
      <c r="AW346" s="727"/>
      <c r="AX346" s="727"/>
      <c r="AY346" s="727"/>
      <c r="AZ346" s="727"/>
      <c r="BA346" s="727"/>
      <c r="BB346" s="727"/>
    </row>
    <row r="347" spans="1:54">
      <c r="A347" s="326"/>
      <c r="B347" s="791">
        <v>1</v>
      </c>
      <c r="C347" s="792">
        <v>350</v>
      </c>
      <c r="D347" s="779">
        <v>0.28249999999999997</v>
      </c>
      <c r="E347" s="779">
        <v>2875.7</v>
      </c>
      <c r="F347" s="779">
        <v>3158.2</v>
      </c>
      <c r="G347" s="779">
        <v>7.3029000000000002</v>
      </c>
      <c r="H347" s="727"/>
      <c r="I347" s="727"/>
      <c r="J347" s="727"/>
      <c r="K347" s="727"/>
      <c r="L347" s="727"/>
      <c r="M347" s="727"/>
      <c r="N347" s="727"/>
      <c r="O347" s="727"/>
      <c r="P347" s="727"/>
      <c r="Q347" s="727"/>
      <c r="R347" s="727"/>
      <c r="S347" s="727"/>
      <c r="T347" s="727"/>
      <c r="U347" s="727"/>
      <c r="V347" s="727"/>
      <c r="W347" s="727"/>
      <c r="X347" s="727"/>
      <c r="Y347" s="727"/>
      <c r="Z347" s="727"/>
      <c r="AA347" s="727"/>
      <c r="AB347" s="727"/>
      <c r="AC347" s="727"/>
      <c r="AD347" s="727"/>
      <c r="AE347" s="727"/>
      <c r="AF347" s="727"/>
      <c r="AG347" s="727"/>
      <c r="AH347" s="727"/>
      <c r="AI347" s="727"/>
      <c r="AJ347" s="727"/>
      <c r="AK347" s="727"/>
      <c r="AL347" s="727"/>
      <c r="AM347" s="727"/>
      <c r="AN347" s="727"/>
      <c r="AO347" s="727"/>
      <c r="AP347" s="727"/>
      <c r="AQ347" s="727"/>
      <c r="AR347" s="727"/>
      <c r="AS347" s="727"/>
      <c r="AT347" s="727"/>
      <c r="AU347" s="727"/>
      <c r="AV347" s="727"/>
      <c r="AW347" s="727"/>
      <c r="AX347" s="727"/>
      <c r="AY347" s="727"/>
      <c r="AZ347" s="727"/>
      <c r="BA347" s="727"/>
      <c r="BB347" s="727"/>
    </row>
    <row r="348" spans="1:54">
      <c r="A348" s="326"/>
      <c r="B348" s="791">
        <v>1</v>
      </c>
      <c r="C348" s="792">
        <v>400</v>
      </c>
      <c r="D348" s="779">
        <v>0.30660999999999999</v>
      </c>
      <c r="E348" s="779">
        <v>2957.9</v>
      </c>
      <c r="F348" s="779">
        <v>3264.5</v>
      </c>
      <c r="G348" s="779">
        <v>7.4669999999999996</v>
      </c>
      <c r="H348" s="727"/>
      <c r="I348" s="727"/>
      <c r="J348" s="727"/>
      <c r="K348" s="727"/>
      <c r="L348" s="727"/>
      <c r="M348" s="727"/>
      <c r="N348" s="727"/>
      <c r="O348" s="727"/>
      <c r="P348" s="727"/>
      <c r="Q348" s="727"/>
      <c r="R348" s="727"/>
      <c r="S348" s="727"/>
      <c r="T348" s="727"/>
      <c r="U348" s="727"/>
      <c r="V348" s="727"/>
      <c r="W348" s="727"/>
      <c r="X348" s="727"/>
      <c r="Y348" s="727"/>
      <c r="Z348" s="727"/>
      <c r="AA348" s="727"/>
      <c r="AB348" s="727"/>
      <c r="AC348" s="727"/>
      <c r="AD348" s="727"/>
      <c r="AE348" s="727"/>
      <c r="AF348" s="727"/>
      <c r="AG348" s="727"/>
      <c r="AH348" s="727"/>
      <c r="AI348" s="727"/>
      <c r="AJ348" s="727"/>
      <c r="AK348" s="727"/>
      <c r="AL348" s="727"/>
      <c r="AM348" s="727"/>
      <c r="AN348" s="727"/>
      <c r="AO348" s="727"/>
      <c r="AP348" s="727"/>
      <c r="AQ348" s="727"/>
      <c r="AR348" s="727"/>
      <c r="AS348" s="727"/>
      <c r="AT348" s="727"/>
      <c r="AU348" s="727"/>
      <c r="AV348" s="727"/>
      <c r="AW348" s="727"/>
      <c r="AX348" s="727"/>
      <c r="AY348" s="727"/>
      <c r="AZ348" s="727"/>
      <c r="BA348" s="727"/>
      <c r="BB348" s="727"/>
    </row>
    <row r="349" spans="1:54">
      <c r="A349" s="326"/>
      <c r="B349" s="791">
        <v>1</v>
      </c>
      <c r="C349" s="792">
        <v>500</v>
      </c>
      <c r="D349" s="779">
        <v>0.35410999999999998</v>
      </c>
      <c r="E349" s="779">
        <v>3125</v>
      </c>
      <c r="F349" s="779">
        <v>3479.1</v>
      </c>
      <c r="G349" s="779">
        <v>7.7641999999999998</v>
      </c>
      <c r="H349" s="727"/>
      <c r="I349" s="727"/>
      <c r="J349" s="727"/>
      <c r="K349" s="727"/>
      <c r="L349" s="727"/>
      <c r="M349" s="727"/>
      <c r="N349" s="727"/>
      <c r="O349" s="727"/>
      <c r="P349" s="727"/>
      <c r="Q349" s="727"/>
      <c r="R349" s="727"/>
      <c r="S349" s="727"/>
      <c r="T349" s="727"/>
      <c r="U349" s="727"/>
      <c r="V349" s="727"/>
      <c r="W349" s="727"/>
      <c r="X349" s="727"/>
      <c r="Y349" s="727"/>
      <c r="Z349" s="727"/>
      <c r="AA349" s="727"/>
      <c r="AB349" s="727"/>
      <c r="AC349" s="727"/>
      <c r="AD349" s="727"/>
      <c r="AE349" s="727"/>
      <c r="AF349" s="727"/>
      <c r="AG349" s="727"/>
      <c r="AH349" s="727"/>
      <c r="AI349" s="727"/>
      <c r="AJ349" s="727"/>
      <c r="AK349" s="727"/>
      <c r="AL349" s="727"/>
      <c r="AM349" s="727"/>
      <c r="AN349" s="727"/>
      <c r="AO349" s="727"/>
      <c r="AP349" s="727"/>
      <c r="AQ349" s="727"/>
      <c r="AR349" s="727"/>
      <c r="AS349" s="727"/>
      <c r="AT349" s="727"/>
      <c r="AU349" s="727"/>
      <c r="AV349" s="727"/>
      <c r="AW349" s="727"/>
      <c r="AX349" s="727"/>
      <c r="AY349" s="727"/>
      <c r="AZ349" s="727"/>
      <c r="BA349" s="727"/>
      <c r="BB349" s="727"/>
    </row>
    <row r="350" spans="1:54">
      <c r="A350" s="326"/>
      <c r="B350" s="791">
        <v>1</v>
      </c>
      <c r="C350" s="792">
        <v>600</v>
      </c>
      <c r="D350" s="779">
        <v>0.40111000000000002</v>
      </c>
      <c r="E350" s="779">
        <v>3297.5</v>
      </c>
      <c r="F350" s="779">
        <v>3698.6</v>
      </c>
      <c r="G350" s="779">
        <v>8.0311000000000003</v>
      </c>
      <c r="H350" s="727"/>
      <c r="I350" s="727"/>
      <c r="J350" s="727"/>
      <c r="K350" s="727"/>
      <c r="L350" s="727"/>
      <c r="M350" s="727"/>
      <c r="N350" s="727"/>
      <c r="O350" s="727"/>
      <c r="P350" s="727"/>
      <c r="Q350" s="727"/>
      <c r="R350" s="727"/>
      <c r="S350" s="727"/>
      <c r="T350" s="727"/>
      <c r="U350" s="727"/>
      <c r="V350" s="727"/>
      <c r="W350" s="727"/>
      <c r="X350" s="727"/>
      <c r="Y350" s="727"/>
      <c r="Z350" s="727"/>
      <c r="AA350" s="727"/>
      <c r="AB350" s="727"/>
      <c r="AC350" s="727"/>
      <c r="AD350" s="727"/>
      <c r="AE350" s="727"/>
      <c r="AF350" s="727"/>
      <c r="AG350" s="727"/>
      <c r="AH350" s="727"/>
      <c r="AI350" s="727"/>
      <c r="AJ350" s="727"/>
      <c r="AK350" s="727"/>
      <c r="AL350" s="727"/>
      <c r="AM350" s="727"/>
      <c r="AN350" s="727"/>
      <c r="AO350" s="727"/>
      <c r="AP350" s="727"/>
      <c r="AQ350" s="727"/>
      <c r="AR350" s="727"/>
      <c r="AS350" s="727"/>
      <c r="AT350" s="727"/>
      <c r="AU350" s="727"/>
      <c r="AV350" s="727"/>
      <c r="AW350" s="727"/>
      <c r="AX350" s="727"/>
      <c r="AY350" s="727"/>
      <c r="AZ350" s="727"/>
      <c r="BA350" s="727"/>
      <c r="BB350" s="727"/>
    </row>
    <row r="351" spans="1:54">
      <c r="A351" s="326"/>
      <c r="B351" s="791">
        <v>1</v>
      </c>
      <c r="C351" s="792">
        <v>700</v>
      </c>
      <c r="D351" s="779">
        <v>0.44783000000000001</v>
      </c>
      <c r="E351" s="779">
        <v>3476.3</v>
      </c>
      <c r="F351" s="779">
        <v>3924.1</v>
      </c>
      <c r="G351" s="779">
        <v>8.2754999999999992</v>
      </c>
      <c r="H351" s="727"/>
      <c r="I351" s="727"/>
      <c r="J351" s="727"/>
      <c r="K351" s="727"/>
      <c r="L351" s="727"/>
      <c r="M351" s="727"/>
      <c r="N351" s="727"/>
      <c r="O351" s="727"/>
      <c r="P351" s="727"/>
      <c r="Q351" s="727"/>
      <c r="R351" s="727"/>
      <c r="S351" s="727"/>
      <c r="T351" s="727"/>
      <c r="U351" s="727"/>
      <c r="V351" s="727"/>
      <c r="W351" s="727"/>
      <c r="X351" s="727"/>
      <c r="Y351" s="727"/>
      <c r="Z351" s="727"/>
      <c r="AA351" s="727"/>
      <c r="AB351" s="727"/>
      <c r="AC351" s="727"/>
      <c r="AD351" s="727"/>
      <c r="AE351" s="727"/>
      <c r="AF351" s="727"/>
      <c r="AG351" s="727"/>
      <c r="AH351" s="727"/>
      <c r="AI351" s="727"/>
      <c r="AJ351" s="727"/>
      <c r="AK351" s="727"/>
      <c r="AL351" s="727"/>
      <c r="AM351" s="727"/>
      <c r="AN351" s="727"/>
      <c r="AO351" s="727"/>
      <c r="AP351" s="727"/>
      <c r="AQ351" s="727"/>
      <c r="AR351" s="727"/>
      <c r="AS351" s="727"/>
      <c r="AT351" s="727"/>
      <c r="AU351" s="727"/>
      <c r="AV351" s="727"/>
      <c r="AW351" s="727"/>
      <c r="AX351" s="727"/>
      <c r="AY351" s="727"/>
      <c r="AZ351" s="727"/>
      <c r="BA351" s="727"/>
      <c r="BB351" s="727"/>
    </row>
    <row r="352" spans="1:54">
      <c r="A352" s="326"/>
      <c r="B352" s="791">
        <v>1</v>
      </c>
      <c r="C352" s="792">
        <v>800</v>
      </c>
      <c r="D352" s="779">
        <v>0.49437999999999999</v>
      </c>
      <c r="E352" s="779">
        <v>3661.7</v>
      </c>
      <c r="F352" s="779">
        <v>4156.1000000000004</v>
      </c>
      <c r="G352" s="779">
        <v>8.5023999999999997</v>
      </c>
      <c r="H352" s="727"/>
      <c r="I352" s="727"/>
      <c r="J352" s="727"/>
      <c r="K352" s="727"/>
      <c r="L352" s="727"/>
      <c r="M352" s="727"/>
      <c r="N352" s="727"/>
      <c r="O352" s="727"/>
      <c r="P352" s="727"/>
      <c r="Q352" s="727"/>
      <c r="R352" s="727"/>
      <c r="S352" s="727"/>
      <c r="T352" s="727"/>
      <c r="U352" s="727"/>
      <c r="V352" s="727"/>
      <c r="W352" s="727"/>
      <c r="X352" s="727"/>
      <c r="Y352" s="727"/>
      <c r="Z352" s="727"/>
      <c r="AA352" s="727"/>
      <c r="AB352" s="727"/>
      <c r="AC352" s="727"/>
      <c r="AD352" s="727"/>
      <c r="AE352" s="727"/>
      <c r="AF352" s="727"/>
      <c r="AG352" s="727"/>
      <c r="AH352" s="727"/>
      <c r="AI352" s="727"/>
      <c r="AJ352" s="727"/>
      <c r="AK352" s="727"/>
      <c r="AL352" s="727"/>
      <c r="AM352" s="727"/>
      <c r="AN352" s="727"/>
      <c r="AO352" s="727"/>
      <c r="AP352" s="727"/>
      <c r="AQ352" s="727"/>
      <c r="AR352" s="727"/>
      <c r="AS352" s="727"/>
      <c r="AT352" s="727"/>
      <c r="AU352" s="727"/>
      <c r="AV352" s="727"/>
      <c r="AW352" s="727"/>
      <c r="AX352" s="727"/>
      <c r="AY352" s="727"/>
      <c r="AZ352" s="727"/>
      <c r="BA352" s="727"/>
      <c r="BB352" s="727"/>
    </row>
    <row r="353" spans="1:54">
      <c r="A353" s="326"/>
      <c r="B353" s="791">
        <v>1</v>
      </c>
      <c r="C353" s="792">
        <v>900</v>
      </c>
      <c r="D353" s="779">
        <v>0.54083000000000003</v>
      </c>
      <c r="E353" s="779">
        <v>3853.9</v>
      </c>
      <c r="F353" s="779">
        <v>4394.8</v>
      </c>
      <c r="G353" s="779">
        <v>8.7149999999999999</v>
      </c>
      <c r="H353" s="727"/>
      <c r="I353" s="727"/>
      <c r="J353" s="727"/>
      <c r="K353" s="727"/>
      <c r="L353" s="727"/>
      <c r="M353" s="727"/>
      <c r="N353" s="727"/>
      <c r="O353" s="727"/>
      <c r="P353" s="727"/>
      <c r="Q353" s="727"/>
      <c r="R353" s="727"/>
      <c r="S353" s="727"/>
      <c r="T353" s="727"/>
      <c r="U353" s="727"/>
      <c r="V353" s="727"/>
      <c r="W353" s="727"/>
      <c r="X353" s="727"/>
      <c r="Y353" s="727"/>
      <c r="Z353" s="727"/>
      <c r="AA353" s="727"/>
      <c r="AB353" s="727"/>
      <c r="AC353" s="727"/>
      <c r="AD353" s="727"/>
      <c r="AE353" s="727"/>
      <c r="AF353" s="727"/>
      <c r="AG353" s="727"/>
      <c r="AH353" s="727"/>
      <c r="AI353" s="727"/>
      <c r="AJ353" s="727"/>
      <c r="AK353" s="727"/>
      <c r="AL353" s="727"/>
      <c r="AM353" s="727"/>
      <c r="AN353" s="727"/>
      <c r="AO353" s="727"/>
      <c r="AP353" s="727"/>
      <c r="AQ353" s="727"/>
      <c r="AR353" s="727"/>
      <c r="AS353" s="727"/>
      <c r="AT353" s="727"/>
      <c r="AU353" s="727"/>
      <c r="AV353" s="727"/>
      <c r="AW353" s="727"/>
      <c r="AX353" s="727"/>
      <c r="AY353" s="727"/>
      <c r="AZ353" s="727"/>
      <c r="BA353" s="727"/>
      <c r="BB353" s="727"/>
    </row>
    <row r="354" spans="1:54">
      <c r="A354" s="326"/>
      <c r="B354" s="791">
        <v>1</v>
      </c>
      <c r="C354" s="792">
        <v>1000</v>
      </c>
      <c r="D354" s="779">
        <v>0.58721000000000001</v>
      </c>
      <c r="E354" s="779">
        <v>4052.7</v>
      </c>
      <c r="F354" s="779">
        <v>4640</v>
      </c>
      <c r="G354" s="779">
        <v>8.9154999999999998</v>
      </c>
      <c r="H354" s="727"/>
      <c r="I354" s="727"/>
      <c r="J354" s="727"/>
      <c r="K354" s="727"/>
      <c r="L354" s="727"/>
      <c r="M354" s="727"/>
      <c r="N354" s="727"/>
      <c r="O354" s="727"/>
      <c r="P354" s="727"/>
      <c r="Q354" s="727"/>
      <c r="R354" s="727"/>
      <c r="S354" s="727"/>
      <c r="T354" s="727"/>
      <c r="U354" s="727"/>
      <c r="V354" s="727"/>
      <c r="W354" s="727"/>
      <c r="X354" s="727"/>
      <c r="Y354" s="727"/>
      <c r="Z354" s="727"/>
      <c r="AA354" s="727"/>
      <c r="AB354" s="727"/>
      <c r="AC354" s="727"/>
      <c r="AD354" s="727"/>
      <c r="AE354" s="727"/>
      <c r="AF354" s="727"/>
      <c r="AG354" s="727"/>
      <c r="AH354" s="727"/>
      <c r="AI354" s="727"/>
      <c r="AJ354" s="727"/>
      <c r="AK354" s="727"/>
      <c r="AL354" s="727"/>
      <c r="AM354" s="727"/>
      <c r="AN354" s="727"/>
      <c r="AO354" s="727"/>
      <c r="AP354" s="727"/>
      <c r="AQ354" s="727"/>
      <c r="AR354" s="727"/>
      <c r="AS354" s="727"/>
      <c r="AT354" s="727"/>
      <c r="AU354" s="727"/>
      <c r="AV354" s="727"/>
      <c r="AW354" s="727"/>
      <c r="AX354" s="727"/>
      <c r="AY354" s="727"/>
      <c r="AZ354" s="727"/>
      <c r="BA354" s="727"/>
      <c r="BB354" s="727"/>
    </row>
    <row r="355" spans="1:54">
      <c r="A355" s="326"/>
      <c r="B355" s="791">
        <v>1</v>
      </c>
      <c r="C355" s="792">
        <v>1100</v>
      </c>
      <c r="D355" s="779">
        <v>0.63353999999999999</v>
      </c>
      <c r="E355" s="779">
        <v>4257.8999999999996</v>
      </c>
      <c r="F355" s="779">
        <v>4891.3999999999996</v>
      </c>
      <c r="G355" s="779">
        <v>9.1057000000000006</v>
      </c>
      <c r="H355" s="727"/>
      <c r="I355" s="727"/>
      <c r="J355" s="727"/>
      <c r="K355" s="727"/>
      <c r="L355" s="727"/>
      <c r="M355" s="727"/>
      <c r="N355" s="727"/>
      <c r="O355" s="727"/>
      <c r="P355" s="727"/>
      <c r="Q355" s="727"/>
      <c r="R355" s="727"/>
      <c r="S355" s="727"/>
      <c r="T355" s="727"/>
      <c r="U355" s="727"/>
      <c r="V355" s="727"/>
      <c r="W355" s="727"/>
      <c r="X355" s="727"/>
      <c r="Y355" s="727"/>
      <c r="Z355" s="727"/>
      <c r="AA355" s="727"/>
      <c r="AB355" s="727"/>
      <c r="AC355" s="727"/>
      <c r="AD355" s="727"/>
      <c r="AE355" s="727"/>
      <c r="AF355" s="727"/>
      <c r="AG355" s="727"/>
      <c r="AH355" s="727"/>
      <c r="AI355" s="727"/>
      <c r="AJ355" s="727"/>
      <c r="AK355" s="727"/>
      <c r="AL355" s="727"/>
      <c r="AM355" s="727"/>
      <c r="AN355" s="727"/>
      <c r="AO355" s="727"/>
      <c r="AP355" s="727"/>
      <c r="AQ355" s="727"/>
      <c r="AR355" s="727"/>
      <c r="AS355" s="727"/>
      <c r="AT355" s="727"/>
      <c r="AU355" s="727"/>
      <c r="AV355" s="727"/>
      <c r="AW355" s="727"/>
      <c r="AX355" s="727"/>
      <c r="AY355" s="727"/>
      <c r="AZ355" s="727"/>
      <c r="BA355" s="727"/>
      <c r="BB355" s="727"/>
    </row>
    <row r="356" spans="1:54">
      <c r="A356" s="326"/>
      <c r="B356" s="791">
        <v>1</v>
      </c>
      <c r="C356" s="792">
        <v>1200</v>
      </c>
      <c r="D356" s="779">
        <v>0.67983000000000005</v>
      </c>
      <c r="E356" s="779">
        <v>4469</v>
      </c>
      <c r="F356" s="779">
        <v>5148.8999999999996</v>
      </c>
      <c r="G356" s="779">
        <v>9.2866</v>
      </c>
      <c r="H356" s="727"/>
      <c r="I356" s="727"/>
      <c r="J356" s="727"/>
      <c r="K356" s="727"/>
      <c r="L356" s="727"/>
      <c r="M356" s="727"/>
      <c r="N356" s="727"/>
      <c r="O356" s="727"/>
      <c r="P356" s="727"/>
      <c r="Q356" s="727"/>
      <c r="R356" s="727"/>
      <c r="S356" s="727"/>
      <c r="T356" s="727"/>
      <c r="U356" s="727"/>
      <c r="V356" s="727"/>
      <c r="W356" s="727"/>
      <c r="X356" s="727"/>
      <c r="Y356" s="727"/>
      <c r="Z356" s="727"/>
      <c r="AA356" s="727"/>
      <c r="AB356" s="727"/>
      <c r="AC356" s="727"/>
      <c r="AD356" s="727"/>
      <c r="AE356" s="727"/>
      <c r="AF356" s="727"/>
      <c r="AG356" s="727"/>
      <c r="AH356" s="727"/>
      <c r="AI356" s="727"/>
      <c r="AJ356" s="727"/>
      <c r="AK356" s="727"/>
      <c r="AL356" s="727"/>
      <c r="AM356" s="727"/>
      <c r="AN356" s="727"/>
      <c r="AO356" s="727"/>
      <c r="AP356" s="727"/>
      <c r="AQ356" s="727"/>
      <c r="AR356" s="727"/>
      <c r="AS356" s="727"/>
      <c r="AT356" s="727"/>
      <c r="AU356" s="727"/>
      <c r="AV356" s="727"/>
      <c r="AW356" s="727"/>
      <c r="AX356" s="727"/>
      <c r="AY356" s="727"/>
      <c r="AZ356" s="727"/>
      <c r="BA356" s="727"/>
      <c r="BB356" s="727"/>
    </row>
    <row r="357" spans="1:54">
      <c r="A357" s="326"/>
      <c r="B357" s="791">
        <v>1</v>
      </c>
      <c r="C357" s="792">
        <v>1300</v>
      </c>
      <c r="D357" s="779">
        <v>0.72609999999999997</v>
      </c>
      <c r="E357" s="779">
        <v>4685.8</v>
      </c>
      <c r="F357" s="779">
        <v>5411.9</v>
      </c>
      <c r="G357" s="779">
        <v>9.4593000000000007</v>
      </c>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727"/>
      <c r="AL357" s="727"/>
      <c r="AM357" s="727"/>
      <c r="AN357" s="727"/>
      <c r="AO357" s="727"/>
      <c r="AP357" s="727"/>
      <c r="AQ357" s="727"/>
      <c r="AR357" s="727"/>
      <c r="AS357" s="727"/>
      <c r="AT357" s="727"/>
      <c r="AU357" s="727"/>
      <c r="AV357" s="727"/>
      <c r="AW357" s="727"/>
      <c r="AX357" s="727"/>
      <c r="AY357" s="727"/>
      <c r="AZ357" s="727"/>
      <c r="BA357" s="727"/>
      <c r="BB357" s="727"/>
    </row>
    <row r="358" spans="1:54">
      <c r="A358" s="326"/>
      <c r="B358" s="791">
        <v>1.2</v>
      </c>
      <c r="C358" s="792">
        <v>187.96</v>
      </c>
      <c r="D358" s="779">
        <v>0.16325999999999999</v>
      </c>
      <c r="E358" s="779">
        <v>2587.8000000000002</v>
      </c>
      <c r="F358" s="779">
        <v>2783.8</v>
      </c>
      <c r="G358" s="779">
        <v>6.5217000000000001</v>
      </c>
      <c r="H358" s="727"/>
      <c r="I358" s="727"/>
      <c r="J358" s="727"/>
      <c r="K358" s="727"/>
      <c r="L358" s="727"/>
      <c r="M358" s="727"/>
      <c r="N358" s="727"/>
      <c r="O358" s="727"/>
      <c r="P358" s="727"/>
      <c r="Q358" s="727"/>
      <c r="R358" s="727"/>
      <c r="S358" s="727"/>
      <c r="T358" s="727"/>
      <c r="U358" s="727"/>
      <c r="V358" s="727"/>
      <c r="W358" s="727"/>
      <c r="X358" s="727"/>
      <c r="Y358" s="727"/>
      <c r="Z358" s="727"/>
      <c r="AA358" s="727"/>
      <c r="AB358" s="727"/>
      <c r="AC358" s="727"/>
      <c r="AD358" s="727"/>
      <c r="AE358" s="727"/>
      <c r="AF358" s="727"/>
      <c r="AG358" s="727"/>
      <c r="AH358" s="727"/>
      <c r="AI358" s="727"/>
      <c r="AJ358" s="727"/>
      <c r="AK358" s="727"/>
      <c r="AL358" s="727"/>
      <c r="AM358" s="727"/>
      <c r="AN358" s="727"/>
      <c r="AO358" s="727"/>
      <c r="AP358" s="727"/>
      <c r="AQ358" s="727"/>
      <c r="AR358" s="727"/>
      <c r="AS358" s="727"/>
      <c r="AT358" s="727"/>
      <c r="AU358" s="727"/>
      <c r="AV358" s="727"/>
      <c r="AW358" s="727"/>
      <c r="AX358" s="727"/>
      <c r="AY358" s="727"/>
      <c r="AZ358" s="727"/>
      <c r="BA358" s="727"/>
      <c r="BB358" s="727"/>
    </row>
    <row r="359" spans="1:54">
      <c r="A359" s="326"/>
      <c r="B359" s="791">
        <v>1.2</v>
      </c>
      <c r="C359" s="792">
        <v>200</v>
      </c>
      <c r="D359" s="779">
        <v>0.16933999999999999</v>
      </c>
      <c r="E359" s="779">
        <v>2612.9</v>
      </c>
      <c r="F359" s="779">
        <v>2816.1</v>
      </c>
      <c r="G359" s="779">
        <v>6.5909000000000004</v>
      </c>
      <c r="H359" s="727"/>
      <c r="I359" s="727"/>
      <c r="J359" s="727"/>
      <c r="K359" s="727"/>
      <c r="L359" s="727"/>
      <c r="M359" s="727"/>
      <c r="N359" s="727"/>
      <c r="O359" s="727"/>
      <c r="P359" s="727"/>
      <c r="Q359" s="727"/>
      <c r="R359" s="727"/>
      <c r="S359" s="727"/>
      <c r="T359" s="727"/>
      <c r="U359" s="727"/>
      <c r="V359" s="727"/>
      <c r="W359" s="727"/>
      <c r="X359" s="727"/>
      <c r="Y359" s="727"/>
      <c r="Z359" s="727"/>
      <c r="AA359" s="727"/>
      <c r="AB359" s="727"/>
      <c r="AC359" s="727"/>
      <c r="AD359" s="727"/>
      <c r="AE359" s="727"/>
      <c r="AF359" s="727"/>
      <c r="AG359" s="727"/>
      <c r="AH359" s="727"/>
      <c r="AI359" s="727"/>
      <c r="AJ359" s="727"/>
      <c r="AK359" s="727"/>
      <c r="AL359" s="727"/>
      <c r="AM359" s="727"/>
      <c r="AN359" s="727"/>
      <c r="AO359" s="727"/>
      <c r="AP359" s="727"/>
      <c r="AQ359" s="727"/>
      <c r="AR359" s="727"/>
      <c r="AS359" s="727"/>
      <c r="AT359" s="727"/>
      <c r="AU359" s="727"/>
      <c r="AV359" s="727"/>
      <c r="AW359" s="727"/>
      <c r="AX359" s="727"/>
      <c r="AY359" s="727"/>
      <c r="AZ359" s="727"/>
      <c r="BA359" s="727"/>
      <c r="BB359" s="727"/>
    </row>
    <row r="360" spans="1:54">
      <c r="A360" s="326"/>
      <c r="B360" s="791">
        <v>1.2</v>
      </c>
      <c r="C360" s="792">
        <v>250</v>
      </c>
      <c r="D360" s="779">
        <v>0.19241</v>
      </c>
      <c r="E360" s="779">
        <v>2704.7</v>
      </c>
      <c r="F360" s="779">
        <v>2935.6</v>
      </c>
      <c r="G360" s="779">
        <v>6.8312999999999997</v>
      </c>
      <c r="H360" s="727"/>
      <c r="I360" s="727"/>
      <c r="J360" s="727"/>
      <c r="K360" s="727"/>
      <c r="L360" s="727"/>
      <c r="M360" s="727"/>
      <c r="N360" s="727"/>
      <c r="O360" s="727"/>
      <c r="P360" s="727"/>
      <c r="Q360" s="727"/>
      <c r="R360" s="727"/>
      <c r="S360" s="727"/>
      <c r="T360" s="727"/>
      <c r="U360" s="727"/>
      <c r="V360" s="727"/>
      <c r="W360" s="727"/>
      <c r="X360" s="727"/>
      <c r="Y360" s="727"/>
      <c r="Z360" s="727"/>
      <c r="AA360" s="727"/>
      <c r="AB360" s="727"/>
      <c r="AC360" s="727"/>
      <c r="AD360" s="727"/>
      <c r="AE360" s="727"/>
      <c r="AF360" s="727"/>
      <c r="AG360" s="727"/>
      <c r="AH360" s="727"/>
      <c r="AI360" s="727"/>
      <c r="AJ360" s="727"/>
      <c r="AK360" s="727"/>
      <c r="AL360" s="727"/>
      <c r="AM360" s="727"/>
      <c r="AN360" s="727"/>
      <c r="AO360" s="727"/>
      <c r="AP360" s="727"/>
      <c r="AQ360" s="727"/>
      <c r="AR360" s="727"/>
      <c r="AS360" s="727"/>
      <c r="AT360" s="727"/>
      <c r="AU360" s="727"/>
      <c r="AV360" s="727"/>
      <c r="AW360" s="727"/>
      <c r="AX360" s="727"/>
      <c r="AY360" s="727"/>
      <c r="AZ360" s="727"/>
      <c r="BA360" s="727"/>
      <c r="BB360" s="727"/>
    </row>
    <row r="361" spans="1:54">
      <c r="A361" s="326"/>
      <c r="B361" s="791">
        <v>1.2</v>
      </c>
      <c r="C361" s="792">
        <v>300</v>
      </c>
      <c r="D361" s="779">
        <v>0.21385999999999999</v>
      </c>
      <c r="E361" s="779">
        <v>2789.7</v>
      </c>
      <c r="F361" s="779">
        <v>3046.3</v>
      </c>
      <c r="G361" s="779">
        <v>7.0335000000000001</v>
      </c>
      <c r="H361" s="727"/>
      <c r="I361" s="727"/>
      <c r="J361" s="727"/>
      <c r="K361" s="727"/>
      <c r="L361" s="727"/>
      <c r="M361" s="727"/>
      <c r="N361" s="727"/>
      <c r="O361" s="727"/>
      <c r="P361" s="727"/>
      <c r="Q361" s="727"/>
      <c r="R361" s="727"/>
      <c r="S361" s="727"/>
      <c r="T361" s="727"/>
      <c r="U361" s="727"/>
      <c r="V361" s="727"/>
      <c r="W361" s="727"/>
      <c r="X361" s="727"/>
      <c r="Y361" s="727"/>
      <c r="Z361" s="727"/>
      <c r="AA361" s="727"/>
      <c r="AB361" s="727"/>
      <c r="AC361" s="727"/>
      <c r="AD361" s="727"/>
      <c r="AE361" s="727"/>
      <c r="AF361" s="727"/>
      <c r="AG361" s="727"/>
      <c r="AH361" s="727"/>
      <c r="AI361" s="727"/>
      <c r="AJ361" s="727"/>
      <c r="AK361" s="727"/>
      <c r="AL361" s="727"/>
      <c r="AM361" s="727"/>
      <c r="AN361" s="727"/>
      <c r="AO361" s="727"/>
      <c r="AP361" s="727"/>
      <c r="AQ361" s="727"/>
      <c r="AR361" s="727"/>
      <c r="AS361" s="727"/>
      <c r="AT361" s="727"/>
      <c r="AU361" s="727"/>
      <c r="AV361" s="727"/>
      <c r="AW361" s="727"/>
      <c r="AX361" s="727"/>
      <c r="AY361" s="727"/>
      <c r="AZ361" s="727"/>
      <c r="BA361" s="727"/>
      <c r="BB361" s="727"/>
    </row>
    <row r="362" spans="1:54">
      <c r="A362" s="326"/>
      <c r="B362" s="791">
        <v>1.2</v>
      </c>
      <c r="C362" s="792">
        <v>350</v>
      </c>
      <c r="D362" s="779">
        <v>0.23455000000000001</v>
      </c>
      <c r="E362" s="779">
        <v>2872.7</v>
      </c>
      <c r="F362" s="779">
        <v>3154.2</v>
      </c>
      <c r="G362" s="779">
        <v>7.2138999999999998</v>
      </c>
      <c r="H362" s="727"/>
      <c r="I362" s="727"/>
      <c r="J362" s="727"/>
      <c r="K362" s="727"/>
      <c r="L362" s="727"/>
      <c r="M362" s="727"/>
      <c r="N362" s="727"/>
      <c r="O362" s="727"/>
      <c r="P362" s="727"/>
      <c r="Q362" s="727"/>
      <c r="R362" s="727"/>
      <c r="S362" s="727"/>
      <c r="T362" s="727"/>
      <c r="U362" s="727"/>
      <c r="V362" s="727"/>
      <c r="W362" s="727"/>
      <c r="X362" s="727"/>
      <c r="Y362" s="727"/>
      <c r="Z362" s="727"/>
      <c r="AA362" s="727"/>
      <c r="AB362" s="727"/>
      <c r="AC362" s="727"/>
      <c r="AD362" s="727"/>
      <c r="AE362" s="727"/>
      <c r="AF362" s="727"/>
      <c r="AG362" s="727"/>
      <c r="AH362" s="727"/>
      <c r="AI362" s="727"/>
      <c r="AJ362" s="727"/>
      <c r="AK362" s="727"/>
      <c r="AL362" s="727"/>
      <c r="AM362" s="727"/>
      <c r="AN362" s="727"/>
      <c r="AO362" s="727"/>
      <c r="AP362" s="727"/>
      <c r="AQ362" s="727"/>
      <c r="AR362" s="727"/>
      <c r="AS362" s="727"/>
      <c r="AT362" s="727"/>
      <c r="AU362" s="727"/>
      <c r="AV362" s="727"/>
      <c r="AW362" s="727"/>
      <c r="AX362" s="727"/>
      <c r="AY362" s="727"/>
      <c r="AZ362" s="727"/>
      <c r="BA362" s="727"/>
      <c r="BB362" s="727"/>
    </row>
    <row r="363" spans="1:54">
      <c r="A363" s="326"/>
      <c r="B363" s="791">
        <v>1.2</v>
      </c>
      <c r="C363" s="792">
        <v>400</v>
      </c>
      <c r="D363" s="779">
        <v>0.25481999999999999</v>
      </c>
      <c r="E363" s="779">
        <v>2955.5</v>
      </c>
      <c r="F363" s="779">
        <v>3261.3</v>
      </c>
      <c r="G363" s="779">
        <v>7.3792999999999997</v>
      </c>
      <c r="H363" s="727"/>
      <c r="I363" s="727"/>
      <c r="J363" s="727"/>
      <c r="K363" s="727"/>
      <c r="L363" s="727"/>
      <c r="M363" s="727"/>
      <c r="N363" s="727"/>
      <c r="O363" s="727"/>
      <c r="P363" s="727"/>
      <c r="Q363" s="727"/>
      <c r="R363" s="727"/>
      <c r="S363" s="727"/>
      <c r="T363" s="727"/>
      <c r="U363" s="727"/>
      <c r="V363" s="727"/>
      <c r="W363" s="727"/>
      <c r="X363" s="727"/>
      <c r="Y363" s="727"/>
      <c r="Z363" s="727"/>
      <c r="AA363" s="727"/>
      <c r="AB363" s="727"/>
      <c r="AC363" s="727"/>
      <c r="AD363" s="727"/>
      <c r="AE363" s="727"/>
      <c r="AF363" s="727"/>
      <c r="AG363" s="727"/>
      <c r="AH363" s="727"/>
      <c r="AI363" s="727"/>
      <c r="AJ363" s="727"/>
      <c r="AK363" s="727"/>
      <c r="AL363" s="727"/>
      <c r="AM363" s="727"/>
      <c r="AN363" s="727"/>
      <c r="AO363" s="727"/>
      <c r="AP363" s="727"/>
      <c r="AQ363" s="727"/>
      <c r="AR363" s="727"/>
      <c r="AS363" s="727"/>
      <c r="AT363" s="727"/>
      <c r="AU363" s="727"/>
      <c r="AV363" s="727"/>
      <c r="AW363" s="727"/>
      <c r="AX363" s="727"/>
      <c r="AY363" s="727"/>
      <c r="AZ363" s="727"/>
      <c r="BA363" s="727"/>
      <c r="BB363" s="727"/>
    </row>
    <row r="364" spans="1:54">
      <c r="A364" s="326"/>
      <c r="B364" s="791">
        <v>1.2</v>
      </c>
      <c r="C364" s="792">
        <v>500</v>
      </c>
      <c r="D364" s="779">
        <v>0.29464000000000001</v>
      </c>
      <c r="E364" s="779">
        <v>3123.4</v>
      </c>
      <c r="F364" s="779">
        <v>3477</v>
      </c>
      <c r="G364" s="779">
        <v>7.6779000000000002</v>
      </c>
      <c r="H364" s="727"/>
      <c r="I364" s="727"/>
      <c r="J364" s="727"/>
      <c r="K364" s="727"/>
      <c r="L364" s="727"/>
      <c r="M364" s="727"/>
      <c r="N364" s="727"/>
      <c r="O364" s="727"/>
      <c r="P364" s="727"/>
      <c r="Q364" s="727"/>
      <c r="R364" s="727"/>
      <c r="S364" s="727"/>
      <c r="T364" s="727"/>
      <c r="U364" s="727"/>
      <c r="V364" s="727"/>
      <c r="W364" s="727"/>
      <c r="X364" s="727"/>
      <c r="Y364" s="727"/>
      <c r="Z364" s="727"/>
      <c r="AA364" s="727"/>
      <c r="AB364" s="727"/>
      <c r="AC364" s="727"/>
      <c r="AD364" s="727"/>
      <c r="AE364" s="727"/>
      <c r="AF364" s="727"/>
      <c r="AG364" s="727"/>
      <c r="AH364" s="727"/>
      <c r="AI364" s="727"/>
      <c r="AJ364" s="727"/>
      <c r="AK364" s="727"/>
      <c r="AL364" s="727"/>
      <c r="AM364" s="727"/>
      <c r="AN364" s="727"/>
      <c r="AO364" s="727"/>
      <c r="AP364" s="727"/>
      <c r="AQ364" s="727"/>
      <c r="AR364" s="727"/>
      <c r="AS364" s="727"/>
      <c r="AT364" s="727"/>
      <c r="AU364" s="727"/>
      <c r="AV364" s="727"/>
      <c r="AW364" s="727"/>
      <c r="AX364" s="727"/>
      <c r="AY364" s="727"/>
      <c r="AZ364" s="727"/>
      <c r="BA364" s="727"/>
      <c r="BB364" s="727"/>
    </row>
    <row r="365" spans="1:54">
      <c r="A365" s="326"/>
      <c r="B365" s="791">
        <v>1.2</v>
      </c>
      <c r="C365" s="792">
        <v>600</v>
      </c>
      <c r="D365" s="779">
        <v>0.33395000000000002</v>
      </c>
      <c r="E365" s="779">
        <v>3296.3</v>
      </c>
      <c r="F365" s="779">
        <v>3697</v>
      </c>
      <c r="G365" s="779">
        <v>7.9455999999999998</v>
      </c>
      <c r="H365" s="727"/>
      <c r="I365" s="727"/>
      <c r="J365" s="727"/>
      <c r="K365" s="727"/>
      <c r="L365" s="727"/>
      <c r="M365" s="727"/>
      <c r="N365" s="727"/>
      <c r="O365" s="727"/>
      <c r="P365" s="727"/>
      <c r="Q365" s="727"/>
      <c r="R365" s="727"/>
      <c r="S365" s="727"/>
      <c r="T365" s="727"/>
      <c r="U365" s="727"/>
      <c r="V365" s="727"/>
      <c r="W365" s="727"/>
      <c r="X365" s="727"/>
      <c r="Y365" s="727"/>
      <c r="Z365" s="727"/>
      <c r="AA365" s="727"/>
      <c r="AB365" s="727"/>
      <c r="AC365" s="727"/>
      <c r="AD365" s="727"/>
      <c r="AE365" s="727"/>
      <c r="AF365" s="727"/>
      <c r="AG365" s="727"/>
      <c r="AH365" s="727"/>
      <c r="AI365" s="727"/>
      <c r="AJ365" s="727"/>
      <c r="AK365" s="727"/>
      <c r="AL365" s="727"/>
      <c r="AM365" s="727"/>
      <c r="AN365" s="727"/>
      <c r="AO365" s="727"/>
      <c r="AP365" s="727"/>
      <c r="AQ365" s="727"/>
      <c r="AR365" s="727"/>
      <c r="AS365" s="727"/>
      <c r="AT365" s="727"/>
      <c r="AU365" s="727"/>
      <c r="AV365" s="727"/>
      <c r="AW365" s="727"/>
      <c r="AX365" s="727"/>
      <c r="AY365" s="727"/>
      <c r="AZ365" s="727"/>
      <c r="BA365" s="727"/>
      <c r="BB365" s="727"/>
    </row>
    <row r="366" spans="1:54">
      <c r="A366" s="326"/>
      <c r="B366" s="791">
        <v>1.2</v>
      </c>
      <c r="C366" s="792">
        <v>700</v>
      </c>
      <c r="D366" s="779">
        <v>0.37297000000000002</v>
      </c>
      <c r="E366" s="779">
        <v>3475.3</v>
      </c>
      <c r="F366" s="779">
        <v>3922.9</v>
      </c>
      <c r="G366" s="779">
        <v>8.1904000000000003</v>
      </c>
      <c r="H366" s="727"/>
      <c r="I366" s="727"/>
      <c r="J366" s="727"/>
      <c r="K366" s="727"/>
      <c r="L366" s="727"/>
      <c r="M366" s="727"/>
      <c r="N366" s="727"/>
      <c r="O366" s="727"/>
      <c r="P366" s="727"/>
      <c r="Q366" s="727"/>
      <c r="R366" s="727"/>
      <c r="S366" s="727"/>
      <c r="T366" s="727"/>
      <c r="U366" s="727"/>
      <c r="V366" s="727"/>
      <c r="W366" s="727"/>
      <c r="X366" s="727"/>
      <c r="Y366" s="727"/>
      <c r="Z366" s="727"/>
      <c r="AA366" s="727"/>
      <c r="AB366" s="727"/>
      <c r="AC366" s="727"/>
      <c r="AD366" s="727"/>
      <c r="AE366" s="727"/>
      <c r="AF366" s="727"/>
      <c r="AG366" s="727"/>
      <c r="AH366" s="727"/>
      <c r="AI366" s="727"/>
      <c r="AJ366" s="727"/>
      <c r="AK366" s="727"/>
      <c r="AL366" s="727"/>
      <c r="AM366" s="727"/>
      <c r="AN366" s="727"/>
      <c r="AO366" s="727"/>
      <c r="AP366" s="727"/>
      <c r="AQ366" s="727"/>
      <c r="AR366" s="727"/>
      <c r="AS366" s="727"/>
      <c r="AT366" s="727"/>
      <c r="AU366" s="727"/>
      <c r="AV366" s="727"/>
      <c r="AW366" s="727"/>
      <c r="AX366" s="727"/>
      <c r="AY366" s="727"/>
      <c r="AZ366" s="727"/>
      <c r="BA366" s="727"/>
      <c r="BB366" s="727"/>
    </row>
    <row r="367" spans="1:54">
      <c r="A367" s="326"/>
      <c r="B367" s="791">
        <v>1.2</v>
      </c>
      <c r="C367" s="792">
        <v>800</v>
      </c>
      <c r="D367" s="779">
        <v>0.41183999999999998</v>
      </c>
      <c r="E367" s="779">
        <v>3661</v>
      </c>
      <c r="F367" s="779">
        <v>4155.2</v>
      </c>
      <c r="G367" s="779">
        <v>8.4176000000000002</v>
      </c>
      <c r="H367" s="727"/>
      <c r="I367" s="727"/>
      <c r="J367" s="727"/>
      <c r="K367" s="727"/>
      <c r="L367" s="727"/>
      <c r="M367" s="727"/>
      <c r="N367" s="727"/>
      <c r="O367" s="727"/>
      <c r="P367" s="727"/>
      <c r="Q367" s="727"/>
      <c r="R367" s="727"/>
      <c r="S367" s="727"/>
      <c r="T367" s="727"/>
      <c r="U367" s="727"/>
      <c r="V367" s="727"/>
      <c r="W367" s="727"/>
      <c r="X367" s="727"/>
      <c r="Y367" s="727"/>
      <c r="Z367" s="727"/>
      <c r="AA367" s="727"/>
      <c r="AB367" s="727"/>
      <c r="AC367" s="727"/>
      <c r="AD367" s="727"/>
      <c r="AE367" s="727"/>
      <c r="AF367" s="727"/>
      <c r="AG367" s="727"/>
      <c r="AH367" s="727"/>
      <c r="AI367" s="727"/>
      <c r="AJ367" s="727"/>
      <c r="AK367" s="727"/>
      <c r="AL367" s="727"/>
      <c r="AM367" s="727"/>
      <c r="AN367" s="727"/>
      <c r="AO367" s="727"/>
      <c r="AP367" s="727"/>
      <c r="AQ367" s="727"/>
      <c r="AR367" s="727"/>
      <c r="AS367" s="727"/>
      <c r="AT367" s="727"/>
      <c r="AU367" s="727"/>
      <c r="AV367" s="727"/>
      <c r="AW367" s="727"/>
      <c r="AX367" s="727"/>
      <c r="AY367" s="727"/>
      <c r="AZ367" s="727"/>
      <c r="BA367" s="727"/>
      <c r="BB367" s="727"/>
    </row>
    <row r="368" spans="1:54">
      <c r="A368" s="326"/>
      <c r="B368" s="791">
        <v>1.2</v>
      </c>
      <c r="C368" s="792">
        <v>900</v>
      </c>
      <c r="D368" s="779">
        <v>0.45058999999999999</v>
      </c>
      <c r="E368" s="779">
        <v>3853.3</v>
      </c>
      <c r="F368" s="779">
        <v>4394</v>
      </c>
      <c r="G368" s="779">
        <v>8.6303000000000001</v>
      </c>
      <c r="H368" s="727"/>
      <c r="I368" s="727"/>
      <c r="J368" s="727"/>
      <c r="K368" s="727"/>
      <c r="L368" s="727"/>
      <c r="M368" s="727"/>
      <c r="N368" s="727"/>
      <c r="O368" s="727"/>
      <c r="P368" s="727"/>
      <c r="Q368" s="727"/>
      <c r="R368" s="727"/>
      <c r="S368" s="727"/>
      <c r="T368" s="727"/>
      <c r="U368" s="727"/>
      <c r="V368" s="727"/>
      <c r="W368" s="727"/>
      <c r="X368" s="727"/>
      <c r="Y368" s="727"/>
      <c r="Z368" s="727"/>
      <c r="AA368" s="727"/>
      <c r="AB368" s="727"/>
      <c r="AC368" s="727"/>
      <c r="AD368" s="727"/>
      <c r="AE368" s="727"/>
      <c r="AF368" s="727"/>
      <c r="AG368" s="727"/>
      <c r="AH368" s="727"/>
      <c r="AI368" s="727"/>
      <c r="AJ368" s="727"/>
      <c r="AK368" s="727"/>
      <c r="AL368" s="727"/>
      <c r="AM368" s="727"/>
      <c r="AN368" s="727"/>
      <c r="AO368" s="727"/>
      <c r="AP368" s="727"/>
      <c r="AQ368" s="727"/>
      <c r="AR368" s="727"/>
      <c r="AS368" s="727"/>
      <c r="AT368" s="727"/>
      <c r="AU368" s="727"/>
      <c r="AV368" s="727"/>
      <c r="AW368" s="727"/>
      <c r="AX368" s="727"/>
      <c r="AY368" s="727"/>
      <c r="AZ368" s="727"/>
      <c r="BA368" s="727"/>
      <c r="BB368" s="727"/>
    </row>
    <row r="369" spans="1:54">
      <c r="A369" s="326"/>
      <c r="B369" s="791">
        <v>1.2</v>
      </c>
      <c r="C369" s="792">
        <v>1000</v>
      </c>
      <c r="D369" s="779">
        <v>0.48927999999999999</v>
      </c>
      <c r="E369" s="779">
        <v>4052.2</v>
      </c>
      <c r="F369" s="779">
        <v>4639.3999999999996</v>
      </c>
      <c r="G369" s="779">
        <v>8.8309999999999995</v>
      </c>
      <c r="H369" s="727"/>
      <c r="I369" s="727"/>
      <c r="J369" s="727"/>
      <c r="K369" s="727"/>
      <c r="L369" s="727"/>
      <c r="M369" s="727"/>
      <c r="N369" s="727"/>
      <c r="O369" s="727"/>
      <c r="P369" s="727"/>
      <c r="Q369" s="727"/>
      <c r="R369" s="727"/>
      <c r="S369" s="727"/>
      <c r="T369" s="727"/>
      <c r="U369" s="727"/>
      <c r="V369" s="727"/>
      <c r="W369" s="727"/>
      <c r="X369" s="727"/>
      <c r="Y369" s="727"/>
      <c r="Z369" s="727"/>
      <c r="AA369" s="727"/>
      <c r="AB369" s="727"/>
      <c r="AC369" s="727"/>
      <c r="AD369" s="727"/>
      <c r="AE369" s="727"/>
      <c r="AF369" s="727"/>
      <c r="AG369" s="727"/>
      <c r="AH369" s="727"/>
      <c r="AI369" s="727"/>
      <c r="AJ369" s="727"/>
      <c r="AK369" s="727"/>
      <c r="AL369" s="727"/>
      <c r="AM369" s="727"/>
      <c r="AN369" s="727"/>
      <c r="AO369" s="727"/>
      <c r="AP369" s="727"/>
      <c r="AQ369" s="727"/>
      <c r="AR369" s="727"/>
      <c r="AS369" s="727"/>
      <c r="AT369" s="727"/>
      <c r="AU369" s="727"/>
      <c r="AV369" s="727"/>
      <c r="AW369" s="727"/>
      <c r="AX369" s="727"/>
      <c r="AY369" s="727"/>
      <c r="AZ369" s="727"/>
      <c r="BA369" s="727"/>
      <c r="BB369" s="727"/>
    </row>
    <row r="370" spans="1:54">
      <c r="A370" s="326"/>
      <c r="B370" s="791">
        <v>1.2</v>
      </c>
      <c r="C370" s="792">
        <v>1100</v>
      </c>
      <c r="D370" s="779">
        <v>0.52791999999999994</v>
      </c>
      <c r="E370" s="779">
        <v>4257.5</v>
      </c>
      <c r="F370" s="779">
        <v>4891</v>
      </c>
      <c r="G370" s="779">
        <v>9.0212000000000003</v>
      </c>
      <c r="H370" s="727"/>
      <c r="I370" s="727"/>
      <c r="J370" s="727"/>
      <c r="K370" s="727"/>
      <c r="L370" s="727"/>
      <c r="M370" s="727"/>
      <c r="N370" s="727"/>
      <c r="O370" s="727"/>
      <c r="P370" s="727"/>
      <c r="Q370" s="727"/>
      <c r="R370" s="727"/>
      <c r="S370" s="727"/>
      <c r="T370" s="727"/>
      <c r="U370" s="727"/>
      <c r="V370" s="727"/>
      <c r="W370" s="727"/>
      <c r="X370" s="727"/>
      <c r="Y370" s="727"/>
      <c r="Z370" s="727"/>
      <c r="AA370" s="727"/>
      <c r="AB370" s="727"/>
      <c r="AC370" s="727"/>
      <c r="AD370" s="727"/>
      <c r="AE370" s="727"/>
      <c r="AF370" s="727"/>
      <c r="AG370" s="727"/>
      <c r="AH370" s="727"/>
      <c r="AI370" s="727"/>
      <c r="AJ370" s="727"/>
      <c r="AK370" s="727"/>
      <c r="AL370" s="727"/>
      <c r="AM370" s="727"/>
      <c r="AN370" s="727"/>
      <c r="AO370" s="727"/>
      <c r="AP370" s="727"/>
      <c r="AQ370" s="727"/>
      <c r="AR370" s="727"/>
      <c r="AS370" s="727"/>
      <c r="AT370" s="727"/>
      <c r="AU370" s="727"/>
      <c r="AV370" s="727"/>
      <c r="AW370" s="727"/>
      <c r="AX370" s="727"/>
      <c r="AY370" s="727"/>
      <c r="AZ370" s="727"/>
      <c r="BA370" s="727"/>
      <c r="BB370" s="727"/>
    </row>
    <row r="371" spans="1:54">
      <c r="A371" s="326"/>
      <c r="B371" s="791">
        <v>1.2</v>
      </c>
      <c r="C371" s="792">
        <v>1200</v>
      </c>
      <c r="D371" s="779">
        <v>0.56652000000000002</v>
      </c>
      <c r="E371" s="779">
        <v>4468.7</v>
      </c>
      <c r="F371" s="779">
        <v>5148.5</v>
      </c>
      <c r="G371" s="779">
        <v>9.2021999999999995</v>
      </c>
      <c r="H371" s="727"/>
      <c r="I371" s="727"/>
      <c r="J371" s="727"/>
      <c r="K371" s="727"/>
      <c r="L371" s="727"/>
      <c r="M371" s="727"/>
      <c r="N371" s="727"/>
      <c r="O371" s="727"/>
      <c r="P371" s="727"/>
      <c r="Q371" s="727"/>
      <c r="R371" s="727"/>
      <c r="S371" s="727"/>
      <c r="T371" s="727"/>
      <c r="U371" s="727"/>
      <c r="V371" s="727"/>
      <c r="W371" s="727"/>
      <c r="X371" s="727"/>
      <c r="Y371" s="727"/>
      <c r="Z371" s="727"/>
      <c r="AA371" s="727"/>
      <c r="AB371" s="727"/>
      <c r="AC371" s="727"/>
      <c r="AD371" s="727"/>
      <c r="AE371" s="727"/>
      <c r="AF371" s="727"/>
      <c r="AG371" s="727"/>
      <c r="AH371" s="727"/>
      <c r="AI371" s="727"/>
      <c r="AJ371" s="727"/>
      <c r="AK371" s="727"/>
      <c r="AL371" s="727"/>
      <c r="AM371" s="727"/>
      <c r="AN371" s="727"/>
      <c r="AO371" s="727"/>
      <c r="AP371" s="727"/>
      <c r="AQ371" s="727"/>
      <c r="AR371" s="727"/>
      <c r="AS371" s="727"/>
      <c r="AT371" s="727"/>
      <c r="AU371" s="727"/>
      <c r="AV371" s="727"/>
      <c r="AW371" s="727"/>
      <c r="AX371" s="727"/>
      <c r="AY371" s="727"/>
      <c r="AZ371" s="727"/>
      <c r="BA371" s="727"/>
      <c r="BB371" s="727"/>
    </row>
    <row r="372" spans="1:54">
      <c r="A372" s="326"/>
      <c r="B372" s="791">
        <v>1.2</v>
      </c>
      <c r="C372" s="792">
        <v>1300</v>
      </c>
      <c r="D372" s="779">
        <v>0.60509000000000002</v>
      </c>
      <c r="E372" s="779">
        <v>4685.5</v>
      </c>
      <c r="F372" s="779">
        <v>5411.6</v>
      </c>
      <c r="G372" s="779">
        <v>9.375</v>
      </c>
      <c r="H372" s="727"/>
      <c r="I372" s="727"/>
      <c r="J372" s="727"/>
      <c r="K372" s="727"/>
      <c r="L372" s="727"/>
      <c r="M372" s="727"/>
      <c r="N372" s="727"/>
      <c r="O372" s="727"/>
      <c r="P372" s="727"/>
      <c r="Q372" s="727"/>
      <c r="R372" s="727"/>
      <c r="S372" s="727"/>
      <c r="T372" s="727"/>
      <c r="U372" s="727"/>
      <c r="V372" s="727"/>
      <c r="W372" s="727"/>
      <c r="X372" s="727"/>
      <c r="Y372" s="727"/>
      <c r="Z372" s="727"/>
      <c r="AA372" s="727"/>
      <c r="AB372" s="727"/>
      <c r="AC372" s="727"/>
      <c r="AD372" s="727"/>
      <c r="AE372" s="727"/>
      <c r="AF372" s="727"/>
      <c r="AG372" s="727"/>
      <c r="AH372" s="727"/>
      <c r="AI372" s="727"/>
      <c r="AJ372" s="727"/>
      <c r="AK372" s="727"/>
      <c r="AL372" s="727"/>
      <c r="AM372" s="727"/>
      <c r="AN372" s="727"/>
      <c r="AO372" s="727"/>
      <c r="AP372" s="727"/>
      <c r="AQ372" s="727"/>
      <c r="AR372" s="727"/>
      <c r="AS372" s="727"/>
      <c r="AT372" s="727"/>
      <c r="AU372" s="727"/>
      <c r="AV372" s="727"/>
      <c r="AW372" s="727"/>
      <c r="AX372" s="727"/>
      <c r="AY372" s="727"/>
      <c r="AZ372" s="727"/>
      <c r="BA372" s="727"/>
      <c r="BB372" s="727"/>
    </row>
    <row r="373" spans="1:54">
      <c r="A373" s="326"/>
      <c r="B373" s="791">
        <v>1.4</v>
      </c>
      <c r="C373" s="792">
        <v>195.04</v>
      </c>
      <c r="D373" s="779">
        <v>0.14077999999999999</v>
      </c>
      <c r="E373" s="779">
        <v>2591.8000000000002</v>
      </c>
      <c r="F373" s="779">
        <v>2788.9</v>
      </c>
      <c r="G373" s="779">
        <v>6.4675000000000002</v>
      </c>
      <c r="H373" s="727"/>
      <c r="I373" s="727"/>
      <c r="J373" s="727"/>
      <c r="K373" s="727"/>
      <c r="L373" s="727"/>
      <c r="M373" s="727"/>
      <c r="N373" s="727"/>
      <c r="O373" s="727"/>
      <c r="P373" s="727"/>
      <c r="Q373" s="727"/>
      <c r="R373" s="727"/>
      <c r="S373" s="727"/>
      <c r="T373" s="727"/>
      <c r="U373" s="727"/>
      <c r="V373" s="727"/>
      <c r="W373" s="727"/>
      <c r="X373" s="727"/>
      <c r="Y373" s="727"/>
      <c r="Z373" s="727"/>
      <c r="AA373" s="727"/>
      <c r="AB373" s="727"/>
      <c r="AC373" s="727"/>
      <c r="AD373" s="727"/>
      <c r="AE373" s="727"/>
      <c r="AF373" s="727"/>
      <c r="AG373" s="727"/>
      <c r="AH373" s="727"/>
      <c r="AI373" s="727"/>
      <c r="AJ373" s="727"/>
      <c r="AK373" s="727"/>
      <c r="AL373" s="727"/>
      <c r="AM373" s="727"/>
      <c r="AN373" s="727"/>
      <c r="AO373" s="727"/>
      <c r="AP373" s="727"/>
      <c r="AQ373" s="727"/>
      <c r="AR373" s="727"/>
      <c r="AS373" s="727"/>
      <c r="AT373" s="727"/>
      <c r="AU373" s="727"/>
      <c r="AV373" s="727"/>
      <c r="AW373" s="727"/>
      <c r="AX373" s="727"/>
      <c r="AY373" s="727"/>
      <c r="AZ373" s="727"/>
      <c r="BA373" s="727"/>
      <c r="BB373" s="727"/>
    </row>
    <row r="374" spans="1:54">
      <c r="A374" s="326"/>
      <c r="B374" s="791">
        <v>1.4</v>
      </c>
      <c r="C374" s="792">
        <v>200</v>
      </c>
      <c r="D374" s="779">
        <v>0.14302999999999999</v>
      </c>
      <c r="E374" s="779">
        <v>2602.6999999999998</v>
      </c>
      <c r="F374" s="779">
        <v>2803</v>
      </c>
      <c r="G374" s="779">
        <v>6.4974999999999996</v>
      </c>
      <c r="H374" s="727"/>
      <c r="I374" s="727"/>
      <c r="J374" s="727"/>
      <c r="K374" s="727"/>
      <c r="L374" s="727"/>
      <c r="M374" s="727"/>
      <c r="N374" s="727"/>
      <c r="O374" s="727"/>
      <c r="P374" s="727"/>
      <c r="Q374" s="727"/>
      <c r="R374" s="727"/>
      <c r="S374" s="727"/>
      <c r="T374" s="727"/>
      <c r="U374" s="727"/>
      <c r="V374" s="727"/>
      <c r="W374" s="727"/>
      <c r="X374" s="727"/>
      <c r="Y374" s="727"/>
      <c r="Z374" s="727"/>
      <c r="AA374" s="727"/>
      <c r="AB374" s="727"/>
      <c r="AC374" s="727"/>
      <c r="AD374" s="727"/>
      <c r="AE374" s="727"/>
      <c r="AF374" s="727"/>
      <c r="AG374" s="727"/>
      <c r="AH374" s="727"/>
      <c r="AI374" s="727"/>
      <c r="AJ374" s="727"/>
      <c r="AK374" s="727"/>
      <c r="AL374" s="727"/>
      <c r="AM374" s="727"/>
      <c r="AN374" s="727"/>
      <c r="AO374" s="727"/>
      <c r="AP374" s="727"/>
      <c r="AQ374" s="727"/>
      <c r="AR374" s="727"/>
      <c r="AS374" s="727"/>
      <c r="AT374" s="727"/>
      <c r="AU374" s="727"/>
      <c r="AV374" s="727"/>
      <c r="AW374" s="727"/>
      <c r="AX374" s="727"/>
      <c r="AY374" s="727"/>
      <c r="AZ374" s="727"/>
      <c r="BA374" s="727"/>
      <c r="BB374" s="727"/>
    </row>
    <row r="375" spans="1:54">
      <c r="A375" s="326"/>
      <c r="B375" s="791">
        <v>1.4</v>
      </c>
      <c r="C375" s="792">
        <v>250</v>
      </c>
      <c r="D375" s="779">
        <v>0.16356000000000001</v>
      </c>
      <c r="E375" s="779">
        <v>2698.9</v>
      </c>
      <c r="F375" s="779">
        <v>2927.9</v>
      </c>
      <c r="G375" s="779">
        <v>6.7488000000000001</v>
      </c>
      <c r="H375" s="727"/>
      <c r="I375" s="727"/>
      <c r="J375" s="727"/>
      <c r="K375" s="727"/>
      <c r="L375" s="727"/>
      <c r="M375" s="727"/>
      <c r="N375" s="727"/>
      <c r="O375" s="727"/>
      <c r="P375" s="727"/>
      <c r="Q375" s="727"/>
      <c r="R375" s="727"/>
      <c r="S375" s="727"/>
      <c r="T375" s="727"/>
      <c r="U375" s="727"/>
      <c r="V375" s="727"/>
      <c r="W375" s="727"/>
      <c r="X375" s="727"/>
      <c r="Y375" s="727"/>
      <c r="Z375" s="727"/>
      <c r="AA375" s="727"/>
      <c r="AB375" s="727"/>
      <c r="AC375" s="727"/>
      <c r="AD375" s="727"/>
      <c r="AE375" s="727"/>
      <c r="AF375" s="727"/>
      <c r="AG375" s="727"/>
      <c r="AH375" s="727"/>
      <c r="AI375" s="727"/>
      <c r="AJ375" s="727"/>
      <c r="AK375" s="727"/>
      <c r="AL375" s="727"/>
      <c r="AM375" s="727"/>
      <c r="AN375" s="727"/>
      <c r="AO375" s="727"/>
      <c r="AP375" s="727"/>
      <c r="AQ375" s="727"/>
      <c r="AR375" s="727"/>
      <c r="AS375" s="727"/>
      <c r="AT375" s="727"/>
      <c r="AU375" s="727"/>
      <c r="AV375" s="727"/>
      <c r="AW375" s="727"/>
      <c r="AX375" s="727"/>
      <c r="AY375" s="727"/>
      <c r="AZ375" s="727"/>
      <c r="BA375" s="727"/>
      <c r="BB375" s="727"/>
    </row>
    <row r="376" spans="1:54">
      <c r="A376" s="326"/>
      <c r="B376" s="791">
        <v>1.4</v>
      </c>
      <c r="C376" s="792">
        <v>300</v>
      </c>
      <c r="D376" s="779">
        <v>0.18232999999999999</v>
      </c>
      <c r="E376" s="779">
        <v>2785.7</v>
      </c>
      <c r="F376" s="779">
        <v>3040.9</v>
      </c>
      <c r="G376" s="779">
        <v>6.9553000000000003</v>
      </c>
      <c r="H376" s="727"/>
      <c r="I376" s="727"/>
      <c r="J376" s="727"/>
      <c r="K376" s="727"/>
      <c r="L376" s="727"/>
      <c r="M376" s="727"/>
      <c r="N376" s="727"/>
      <c r="O376" s="727"/>
      <c r="P376" s="727"/>
      <c r="Q376" s="727"/>
      <c r="R376" s="727"/>
      <c r="S376" s="727"/>
      <c r="T376" s="727"/>
      <c r="U376" s="727"/>
      <c r="V376" s="727"/>
      <c r="W376" s="727"/>
      <c r="X376" s="727"/>
      <c r="Y376" s="727"/>
      <c r="Z376" s="727"/>
      <c r="AA376" s="727"/>
      <c r="AB376" s="727"/>
      <c r="AC376" s="727"/>
      <c r="AD376" s="727"/>
      <c r="AE376" s="727"/>
      <c r="AF376" s="727"/>
      <c r="AG376" s="727"/>
      <c r="AH376" s="727"/>
      <c r="AI376" s="727"/>
      <c r="AJ376" s="727"/>
      <c r="AK376" s="727"/>
      <c r="AL376" s="727"/>
      <c r="AM376" s="727"/>
      <c r="AN376" s="727"/>
      <c r="AO376" s="727"/>
      <c r="AP376" s="727"/>
      <c r="AQ376" s="727"/>
      <c r="AR376" s="727"/>
      <c r="AS376" s="727"/>
      <c r="AT376" s="727"/>
      <c r="AU376" s="727"/>
      <c r="AV376" s="727"/>
      <c r="AW376" s="727"/>
      <c r="AX376" s="727"/>
      <c r="AY376" s="727"/>
      <c r="AZ376" s="727"/>
      <c r="BA376" s="727"/>
      <c r="BB376" s="727"/>
    </row>
    <row r="377" spans="1:54">
      <c r="A377" s="326"/>
      <c r="B377" s="791">
        <v>1.4</v>
      </c>
      <c r="C377" s="792">
        <v>350</v>
      </c>
      <c r="D377" s="779">
        <v>0.20029</v>
      </c>
      <c r="E377" s="779">
        <v>2869.7</v>
      </c>
      <c r="F377" s="779">
        <v>3150.1</v>
      </c>
      <c r="G377" s="779">
        <v>7.1379000000000001</v>
      </c>
      <c r="H377" s="727"/>
      <c r="I377" s="727"/>
      <c r="J377" s="727"/>
      <c r="K377" s="727"/>
      <c r="L377" s="727"/>
      <c r="M377" s="727"/>
      <c r="N377" s="727"/>
      <c r="O377" s="727"/>
      <c r="P377" s="727"/>
      <c r="Q377" s="727"/>
      <c r="R377" s="727"/>
      <c r="S377" s="727"/>
      <c r="T377" s="727"/>
      <c r="U377" s="727"/>
      <c r="V377" s="727"/>
      <c r="W377" s="727"/>
      <c r="X377" s="727"/>
      <c r="Y377" s="727"/>
      <c r="Z377" s="727"/>
      <c r="AA377" s="727"/>
      <c r="AB377" s="727"/>
      <c r="AC377" s="727"/>
      <c r="AD377" s="727"/>
      <c r="AE377" s="727"/>
      <c r="AF377" s="727"/>
      <c r="AG377" s="727"/>
      <c r="AH377" s="727"/>
      <c r="AI377" s="727"/>
      <c r="AJ377" s="727"/>
      <c r="AK377" s="727"/>
      <c r="AL377" s="727"/>
      <c r="AM377" s="727"/>
      <c r="AN377" s="727"/>
      <c r="AO377" s="727"/>
      <c r="AP377" s="727"/>
      <c r="AQ377" s="727"/>
      <c r="AR377" s="727"/>
      <c r="AS377" s="727"/>
      <c r="AT377" s="727"/>
      <c r="AU377" s="727"/>
      <c r="AV377" s="727"/>
      <c r="AW377" s="727"/>
      <c r="AX377" s="727"/>
      <c r="AY377" s="727"/>
      <c r="AZ377" s="727"/>
      <c r="BA377" s="727"/>
      <c r="BB377" s="727"/>
    </row>
    <row r="378" spans="1:54">
      <c r="A378" s="326"/>
      <c r="B378" s="791">
        <v>1.4</v>
      </c>
      <c r="C378" s="792">
        <v>400</v>
      </c>
      <c r="D378" s="779">
        <v>0.21782000000000001</v>
      </c>
      <c r="E378" s="779">
        <v>2953.1</v>
      </c>
      <c r="F378" s="779">
        <v>3258.1</v>
      </c>
      <c r="G378" s="779">
        <v>7.3045999999999998</v>
      </c>
      <c r="H378" s="727"/>
      <c r="I378" s="727"/>
      <c r="J378" s="727"/>
      <c r="K378" s="727"/>
      <c r="L378" s="727"/>
      <c r="M378" s="727"/>
      <c r="N378" s="727"/>
      <c r="O378" s="727"/>
      <c r="P378" s="727"/>
      <c r="Q378" s="727"/>
      <c r="R378" s="727"/>
      <c r="S378" s="727"/>
      <c r="T378" s="727"/>
      <c r="U378" s="727"/>
      <c r="V378" s="727"/>
      <c r="W378" s="727"/>
      <c r="X378" s="727"/>
      <c r="Y378" s="727"/>
      <c r="Z378" s="727"/>
      <c r="AA378" s="727"/>
      <c r="AB378" s="727"/>
      <c r="AC378" s="727"/>
      <c r="AD378" s="727"/>
      <c r="AE378" s="727"/>
      <c r="AF378" s="727"/>
      <c r="AG378" s="727"/>
      <c r="AH378" s="727"/>
      <c r="AI378" s="727"/>
      <c r="AJ378" s="727"/>
      <c r="AK378" s="727"/>
      <c r="AL378" s="727"/>
      <c r="AM378" s="727"/>
      <c r="AN378" s="727"/>
      <c r="AO378" s="727"/>
      <c r="AP378" s="727"/>
      <c r="AQ378" s="727"/>
      <c r="AR378" s="727"/>
      <c r="AS378" s="727"/>
      <c r="AT378" s="727"/>
      <c r="AU378" s="727"/>
      <c r="AV378" s="727"/>
      <c r="AW378" s="727"/>
      <c r="AX378" s="727"/>
      <c r="AY378" s="727"/>
      <c r="AZ378" s="727"/>
      <c r="BA378" s="727"/>
      <c r="BB378" s="727"/>
    </row>
    <row r="379" spans="1:54">
      <c r="A379" s="326"/>
      <c r="B379" s="791">
        <v>1.4</v>
      </c>
      <c r="C379" s="792">
        <v>500</v>
      </c>
      <c r="D379" s="779">
        <v>0.25216</v>
      </c>
      <c r="E379" s="779">
        <v>3121.8</v>
      </c>
      <c r="F379" s="779">
        <v>3474.8</v>
      </c>
      <c r="G379" s="779">
        <v>7.6047000000000002</v>
      </c>
      <c r="H379" s="727"/>
      <c r="I379" s="727"/>
      <c r="J379" s="727"/>
      <c r="K379" s="727"/>
      <c r="L379" s="727"/>
      <c r="M379" s="727"/>
      <c r="N379" s="727"/>
      <c r="O379" s="727"/>
      <c r="P379" s="727"/>
      <c r="Q379" s="727"/>
      <c r="R379" s="727"/>
      <c r="S379" s="727"/>
      <c r="T379" s="727"/>
      <c r="U379" s="727"/>
      <c r="V379" s="727"/>
      <c r="W379" s="727"/>
      <c r="X379" s="727"/>
      <c r="Y379" s="727"/>
      <c r="Z379" s="727"/>
      <c r="AA379" s="727"/>
      <c r="AB379" s="727"/>
      <c r="AC379" s="727"/>
      <c r="AD379" s="727"/>
      <c r="AE379" s="727"/>
      <c r="AF379" s="727"/>
      <c r="AG379" s="727"/>
      <c r="AH379" s="727"/>
      <c r="AI379" s="727"/>
      <c r="AJ379" s="727"/>
      <c r="AK379" s="727"/>
      <c r="AL379" s="727"/>
      <c r="AM379" s="727"/>
      <c r="AN379" s="727"/>
      <c r="AO379" s="727"/>
      <c r="AP379" s="727"/>
      <c r="AQ379" s="727"/>
      <c r="AR379" s="727"/>
      <c r="AS379" s="727"/>
      <c r="AT379" s="727"/>
      <c r="AU379" s="727"/>
      <c r="AV379" s="727"/>
      <c r="AW379" s="727"/>
      <c r="AX379" s="727"/>
      <c r="AY379" s="727"/>
      <c r="AZ379" s="727"/>
      <c r="BA379" s="727"/>
      <c r="BB379" s="727"/>
    </row>
    <row r="380" spans="1:54">
      <c r="A380" s="326"/>
      <c r="B380" s="791">
        <v>1.4</v>
      </c>
      <c r="C380" s="792">
        <v>600</v>
      </c>
      <c r="D380" s="779">
        <v>0.28597</v>
      </c>
      <c r="E380" s="779">
        <v>3295.1</v>
      </c>
      <c r="F380" s="779">
        <v>3695.5</v>
      </c>
      <c r="G380" s="779">
        <v>7.8730000000000002</v>
      </c>
      <c r="H380" s="727"/>
      <c r="I380" s="727"/>
      <c r="J380" s="727"/>
      <c r="K380" s="727"/>
      <c r="L380" s="727"/>
      <c r="M380" s="727"/>
      <c r="N380" s="727"/>
      <c r="O380" s="727"/>
      <c r="P380" s="727"/>
      <c r="Q380" s="727"/>
      <c r="R380" s="727"/>
      <c r="S380" s="727"/>
      <c r="T380" s="727"/>
      <c r="U380" s="727"/>
      <c r="V380" s="727"/>
      <c r="W380" s="727"/>
      <c r="X380" s="727"/>
      <c r="Y380" s="727"/>
      <c r="Z380" s="727"/>
      <c r="AA380" s="727"/>
      <c r="AB380" s="727"/>
      <c r="AC380" s="727"/>
      <c r="AD380" s="727"/>
      <c r="AE380" s="727"/>
      <c r="AF380" s="727"/>
      <c r="AG380" s="727"/>
      <c r="AH380" s="727"/>
      <c r="AI380" s="727"/>
      <c r="AJ380" s="727"/>
      <c r="AK380" s="727"/>
      <c r="AL380" s="727"/>
      <c r="AM380" s="727"/>
      <c r="AN380" s="727"/>
      <c r="AO380" s="727"/>
      <c r="AP380" s="727"/>
      <c r="AQ380" s="727"/>
      <c r="AR380" s="727"/>
      <c r="AS380" s="727"/>
      <c r="AT380" s="727"/>
      <c r="AU380" s="727"/>
      <c r="AV380" s="727"/>
      <c r="AW380" s="727"/>
      <c r="AX380" s="727"/>
      <c r="AY380" s="727"/>
      <c r="AZ380" s="727"/>
      <c r="BA380" s="727"/>
      <c r="BB380" s="727"/>
    </row>
    <row r="381" spans="1:54">
      <c r="A381" s="326"/>
      <c r="B381" s="791">
        <v>1.4</v>
      </c>
      <c r="C381" s="792">
        <v>700</v>
      </c>
      <c r="D381" s="779">
        <v>0.31951000000000002</v>
      </c>
      <c r="E381" s="779">
        <v>3474.4</v>
      </c>
      <c r="F381" s="779">
        <v>3921.7</v>
      </c>
      <c r="G381" s="779">
        <v>8.1182999999999996</v>
      </c>
      <c r="H381" s="727"/>
      <c r="I381" s="727"/>
      <c r="J381" s="727"/>
      <c r="K381" s="727"/>
      <c r="L381" s="727"/>
      <c r="M381" s="727"/>
      <c r="N381" s="727"/>
      <c r="O381" s="727"/>
      <c r="P381" s="727"/>
      <c r="Q381" s="727"/>
      <c r="R381" s="727"/>
      <c r="S381" s="727"/>
      <c r="T381" s="727"/>
      <c r="U381" s="727"/>
      <c r="V381" s="727"/>
      <c r="W381" s="727"/>
      <c r="X381" s="727"/>
      <c r="Y381" s="727"/>
      <c r="Z381" s="727"/>
      <c r="AA381" s="727"/>
      <c r="AB381" s="727"/>
      <c r="AC381" s="727"/>
      <c r="AD381" s="727"/>
      <c r="AE381" s="727"/>
      <c r="AF381" s="727"/>
      <c r="AG381" s="727"/>
      <c r="AH381" s="727"/>
      <c r="AI381" s="727"/>
      <c r="AJ381" s="727"/>
      <c r="AK381" s="727"/>
      <c r="AL381" s="727"/>
      <c r="AM381" s="727"/>
      <c r="AN381" s="727"/>
      <c r="AO381" s="727"/>
      <c r="AP381" s="727"/>
      <c r="AQ381" s="727"/>
      <c r="AR381" s="727"/>
      <c r="AS381" s="727"/>
      <c r="AT381" s="727"/>
      <c r="AU381" s="727"/>
      <c r="AV381" s="727"/>
      <c r="AW381" s="727"/>
      <c r="AX381" s="727"/>
      <c r="AY381" s="727"/>
      <c r="AZ381" s="727"/>
      <c r="BA381" s="727"/>
      <c r="BB381" s="727"/>
    </row>
    <row r="382" spans="1:54">
      <c r="A382" s="326"/>
      <c r="B382" s="791">
        <v>1.4</v>
      </c>
      <c r="C382" s="792">
        <v>800</v>
      </c>
      <c r="D382" s="779">
        <v>0.35288000000000003</v>
      </c>
      <c r="E382" s="779">
        <v>3660.3</v>
      </c>
      <c r="F382" s="779">
        <v>4154.3</v>
      </c>
      <c r="G382" s="779">
        <v>8.3458000000000006</v>
      </c>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7"/>
      <c r="AF382" s="727"/>
      <c r="AG382" s="727"/>
      <c r="AH382" s="727"/>
      <c r="AI382" s="727"/>
      <c r="AJ382" s="727"/>
      <c r="AK382" s="727"/>
      <c r="AL382" s="727"/>
      <c r="AM382" s="727"/>
      <c r="AN382" s="727"/>
      <c r="AO382" s="727"/>
      <c r="AP382" s="727"/>
      <c r="AQ382" s="727"/>
      <c r="AR382" s="727"/>
      <c r="AS382" s="727"/>
      <c r="AT382" s="727"/>
      <c r="AU382" s="727"/>
      <c r="AV382" s="727"/>
      <c r="AW382" s="727"/>
      <c r="AX382" s="727"/>
      <c r="AY382" s="727"/>
      <c r="AZ382" s="727"/>
      <c r="BA382" s="727"/>
      <c r="BB382" s="727"/>
    </row>
    <row r="383" spans="1:54">
      <c r="A383" s="326"/>
      <c r="B383" s="791">
        <v>1.4</v>
      </c>
      <c r="C383" s="792">
        <v>900</v>
      </c>
      <c r="D383" s="779">
        <v>0.38613999999999998</v>
      </c>
      <c r="E383" s="779">
        <v>3852.7</v>
      </c>
      <c r="F383" s="779">
        <v>4393.3</v>
      </c>
      <c r="G383" s="779">
        <v>8.5587</v>
      </c>
      <c r="H383" s="727"/>
      <c r="I383" s="727"/>
      <c r="J383" s="727"/>
      <c r="K383" s="727"/>
      <c r="L383" s="727"/>
      <c r="M383" s="727"/>
      <c r="N383" s="727"/>
      <c r="O383" s="727"/>
      <c r="P383" s="727"/>
      <c r="Q383" s="727"/>
      <c r="R383" s="727"/>
      <c r="S383" s="727"/>
      <c r="T383" s="727"/>
      <c r="U383" s="727"/>
      <c r="V383" s="727"/>
      <c r="W383" s="727"/>
      <c r="X383" s="727"/>
      <c r="Y383" s="727"/>
      <c r="Z383" s="727"/>
      <c r="AA383" s="727"/>
      <c r="AB383" s="727"/>
      <c r="AC383" s="727"/>
      <c r="AD383" s="727"/>
      <c r="AE383" s="727"/>
      <c r="AF383" s="727"/>
      <c r="AG383" s="727"/>
      <c r="AH383" s="727"/>
      <c r="AI383" s="727"/>
      <c r="AJ383" s="727"/>
      <c r="AK383" s="727"/>
      <c r="AL383" s="727"/>
      <c r="AM383" s="727"/>
      <c r="AN383" s="727"/>
      <c r="AO383" s="727"/>
      <c r="AP383" s="727"/>
      <c r="AQ383" s="727"/>
      <c r="AR383" s="727"/>
      <c r="AS383" s="727"/>
      <c r="AT383" s="727"/>
      <c r="AU383" s="727"/>
      <c r="AV383" s="727"/>
      <c r="AW383" s="727"/>
      <c r="AX383" s="727"/>
      <c r="AY383" s="727"/>
      <c r="AZ383" s="727"/>
      <c r="BA383" s="727"/>
      <c r="BB383" s="727"/>
    </row>
    <row r="384" spans="1:54">
      <c r="A384" s="326"/>
      <c r="B384" s="791">
        <v>1.4</v>
      </c>
      <c r="C384" s="792">
        <v>1000</v>
      </c>
      <c r="D384" s="779">
        <v>0.41932999999999998</v>
      </c>
      <c r="E384" s="779">
        <v>4051.7</v>
      </c>
      <c r="F384" s="779">
        <v>4638.8</v>
      </c>
      <c r="G384" s="779">
        <v>8.7594999999999992</v>
      </c>
      <c r="H384" s="727"/>
      <c r="I384" s="727"/>
      <c r="J384" s="727"/>
      <c r="K384" s="727"/>
      <c r="L384" s="727"/>
      <c r="M384" s="727"/>
      <c r="N384" s="727"/>
      <c r="O384" s="727"/>
      <c r="P384" s="727"/>
      <c r="Q384" s="727"/>
      <c r="R384" s="727"/>
      <c r="S384" s="727"/>
      <c r="T384" s="727"/>
      <c r="U384" s="727"/>
      <c r="V384" s="727"/>
      <c r="W384" s="727"/>
      <c r="X384" s="727"/>
      <c r="Y384" s="727"/>
      <c r="Z384" s="727"/>
      <c r="AA384" s="727"/>
      <c r="AB384" s="727"/>
      <c r="AC384" s="727"/>
      <c r="AD384" s="727"/>
      <c r="AE384" s="727"/>
      <c r="AF384" s="727"/>
      <c r="AG384" s="727"/>
      <c r="AH384" s="727"/>
      <c r="AI384" s="727"/>
      <c r="AJ384" s="727"/>
      <c r="AK384" s="727"/>
      <c r="AL384" s="727"/>
      <c r="AM384" s="727"/>
      <c r="AN384" s="727"/>
      <c r="AO384" s="727"/>
      <c r="AP384" s="727"/>
      <c r="AQ384" s="727"/>
      <c r="AR384" s="727"/>
      <c r="AS384" s="727"/>
      <c r="AT384" s="727"/>
      <c r="AU384" s="727"/>
      <c r="AV384" s="727"/>
      <c r="AW384" s="727"/>
      <c r="AX384" s="727"/>
      <c r="AY384" s="727"/>
      <c r="AZ384" s="727"/>
      <c r="BA384" s="727"/>
      <c r="BB384" s="727"/>
    </row>
    <row r="385" spans="1:54">
      <c r="A385" s="326"/>
      <c r="B385" s="791">
        <v>1.4</v>
      </c>
      <c r="C385" s="792">
        <v>1100</v>
      </c>
      <c r="D385" s="779">
        <v>0.45246999999999998</v>
      </c>
      <c r="E385" s="779">
        <v>4257</v>
      </c>
      <c r="F385" s="779">
        <v>4890.5</v>
      </c>
      <c r="G385" s="779">
        <v>8.9497</v>
      </c>
      <c r="H385" s="727"/>
      <c r="I385" s="727"/>
      <c r="J385" s="727"/>
      <c r="K385" s="727"/>
      <c r="L385" s="727"/>
      <c r="M385" s="727"/>
      <c r="N385" s="727"/>
      <c r="O385" s="727"/>
      <c r="P385" s="727"/>
      <c r="Q385" s="727"/>
      <c r="R385" s="727"/>
      <c r="S385" s="727"/>
      <c r="T385" s="727"/>
      <c r="U385" s="727"/>
      <c r="V385" s="727"/>
      <c r="W385" s="727"/>
      <c r="X385" s="727"/>
      <c r="Y385" s="727"/>
      <c r="Z385" s="727"/>
      <c r="AA385" s="727"/>
      <c r="AB385" s="727"/>
      <c r="AC385" s="727"/>
      <c r="AD385" s="727"/>
      <c r="AE385" s="727"/>
      <c r="AF385" s="727"/>
      <c r="AG385" s="727"/>
      <c r="AH385" s="727"/>
      <c r="AI385" s="727"/>
      <c r="AJ385" s="727"/>
      <c r="AK385" s="727"/>
      <c r="AL385" s="727"/>
      <c r="AM385" s="727"/>
      <c r="AN385" s="727"/>
      <c r="AO385" s="727"/>
      <c r="AP385" s="727"/>
      <c r="AQ385" s="727"/>
      <c r="AR385" s="727"/>
      <c r="AS385" s="727"/>
      <c r="AT385" s="727"/>
      <c r="AU385" s="727"/>
      <c r="AV385" s="727"/>
      <c r="AW385" s="727"/>
      <c r="AX385" s="727"/>
      <c r="AY385" s="727"/>
      <c r="AZ385" s="727"/>
      <c r="BA385" s="727"/>
      <c r="BB385" s="727"/>
    </row>
    <row r="386" spans="1:54">
      <c r="A386" s="326"/>
      <c r="B386" s="791">
        <v>1.4</v>
      </c>
      <c r="C386" s="792">
        <v>1200</v>
      </c>
      <c r="D386" s="779">
        <v>0.48558000000000001</v>
      </c>
      <c r="E386" s="779">
        <v>4468.3</v>
      </c>
      <c r="F386" s="779">
        <v>5148.1000000000004</v>
      </c>
      <c r="G386" s="779">
        <v>9.1308000000000007</v>
      </c>
      <c r="H386" s="727"/>
      <c r="I386" s="727"/>
      <c r="J386" s="727"/>
      <c r="K386" s="727"/>
      <c r="L386" s="727"/>
      <c r="M386" s="727"/>
      <c r="N386" s="727"/>
      <c r="O386" s="727"/>
      <c r="P386" s="727"/>
      <c r="Q386" s="727"/>
      <c r="R386" s="727"/>
      <c r="S386" s="727"/>
      <c r="T386" s="727"/>
      <c r="U386" s="727"/>
      <c r="V386" s="727"/>
      <c r="W386" s="727"/>
      <c r="X386" s="727"/>
      <c r="Y386" s="727"/>
      <c r="Z386" s="727"/>
      <c r="AA386" s="727"/>
      <c r="AB386" s="727"/>
      <c r="AC386" s="727"/>
      <c r="AD386" s="727"/>
      <c r="AE386" s="727"/>
      <c r="AF386" s="727"/>
      <c r="AG386" s="727"/>
      <c r="AH386" s="727"/>
      <c r="AI386" s="727"/>
      <c r="AJ386" s="727"/>
      <c r="AK386" s="727"/>
      <c r="AL386" s="727"/>
      <c r="AM386" s="727"/>
      <c r="AN386" s="727"/>
      <c r="AO386" s="727"/>
      <c r="AP386" s="727"/>
      <c r="AQ386" s="727"/>
      <c r="AR386" s="727"/>
      <c r="AS386" s="727"/>
      <c r="AT386" s="727"/>
      <c r="AU386" s="727"/>
      <c r="AV386" s="727"/>
      <c r="AW386" s="727"/>
      <c r="AX386" s="727"/>
      <c r="AY386" s="727"/>
      <c r="AZ386" s="727"/>
      <c r="BA386" s="727"/>
      <c r="BB386" s="727"/>
    </row>
    <row r="387" spans="1:54">
      <c r="A387" s="326"/>
      <c r="B387" s="791">
        <v>1.4</v>
      </c>
      <c r="C387" s="792">
        <v>1300</v>
      </c>
      <c r="D387" s="779">
        <v>0.51866000000000001</v>
      </c>
      <c r="E387" s="779">
        <v>4685.1000000000004</v>
      </c>
      <c r="F387" s="779">
        <v>5411.3</v>
      </c>
      <c r="G387" s="779">
        <v>9.3035999999999994</v>
      </c>
      <c r="H387" s="727"/>
      <c r="I387" s="727"/>
      <c r="J387" s="727"/>
      <c r="K387" s="727"/>
      <c r="L387" s="727"/>
      <c r="M387" s="727"/>
      <c r="N387" s="727"/>
      <c r="O387" s="727"/>
      <c r="P387" s="727"/>
      <c r="Q387" s="727"/>
      <c r="R387" s="727"/>
      <c r="S387" s="727"/>
      <c r="T387" s="727"/>
      <c r="U387" s="727"/>
      <c r="V387" s="727"/>
      <c r="W387" s="727"/>
      <c r="X387" s="727"/>
      <c r="Y387" s="727"/>
      <c r="Z387" s="727"/>
      <c r="AA387" s="727"/>
      <c r="AB387" s="727"/>
      <c r="AC387" s="727"/>
      <c r="AD387" s="727"/>
      <c r="AE387" s="727"/>
      <c r="AF387" s="727"/>
      <c r="AG387" s="727"/>
      <c r="AH387" s="727"/>
      <c r="AI387" s="727"/>
      <c r="AJ387" s="727"/>
      <c r="AK387" s="727"/>
      <c r="AL387" s="727"/>
      <c r="AM387" s="727"/>
      <c r="AN387" s="727"/>
      <c r="AO387" s="727"/>
      <c r="AP387" s="727"/>
      <c r="AQ387" s="727"/>
      <c r="AR387" s="727"/>
      <c r="AS387" s="727"/>
      <c r="AT387" s="727"/>
      <c r="AU387" s="727"/>
      <c r="AV387" s="727"/>
      <c r="AW387" s="727"/>
      <c r="AX387" s="727"/>
      <c r="AY387" s="727"/>
      <c r="AZ387" s="727"/>
      <c r="BA387" s="727"/>
      <c r="BB387" s="727"/>
    </row>
    <row r="388" spans="1:54">
      <c r="A388" s="326"/>
      <c r="B388" s="791">
        <v>1.6</v>
      </c>
      <c r="C388" s="792">
        <v>201.37</v>
      </c>
      <c r="D388" s="779">
        <v>0.12374</v>
      </c>
      <c r="E388" s="779">
        <v>2594.8000000000002</v>
      </c>
      <c r="F388" s="779">
        <v>2792.8</v>
      </c>
      <c r="G388" s="779">
        <v>6.42</v>
      </c>
      <c r="H388" s="727"/>
      <c r="I388" s="727"/>
      <c r="J388" s="727"/>
      <c r="K388" s="727"/>
      <c r="L388" s="727"/>
      <c r="M388" s="727"/>
      <c r="N388" s="727"/>
      <c r="O388" s="727"/>
      <c r="P388" s="727"/>
      <c r="Q388" s="727"/>
      <c r="R388" s="727"/>
      <c r="S388" s="727"/>
      <c r="T388" s="727"/>
      <c r="U388" s="727"/>
      <c r="V388" s="727"/>
      <c r="W388" s="727"/>
      <c r="X388" s="727"/>
      <c r="Y388" s="727"/>
      <c r="Z388" s="727"/>
      <c r="AA388" s="727"/>
      <c r="AB388" s="727"/>
      <c r="AC388" s="727"/>
      <c r="AD388" s="727"/>
      <c r="AE388" s="727"/>
      <c r="AF388" s="727"/>
      <c r="AG388" s="727"/>
      <c r="AH388" s="727"/>
      <c r="AI388" s="727"/>
      <c r="AJ388" s="727"/>
      <c r="AK388" s="727"/>
      <c r="AL388" s="727"/>
      <c r="AM388" s="727"/>
      <c r="AN388" s="727"/>
      <c r="AO388" s="727"/>
      <c r="AP388" s="727"/>
      <c r="AQ388" s="727"/>
      <c r="AR388" s="727"/>
      <c r="AS388" s="727"/>
      <c r="AT388" s="727"/>
      <c r="AU388" s="727"/>
      <c r="AV388" s="727"/>
      <c r="AW388" s="727"/>
      <c r="AX388" s="727"/>
      <c r="AY388" s="727"/>
      <c r="AZ388" s="727"/>
      <c r="BA388" s="727"/>
      <c r="BB388" s="727"/>
    </row>
    <row r="389" spans="1:54">
      <c r="A389" s="326"/>
      <c r="B389" s="791">
        <v>1.6</v>
      </c>
      <c r="C389" s="792">
        <v>225</v>
      </c>
      <c r="D389" s="779">
        <v>0.13292999999999999</v>
      </c>
      <c r="E389" s="779">
        <v>2645.1</v>
      </c>
      <c r="F389" s="779">
        <v>2857.8</v>
      </c>
      <c r="G389" s="779">
        <v>6.5537000000000001</v>
      </c>
      <c r="H389" s="727"/>
      <c r="I389" s="727"/>
      <c r="J389" s="727"/>
      <c r="K389" s="727"/>
      <c r="L389" s="727"/>
      <c r="M389" s="727"/>
      <c r="N389" s="727"/>
      <c r="O389" s="727"/>
      <c r="P389" s="727"/>
      <c r="Q389" s="727"/>
      <c r="R389" s="727"/>
      <c r="S389" s="727"/>
      <c r="T389" s="727"/>
      <c r="U389" s="727"/>
      <c r="V389" s="727"/>
      <c r="W389" s="727"/>
      <c r="X389" s="727"/>
      <c r="Y389" s="727"/>
      <c r="Z389" s="727"/>
      <c r="AA389" s="727"/>
      <c r="AB389" s="727"/>
      <c r="AC389" s="727"/>
      <c r="AD389" s="727"/>
      <c r="AE389" s="727"/>
      <c r="AF389" s="727"/>
      <c r="AG389" s="727"/>
      <c r="AH389" s="727"/>
      <c r="AI389" s="727"/>
      <c r="AJ389" s="727"/>
      <c r="AK389" s="727"/>
      <c r="AL389" s="727"/>
      <c r="AM389" s="727"/>
      <c r="AN389" s="727"/>
      <c r="AO389" s="727"/>
      <c r="AP389" s="727"/>
      <c r="AQ389" s="727"/>
      <c r="AR389" s="727"/>
      <c r="AS389" s="727"/>
      <c r="AT389" s="727"/>
      <c r="AU389" s="727"/>
      <c r="AV389" s="727"/>
      <c r="AW389" s="727"/>
      <c r="AX389" s="727"/>
      <c r="AY389" s="727"/>
      <c r="AZ389" s="727"/>
      <c r="BA389" s="727"/>
      <c r="BB389" s="727"/>
    </row>
    <row r="390" spans="1:54">
      <c r="A390" s="326"/>
      <c r="B390" s="791">
        <v>1.6</v>
      </c>
      <c r="C390" s="792">
        <v>250</v>
      </c>
      <c r="D390" s="779">
        <v>0.1419</v>
      </c>
      <c r="E390" s="779">
        <v>2692.9</v>
      </c>
      <c r="F390" s="779">
        <v>2919.9</v>
      </c>
      <c r="G390" s="779">
        <v>6.6753</v>
      </c>
      <c r="H390" s="727"/>
      <c r="I390" s="727"/>
      <c r="J390" s="727"/>
      <c r="K390" s="727"/>
      <c r="L390" s="727"/>
      <c r="M390" s="727"/>
      <c r="N390" s="727"/>
      <c r="O390" s="727"/>
      <c r="P390" s="727"/>
      <c r="Q390" s="727"/>
      <c r="R390" s="727"/>
      <c r="S390" s="727"/>
      <c r="T390" s="727"/>
      <c r="U390" s="727"/>
      <c r="V390" s="727"/>
      <c r="W390" s="727"/>
      <c r="X390" s="727"/>
      <c r="Y390" s="727"/>
      <c r="Z390" s="727"/>
      <c r="AA390" s="727"/>
      <c r="AB390" s="727"/>
      <c r="AC390" s="727"/>
      <c r="AD390" s="727"/>
      <c r="AE390" s="727"/>
      <c r="AF390" s="727"/>
      <c r="AG390" s="727"/>
      <c r="AH390" s="727"/>
      <c r="AI390" s="727"/>
      <c r="AJ390" s="727"/>
      <c r="AK390" s="727"/>
      <c r="AL390" s="727"/>
      <c r="AM390" s="727"/>
      <c r="AN390" s="727"/>
      <c r="AO390" s="727"/>
      <c r="AP390" s="727"/>
      <c r="AQ390" s="727"/>
      <c r="AR390" s="727"/>
      <c r="AS390" s="727"/>
      <c r="AT390" s="727"/>
      <c r="AU390" s="727"/>
      <c r="AV390" s="727"/>
      <c r="AW390" s="727"/>
      <c r="AX390" s="727"/>
      <c r="AY390" s="727"/>
      <c r="AZ390" s="727"/>
      <c r="BA390" s="727"/>
      <c r="BB390" s="727"/>
    </row>
    <row r="391" spans="1:54">
      <c r="A391" s="326"/>
      <c r="B391" s="791">
        <v>1.6</v>
      </c>
      <c r="C391" s="792">
        <v>300</v>
      </c>
      <c r="D391" s="779">
        <v>0.15866</v>
      </c>
      <c r="E391" s="779">
        <v>2781.6</v>
      </c>
      <c r="F391" s="779">
        <v>3035.4</v>
      </c>
      <c r="G391" s="779">
        <v>6.8864000000000001</v>
      </c>
      <c r="H391" s="727"/>
      <c r="I391" s="727"/>
      <c r="J391" s="727"/>
      <c r="K391" s="727"/>
      <c r="L391" s="727"/>
      <c r="M391" s="727"/>
      <c r="N391" s="727"/>
      <c r="O391" s="727"/>
      <c r="P391" s="727"/>
      <c r="Q391" s="727"/>
      <c r="R391" s="727"/>
      <c r="S391" s="727"/>
      <c r="T391" s="727"/>
      <c r="U391" s="727"/>
      <c r="V391" s="727"/>
      <c r="W391" s="727"/>
      <c r="X391" s="727"/>
      <c r="Y391" s="727"/>
      <c r="Z391" s="727"/>
      <c r="AA391" s="727"/>
      <c r="AB391" s="727"/>
      <c r="AC391" s="727"/>
      <c r="AD391" s="727"/>
      <c r="AE391" s="727"/>
      <c r="AF391" s="727"/>
      <c r="AG391" s="727"/>
      <c r="AH391" s="727"/>
      <c r="AI391" s="727"/>
      <c r="AJ391" s="727"/>
      <c r="AK391" s="727"/>
      <c r="AL391" s="727"/>
      <c r="AM391" s="727"/>
      <c r="AN391" s="727"/>
      <c r="AO391" s="727"/>
      <c r="AP391" s="727"/>
      <c r="AQ391" s="727"/>
      <c r="AR391" s="727"/>
      <c r="AS391" s="727"/>
      <c r="AT391" s="727"/>
      <c r="AU391" s="727"/>
      <c r="AV391" s="727"/>
      <c r="AW391" s="727"/>
      <c r="AX391" s="727"/>
      <c r="AY391" s="727"/>
      <c r="AZ391" s="727"/>
      <c r="BA391" s="727"/>
      <c r="BB391" s="727"/>
    </row>
    <row r="392" spans="1:54">
      <c r="A392" s="326"/>
      <c r="B392" s="791">
        <v>1.6</v>
      </c>
      <c r="C392" s="792">
        <v>350</v>
      </c>
      <c r="D392" s="779">
        <v>0.17459</v>
      </c>
      <c r="E392" s="779">
        <v>2866.6</v>
      </c>
      <c r="F392" s="779">
        <v>3146</v>
      </c>
      <c r="G392" s="779">
        <v>7.0712999999999999</v>
      </c>
      <c r="H392" s="727"/>
      <c r="I392" s="727"/>
      <c r="J392" s="727"/>
      <c r="K392" s="727"/>
      <c r="L392" s="727"/>
      <c r="M392" s="727"/>
      <c r="N392" s="727"/>
      <c r="O392" s="727"/>
      <c r="P392" s="727"/>
      <c r="Q392" s="727"/>
      <c r="R392" s="727"/>
      <c r="S392" s="727"/>
      <c r="T392" s="727"/>
      <c r="U392" s="727"/>
      <c r="V392" s="727"/>
      <c r="W392" s="727"/>
      <c r="X392" s="727"/>
      <c r="Y392" s="727"/>
      <c r="Z392" s="727"/>
      <c r="AA392" s="727"/>
      <c r="AB392" s="727"/>
      <c r="AC392" s="727"/>
      <c r="AD392" s="727"/>
      <c r="AE392" s="727"/>
      <c r="AF392" s="727"/>
      <c r="AG392" s="727"/>
      <c r="AH392" s="727"/>
      <c r="AI392" s="727"/>
      <c r="AJ392" s="727"/>
      <c r="AK392" s="727"/>
      <c r="AL392" s="727"/>
      <c r="AM392" s="727"/>
      <c r="AN392" s="727"/>
      <c r="AO392" s="727"/>
      <c r="AP392" s="727"/>
      <c r="AQ392" s="727"/>
      <c r="AR392" s="727"/>
      <c r="AS392" s="727"/>
      <c r="AT392" s="727"/>
      <c r="AU392" s="727"/>
      <c r="AV392" s="727"/>
      <c r="AW392" s="727"/>
      <c r="AX392" s="727"/>
      <c r="AY392" s="727"/>
      <c r="AZ392" s="727"/>
      <c r="BA392" s="727"/>
      <c r="BB392" s="727"/>
    </row>
    <row r="393" spans="1:54">
      <c r="A393" s="326"/>
      <c r="B393" s="791">
        <v>1.6</v>
      </c>
      <c r="C393" s="792">
        <v>400</v>
      </c>
      <c r="D393" s="779">
        <v>0.19006999999999999</v>
      </c>
      <c r="E393" s="779">
        <v>2950.8</v>
      </c>
      <c r="F393" s="779">
        <v>3254.9</v>
      </c>
      <c r="G393" s="779">
        <v>7.2393999999999998</v>
      </c>
      <c r="H393" s="727"/>
      <c r="I393" s="727"/>
      <c r="J393" s="727"/>
      <c r="K393" s="727"/>
      <c r="L393" s="727"/>
      <c r="M393" s="727"/>
      <c r="N393" s="727"/>
      <c r="O393" s="727"/>
      <c r="P393" s="727"/>
      <c r="Q393" s="727"/>
      <c r="R393" s="727"/>
      <c r="S393" s="727"/>
      <c r="T393" s="727"/>
      <c r="U393" s="727"/>
      <c r="V393" s="727"/>
      <c r="W393" s="727"/>
      <c r="X393" s="727"/>
      <c r="Y393" s="727"/>
      <c r="Z393" s="727"/>
      <c r="AA393" s="727"/>
      <c r="AB393" s="727"/>
      <c r="AC393" s="727"/>
      <c r="AD393" s="727"/>
      <c r="AE393" s="727"/>
      <c r="AF393" s="727"/>
      <c r="AG393" s="727"/>
      <c r="AH393" s="727"/>
      <c r="AI393" s="727"/>
      <c r="AJ393" s="727"/>
      <c r="AK393" s="727"/>
      <c r="AL393" s="727"/>
      <c r="AM393" s="727"/>
      <c r="AN393" s="727"/>
      <c r="AO393" s="727"/>
      <c r="AP393" s="727"/>
      <c r="AQ393" s="727"/>
      <c r="AR393" s="727"/>
      <c r="AS393" s="727"/>
      <c r="AT393" s="727"/>
      <c r="AU393" s="727"/>
      <c r="AV393" s="727"/>
      <c r="AW393" s="727"/>
      <c r="AX393" s="727"/>
      <c r="AY393" s="727"/>
      <c r="AZ393" s="727"/>
      <c r="BA393" s="727"/>
      <c r="BB393" s="727"/>
    </row>
    <row r="394" spans="1:54">
      <c r="A394" s="326"/>
      <c r="B394" s="791">
        <v>1.6</v>
      </c>
      <c r="C394" s="792">
        <v>500</v>
      </c>
      <c r="D394" s="779">
        <v>0.22029000000000001</v>
      </c>
      <c r="E394" s="779">
        <v>3120.1</v>
      </c>
      <c r="F394" s="779">
        <v>3472.6</v>
      </c>
      <c r="G394" s="779">
        <v>7.5410000000000004</v>
      </c>
      <c r="H394" s="727"/>
      <c r="I394" s="727"/>
      <c r="J394" s="727"/>
      <c r="K394" s="727"/>
      <c r="L394" s="727"/>
      <c r="M394" s="727"/>
      <c r="N394" s="727"/>
      <c r="O394" s="727"/>
      <c r="P394" s="727"/>
      <c r="Q394" s="727"/>
      <c r="R394" s="727"/>
      <c r="S394" s="727"/>
      <c r="T394" s="727"/>
      <c r="U394" s="727"/>
      <c r="V394" s="727"/>
      <c r="W394" s="727"/>
      <c r="X394" s="727"/>
      <c r="Y394" s="727"/>
      <c r="Z394" s="727"/>
      <c r="AA394" s="727"/>
      <c r="AB394" s="727"/>
      <c r="AC394" s="727"/>
      <c r="AD394" s="727"/>
      <c r="AE394" s="727"/>
      <c r="AF394" s="727"/>
      <c r="AG394" s="727"/>
      <c r="AH394" s="727"/>
      <c r="AI394" s="727"/>
      <c r="AJ394" s="727"/>
      <c r="AK394" s="727"/>
      <c r="AL394" s="727"/>
      <c r="AM394" s="727"/>
      <c r="AN394" s="727"/>
      <c r="AO394" s="727"/>
      <c r="AP394" s="727"/>
      <c r="AQ394" s="727"/>
      <c r="AR394" s="727"/>
      <c r="AS394" s="727"/>
      <c r="AT394" s="727"/>
      <c r="AU394" s="727"/>
      <c r="AV394" s="727"/>
      <c r="AW394" s="727"/>
      <c r="AX394" s="727"/>
      <c r="AY394" s="727"/>
      <c r="AZ394" s="727"/>
      <c r="BA394" s="727"/>
      <c r="BB394" s="727"/>
    </row>
    <row r="395" spans="1:54">
      <c r="A395" s="326"/>
      <c r="B395" s="791">
        <v>1.6</v>
      </c>
      <c r="C395" s="792">
        <v>600</v>
      </c>
      <c r="D395" s="779">
        <v>0.24998999999999999</v>
      </c>
      <c r="E395" s="779">
        <v>3293.9</v>
      </c>
      <c r="F395" s="779">
        <v>3693.9</v>
      </c>
      <c r="G395" s="779">
        <v>7.8101000000000003</v>
      </c>
      <c r="H395" s="727"/>
      <c r="I395" s="727"/>
      <c r="J395" s="727"/>
      <c r="K395" s="727"/>
      <c r="L395" s="727"/>
      <c r="M395" s="727"/>
      <c r="N395" s="727"/>
      <c r="O395" s="727"/>
      <c r="P395" s="727"/>
      <c r="Q395" s="727"/>
      <c r="R395" s="727"/>
      <c r="S395" s="727"/>
      <c r="T395" s="727"/>
      <c r="U395" s="727"/>
      <c r="V395" s="727"/>
      <c r="W395" s="727"/>
      <c r="X395" s="727"/>
      <c r="Y395" s="727"/>
      <c r="Z395" s="727"/>
      <c r="AA395" s="727"/>
      <c r="AB395" s="727"/>
      <c r="AC395" s="727"/>
      <c r="AD395" s="727"/>
      <c r="AE395" s="727"/>
      <c r="AF395" s="727"/>
      <c r="AG395" s="727"/>
      <c r="AH395" s="727"/>
      <c r="AI395" s="727"/>
      <c r="AJ395" s="727"/>
      <c r="AK395" s="727"/>
      <c r="AL395" s="727"/>
      <c r="AM395" s="727"/>
      <c r="AN395" s="727"/>
      <c r="AO395" s="727"/>
      <c r="AP395" s="727"/>
      <c r="AQ395" s="727"/>
      <c r="AR395" s="727"/>
      <c r="AS395" s="727"/>
      <c r="AT395" s="727"/>
      <c r="AU395" s="727"/>
      <c r="AV395" s="727"/>
      <c r="AW395" s="727"/>
      <c r="AX395" s="727"/>
      <c r="AY395" s="727"/>
      <c r="AZ395" s="727"/>
      <c r="BA395" s="727"/>
      <c r="BB395" s="727"/>
    </row>
    <row r="396" spans="1:54">
      <c r="A396" s="326"/>
      <c r="B396" s="791">
        <v>1.6</v>
      </c>
      <c r="C396" s="792">
        <v>700</v>
      </c>
      <c r="D396" s="779">
        <v>0.27940999999999999</v>
      </c>
      <c r="E396" s="779">
        <v>3473.5</v>
      </c>
      <c r="F396" s="779">
        <v>3920.5</v>
      </c>
      <c r="G396" s="779">
        <v>8.0557999999999996</v>
      </c>
      <c r="H396" s="727"/>
      <c r="I396" s="727"/>
      <c r="J396" s="727"/>
      <c r="K396" s="727"/>
      <c r="L396" s="727"/>
      <c r="M396" s="727"/>
      <c r="N396" s="727"/>
      <c r="O396" s="727"/>
      <c r="P396" s="727"/>
      <c r="Q396" s="727"/>
      <c r="R396" s="727"/>
      <c r="S396" s="727"/>
      <c r="T396" s="727"/>
      <c r="U396" s="727"/>
      <c r="V396" s="727"/>
      <c r="W396" s="727"/>
      <c r="X396" s="727"/>
      <c r="Y396" s="727"/>
      <c r="Z396" s="727"/>
      <c r="AA396" s="727"/>
      <c r="AB396" s="727"/>
      <c r="AC396" s="727"/>
      <c r="AD396" s="727"/>
      <c r="AE396" s="727"/>
      <c r="AF396" s="727"/>
      <c r="AG396" s="727"/>
      <c r="AH396" s="727"/>
      <c r="AI396" s="727"/>
      <c r="AJ396" s="727"/>
      <c r="AK396" s="727"/>
      <c r="AL396" s="727"/>
      <c r="AM396" s="727"/>
      <c r="AN396" s="727"/>
      <c r="AO396" s="727"/>
      <c r="AP396" s="727"/>
      <c r="AQ396" s="727"/>
      <c r="AR396" s="727"/>
      <c r="AS396" s="727"/>
      <c r="AT396" s="727"/>
      <c r="AU396" s="727"/>
      <c r="AV396" s="727"/>
      <c r="AW396" s="727"/>
      <c r="AX396" s="727"/>
      <c r="AY396" s="727"/>
      <c r="AZ396" s="727"/>
      <c r="BA396" s="727"/>
      <c r="BB396" s="727"/>
    </row>
    <row r="397" spans="1:54">
      <c r="A397" s="326"/>
      <c r="B397" s="791">
        <v>1.6</v>
      </c>
      <c r="C397" s="792">
        <v>800</v>
      </c>
      <c r="D397" s="779">
        <v>0.30864999999999998</v>
      </c>
      <c r="E397" s="779">
        <v>3659.5</v>
      </c>
      <c r="F397" s="779">
        <v>4153.3999999999996</v>
      </c>
      <c r="G397" s="779">
        <v>8.2834000000000003</v>
      </c>
      <c r="H397" s="727"/>
      <c r="I397" s="727"/>
      <c r="J397" s="727"/>
      <c r="K397" s="727"/>
      <c r="L397" s="727"/>
      <c r="M397" s="727"/>
      <c r="N397" s="727"/>
      <c r="O397" s="727"/>
      <c r="P397" s="727"/>
      <c r="Q397" s="727"/>
      <c r="R397" s="727"/>
      <c r="S397" s="727"/>
      <c r="T397" s="727"/>
      <c r="U397" s="727"/>
      <c r="V397" s="727"/>
      <c r="W397" s="727"/>
      <c r="X397" s="727"/>
      <c r="Y397" s="727"/>
      <c r="Z397" s="727"/>
      <c r="AA397" s="727"/>
      <c r="AB397" s="727"/>
      <c r="AC397" s="727"/>
      <c r="AD397" s="727"/>
      <c r="AE397" s="727"/>
      <c r="AF397" s="727"/>
      <c r="AG397" s="727"/>
      <c r="AH397" s="727"/>
      <c r="AI397" s="727"/>
      <c r="AJ397" s="727"/>
      <c r="AK397" s="727"/>
      <c r="AL397" s="727"/>
      <c r="AM397" s="727"/>
      <c r="AN397" s="727"/>
      <c r="AO397" s="727"/>
      <c r="AP397" s="727"/>
      <c r="AQ397" s="727"/>
      <c r="AR397" s="727"/>
      <c r="AS397" s="727"/>
      <c r="AT397" s="727"/>
      <c r="AU397" s="727"/>
      <c r="AV397" s="727"/>
      <c r="AW397" s="727"/>
      <c r="AX397" s="727"/>
      <c r="AY397" s="727"/>
      <c r="AZ397" s="727"/>
      <c r="BA397" s="727"/>
      <c r="BB397" s="727"/>
    </row>
    <row r="398" spans="1:54">
      <c r="A398" s="326"/>
      <c r="B398" s="791">
        <v>1.6</v>
      </c>
      <c r="C398" s="792">
        <v>900</v>
      </c>
      <c r="D398" s="779">
        <v>0.33779999999999999</v>
      </c>
      <c r="E398" s="779">
        <v>3852.1</v>
      </c>
      <c r="F398" s="779">
        <v>4392.6000000000004</v>
      </c>
      <c r="G398" s="779">
        <v>8.4964999999999993</v>
      </c>
      <c r="H398" s="727"/>
      <c r="I398" s="727"/>
      <c r="J398" s="727"/>
      <c r="K398" s="727"/>
      <c r="L398" s="727"/>
      <c r="M398" s="727"/>
      <c r="N398" s="727"/>
      <c r="O398" s="727"/>
      <c r="P398" s="727"/>
      <c r="Q398" s="727"/>
      <c r="R398" s="727"/>
      <c r="S398" s="727"/>
      <c r="T398" s="727"/>
      <c r="U398" s="727"/>
      <c r="V398" s="727"/>
      <c r="W398" s="727"/>
      <c r="X398" s="727"/>
      <c r="Y398" s="727"/>
      <c r="Z398" s="727"/>
      <c r="AA398" s="727"/>
      <c r="AB398" s="727"/>
      <c r="AC398" s="727"/>
      <c r="AD398" s="727"/>
      <c r="AE398" s="727"/>
      <c r="AF398" s="727"/>
      <c r="AG398" s="727"/>
      <c r="AH398" s="727"/>
      <c r="AI398" s="727"/>
      <c r="AJ398" s="727"/>
      <c r="AK398" s="727"/>
      <c r="AL398" s="727"/>
      <c r="AM398" s="727"/>
      <c r="AN398" s="727"/>
      <c r="AO398" s="727"/>
      <c r="AP398" s="727"/>
      <c r="AQ398" s="727"/>
      <c r="AR398" s="727"/>
      <c r="AS398" s="727"/>
      <c r="AT398" s="727"/>
      <c r="AU398" s="727"/>
      <c r="AV398" s="727"/>
      <c r="AW398" s="727"/>
      <c r="AX398" s="727"/>
      <c r="AY398" s="727"/>
      <c r="AZ398" s="727"/>
      <c r="BA398" s="727"/>
      <c r="BB398" s="727"/>
    </row>
    <row r="399" spans="1:54">
      <c r="A399" s="326"/>
      <c r="B399" s="791">
        <v>1.6</v>
      </c>
      <c r="C399" s="792">
        <v>1000</v>
      </c>
      <c r="D399" s="779">
        <v>0.36686999999999997</v>
      </c>
      <c r="E399" s="779">
        <v>4051.2</v>
      </c>
      <c r="F399" s="779">
        <v>4638.2</v>
      </c>
      <c r="G399" s="779">
        <v>8.6974</v>
      </c>
      <c r="H399" s="727"/>
      <c r="I399" s="727"/>
      <c r="J399" s="727"/>
      <c r="K399" s="727"/>
      <c r="L399" s="727"/>
      <c r="M399" s="727"/>
      <c r="N399" s="727"/>
      <c r="O399" s="727"/>
      <c r="P399" s="727"/>
      <c r="Q399" s="727"/>
      <c r="R399" s="727"/>
      <c r="S399" s="727"/>
      <c r="T399" s="727"/>
      <c r="U399" s="727"/>
      <c r="V399" s="727"/>
      <c r="W399" s="727"/>
      <c r="X399" s="727"/>
      <c r="Y399" s="727"/>
      <c r="Z399" s="727"/>
      <c r="AA399" s="727"/>
      <c r="AB399" s="727"/>
      <c r="AC399" s="727"/>
      <c r="AD399" s="727"/>
      <c r="AE399" s="727"/>
      <c r="AF399" s="727"/>
      <c r="AG399" s="727"/>
      <c r="AH399" s="727"/>
      <c r="AI399" s="727"/>
      <c r="AJ399" s="727"/>
      <c r="AK399" s="727"/>
      <c r="AL399" s="727"/>
      <c r="AM399" s="727"/>
      <c r="AN399" s="727"/>
      <c r="AO399" s="727"/>
      <c r="AP399" s="727"/>
      <c r="AQ399" s="727"/>
      <c r="AR399" s="727"/>
      <c r="AS399" s="727"/>
      <c r="AT399" s="727"/>
      <c r="AU399" s="727"/>
      <c r="AV399" s="727"/>
      <c r="AW399" s="727"/>
      <c r="AX399" s="727"/>
      <c r="AY399" s="727"/>
      <c r="AZ399" s="727"/>
      <c r="BA399" s="727"/>
      <c r="BB399" s="727"/>
    </row>
    <row r="400" spans="1:54">
      <c r="A400" s="326"/>
      <c r="B400" s="791">
        <v>1.6</v>
      </c>
      <c r="C400" s="792">
        <v>1100</v>
      </c>
      <c r="D400" s="779">
        <v>0.39589000000000002</v>
      </c>
      <c r="E400" s="779">
        <v>4256.6000000000004</v>
      </c>
      <c r="F400" s="779">
        <v>4890</v>
      </c>
      <c r="G400" s="779">
        <v>8.8878000000000004</v>
      </c>
      <c r="H400" s="727"/>
      <c r="I400" s="727"/>
      <c r="J400" s="727"/>
      <c r="K400" s="727"/>
      <c r="L400" s="727"/>
      <c r="M400" s="727"/>
      <c r="N400" s="727"/>
      <c r="O400" s="727"/>
      <c r="P400" s="727"/>
      <c r="Q400" s="727"/>
      <c r="R400" s="727"/>
      <c r="S400" s="727"/>
      <c r="T400" s="727"/>
      <c r="U400" s="727"/>
      <c r="V400" s="727"/>
      <c r="W400" s="727"/>
      <c r="X400" s="727"/>
      <c r="Y400" s="727"/>
      <c r="Z400" s="727"/>
      <c r="AA400" s="727"/>
      <c r="AB400" s="727"/>
      <c r="AC400" s="727"/>
      <c r="AD400" s="727"/>
      <c r="AE400" s="727"/>
      <c r="AF400" s="727"/>
      <c r="AG400" s="727"/>
      <c r="AH400" s="727"/>
      <c r="AI400" s="727"/>
      <c r="AJ400" s="727"/>
      <c r="AK400" s="727"/>
      <c r="AL400" s="727"/>
      <c r="AM400" s="727"/>
      <c r="AN400" s="727"/>
      <c r="AO400" s="727"/>
      <c r="AP400" s="727"/>
      <c r="AQ400" s="727"/>
      <c r="AR400" s="727"/>
      <c r="AS400" s="727"/>
      <c r="AT400" s="727"/>
      <c r="AU400" s="727"/>
      <c r="AV400" s="727"/>
      <c r="AW400" s="727"/>
      <c r="AX400" s="727"/>
      <c r="AY400" s="727"/>
      <c r="AZ400" s="727"/>
      <c r="BA400" s="727"/>
      <c r="BB400" s="727"/>
    </row>
    <row r="401" spans="1:54">
      <c r="A401" s="326"/>
      <c r="B401" s="791">
        <v>1.6</v>
      </c>
      <c r="C401" s="792">
        <v>1200</v>
      </c>
      <c r="D401" s="779">
        <v>0.42487999999999998</v>
      </c>
      <c r="E401" s="779">
        <v>4467.8999999999996</v>
      </c>
      <c r="F401" s="779">
        <v>5147.7</v>
      </c>
      <c r="G401" s="779">
        <v>9.0688999999999993</v>
      </c>
      <c r="H401" s="727"/>
      <c r="I401" s="727"/>
      <c r="J401" s="727"/>
      <c r="K401" s="727"/>
      <c r="L401" s="727"/>
      <c r="M401" s="727"/>
      <c r="N401" s="727"/>
      <c r="O401" s="727"/>
      <c r="P401" s="727"/>
      <c r="Q401" s="727"/>
      <c r="R401" s="727"/>
      <c r="S401" s="727"/>
      <c r="T401" s="727"/>
      <c r="U401" s="727"/>
      <c r="V401" s="727"/>
      <c r="W401" s="727"/>
      <c r="X401" s="727"/>
      <c r="Y401" s="727"/>
      <c r="Z401" s="727"/>
      <c r="AA401" s="727"/>
      <c r="AB401" s="727"/>
      <c r="AC401" s="727"/>
      <c r="AD401" s="727"/>
      <c r="AE401" s="727"/>
      <c r="AF401" s="727"/>
      <c r="AG401" s="727"/>
      <c r="AH401" s="727"/>
      <c r="AI401" s="727"/>
      <c r="AJ401" s="727"/>
      <c r="AK401" s="727"/>
      <c r="AL401" s="727"/>
      <c r="AM401" s="727"/>
      <c r="AN401" s="727"/>
      <c r="AO401" s="727"/>
      <c r="AP401" s="727"/>
      <c r="AQ401" s="727"/>
      <c r="AR401" s="727"/>
      <c r="AS401" s="727"/>
      <c r="AT401" s="727"/>
      <c r="AU401" s="727"/>
      <c r="AV401" s="727"/>
      <c r="AW401" s="727"/>
      <c r="AX401" s="727"/>
      <c r="AY401" s="727"/>
      <c r="AZ401" s="727"/>
      <c r="BA401" s="727"/>
      <c r="BB401" s="727"/>
    </row>
    <row r="402" spans="1:54">
      <c r="A402" s="326"/>
      <c r="B402" s="791">
        <v>1.6</v>
      </c>
      <c r="C402" s="792">
        <v>1300</v>
      </c>
      <c r="D402" s="779">
        <v>0.45383000000000001</v>
      </c>
      <c r="E402" s="779">
        <v>4684.8</v>
      </c>
      <c r="F402" s="779">
        <v>5410.9</v>
      </c>
      <c r="G402" s="779">
        <v>9.2417999999999996</v>
      </c>
      <c r="H402" s="727"/>
      <c r="I402" s="727"/>
      <c r="J402" s="727"/>
      <c r="K402" s="727"/>
      <c r="L402" s="727"/>
      <c r="M402" s="727"/>
      <c r="N402" s="727"/>
      <c r="O402" s="727"/>
      <c r="P402" s="727"/>
      <c r="Q402" s="727"/>
      <c r="R402" s="727"/>
      <c r="S402" s="727"/>
      <c r="T402" s="727"/>
      <c r="U402" s="727"/>
      <c r="V402" s="727"/>
      <c r="W402" s="727"/>
      <c r="X402" s="727"/>
      <c r="Y402" s="727"/>
      <c r="Z402" s="727"/>
      <c r="AA402" s="727"/>
      <c r="AB402" s="727"/>
      <c r="AC402" s="727"/>
      <c r="AD402" s="727"/>
      <c r="AE402" s="727"/>
      <c r="AF402" s="727"/>
      <c r="AG402" s="727"/>
      <c r="AH402" s="727"/>
      <c r="AI402" s="727"/>
      <c r="AJ402" s="727"/>
      <c r="AK402" s="727"/>
      <c r="AL402" s="727"/>
      <c r="AM402" s="727"/>
      <c r="AN402" s="727"/>
      <c r="AO402" s="727"/>
      <c r="AP402" s="727"/>
      <c r="AQ402" s="727"/>
      <c r="AR402" s="727"/>
      <c r="AS402" s="727"/>
      <c r="AT402" s="727"/>
      <c r="AU402" s="727"/>
      <c r="AV402" s="727"/>
      <c r="AW402" s="727"/>
      <c r="AX402" s="727"/>
      <c r="AY402" s="727"/>
      <c r="AZ402" s="727"/>
      <c r="BA402" s="727"/>
      <c r="BB402" s="727"/>
    </row>
    <row r="403" spans="1:54">
      <c r="A403" s="326"/>
      <c r="B403" s="791">
        <v>1.8</v>
      </c>
      <c r="C403" s="792">
        <v>207.11</v>
      </c>
      <c r="D403" s="779">
        <v>0.11037</v>
      </c>
      <c r="E403" s="779">
        <v>2597.3000000000002</v>
      </c>
      <c r="F403" s="779">
        <v>2795.9</v>
      </c>
      <c r="G403" s="779">
        <v>6.3775000000000004</v>
      </c>
      <c r="H403" s="727"/>
      <c r="I403" s="727"/>
      <c r="J403" s="727"/>
      <c r="K403" s="727"/>
      <c r="L403" s="727"/>
      <c r="M403" s="727"/>
      <c r="N403" s="727"/>
      <c r="O403" s="727"/>
      <c r="P403" s="727"/>
      <c r="Q403" s="727"/>
      <c r="R403" s="727"/>
      <c r="S403" s="727"/>
      <c r="T403" s="727"/>
      <c r="U403" s="727"/>
      <c r="V403" s="727"/>
      <c r="W403" s="727"/>
      <c r="X403" s="727"/>
      <c r="Y403" s="727"/>
      <c r="Z403" s="727"/>
      <c r="AA403" s="727"/>
      <c r="AB403" s="727"/>
      <c r="AC403" s="727"/>
      <c r="AD403" s="727"/>
      <c r="AE403" s="727"/>
      <c r="AF403" s="727"/>
      <c r="AG403" s="727"/>
      <c r="AH403" s="727"/>
      <c r="AI403" s="727"/>
      <c r="AJ403" s="727"/>
      <c r="AK403" s="727"/>
      <c r="AL403" s="727"/>
      <c r="AM403" s="727"/>
      <c r="AN403" s="727"/>
      <c r="AO403" s="727"/>
      <c r="AP403" s="727"/>
      <c r="AQ403" s="727"/>
      <c r="AR403" s="727"/>
      <c r="AS403" s="727"/>
      <c r="AT403" s="727"/>
      <c r="AU403" s="727"/>
      <c r="AV403" s="727"/>
      <c r="AW403" s="727"/>
      <c r="AX403" s="727"/>
      <c r="AY403" s="727"/>
      <c r="AZ403" s="727"/>
      <c r="BA403" s="727"/>
      <c r="BB403" s="727"/>
    </row>
    <row r="404" spans="1:54">
      <c r="A404" s="326"/>
      <c r="B404" s="791">
        <v>1.8</v>
      </c>
      <c r="C404" s="792">
        <v>225</v>
      </c>
      <c r="D404" s="779">
        <v>0.11677999999999999</v>
      </c>
      <c r="E404" s="779">
        <v>2637</v>
      </c>
      <c r="F404" s="779">
        <v>2847.2</v>
      </c>
      <c r="G404" s="779">
        <v>6.4824999999999999</v>
      </c>
      <c r="H404" s="727"/>
      <c r="I404" s="727"/>
      <c r="J404" s="727"/>
      <c r="K404" s="727"/>
      <c r="L404" s="727"/>
      <c r="M404" s="727"/>
      <c r="N404" s="727"/>
      <c r="O404" s="727"/>
      <c r="P404" s="727"/>
      <c r="Q404" s="727"/>
      <c r="R404" s="727"/>
      <c r="S404" s="727"/>
      <c r="T404" s="727"/>
      <c r="U404" s="727"/>
      <c r="V404" s="727"/>
      <c r="W404" s="727"/>
      <c r="X404" s="727"/>
      <c r="Y404" s="727"/>
      <c r="Z404" s="727"/>
      <c r="AA404" s="727"/>
      <c r="AB404" s="727"/>
      <c r="AC404" s="727"/>
      <c r="AD404" s="727"/>
      <c r="AE404" s="727"/>
      <c r="AF404" s="727"/>
      <c r="AG404" s="727"/>
      <c r="AH404" s="727"/>
      <c r="AI404" s="727"/>
      <c r="AJ404" s="727"/>
      <c r="AK404" s="727"/>
      <c r="AL404" s="727"/>
      <c r="AM404" s="727"/>
      <c r="AN404" s="727"/>
      <c r="AO404" s="727"/>
      <c r="AP404" s="727"/>
      <c r="AQ404" s="727"/>
      <c r="AR404" s="727"/>
      <c r="AS404" s="727"/>
      <c r="AT404" s="727"/>
      <c r="AU404" s="727"/>
      <c r="AV404" s="727"/>
      <c r="AW404" s="727"/>
      <c r="AX404" s="727"/>
      <c r="AY404" s="727"/>
      <c r="AZ404" s="727"/>
      <c r="BA404" s="727"/>
      <c r="BB404" s="727"/>
    </row>
    <row r="405" spans="1:54">
      <c r="A405" s="326"/>
      <c r="B405" s="791">
        <v>1.8</v>
      </c>
      <c r="C405" s="792">
        <v>250</v>
      </c>
      <c r="D405" s="779">
        <v>0.12501999999999999</v>
      </c>
      <c r="E405" s="779">
        <v>2686.7</v>
      </c>
      <c r="F405" s="779">
        <v>2911.7</v>
      </c>
      <c r="G405" s="779">
        <v>6.6087999999999996</v>
      </c>
      <c r="H405" s="727"/>
      <c r="I405" s="727"/>
      <c r="J405" s="727"/>
      <c r="K405" s="727"/>
      <c r="L405" s="727"/>
      <c r="M405" s="727"/>
      <c r="N405" s="727"/>
      <c r="O405" s="727"/>
      <c r="P405" s="727"/>
      <c r="Q405" s="727"/>
      <c r="R405" s="727"/>
      <c r="S405" s="727"/>
      <c r="T405" s="727"/>
      <c r="U405" s="727"/>
      <c r="V405" s="727"/>
      <c r="W405" s="727"/>
      <c r="X405" s="727"/>
      <c r="Y405" s="727"/>
      <c r="Z405" s="727"/>
      <c r="AA405" s="727"/>
      <c r="AB405" s="727"/>
      <c r="AC405" s="727"/>
      <c r="AD405" s="727"/>
      <c r="AE405" s="727"/>
      <c r="AF405" s="727"/>
      <c r="AG405" s="727"/>
      <c r="AH405" s="727"/>
      <c r="AI405" s="727"/>
      <c r="AJ405" s="727"/>
      <c r="AK405" s="727"/>
      <c r="AL405" s="727"/>
      <c r="AM405" s="727"/>
      <c r="AN405" s="727"/>
      <c r="AO405" s="727"/>
      <c r="AP405" s="727"/>
      <c r="AQ405" s="727"/>
      <c r="AR405" s="727"/>
      <c r="AS405" s="727"/>
      <c r="AT405" s="727"/>
      <c r="AU405" s="727"/>
      <c r="AV405" s="727"/>
      <c r="AW405" s="727"/>
      <c r="AX405" s="727"/>
      <c r="AY405" s="727"/>
      <c r="AZ405" s="727"/>
      <c r="BA405" s="727"/>
      <c r="BB405" s="727"/>
    </row>
    <row r="406" spans="1:54">
      <c r="A406" s="326"/>
      <c r="B406" s="791">
        <v>1.8</v>
      </c>
      <c r="C406" s="792">
        <v>300</v>
      </c>
      <c r="D406" s="779">
        <v>0.14025000000000001</v>
      </c>
      <c r="E406" s="779">
        <v>2777.4</v>
      </c>
      <c r="F406" s="779">
        <v>3029.9</v>
      </c>
      <c r="G406" s="779">
        <v>6.8246000000000002</v>
      </c>
      <c r="H406" s="727"/>
      <c r="I406" s="727"/>
      <c r="J406" s="727"/>
      <c r="K406" s="727"/>
      <c r="L406" s="727"/>
      <c r="M406" s="727"/>
      <c r="N406" s="727"/>
      <c r="O406" s="727"/>
      <c r="P406" s="727"/>
      <c r="Q406" s="727"/>
      <c r="R406" s="727"/>
      <c r="S406" s="727"/>
      <c r="T406" s="727"/>
      <c r="U406" s="727"/>
      <c r="V406" s="727"/>
      <c r="W406" s="727"/>
      <c r="X406" s="727"/>
      <c r="Y406" s="727"/>
      <c r="Z406" s="727"/>
      <c r="AA406" s="727"/>
      <c r="AB406" s="727"/>
      <c r="AC406" s="727"/>
      <c r="AD406" s="727"/>
      <c r="AE406" s="727"/>
      <c r="AF406" s="727"/>
      <c r="AG406" s="727"/>
      <c r="AH406" s="727"/>
      <c r="AI406" s="727"/>
      <c r="AJ406" s="727"/>
      <c r="AK406" s="727"/>
      <c r="AL406" s="727"/>
      <c r="AM406" s="727"/>
      <c r="AN406" s="727"/>
      <c r="AO406" s="727"/>
      <c r="AP406" s="727"/>
      <c r="AQ406" s="727"/>
      <c r="AR406" s="727"/>
      <c r="AS406" s="727"/>
      <c r="AT406" s="727"/>
      <c r="AU406" s="727"/>
      <c r="AV406" s="727"/>
      <c r="AW406" s="727"/>
      <c r="AX406" s="727"/>
      <c r="AY406" s="727"/>
      <c r="AZ406" s="727"/>
      <c r="BA406" s="727"/>
      <c r="BB406" s="727"/>
    </row>
    <row r="407" spans="1:54">
      <c r="A407" s="326"/>
      <c r="B407" s="791">
        <v>1.8</v>
      </c>
      <c r="C407" s="792">
        <v>350</v>
      </c>
      <c r="D407" s="779">
        <v>0.15459999999999999</v>
      </c>
      <c r="E407" s="779">
        <v>2863.6</v>
      </c>
      <c r="F407" s="779">
        <v>3141.9</v>
      </c>
      <c r="G407" s="779">
        <v>7.0119999999999996</v>
      </c>
      <c r="H407" s="727"/>
      <c r="I407" s="727"/>
      <c r="J407" s="727"/>
      <c r="K407" s="727"/>
      <c r="L407" s="727"/>
      <c r="M407" s="727"/>
      <c r="N407" s="727"/>
      <c r="O407" s="727"/>
      <c r="P407" s="727"/>
      <c r="Q407" s="727"/>
      <c r="R407" s="727"/>
      <c r="S407" s="727"/>
      <c r="T407" s="727"/>
      <c r="U407" s="727"/>
      <c r="V407" s="727"/>
      <c r="W407" s="727"/>
      <c r="X407" s="727"/>
      <c r="Y407" s="727"/>
      <c r="Z407" s="727"/>
      <c r="AA407" s="727"/>
      <c r="AB407" s="727"/>
      <c r="AC407" s="727"/>
      <c r="AD407" s="727"/>
      <c r="AE407" s="727"/>
      <c r="AF407" s="727"/>
      <c r="AG407" s="727"/>
      <c r="AH407" s="727"/>
      <c r="AI407" s="727"/>
      <c r="AJ407" s="727"/>
      <c r="AK407" s="727"/>
      <c r="AL407" s="727"/>
      <c r="AM407" s="727"/>
      <c r="AN407" s="727"/>
      <c r="AO407" s="727"/>
      <c r="AP407" s="727"/>
      <c r="AQ407" s="727"/>
      <c r="AR407" s="727"/>
      <c r="AS407" s="727"/>
      <c r="AT407" s="727"/>
      <c r="AU407" s="727"/>
      <c r="AV407" s="727"/>
      <c r="AW407" s="727"/>
      <c r="AX407" s="727"/>
      <c r="AY407" s="727"/>
      <c r="AZ407" s="727"/>
      <c r="BA407" s="727"/>
      <c r="BB407" s="727"/>
    </row>
    <row r="408" spans="1:54">
      <c r="A408" s="326"/>
      <c r="B408" s="791">
        <v>1.8</v>
      </c>
      <c r="C408" s="792">
        <v>400</v>
      </c>
      <c r="D408" s="779">
        <v>0.16849</v>
      </c>
      <c r="E408" s="779">
        <v>2948.3</v>
      </c>
      <c r="F408" s="779">
        <v>3251.6</v>
      </c>
      <c r="G408" s="779">
        <v>7.1814</v>
      </c>
      <c r="H408" s="727"/>
      <c r="I408" s="727"/>
      <c r="J408" s="727"/>
      <c r="K408" s="727"/>
      <c r="L408" s="727"/>
      <c r="M408" s="727"/>
      <c r="N408" s="727"/>
      <c r="O408" s="727"/>
      <c r="P408" s="727"/>
      <c r="Q408" s="727"/>
      <c r="R408" s="727"/>
      <c r="S408" s="727"/>
      <c r="T408" s="727"/>
      <c r="U408" s="727"/>
      <c r="V408" s="727"/>
      <c r="W408" s="727"/>
      <c r="X408" s="727"/>
      <c r="Y408" s="727"/>
      <c r="Z408" s="727"/>
      <c r="AA408" s="727"/>
      <c r="AB408" s="727"/>
      <c r="AC408" s="727"/>
      <c r="AD408" s="727"/>
      <c r="AE408" s="727"/>
      <c r="AF408" s="727"/>
      <c r="AG408" s="727"/>
      <c r="AH408" s="727"/>
      <c r="AI408" s="727"/>
      <c r="AJ408" s="727"/>
      <c r="AK408" s="727"/>
      <c r="AL408" s="727"/>
      <c r="AM408" s="727"/>
      <c r="AN408" s="727"/>
      <c r="AO408" s="727"/>
      <c r="AP408" s="727"/>
      <c r="AQ408" s="727"/>
      <c r="AR408" s="727"/>
      <c r="AS408" s="727"/>
      <c r="AT408" s="727"/>
      <c r="AU408" s="727"/>
      <c r="AV408" s="727"/>
      <c r="AW408" s="727"/>
      <c r="AX408" s="727"/>
      <c r="AY408" s="727"/>
      <c r="AZ408" s="727"/>
      <c r="BA408" s="727"/>
      <c r="BB408" s="727"/>
    </row>
    <row r="409" spans="1:54">
      <c r="A409" s="326"/>
      <c r="B409" s="791">
        <v>1.8</v>
      </c>
      <c r="C409" s="792">
        <v>500</v>
      </c>
      <c r="D409" s="779">
        <v>0.19550999999999999</v>
      </c>
      <c r="E409" s="779">
        <v>3118.5</v>
      </c>
      <c r="F409" s="779">
        <v>3470.4</v>
      </c>
      <c r="G409" s="779">
        <v>7.4844999999999997</v>
      </c>
      <c r="H409" s="727"/>
      <c r="I409" s="727"/>
      <c r="J409" s="727"/>
      <c r="K409" s="727"/>
      <c r="L409" s="727"/>
      <c r="M409" s="727"/>
      <c r="N409" s="727"/>
      <c r="O409" s="727"/>
      <c r="P409" s="727"/>
      <c r="Q409" s="727"/>
      <c r="R409" s="727"/>
      <c r="S409" s="727"/>
      <c r="T409" s="727"/>
      <c r="U409" s="727"/>
      <c r="V409" s="727"/>
      <c r="W409" s="727"/>
      <c r="X409" s="727"/>
      <c r="Y409" s="727"/>
      <c r="Z409" s="727"/>
      <c r="AA409" s="727"/>
      <c r="AB409" s="727"/>
      <c r="AC409" s="727"/>
      <c r="AD409" s="727"/>
      <c r="AE409" s="727"/>
      <c r="AF409" s="727"/>
      <c r="AG409" s="727"/>
      <c r="AH409" s="727"/>
      <c r="AI409" s="727"/>
      <c r="AJ409" s="727"/>
      <c r="AK409" s="727"/>
      <c r="AL409" s="727"/>
      <c r="AM409" s="727"/>
      <c r="AN409" s="727"/>
      <c r="AO409" s="727"/>
      <c r="AP409" s="727"/>
      <c r="AQ409" s="727"/>
      <c r="AR409" s="727"/>
      <c r="AS409" s="727"/>
      <c r="AT409" s="727"/>
      <c r="AU409" s="727"/>
      <c r="AV409" s="727"/>
      <c r="AW409" s="727"/>
      <c r="AX409" s="727"/>
      <c r="AY409" s="727"/>
      <c r="AZ409" s="727"/>
      <c r="BA409" s="727"/>
      <c r="BB409" s="727"/>
    </row>
    <row r="410" spans="1:54">
      <c r="A410" s="326"/>
      <c r="B410" s="791">
        <v>1.8</v>
      </c>
      <c r="C410" s="792">
        <v>600</v>
      </c>
      <c r="D410" s="779">
        <v>0.222</v>
      </c>
      <c r="E410" s="779">
        <v>3292.7</v>
      </c>
      <c r="F410" s="779">
        <v>3692.3</v>
      </c>
      <c r="G410" s="779">
        <v>7.7542999999999997</v>
      </c>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7"/>
      <c r="AF410" s="727"/>
      <c r="AG410" s="727"/>
      <c r="AH410" s="727"/>
      <c r="AI410" s="727"/>
      <c r="AJ410" s="727"/>
      <c r="AK410" s="727"/>
      <c r="AL410" s="727"/>
      <c r="AM410" s="727"/>
      <c r="AN410" s="727"/>
      <c r="AO410" s="727"/>
      <c r="AP410" s="727"/>
      <c r="AQ410" s="727"/>
      <c r="AR410" s="727"/>
      <c r="AS410" s="727"/>
      <c r="AT410" s="727"/>
      <c r="AU410" s="727"/>
      <c r="AV410" s="727"/>
      <c r="AW410" s="727"/>
      <c r="AX410" s="727"/>
      <c r="AY410" s="727"/>
      <c r="AZ410" s="727"/>
      <c r="BA410" s="727"/>
      <c r="BB410" s="727"/>
    </row>
    <row r="411" spans="1:54">
      <c r="A411" s="326"/>
      <c r="B411" s="791">
        <v>1.8</v>
      </c>
      <c r="C411" s="792">
        <v>700</v>
      </c>
      <c r="D411" s="779">
        <v>0.24822</v>
      </c>
      <c r="E411" s="779">
        <v>3472.6</v>
      </c>
      <c r="F411" s="779">
        <v>3919.4</v>
      </c>
      <c r="G411" s="779">
        <v>8.0005000000000006</v>
      </c>
      <c r="H411" s="727"/>
      <c r="I411" s="727"/>
      <c r="J411" s="727"/>
      <c r="K411" s="727"/>
      <c r="L411" s="727"/>
      <c r="M411" s="727"/>
      <c r="N411" s="727"/>
      <c r="O411" s="727"/>
      <c r="P411" s="727"/>
      <c r="Q411" s="727"/>
      <c r="R411" s="727"/>
      <c r="S411" s="727"/>
      <c r="T411" s="727"/>
      <c r="U411" s="727"/>
      <c r="V411" s="727"/>
      <c r="W411" s="727"/>
      <c r="X411" s="727"/>
      <c r="Y411" s="727"/>
      <c r="Z411" s="727"/>
      <c r="AA411" s="727"/>
      <c r="AB411" s="727"/>
      <c r="AC411" s="727"/>
      <c r="AD411" s="727"/>
      <c r="AE411" s="727"/>
      <c r="AF411" s="727"/>
      <c r="AG411" s="727"/>
      <c r="AH411" s="727"/>
      <c r="AI411" s="727"/>
      <c r="AJ411" s="727"/>
      <c r="AK411" s="727"/>
      <c r="AL411" s="727"/>
      <c r="AM411" s="727"/>
      <c r="AN411" s="727"/>
      <c r="AO411" s="727"/>
      <c r="AP411" s="727"/>
      <c r="AQ411" s="727"/>
      <c r="AR411" s="727"/>
      <c r="AS411" s="727"/>
      <c r="AT411" s="727"/>
      <c r="AU411" s="727"/>
      <c r="AV411" s="727"/>
      <c r="AW411" s="727"/>
      <c r="AX411" s="727"/>
      <c r="AY411" s="727"/>
      <c r="AZ411" s="727"/>
      <c r="BA411" s="727"/>
      <c r="BB411" s="727"/>
    </row>
    <row r="412" spans="1:54">
      <c r="A412" s="326"/>
      <c r="B412" s="791">
        <v>1.8</v>
      </c>
      <c r="C412" s="792">
        <v>800</v>
      </c>
      <c r="D412" s="779">
        <v>0.27426</v>
      </c>
      <c r="E412" s="779">
        <v>3658.8</v>
      </c>
      <c r="F412" s="779">
        <v>4152.3999999999996</v>
      </c>
      <c r="G412" s="779">
        <v>8.2284000000000006</v>
      </c>
      <c r="H412" s="727"/>
      <c r="I412" s="727"/>
      <c r="J412" s="727"/>
      <c r="K412" s="727"/>
      <c r="L412" s="727"/>
      <c r="M412" s="727"/>
      <c r="N412" s="727"/>
      <c r="O412" s="727"/>
      <c r="P412" s="727"/>
      <c r="Q412" s="727"/>
      <c r="R412" s="727"/>
      <c r="S412" s="727"/>
      <c r="T412" s="727"/>
      <c r="U412" s="727"/>
      <c r="V412" s="727"/>
      <c r="W412" s="727"/>
      <c r="X412" s="727"/>
      <c r="Y412" s="727"/>
      <c r="Z412" s="727"/>
      <c r="AA412" s="727"/>
      <c r="AB412" s="727"/>
      <c r="AC412" s="727"/>
      <c r="AD412" s="727"/>
      <c r="AE412" s="727"/>
      <c r="AF412" s="727"/>
      <c r="AG412" s="727"/>
      <c r="AH412" s="727"/>
      <c r="AI412" s="727"/>
      <c r="AJ412" s="727"/>
      <c r="AK412" s="727"/>
      <c r="AL412" s="727"/>
      <c r="AM412" s="727"/>
      <c r="AN412" s="727"/>
      <c r="AO412" s="727"/>
      <c r="AP412" s="727"/>
      <c r="AQ412" s="727"/>
      <c r="AR412" s="727"/>
      <c r="AS412" s="727"/>
      <c r="AT412" s="727"/>
      <c r="AU412" s="727"/>
      <c r="AV412" s="727"/>
      <c r="AW412" s="727"/>
      <c r="AX412" s="727"/>
      <c r="AY412" s="727"/>
      <c r="AZ412" s="727"/>
      <c r="BA412" s="727"/>
      <c r="BB412" s="727"/>
    </row>
    <row r="413" spans="1:54">
      <c r="A413" s="326"/>
      <c r="B413" s="791">
        <v>1.8</v>
      </c>
      <c r="C413" s="792">
        <v>900</v>
      </c>
      <c r="D413" s="779">
        <v>0.30020000000000002</v>
      </c>
      <c r="E413" s="779">
        <v>3851.5</v>
      </c>
      <c r="F413" s="779">
        <v>4391.8999999999996</v>
      </c>
      <c r="G413" s="779">
        <v>8.4417000000000009</v>
      </c>
      <c r="H413" s="727"/>
      <c r="I413" s="727"/>
      <c r="J413" s="727"/>
      <c r="K413" s="727"/>
      <c r="L413" s="727"/>
      <c r="M413" s="727"/>
      <c r="N413" s="727"/>
      <c r="O413" s="727"/>
      <c r="P413" s="727"/>
      <c r="Q413" s="727"/>
      <c r="R413" s="727"/>
      <c r="S413" s="727"/>
      <c r="T413" s="727"/>
      <c r="U413" s="727"/>
      <c r="V413" s="727"/>
      <c r="W413" s="727"/>
      <c r="X413" s="727"/>
      <c r="Y413" s="727"/>
      <c r="Z413" s="727"/>
      <c r="AA413" s="727"/>
      <c r="AB413" s="727"/>
      <c r="AC413" s="727"/>
      <c r="AD413" s="727"/>
      <c r="AE413" s="727"/>
      <c r="AF413" s="727"/>
      <c r="AG413" s="727"/>
      <c r="AH413" s="727"/>
      <c r="AI413" s="727"/>
      <c r="AJ413" s="727"/>
      <c r="AK413" s="727"/>
      <c r="AL413" s="727"/>
      <c r="AM413" s="727"/>
      <c r="AN413" s="727"/>
      <c r="AO413" s="727"/>
      <c r="AP413" s="727"/>
      <c r="AQ413" s="727"/>
      <c r="AR413" s="727"/>
      <c r="AS413" s="727"/>
      <c r="AT413" s="727"/>
      <c r="AU413" s="727"/>
      <c r="AV413" s="727"/>
      <c r="AW413" s="727"/>
      <c r="AX413" s="727"/>
      <c r="AY413" s="727"/>
      <c r="AZ413" s="727"/>
      <c r="BA413" s="727"/>
      <c r="BB413" s="727"/>
    </row>
    <row r="414" spans="1:54">
      <c r="A414" s="326"/>
      <c r="B414" s="791">
        <v>1.8</v>
      </c>
      <c r="C414" s="792">
        <v>1000</v>
      </c>
      <c r="D414" s="779">
        <v>0.32606000000000002</v>
      </c>
      <c r="E414" s="779">
        <v>4050.7</v>
      </c>
      <c r="F414" s="779">
        <v>4637.6000000000004</v>
      </c>
      <c r="G414" s="779">
        <v>8.6426999999999996</v>
      </c>
      <c r="H414" s="727"/>
      <c r="I414" s="727"/>
      <c r="J414" s="727"/>
      <c r="K414" s="727"/>
      <c r="L414" s="727"/>
      <c r="M414" s="727"/>
      <c r="N414" s="727"/>
      <c r="O414" s="727"/>
      <c r="P414" s="727"/>
      <c r="Q414" s="727"/>
      <c r="R414" s="727"/>
      <c r="S414" s="727"/>
      <c r="T414" s="727"/>
      <c r="U414" s="727"/>
      <c r="V414" s="727"/>
      <c r="W414" s="727"/>
      <c r="X414" s="727"/>
      <c r="Y414" s="727"/>
      <c r="Z414" s="727"/>
      <c r="AA414" s="727"/>
      <c r="AB414" s="727"/>
      <c r="AC414" s="727"/>
      <c r="AD414" s="727"/>
      <c r="AE414" s="727"/>
      <c r="AF414" s="727"/>
      <c r="AG414" s="727"/>
      <c r="AH414" s="727"/>
      <c r="AI414" s="727"/>
      <c r="AJ414" s="727"/>
      <c r="AK414" s="727"/>
      <c r="AL414" s="727"/>
      <c r="AM414" s="727"/>
      <c r="AN414" s="727"/>
      <c r="AO414" s="727"/>
      <c r="AP414" s="727"/>
      <c r="AQ414" s="727"/>
      <c r="AR414" s="727"/>
      <c r="AS414" s="727"/>
      <c r="AT414" s="727"/>
      <c r="AU414" s="727"/>
      <c r="AV414" s="727"/>
      <c r="AW414" s="727"/>
      <c r="AX414" s="727"/>
      <c r="AY414" s="727"/>
      <c r="AZ414" s="727"/>
      <c r="BA414" s="727"/>
      <c r="BB414" s="727"/>
    </row>
    <row r="415" spans="1:54">
      <c r="A415" s="326"/>
      <c r="B415" s="791">
        <v>1.8</v>
      </c>
      <c r="C415" s="792">
        <v>1100</v>
      </c>
      <c r="D415" s="779">
        <v>0.35188000000000003</v>
      </c>
      <c r="E415" s="779">
        <v>4256.2</v>
      </c>
      <c r="F415" s="779">
        <v>4889.6000000000004</v>
      </c>
      <c r="G415" s="779">
        <v>8.8331</v>
      </c>
      <c r="H415" s="727"/>
      <c r="I415" s="727"/>
      <c r="J415" s="727"/>
      <c r="K415" s="727"/>
      <c r="L415" s="727"/>
      <c r="M415" s="727"/>
      <c r="N415" s="727"/>
      <c r="O415" s="727"/>
      <c r="P415" s="727"/>
      <c r="Q415" s="727"/>
      <c r="R415" s="727"/>
      <c r="S415" s="727"/>
      <c r="T415" s="727"/>
      <c r="U415" s="727"/>
      <c r="V415" s="727"/>
      <c r="W415" s="727"/>
      <c r="X415" s="727"/>
      <c r="Y415" s="727"/>
      <c r="Z415" s="727"/>
      <c r="AA415" s="727"/>
      <c r="AB415" s="727"/>
      <c r="AC415" s="727"/>
      <c r="AD415" s="727"/>
      <c r="AE415" s="727"/>
      <c r="AF415" s="727"/>
      <c r="AG415" s="727"/>
      <c r="AH415" s="727"/>
      <c r="AI415" s="727"/>
      <c r="AJ415" s="727"/>
      <c r="AK415" s="727"/>
      <c r="AL415" s="727"/>
      <c r="AM415" s="727"/>
      <c r="AN415" s="727"/>
      <c r="AO415" s="727"/>
      <c r="AP415" s="727"/>
      <c r="AQ415" s="727"/>
      <c r="AR415" s="727"/>
      <c r="AS415" s="727"/>
      <c r="AT415" s="727"/>
      <c r="AU415" s="727"/>
      <c r="AV415" s="727"/>
      <c r="AW415" s="727"/>
      <c r="AX415" s="727"/>
      <c r="AY415" s="727"/>
      <c r="AZ415" s="727"/>
      <c r="BA415" s="727"/>
      <c r="BB415" s="727"/>
    </row>
    <row r="416" spans="1:54">
      <c r="A416" s="326"/>
      <c r="B416" s="791">
        <v>1.8</v>
      </c>
      <c r="C416" s="792">
        <v>1200</v>
      </c>
      <c r="D416" s="779">
        <v>0.37766</v>
      </c>
      <c r="E416" s="779">
        <v>4467.6000000000004</v>
      </c>
      <c r="F416" s="779">
        <v>5147.3</v>
      </c>
      <c r="G416" s="779">
        <v>9.0143000000000004</v>
      </c>
      <c r="H416" s="727"/>
      <c r="I416" s="727"/>
      <c r="J416" s="727"/>
      <c r="K416" s="727"/>
      <c r="L416" s="727"/>
      <c r="M416" s="727"/>
      <c r="N416" s="727"/>
      <c r="O416" s="727"/>
      <c r="P416" s="727"/>
      <c r="Q416" s="727"/>
      <c r="R416" s="727"/>
      <c r="S416" s="727"/>
      <c r="T416" s="727"/>
      <c r="U416" s="727"/>
      <c r="V416" s="727"/>
      <c r="W416" s="727"/>
      <c r="X416" s="727"/>
      <c r="Y416" s="727"/>
      <c r="Z416" s="727"/>
      <c r="AA416" s="727"/>
      <c r="AB416" s="727"/>
      <c r="AC416" s="727"/>
      <c r="AD416" s="727"/>
      <c r="AE416" s="727"/>
      <c r="AF416" s="727"/>
      <c r="AG416" s="727"/>
      <c r="AH416" s="727"/>
      <c r="AI416" s="727"/>
      <c r="AJ416" s="727"/>
      <c r="AK416" s="727"/>
      <c r="AL416" s="727"/>
      <c r="AM416" s="727"/>
      <c r="AN416" s="727"/>
      <c r="AO416" s="727"/>
      <c r="AP416" s="727"/>
      <c r="AQ416" s="727"/>
      <c r="AR416" s="727"/>
      <c r="AS416" s="727"/>
      <c r="AT416" s="727"/>
      <c r="AU416" s="727"/>
      <c r="AV416" s="727"/>
      <c r="AW416" s="727"/>
      <c r="AX416" s="727"/>
      <c r="AY416" s="727"/>
      <c r="AZ416" s="727"/>
      <c r="BA416" s="727"/>
      <c r="BB416" s="727"/>
    </row>
    <row r="417" spans="1:54">
      <c r="A417" s="326"/>
      <c r="B417" s="791">
        <v>1.8</v>
      </c>
      <c r="C417" s="792">
        <v>1300</v>
      </c>
      <c r="D417" s="779">
        <v>0.40340999999999999</v>
      </c>
      <c r="E417" s="779">
        <v>4684.5</v>
      </c>
      <c r="F417" s="779">
        <v>5410.6</v>
      </c>
      <c r="G417" s="779">
        <v>9.1872000000000007</v>
      </c>
      <c r="H417" s="727"/>
      <c r="I417" s="727"/>
      <c r="J417" s="727"/>
      <c r="K417" s="727"/>
      <c r="L417" s="727"/>
      <c r="M417" s="727"/>
      <c r="N417" s="727"/>
      <c r="O417" s="727"/>
      <c r="P417" s="727"/>
      <c r="Q417" s="727"/>
      <c r="R417" s="727"/>
      <c r="S417" s="727"/>
      <c r="T417" s="727"/>
      <c r="U417" s="727"/>
      <c r="V417" s="727"/>
      <c r="W417" s="727"/>
      <c r="X417" s="727"/>
      <c r="Y417" s="727"/>
      <c r="Z417" s="727"/>
      <c r="AA417" s="727"/>
      <c r="AB417" s="727"/>
      <c r="AC417" s="727"/>
      <c r="AD417" s="727"/>
      <c r="AE417" s="727"/>
      <c r="AF417" s="727"/>
      <c r="AG417" s="727"/>
      <c r="AH417" s="727"/>
      <c r="AI417" s="727"/>
      <c r="AJ417" s="727"/>
      <c r="AK417" s="727"/>
      <c r="AL417" s="727"/>
      <c r="AM417" s="727"/>
      <c r="AN417" s="727"/>
      <c r="AO417" s="727"/>
      <c r="AP417" s="727"/>
      <c r="AQ417" s="727"/>
      <c r="AR417" s="727"/>
      <c r="AS417" s="727"/>
      <c r="AT417" s="727"/>
      <c r="AU417" s="727"/>
      <c r="AV417" s="727"/>
      <c r="AW417" s="727"/>
      <c r="AX417" s="727"/>
      <c r="AY417" s="727"/>
      <c r="AZ417" s="727"/>
      <c r="BA417" s="727"/>
      <c r="BB417" s="727"/>
    </row>
    <row r="418" spans="1:54">
      <c r="A418" s="326"/>
      <c r="B418" s="791">
        <v>2</v>
      </c>
      <c r="C418" s="792">
        <v>212.38</v>
      </c>
      <c r="D418" s="779">
        <v>9.9589999999999998E-2</v>
      </c>
      <c r="E418" s="779">
        <v>2599.1</v>
      </c>
      <c r="F418" s="779">
        <v>2798.3</v>
      </c>
      <c r="G418" s="779">
        <v>6.3390000000000004</v>
      </c>
      <c r="H418" s="727"/>
      <c r="I418" s="727"/>
      <c r="J418" s="727"/>
      <c r="K418" s="727"/>
      <c r="L418" s="727"/>
      <c r="M418" s="727"/>
      <c r="N418" s="727"/>
      <c r="O418" s="727"/>
      <c r="P418" s="727"/>
      <c r="Q418" s="727"/>
      <c r="R418" s="727"/>
      <c r="S418" s="727"/>
      <c r="T418" s="727"/>
      <c r="U418" s="727"/>
      <c r="V418" s="727"/>
      <c r="W418" s="727"/>
      <c r="X418" s="727"/>
      <c r="Y418" s="727"/>
      <c r="Z418" s="727"/>
      <c r="AA418" s="727"/>
      <c r="AB418" s="727"/>
      <c r="AC418" s="727"/>
      <c r="AD418" s="727"/>
      <c r="AE418" s="727"/>
      <c r="AF418" s="727"/>
      <c r="AG418" s="727"/>
      <c r="AH418" s="727"/>
      <c r="AI418" s="727"/>
      <c r="AJ418" s="727"/>
      <c r="AK418" s="727"/>
      <c r="AL418" s="727"/>
      <c r="AM418" s="727"/>
      <c r="AN418" s="727"/>
      <c r="AO418" s="727"/>
      <c r="AP418" s="727"/>
      <c r="AQ418" s="727"/>
      <c r="AR418" s="727"/>
      <c r="AS418" s="727"/>
      <c r="AT418" s="727"/>
      <c r="AU418" s="727"/>
      <c r="AV418" s="727"/>
      <c r="AW418" s="727"/>
      <c r="AX418" s="727"/>
      <c r="AY418" s="727"/>
      <c r="AZ418" s="727"/>
      <c r="BA418" s="727"/>
      <c r="BB418" s="727"/>
    </row>
    <row r="419" spans="1:54">
      <c r="A419" s="326"/>
      <c r="B419" s="791">
        <v>2</v>
      </c>
      <c r="C419" s="792">
        <v>225</v>
      </c>
      <c r="D419" s="779">
        <v>0.10381</v>
      </c>
      <c r="E419" s="779">
        <v>2628.5</v>
      </c>
      <c r="F419" s="779">
        <v>2836.1</v>
      </c>
      <c r="G419" s="779">
        <v>6.4160000000000004</v>
      </c>
      <c r="H419" s="727"/>
      <c r="I419" s="727"/>
      <c r="J419" s="727"/>
      <c r="K419" s="727"/>
      <c r="L419" s="727"/>
      <c r="M419" s="727"/>
      <c r="N419" s="727"/>
      <c r="O419" s="727"/>
      <c r="P419" s="727"/>
      <c r="Q419" s="727"/>
      <c r="R419" s="727"/>
      <c r="S419" s="727"/>
      <c r="T419" s="727"/>
      <c r="U419" s="727"/>
      <c r="V419" s="727"/>
      <c r="W419" s="727"/>
      <c r="X419" s="727"/>
      <c r="Y419" s="727"/>
      <c r="Z419" s="727"/>
      <c r="AA419" s="727"/>
      <c r="AB419" s="727"/>
      <c r="AC419" s="727"/>
      <c r="AD419" s="727"/>
      <c r="AE419" s="727"/>
      <c r="AF419" s="727"/>
      <c r="AG419" s="727"/>
      <c r="AH419" s="727"/>
      <c r="AI419" s="727"/>
      <c r="AJ419" s="727"/>
      <c r="AK419" s="727"/>
      <c r="AL419" s="727"/>
      <c r="AM419" s="727"/>
      <c r="AN419" s="727"/>
      <c r="AO419" s="727"/>
      <c r="AP419" s="727"/>
      <c r="AQ419" s="727"/>
      <c r="AR419" s="727"/>
      <c r="AS419" s="727"/>
      <c r="AT419" s="727"/>
      <c r="AU419" s="727"/>
      <c r="AV419" s="727"/>
      <c r="AW419" s="727"/>
      <c r="AX419" s="727"/>
      <c r="AY419" s="727"/>
      <c r="AZ419" s="727"/>
      <c r="BA419" s="727"/>
      <c r="BB419" s="727"/>
    </row>
    <row r="420" spans="1:54">
      <c r="A420" s="326"/>
      <c r="B420" s="791">
        <v>2</v>
      </c>
      <c r="C420" s="792">
        <v>250</v>
      </c>
      <c r="D420" s="779">
        <v>0.1115</v>
      </c>
      <c r="E420" s="779">
        <v>2680.3</v>
      </c>
      <c r="F420" s="779">
        <v>2903.3</v>
      </c>
      <c r="G420" s="779">
        <v>6.5475000000000003</v>
      </c>
      <c r="H420" s="727"/>
      <c r="I420" s="727"/>
      <c r="J420" s="727"/>
      <c r="K420" s="727"/>
      <c r="L420" s="727"/>
      <c r="M420" s="727"/>
      <c r="N420" s="727"/>
      <c r="O420" s="727"/>
      <c r="P420" s="727"/>
      <c r="Q420" s="727"/>
      <c r="R420" s="727"/>
      <c r="S420" s="727"/>
      <c r="T420" s="727"/>
      <c r="U420" s="727"/>
      <c r="V420" s="727"/>
      <c r="W420" s="727"/>
      <c r="X420" s="727"/>
      <c r="Y420" s="727"/>
      <c r="Z420" s="727"/>
      <c r="AA420" s="727"/>
      <c r="AB420" s="727"/>
      <c r="AC420" s="727"/>
      <c r="AD420" s="727"/>
      <c r="AE420" s="727"/>
      <c r="AF420" s="727"/>
      <c r="AG420" s="727"/>
      <c r="AH420" s="727"/>
      <c r="AI420" s="727"/>
      <c r="AJ420" s="727"/>
      <c r="AK420" s="727"/>
      <c r="AL420" s="727"/>
      <c r="AM420" s="727"/>
      <c r="AN420" s="727"/>
      <c r="AO420" s="727"/>
      <c r="AP420" s="727"/>
      <c r="AQ420" s="727"/>
      <c r="AR420" s="727"/>
      <c r="AS420" s="727"/>
      <c r="AT420" s="727"/>
      <c r="AU420" s="727"/>
      <c r="AV420" s="727"/>
      <c r="AW420" s="727"/>
      <c r="AX420" s="727"/>
      <c r="AY420" s="727"/>
      <c r="AZ420" s="727"/>
      <c r="BA420" s="727"/>
      <c r="BB420" s="727"/>
    </row>
    <row r="421" spans="1:54">
      <c r="A421" s="326"/>
      <c r="B421" s="791">
        <v>2</v>
      </c>
      <c r="C421" s="792">
        <v>300</v>
      </c>
      <c r="D421" s="779">
        <v>0.12551000000000001</v>
      </c>
      <c r="E421" s="779">
        <v>2773.2</v>
      </c>
      <c r="F421" s="779">
        <v>3024.2</v>
      </c>
      <c r="G421" s="779">
        <v>6.7683999999999997</v>
      </c>
      <c r="H421" s="727"/>
      <c r="I421" s="727"/>
      <c r="J421" s="727"/>
      <c r="K421" s="727"/>
      <c r="L421" s="727"/>
      <c r="M421" s="727"/>
      <c r="N421" s="727"/>
      <c r="O421" s="727"/>
      <c r="P421" s="727"/>
      <c r="Q421" s="727"/>
      <c r="R421" s="727"/>
      <c r="S421" s="727"/>
      <c r="T421" s="727"/>
      <c r="U421" s="727"/>
      <c r="V421" s="727"/>
      <c r="W421" s="727"/>
      <c r="X421" s="727"/>
      <c r="Y421" s="727"/>
      <c r="Z421" s="727"/>
      <c r="AA421" s="727"/>
      <c r="AB421" s="727"/>
      <c r="AC421" s="727"/>
      <c r="AD421" s="727"/>
      <c r="AE421" s="727"/>
      <c r="AF421" s="727"/>
      <c r="AG421" s="727"/>
      <c r="AH421" s="727"/>
      <c r="AI421" s="727"/>
      <c r="AJ421" s="727"/>
      <c r="AK421" s="727"/>
      <c r="AL421" s="727"/>
      <c r="AM421" s="727"/>
      <c r="AN421" s="727"/>
      <c r="AO421" s="727"/>
      <c r="AP421" s="727"/>
      <c r="AQ421" s="727"/>
      <c r="AR421" s="727"/>
      <c r="AS421" s="727"/>
      <c r="AT421" s="727"/>
      <c r="AU421" s="727"/>
      <c r="AV421" s="727"/>
      <c r="AW421" s="727"/>
      <c r="AX421" s="727"/>
      <c r="AY421" s="727"/>
      <c r="AZ421" s="727"/>
      <c r="BA421" s="727"/>
      <c r="BB421" s="727"/>
    </row>
    <row r="422" spans="1:54">
      <c r="A422" s="326"/>
      <c r="B422" s="791">
        <v>2</v>
      </c>
      <c r="C422" s="792">
        <v>350</v>
      </c>
      <c r="D422" s="779">
        <v>0.1386</v>
      </c>
      <c r="E422" s="779">
        <v>2860.5</v>
      </c>
      <c r="F422" s="779">
        <v>3137.7</v>
      </c>
      <c r="G422" s="779">
        <v>6.9583000000000004</v>
      </c>
      <c r="H422" s="727"/>
      <c r="I422" s="727"/>
      <c r="J422" s="727"/>
      <c r="K422" s="727"/>
      <c r="L422" s="727"/>
      <c r="M422" s="727"/>
      <c r="N422" s="727"/>
      <c r="O422" s="727"/>
      <c r="P422" s="727"/>
      <c r="Q422" s="727"/>
      <c r="R422" s="727"/>
      <c r="S422" s="727"/>
      <c r="T422" s="727"/>
      <c r="U422" s="727"/>
      <c r="V422" s="727"/>
      <c r="W422" s="727"/>
      <c r="X422" s="727"/>
      <c r="Y422" s="727"/>
      <c r="Z422" s="727"/>
      <c r="AA422" s="727"/>
      <c r="AB422" s="727"/>
      <c r="AC422" s="727"/>
      <c r="AD422" s="727"/>
      <c r="AE422" s="727"/>
      <c r="AF422" s="727"/>
      <c r="AG422" s="727"/>
      <c r="AH422" s="727"/>
      <c r="AI422" s="727"/>
      <c r="AJ422" s="727"/>
      <c r="AK422" s="727"/>
      <c r="AL422" s="727"/>
      <c r="AM422" s="727"/>
      <c r="AN422" s="727"/>
      <c r="AO422" s="727"/>
      <c r="AP422" s="727"/>
      <c r="AQ422" s="727"/>
      <c r="AR422" s="727"/>
      <c r="AS422" s="727"/>
      <c r="AT422" s="727"/>
      <c r="AU422" s="727"/>
      <c r="AV422" s="727"/>
      <c r="AW422" s="727"/>
      <c r="AX422" s="727"/>
      <c r="AY422" s="727"/>
      <c r="AZ422" s="727"/>
      <c r="BA422" s="727"/>
      <c r="BB422" s="727"/>
    </row>
    <row r="423" spans="1:54">
      <c r="A423" s="326"/>
      <c r="B423" s="791">
        <v>2</v>
      </c>
      <c r="C423" s="792">
        <v>400</v>
      </c>
      <c r="D423" s="779">
        <v>0.15121999999999999</v>
      </c>
      <c r="E423" s="779">
        <v>2945.9</v>
      </c>
      <c r="F423" s="779">
        <v>3248.4</v>
      </c>
      <c r="G423" s="779">
        <v>7.1292</v>
      </c>
      <c r="H423" s="727"/>
      <c r="I423" s="727"/>
      <c r="J423" s="727"/>
      <c r="K423" s="727"/>
      <c r="L423" s="727"/>
      <c r="M423" s="727"/>
      <c r="N423" s="727"/>
      <c r="O423" s="727"/>
      <c r="P423" s="727"/>
      <c r="Q423" s="727"/>
      <c r="R423" s="727"/>
      <c r="S423" s="727"/>
      <c r="T423" s="727"/>
      <c r="U423" s="727"/>
      <c r="V423" s="727"/>
      <c r="W423" s="727"/>
      <c r="X423" s="727"/>
      <c r="Y423" s="727"/>
      <c r="Z423" s="727"/>
      <c r="AA423" s="727"/>
      <c r="AB423" s="727"/>
      <c r="AC423" s="727"/>
      <c r="AD423" s="727"/>
      <c r="AE423" s="727"/>
      <c r="AF423" s="727"/>
      <c r="AG423" s="727"/>
      <c r="AH423" s="727"/>
      <c r="AI423" s="727"/>
      <c r="AJ423" s="727"/>
      <c r="AK423" s="727"/>
      <c r="AL423" s="727"/>
      <c r="AM423" s="727"/>
      <c r="AN423" s="727"/>
      <c r="AO423" s="727"/>
      <c r="AP423" s="727"/>
      <c r="AQ423" s="727"/>
      <c r="AR423" s="727"/>
      <c r="AS423" s="727"/>
      <c r="AT423" s="727"/>
      <c r="AU423" s="727"/>
      <c r="AV423" s="727"/>
      <c r="AW423" s="727"/>
      <c r="AX423" s="727"/>
      <c r="AY423" s="727"/>
      <c r="AZ423" s="727"/>
      <c r="BA423" s="727"/>
      <c r="BB423" s="727"/>
    </row>
    <row r="424" spans="1:54">
      <c r="A424" s="326"/>
      <c r="B424" s="791">
        <v>2</v>
      </c>
      <c r="C424" s="792">
        <v>500</v>
      </c>
      <c r="D424" s="779">
        <v>0.17568</v>
      </c>
      <c r="E424" s="779">
        <v>3116.9</v>
      </c>
      <c r="F424" s="779">
        <v>3468.3</v>
      </c>
      <c r="G424" s="779">
        <v>7.4337</v>
      </c>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27"/>
      <c r="AF424" s="727"/>
      <c r="AG424" s="727"/>
      <c r="AH424" s="727"/>
      <c r="AI424" s="727"/>
      <c r="AJ424" s="727"/>
      <c r="AK424" s="727"/>
      <c r="AL424" s="727"/>
      <c r="AM424" s="727"/>
      <c r="AN424" s="727"/>
      <c r="AO424" s="727"/>
      <c r="AP424" s="727"/>
      <c r="AQ424" s="727"/>
      <c r="AR424" s="727"/>
      <c r="AS424" s="727"/>
      <c r="AT424" s="727"/>
      <c r="AU424" s="727"/>
      <c r="AV424" s="727"/>
      <c r="AW424" s="727"/>
      <c r="AX424" s="727"/>
      <c r="AY424" s="727"/>
      <c r="AZ424" s="727"/>
      <c r="BA424" s="727"/>
      <c r="BB424" s="727"/>
    </row>
    <row r="425" spans="1:54">
      <c r="A425" s="326"/>
      <c r="B425" s="791">
        <v>2</v>
      </c>
      <c r="C425" s="792">
        <v>600</v>
      </c>
      <c r="D425" s="779">
        <v>0.19961999999999999</v>
      </c>
      <c r="E425" s="779">
        <v>3291.5</v>
      </c>
      <c r="F425" s="779">
        <v>3690.7</v>
      </c>
      <c r="G425" s="779">
        <v>7.7042999999999999</v>
      </c>
      <c r="H425" s="727"/>
      <c r="I425" s="727"/>
      <c r="J425" s="727"/>
      <c r="K425" s="727"/>
      <c r="L425" s="727"/>
      <c r="M425" s="727"/>
      <c r="N425" s="727"/>
      <c r="O425" s="727"/>
      <c r="P425" s="727"/>
      <c r="Q425" s="727"/>
      <c r="R425" s="727"/>
      <c r="S425" s="727"/>
      <c r="T425" s="727"/>
      <c r="U425" s="727"/>
      <c r="V425" s="727"/>
      <c r="W425" s="727"/>
      <c r="X425" s="727"/>
      <c r="Y425" s="727"/>
      <c r="Z425" s="727"/>
      <c r="AA425" s="727"/>
      <c r="AB425" s="727"/>
      <c r="AC425" s="727"/>
      <c r="AD425" s="727"/>
      <c r="AE425" s="727"/>
      <c r="AF425" s="727"/>
      <c r="AG425" s="727"/>
      <c r="AH425" s="727"/>
      <c r="AI425" s="727"/>
      <c r="AJ425" s="727"/>
      <c r="AK425" s="727"/>
      <c r="AL425" s="727"/>
      <c r="AM425" s="727"/>
      <c r="AN425" s="727"/>
      <c r="AO425" s="727"/>
      <c r="AP425" s="727"/>
      <c r="AQ425" s="727"/>
      <c r="AR425" s="727"/>
      <c r="AS425" s="727"/>
      <c r="AT425" s="727"/>
      <c r="AU425" s="727"/>
      <c r="AV425" s="727"/>
      <c r="AW425" s="727"/>
      <c r="AX425" s="727"/>
      <c r="AY425" s="727"/>
      <c r="AZ425" s="727"/>
      <c r="BA425" s="727"/>
      <c r="BB425" s="727"/>
    </row>
    <row r="426" spans="1:54">
      <c r="A426" s="326"/>
      <c r="B426" s="791">
        <v>2</v>
      </c>
      <c r="C426" s="792">
        <v>700</v>
      </c>
      <c r="D426" s="779">
        <v>0.22325999999999999</v>
      </c>
      <c r="E426" s="779">
        <v>3471.7</v>
      </c>
      <c r="F426" s="779">
        <v>3918.2</v>
      </c>
      <c r="G426" s="779">
        <v>7.9508999999999999</v>
      </c>
      <c r="H426" s="727"/>
      <c r="I426" s="727"/>
      <c r="J426" s="727"/>
      <c r="K426" s="727"/>
      <c r="L426" s="727"/>
      <c r="M426" s="727"/>
      <c r="N426" s="727"/>
      <c r="O426" s="727"/>
      <c r="P426" s="727"/>
      <c r="Q426" s="727"/>
      <c r="R426" s="727"/>
      <c r="S426" s="727"/>
      <c r="T426" s="727"/>
      <c r="U426" s="727"/>
      <c r="V426" s="727"/>
      <c r="W426" s="727"/>
      <c r="X426" s="727"/>
      <c r="Y426" s="727"/>
      <c r="Z426" s="727"/>
      <c r="AA426" s="727"/>
      <c r="AB426" s="727"/>
      <c r="AC426" s="727"/>
      <c r="AD426" s="727"/>
      <c r="AE426" s="727"/>
      <c r="AF426" s="727"/>
      <c r="AG426" s="727"/>
      <c r="AH426" s="727"/>
      <c r="AI426" s="727"/>
      <c r="AJ426" s="727"/>
      <c r="AK426" s="727"/>
      <c r="AL426" s="727"/>
      <c r="AM426" s="727"/>
      <c r="AN426" s="727"/>
      <c r="AO426" s="727"/>
      <c r="AP426" s="727"/>
      <c r="AQ426" s="727"/>
      <c r="AR426" s="727"/>
      <c r="AS426" s="727"/>
      <c r="AT426" s="727"/>
      <c r="AU426" s="727"/>
      <c r="AV426" s="727"/>
      <c r="AW426" s="727"/>
      <c r="AX426" s="727"/>
      <c r="AY426" s="727"/>
      <c r="AZ426" s="727"/>
      <c r="BA426" s="727"/>
      <c r="BB426" s="727"/>
    </row>
    <row r="427" spans="1:54">
      <c r="A427" s="326"/>
      <c r="B427" s="791">
        <v>2</v>
      </c>
      <c r="C427" s="792">
        <v>800</v>
      </c>
      <c r="D427" s="779">
        <v>0.24673999999999999</v>
      </c>
      <c r="E427" s="779">
        <v>3658</v>
      </c>
      <c r="F427" s="779">
        <v>4151.5</v>
      </c>
      <c r="G427" s="779">
        <v>8.1791</v>
      </c>
      <c r="H427" s="727"/>
      <c r="I427" s="727"/>
      <c r="J427" s="727"/>
      <c r="K427" s="727"/>
      <c r="L427" s="727"/>
      <c r="M427" s="727"/>
      <c r="N427" s="727"/>
      <c r="O427" s="727"/>
      <c r="P427" s="727"/>
      <c r="Q427" s="727"/>
      <c r="R427" s="727"/>
      <c r="S427" s="727"/>
      <c r="T427" s="727"/>
      <c r="U427" s="727"/>
      <c r="V427" s="727"/>
      <c r="W427" s="727"/>
      <c r="X427" s="727"/>
      <c r="Y427" s="727"/>
      <c r="Z427" s="727"/>
      <c r="AA427" s="727"/>
      <c r="AB427" s="727"/>
      <c r="AC427" s="727"/>
      <c r="AD427" s="727"/>
      <c r="AE427" s="727"/>
      <c r="AF427" s="727"/>
      <c r="AG427" s="727"/>
      <c r="AH427" s="727"/>
      <c r="AI427" s="727"/>
      <c r="AJ427" s="727"/>
      <c r="AK427" s="727"/>
      <c r="AL427" s="727"/>
      <c r="AM427" s="727"/>
      <c r="AN427" s="727"/>
      <c r="AO427" s="727"/>
      <c r="AP427" s="727"/>
      <c r="AQ427" s="727"/>
      <c r="AR427" s="727"/>
      <c r="AS427" s="727"/>
      <c r="AT427" s="727"/>
      <c r="AU427" s="727"/>
      <c r="AV427" s="727"/>
      <c r="AW427" s="727"/>
      <c r="AX427" s="727"/>
      <c r="AY427" s="727"/>
      <c r="AZ427" s="727"/>
      <c r="BA427" s="727"/>
      <c r="BB427" s="727"/>
    </row>
    <row r="428" spans="1:54">
      <c r="A428" s="326"/>
      <c r="B428" s="791">
        <v>2</v>
      </c>
      <c r="C428" s="792">
        <v>900</v>
      </c>
      <c r="D428" s="779">
        <v>0.27012000000000003</v>
      </c>
      <c r="E428" s="779">
        <v>3850.9</v>
      </c>
      <c r="F428" s="779">
        <v>4391.1000000000004</v>
      </c>
      <c r="G428" s="779">
        <v>8.3925000000000001</v>
      </c>
      <c r="H428" s="727"/>
      <c r="I428" s="727"/>
      <c r="J428" s="727"/>
      <c r="K428" s="727"/>
      <c r="L428" s="727"/>
      <c r="M428" s="727"/>
      <c r="N428" s="727"/>
      <c r="O428" s="727"/>
      <c r="P428" s="727"/>
      <c r="Q428" s="727"/>
      <c r="R428" s="727"/>
      <c r="S428" s="727"/>
      <c r="T428" s="727"/>
      <c r="U428" s="727"/>
      <c r="V428" s="727"/>
      <c r="W428" s="727"/>
      <c r="X428" s="727"/>
      <c r="Y428" s="727"/>
      <c r="Z428" s="727"/>
      <c r="AA428" s="727"/>
      <c r="AB428" s="727"/>
      <c r="AC428" s="727"/>
      <c r="AD428" s="727"/>
      <c r="AE428" s="727"/>
      <c r="AF428" s="727"/>
      <c r="AG428" s="727"/>
      <c r="AH428" s="727"/>
      <c r="AI428" s="727"/>
      <c r="AJ428" s="727"/>
      <c r="AK428" s="727"/>
      <c r="AL428" s="727"/>
      <c r="AM428" s="727"/>
      <c r="AN428" s="727"/>
      <c r="AO428" s="727"/>
      <c r="AP428" s="727"/>
      <c r="AQ428" s="727"/>
      <c r="AR428" s="727"/>
      <c r="AS428" s="727"/>
      <c r="AT428" s="727"/>
      <c r="AU428" s="727"/>
      <c r="AV428" s="727"/>
      <c r="AW428" s="727"/>
      <c r="AX428" s="727"/>
      <c r="AY428" s="727"/>
      <c r="AZ428" s="727"/>
      <c r="BA428" s="727"/>
      <c r="BB428" s="727"/>
    </row>
    <row r="429" spans="1:54">
      <c r="A429" s="326"/>
      <c r="B429" s="791">
        <v>2</v>
      </c>
      <c r="C429" s="792">
        <v>1000</v>
      </c>
      <c r="D429" s="779">
        <v>0.29342000000000001</v>
      </c>
      <c r="E429" s="779">
        <v>4050.2</v>
      </c>
      <c r="F429" s="779">
        <v>4637.1000000000004</v>
      </c>
      <c r="G429" s="779">
        <v>8.5936000000000003</v>
      </c>
      <c r="H429" s="727"/>
      <c r="I429" s="727"/>
      <c r="J429" s="727"/>
      <c r="K429" s="727"/>
      <c r="L429" s="727"/>
      <c r="M429" s="727"/>
      <c r="N429" s="727"/>
      <c r="O429" s="727"/>
      <c r="P429" s="727"/>
      <c r="Q429" s="727"/>
      <c r="R429" s="727"/>
      <c r="S429" s="727"/>
      <c r="T429" s="727"/>
      <c r="U429" s="727"/>
      <c r="V429" s="727"/>
      <c r="W429" s="727"/>
      <c r="X429" s="727"/>
      <c r="Y429" s="727"/>
      <c r="Z429" s="727"/>
      <c r="AA429" s="727"/>
      <c r="AB429" s="727"/>
      <c r="AC429" s="727"/>
      <c r="AD429" s="727"/>
      <c r="AE429" s="727"/>
      <c r="AF429" s="727"/>
      <c r="AG429" s="727"/>
      <c r="AH429" s="727"/>
      <c r="AI429" s="727"/>
      <c r="AJ429" s="727"/>
      <c r="AK429" s="727"/>
      <c r="AL429" s="727"/>
      <c r="AM429" s="727"/>
      <c r="AN429" s="727"/>
      <c r="AO429" s="727"/>
      <c r="AP429" s="727"/>
      <c r="AQ429" s="727"/>
      <c r="AR429" s="727"/>
      <c r="AS429" s="727"/>
      <c r="AT429" s="727"/>
      <c r="AU429" s="727"/>
      <c r="AV429" s="727"/>
      <c r="AW429" s="727"/>
      <c r="AX429" s="727"/>
      <c r="AY429" s="727"/>
      <c r="AZ429" s="727"/>
      <c r="BA429" s="727"/>
      <c r="BB429" s="727"/>
    </row>
    <row r="430" spans="1:54">
      <c r="A430" s="326"/>
      <c r="B430" s="791">
        <v>2</v>
      </c>
      <c r="C430" s="792">
        <v>1100</v>
      </c>
      <c r="D430" s="779">
        <v>0.31667000000000001</v>
      </c>
      <c r="E430" s="779">
        <v>4255.7</v>
      </c>
      <c r="F430" s="779">
        <v>4889.1000000000004</v>
      </c>
      <c r="G430" s="779">
        <v>8.7842000000000002</v>
      </c>
      <c r="H430" s="727"/>
      <c r="I430" s="727"/>
      <c r="J430" s="727"/>
      <c r="K430" s="727"/>
      <c r="L430" s="727"/>
      <c r="M430" s="727"/>
      <c r="N430" s="727"/>
      <c r="O430" s="727"/>
      <c r="P430" s="727"/>
      <c r="Q430" s="727"/>
      <c r="R430" s="727"/>
      <c r="S430" s="727"/>
      <c r="T430" s="727"/>
      <c r="U430" s="727"/>
      <c r="V430" s="727"/>
      <c r="W430" s="727"/>
      <c r="X430" s="727"/>
      <c r="Y430" s="727"/>
      <c r="Z430" s="727"/>
      <c r="AA430" s="727"/>
      <c r="AB430" s="727"/>
      <c r="AC430" s="727"/>
      <c r="AD430" s="727"/>
      <c r="AE430" s="727"/>
      <c r="AF430" s="727"/>
      <c r="AG430" s="727"/>
      <c r="AH430" s="727"/>
      <c r="AI430" s="727"/>
      <c r="AJ430" s="727"/>
      <c r="AK430" s="727"/>
      <c r="AL430" s="727"/>
      <c r="AM430" s="727"/>
      <c r="AN430" s="727"/>
      <c r="AO430" s="727"/>
      <c r="AP430" s="727"/>
      <c r="AQ430" s="727"/>
      <c r="AR430" s="727"/>
      <c r="AS430" s="727"/>
      <c r="AT430" s="727"/>
      <c r="AU430" s="727"/>
      <c r="AV430" s="727"/>
      <c r="AW430" s="727"/>
      <c r="AX430" s="727"/>
      <c r="AY430" s="727"/>
      <c r="AZ430" s="727"/>
      <c r="BA430" s="727"/>
      <c r="BB430" s="727"/>
    </row>
    <row r="431" spans="1:54">
      <c r="A431" s="326"/>
      <c r="B431" s="791">
        <v>2</v>
      </c>
      <c r="C431" s="792">
        <v>1200</v>
      </c>
      <c r="D431" s="779">
        <v>0.33989000000000003</v>
      </c>
      <c r="E431" s="779">
        <v>4467.2</v>
      </c>
      <c r="F431" s="779">
        <v>5147</v>
      </c>
      <c r="G431" s="779">
        <v>8.9654000000000007</v>
      </c>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7"/>
      <c r="AF431" s="727"/>
      <c r="AG431" s="727"/>
      <c r="AH431" s="727"/>
      <c r="AI431" s="727"/>
      <c r="AJ431" s="727"/>
      <c r="AK431" s="727"/>
      <c r="AL431" s="727"/>
      <c r="AM431" s="727"/>
      <c r="AN431" s="727"/>
      <c r="AO431" s="727"/>
      <c r="AP431" s="727"/>
      <c r="AQ431" s="727"/>
      <c r="AR431" s="727"/>
      <c r="AS431" s="727"/>
      <c r="AT431" s="727"/>
      <c r="AU431" s="727"/>
      <c r="AV431" s="727"/>
      <c r="AW431" s="727"/>
      <c r="AX431" s="727"/>
      <c r="AY431" s="727"/>
      <c r="AZ431" s="727"/>
      <c r="BA431" s="727"/>
      <c r="BB431" s="727"/>
    </row>
    <row r="432" spans="1:54">
      <c r="A432" s="326"/>
      <c r="B432" s="791">
        <v>2</v>
      </c>
      <c r="C432" s="792">
        <v>1300</v>
      </c>
      <c r="D432" s="779">
        <v>0.36308000000000001</v>
      </c>
      <c r="E432" s="779">
        <v>4684.2</v>
      </c>
      <c r="F432" s="779">
        <v>5410.3</v>
      </c>
      <c r="G432" s="779">
        <v>9.1384000000000007</v>
      </c>
      <c r="H432" s="727"/>
      <c r="I432" s="727"/>
      <c r="J432" s="727"/>
      <c r="K432" s="727"/>
      <c r="L432" s="727"/>
      <c r="M432" s="727"/>
      <c r="N432" s="727"/>
      <c r="O432" s="727"/>
      <c r="P432" s="727"/>
      <c r="Q432" s="727"/>
      <c r="R432" s="727"/>
      <c r="S432" s="727"/>
      <c r="T432" s="727"/>
      <c r="U432" s="727"/>
      <c r="V432" s="727"/>
      <c r="W432" s="727"/>
      <c r="X432" s="727"/>
      <c r="Y432" s="727"/>
      <c r="Z432" s="727"/>
      <c r="AA432" s="727"/>
      <c r="AB432" s="727"/>
      <c r="AC432" s="727"/>
      <c r="AD432" s="727"/>
      <c r="AE432" s="727"/>
      <c r="AF432" s="727"/>
      <c r="AG432" s="727"/>
      <c r="AH432" s="727"/>
      <c r="AI432" s="727"/>
      <c r="AJ432" s="727"/>
      <c r="AK432" s="727"/>
      <c r="AL432" s="727"/>
      <c r="AM432" s="727"/>
      <c r="AN432" s="727"/>
      <c r="AO432" s="727"/>
      <c r="AP432" s="727"/>
      <c r="AQ432" s="727"/>
      <c r="AR432" s="727"/>
      <c r="AS432" s="727"/>
      <c r="AT432" s="727"/>
      <c r="AU432" s="727"/>
      <c r="AV432" s="727"/>
      <c r="AW432" s="727"/>
      <c r="AX432" s="727"/>
      <c r="AY432" s="727"/>
      <c r="AZ432" s="727"/>
      <c r="BA432" s="727"/>
      <c r="BB432" s="727"/>
    </row>
    <row r="433" spans="1:54">
      <c r="A433" s="326"/>
      <c r="B433" s="791">
        <v>2.5</v>
      </c>
      <c r="C433" s="792">
        <v>223.95</v>
      </c>
      <c r="D433" s="779">
        <v>7.9949999999999993E-2</v>
      </c>
      <c r="E433" s="779">
        <v>2602.1</v>
      </c>
      <c r="F433" s="779">
        <v>2801.9</v>
      </c>
      <c r="G433" s="779">
        <v>6.2557999999999998</v>
      </c>
      <c r="H433" s="727"/>
      <c r="I433" s="727"/>
      <c r="J433" s="727"/>
      <c r="K433" s="727"/>
      <c r="L433" s="727"/>
      <c r="M433" s="727"/>
      <c r="N433" s="727"/>
      <c r="O433" s="727"/>
      <c r="P433" s="727"/>
      <c r="Q433" s="727"/>
      <c r="R433" s="727"/>
      <c r="S433" s="727"/>
      <c r="T433" s="727"/>
      <c r="U433" s="727"/>
      <c r="V433" s="727"/>
      <c r="W433" s="727"/>
      <c r="X433" s="727"/>
      <c r="Y433" s="727"/>
      <c r="Z433" s="727"/>
      <c r="AA433" s="727"/>
      <c r="AB433" s="727"/>
      <c r="AC433" s="727"/>
      <c r="AD433" s="727"/>
      <c r="AE433" s="727"/>
      <c r="AF433" s="727"/>
      <c r="AG433" s="727"/>
      <c r="AH433" s="727"/>
      <c r="AI433" s="727"/>
      <c r="AJ433" s="727"/>
      <c r="AK433" s="727"/>
      <c r="AL433" s="727"/>
      <c r="AM433" s="727"/>
      <c r="AN433" s="727"/>
      <c r="AO433" s="727"/>
      <c r="AP433" s="727"/>
      <c r="AQ433" s="727"/>
      <c r="AR433" s="727"/>
      <c r="AS433" s="727"/>
      <c r="AT433" s="727"/>
      <c r="AU433" s="727"/>
      <c r="AV433" s="727"/>
      <c r="AW433" s="727"/>
      <c r="AX433" s="727"/>
      <c r="AY433" s="727"/>
      <c r="AZ433" s="727"/>
      <c r="BA433" s="727"/>
      <c r="BB433" s="727"/>
    </row>
    <row r="434" spans="1:54">
      <c r="A434" s="326"/>
      <c r="B434" s="791">
        <v>2.5</v>
      </c>
      <c r="C434" s="792">
        <v>225</v>
      </c>
      <c r="D434" s="779">
        <v>8.0259999999999998E-2</v>
      </c>
      <c r="E434" s="779">
        <v>2604.8000000000002</v>
      </c>
      <c r="F434" s="779">
        <v>2805.5</v>
      </c>
      <c r="G434" s="779">
        <v>6.2629000000000001</v>
      </c>
      <c r="H434" s="727"/>
      <c r="I434" s="727"/>
      <c r="J434" s="727"/>
      <c r="K434" s="727"/>
      <c r="L434" s="727"/>
      <c r="M434" s="727"/>
      <c r="N434" s="727"/>
      <c r="O434" s="727"/>
      <c r="P434" s="727"/>
      <c r="Q434" s="727"/>
      <c r="R434" s="727"/>
      <c r="S434" s="727"/>
      <c r="T434" s="727"/>
      <c r="U434" s="727"/>
      <c r="V434" s="727"/>
      <c r="W434" s="727"/>
      <c r="X434" s="727"/>
      <c r="Y434" s="727"/>
      <c r="Z434" s="727"/>
      <c r="AA434" s="727"/>
      <c r="AB434" s="727"/>
      <c r="AC434" s="727"/>
      <c r="AD434" s="727"/>
      <c r="AE434" s="727"/>
      <c r="AF434" s="727"/>
      <c r="AG434" s="727"/>
      <c r="AH434" s="727"/>
      <c r="AI434" s="727"/>
      <c r="AJ434" s="727"/>
      <c r="AK434" s="727"/>
      <c r="AL434" s="727"/>
      <c r="AM434" s="727"/>
      <c r="AN434" s="727"/>
      <c r="AO434" s="727"/>
      <c r="AP434" s="727"/>
      <c r="AQ434" s="727"/>
      <c r="AR434" s="727"/>
      <c r="AS434" s="727"/>
      <c r="AT434" s="727"/>
      <c r="AU434" s="727"/>
      <c r="AV434" s="727"/>
      <c r="AW434" s="727"/>
      <c r="AX434" s="727"/>
      <c r="AY434" s="727"/>
      <c r="AZ434" s="727"/>
      <c r="BA434" s="727"/>
      <c r="BB434" s="727"/>
    </row>
    <row r="435" spans="1:54">
      <c r="A435" s="326"/>
      <c r="B435" s="791">
        <v>2.5</v>
      </c>
      <c r="C435" s="792">
        <v>250</v>
      </c>
      <c r="D435" s="779">
        <v>8.7050000000000002E-2</v>
      </c>
      <c r="E435" s="779">
        <v>2663.3</v>
      </c>
      <c r="F435" s="779">
        <v>2880.9</v>
      </c>
      <c r="G435" s="779">
        <v>6.4107000000000003</v>
      </c>
      <c r="H435" s="727"/>
      <c r="I435" s="727"/>
      <c r="J435" s="727"/>
      <c r="K435" s="727"/>
      <c r="L435" s="727"/>
      <c r="M435" s="727"/>
      <c r="N435" s="727"/>
      <c r="O435" s="727"/>
      <c r="P435" s="727"/>
      <c r="Q435" s="727"/>
      <c r="R435" s="727"/>
      <c r="S435" s="727"/>
      <c r="T435" s="727"/>
      <c r="U435" s="727"/>
      <c r="V435" s="727"/>
      <c r="W435" s="727"/>
      <c r="X435" s="727"/>
      <c r="Y435" s="727"/>
      <c r="Z435" s="727"/>
      <c r="AA435" s="727"/>
      <c r="AB435" s="727"/>
      <c r="AC435" s="727"/>
      <c r="AD435" s="727"/>
      <c r="AE435" s="727"/>
      <c r="AF435" s="727"/>
      <c r="AG435" s="727"/>
      <c r="AH435" s="727"/>
      <c r="AI435" s="727"/>
      <c r="AJ435" s="727"/>
      <c r="AK435" s="727"/>
      <c r="AL435" s="727"/>
      <c r="AM435" s="727"/>
      <c r="AN435" s="727"/>
      <c r="AO435" s="727"/>
      <c r="AP435" s="727"/>
      <c r="AQ435" s="727"/>
      <c r="AR435" s="727"/>
      <c r="AS435" s="727"/>
      <c r="AT435" s="727"/>
      <c r="AU435" s="727"/>
      <c r="AV435" s="727"/>
      <c r="AW435" s="727"/>
      <c r="AX435" s="727"/>
      <c r="AY435" s="727"/>
      <c r="AZ435" s="727"/>
      <c r="BA435" s="727"/>
      <c r="BB435" s="727"/>
    </row>
    <row r="436" spans="1:54">
      <c r="A436" s="326"/>
      <c r="B436" s="791">
        <v>2.5</v>
      </c>
      <c r="C436" s="792">
        <v>300</v>
      </c>
      <c r="D436" s="779">
        <v>9.894E-2</v>
      </c>
      <c r="E436" s="779">
        <v>2762.2</v>
      </c>
      <c r="F436" s="779">
        <v>3009.6</v>
      </c>
      <c r="G436" s="779">
        <v>6.6459000000000001</v>
      </c>
      <c r="H436" s="727"/>
      <c r="I436" s="727"/>
      <c r="J436" s="727"/>
      <c r="K436" s="727"/>
      <c r="L436" s="727"/>
      <c r="M436" s="727"/>
      <c r="N436" s="727"/>
      <c r="O436" s="727"/>
      <c r="P436" s="727"/>
      <c r="Q436" s="727"/>
      <c r="R436" s="727"/>
      <c r="S436" s="727"/>
      <c r="T436" s="727"/>
      <c r="U436" s="727"/>
      <c r="V436" s="727"/>
      <c r="W436" s="727"/>
      <c r="X436" s="727"/>
      <c r="Y436" s="727"/>
      <c r="Z436" s="727"/>
      <c r="AA436" s="727"/>
      <c r="AB436" s="727"/>
      <c r="AC436" s="727"/>
      <c r="AD436" s="727"/>
      <c r="AE436" s="727"/>
      <c r="AF436" s="727"/>
      <c r="AG436" s="727"/>
      <c r="AH436" s="727"/>
      <c r="AI436" s="727"/>
      <c r="AJ436" s="727"/>
      <c r="AK436" s="727"/>
      <c r="AL436" s="727"/>
      <c r="AM436" s="727"/>
      <c r="AN436" s="727"/>
      <c r="AO436" s="727"/>
      <c r="AP436" s="727"/>
      <c r="AQ436" s="727"/>
      <c r="AR436" s="727"/>
      <c r="AS436" s="727"/>
      <c r="AT436" s="727"/>
      <c r="AU436" s="727"/>
      <c r="AV436" s="727"/>
      <c r="AW436" s="727"/>
      <c r="AX436" s="727"/>
      <c r="AY436" s="727"/>
      <c r="AZ436" s="727"/>
      <c r="BA436" s="727"/>
      <c r="BB436" s="727"/>
    </row>
    <row r="437" spans="1:54">
      <c r="A437" s="326"/>
      <c r="B437" s="791">
        <v>2.5</v>
      </c>
      <c r="C437" s="792">
        <v>350</v>
      </c>
      <c r="D437" s="779">
        <v>0.10979</v>
      </c>
      <c r="E437" s="779">
        <v>2852.5</v>
      </c>
      <c r="F437" s="779">
        <v>3127</v>
      </c>
      <c r="G437" s="779">
        <v>6.8423999999999996</v>
      </c>
      <c r="H437" s="727"/>
      <c r="I437" s="727"/>
      <c r="J437" s="727"/>
      <c r="K437" s="727"/>
      <c r="L437" s="727"/>
      <c r="M437" s="727"/>
      <c r="N437" s="727"/>
      <c r="O437" s="727"/>
      <c r="P437" s="727"/>
      <c r="Q437" s="727"/>
      <c r="R437" s="727"/>
      <c r="S437" s="727"/>
      <c r="T437" s="727"/>
      <c r="U437" s="727"/>
      <c r="V437" s="727"/>
      <c r="W437" s="727"/>
      <c r="X437" s="727"/>
      <c r="Y437" s="727"/>
      <c r="Z437" s="727"/>
      <c r="AA437" s="727"/>
      <c r="AB437" s="727"/>
      <c r="AC437" s="727"/>
      <c r="AD437" s="727"/>
      <c r="AE437" s="727"/>
      <c r="AF437" s="727"/>
      <c r="AG437" s="727"/>
      <c r="AH437" s="727"/>
      <c r="AI437" s="727"/>
      <c r="AJ437" s="727"/>
      <c r="AK437" s="727"/>
      <c r="AL437" s="727"/>
      <c r="AM437" s="727"/>
      <c r="AN437" s="727"/>
      <c r="AO437" s="727"/>
      <c r="AP437" s="727"/>
      <c r="AQ437" s="727"/>
      <c r="AR437" s="727"/>
      <c r="AS437" s="727"/>
      <c r="AT437" s="727"/>
      <c r="AU437" s="727"/>
      <c r="AV437" s="727"/>
      <c r="AW437" s="727"/>
      <c r="AX437" s="727"/>
      <c r="AY437" s="727"/>
      <c r="AZ437" s="727"/>
      <c r="BA437" s="727"/>
      <c r="BB437" s="727"/>
    </row>
    <row r="438" spans="1:54">
      <c r="A438" s="326"/>
      <c r="B438" s="791">
        <v>2.5</v>
      </c>
      <c r="C438" s="792">
        <v>400</v>
      </c>
      <c r="D438" s="779">
        <v>0.12012</v>
      </c>
      <c r="E438" s="779">
        <v>2939.8</v>
      </c>
      <c r="F438" s="779">
        <v>3240.1</v>
      </c>
      <c r="G438" s="779">
        <v>7.0170000000000003</v>
      </c>
      <c r="H438" s="727"/>
      <c r="I438" s="727"/>
      <c r="J438" s="727"/>
      <c r="K438" s="727"/>
      <c r="L438" s="727"/>
      <c r="M438" s="727"/>
      <c r="N438" s="727"/>
      <c r="O438" s="727"/>
      <c r="P438" s="727"/>
      <c r="Q438" s="727"/>
      <c r="R438" s="727"/>
      <c r="S438" s="727"/>
      <c r="T438" s="727"/>
      <c r="U438" s="727"/>
      <c r="V438" s="727"/>
      <c r="W438" s="727"/>
      <c r="X438" s="727"/>
      <c r="Y438" s="727"/>
      <c r="Z438" s="727"/>
      <c r="AA438" s="727"/>
      <c r="AB438" s="727"/>
      <c r="AC438" s="727"/>
      <c r="AD438" s="727"/>
      <c r="AE438" s="727"/>
      <c r="AF438" s="727"/>
      <c r="AG438" s="727"/>
      <c r="AH438" s="727"/>
      <c r="AI438" s="727"/>
      <c r="AJ438" s="727"/>
      <c r="AK438" s="727"/>
      <c r="AL438" s="727"/>
      <c r="AM438" s="727"/>
      <c r="AN438" s="727"/>
      <c r="AO438" s="727"/>
      <c r="AP438" s="727"/>
      <c r="AQ438" s="727"/>
      <c r="AR438" s="727"/>
      <c r="AS438" s="727"/>
      <c r="AT438" s="727"/>
      <c r="AU438" s="727"/>
      <c r="AV438" s="727"/>
      <c r="AW438" s="727"/>
      <c r="AX438" s="727"/>
      <c r="AY438" s="727"/>
      <c r="AZ438" s="727"/>
      <c r="BA438" s="727"/>
      <c r="BB438" s="727"/>
    </row>
    <row r="439" spans="1:54">
      <c r="A439" s="326"/>
      <c r="B439" s="791">
        <v>2.5</v>
      </c>
      <c r="C439" s="792">
        <v>450</v>
      </c>
      <c r="D439" s="779">
        <v>0.13014999999999999</v>
      </c>
      <c r="E439" s="779">
        <v>3026.2</v>
      </c>
      <c r="F439" s="779">
        <v>3351.6</v>
      </c>
      <c r="G439" s="779">
        <v>7.1768000000000001</v>
      </c>
      <c r="H439" s="727"/>
      <c r="I439" s="727"/>
      <c r="J439" s="727"/>
      <c r="K439" s="727"/>
      <c r="L439" s="727"/>
      <c r="M439" s="727"/>
      <c r="N439" s="727"/>
      <c r="O439" s="727"/>
      <c r="P439" s="727"/>
      <c r="Q439" s="727"/>
      <c r="R439" s="727"/>
      <c r="S439" s="727"/>
      <c r="T439" s="727"/>
      <c r="U439" s="727"/>
      <c r="V439" s="727"/>
      <c r="W439" s="727"/>
      <c r="X439" s="727"/>
      <c r="Y439" s="727"/>
      <c r="Z439" s="727"/>
      <c r="AA439" s="727"/>
      <c r="AB439" s="727"/>
      <c r="AC439" s="727"/>
      <c r="AD439" s="727"/>
      <c r="AE439" s="727"/>
      <c r="AF439" s="727"/>
      <c r="AG439" s="727"/>
      <c r="AH439" s="727"/>
      <c r="AI439" s="727"/>
      <c r="AJ439" s="727"/>
      <c r="AK439" s="727"/>
      <c r="AL439" s="727"/>
      <c r="AM439" s="727"/>
      <c r="AN439" s="727"/>
      <c r="AO439" s="727"/>
      <c r="AP439" s="727"/>
      <c r="AQ439" s="727"/>
      <c r="AR439" s="727"/>
      <c r="AS439" s="727"/>
      <c r="AT439" s="727"/>
      <c r="AU439" s="727"/>
      <c r="AV439" s="727"/>
      <c r="AW439" s="727"/>
      <c r="AX439" s="727"/>
      <c r="AY439" s="727"/>
      <c r="AZ439" s="727"/>
      <c r="BA439" s="727"/>
      <c r="BB439" s="727"/>
    </row>
    <row r="440" spans="1:54">
      <c r="A440" s="326"/>
      <c r="B440" s="791">
        <v>2.5</v>
      </c>
      <c r="C440" s="792">
        <v>500</v>
      </c>
      <c r="D440" s="779">
        <v>0.13999</v>
      </c>
      <c r="E440" s="779">
        <v>3112.8</v>
      </c>
      <c r="F440" s="779">
        <v>3462.8</v>
      </c>
      <c r="G440" s="779">
        <v>7.3254000000000001</v>
      </c>
      <c r="H440" s="727"/>
      <c r="I440" s="727"/>
      <c r="J440" s="727"/>
      <c r="K440" s="727"/>
      <c r="L440" s="727"/>
      <c r="M440" s="727"/>
      <c r="N440" s="727"/>
      <c r="O440" s="727"/>
      <c r="P440" s="727"/>
      <c r="Q440" s="727"/>
      <c r="R440" s="727"/>
      <c r="S440" s="727"/>
      <c r="T440" s="727"/>
      <c r="U440" s="727"/>
      <c r="V440" s="727"/>
      <c r="W440" s="727"/>
      <c r="X440" s="727"/>
      <c r="Y440" s="727"/>
      <c r="Z440" s="727"/>
      <c r="AA440" s="727"/>
      <c r="AB440" s="727"/>
      <c r="AC440" s="727"/>
      <c r="AD440" s="727"/>
      <c r="AE440" s="727"/>
      <c r="AF440" s="727"/>
      <c r="AG440" s="727"/>
      <c r="AH440" s="727"/>
      <c r="AI440" s="727"/>
      <c r="AJ440" s="727"/>
      <c r="AK440" s="727"/>
      <c r="AL440" s="727"/>
      <c r="AM440" s="727"/>
      <c r="AN440" s="727"/>
      <c r="AO440" s="727"/>
      <c r="AP440" s="727"/>
      <c r="AQ440" s="727"/>
      <c r="AR440" s="727"/>
      <c r="AS440" s="727"/>
      <c r="AT440" s="727"/>
      <c r="AU440" s="727"/>
      <c r="AV440" s="727"/>
      <c r="AW440" s="727"/>
      <c r="AX440" s="727"/>
      <c r="AY440" s="727"/>
      <c r="AZ440" s="727"/>
      <c r="BA440" s="727"/>
      <c r="BB440" s="727"/>
    </row>
    <row r="441" spans="1:54">
      <c r="A441" s="326"/>
      <c r="B441" s="791">
        <v>2.5</v>
      </c>
      <c r="C441" s="792">
        <v>600</v>
      </c>
      <c r="D441" s="779">
        <v>0.15931000000000001</v>
      </c>
      <c r="E441" s="779">
        <v>3288.5</v>
      </c>
      <c r="F441" s="779">
        <v>3686.8</v>
      </c>
      <c r="G441" s="779">
        <v>7.5979000000000001</v>
      </c>
      <c r="H441" s="727"/>
      <c r="I441" s="727"/>
      <c r="J441" s="727"/>
      <c r="K441" s="727"/>
      <c r="L441" s="727"/>
      <c r="M441" s="727"/>
      <c r="N441" s="727"/>
      <c r="O441" s="727"/>
      <c r="P441" s="727"/>
      <c r="Q441" s="727"/>
      <c r="R441" s="727"/>
      <c r="S441" s="727"/>
      <c r="T441" s="727"/>
      <c r="U441" s="727"/>
      <c r="V441" s="727"/>
      <c r="W441" s="727"/>
      <c r="X441" s="727"/>
      <c r="Y441" s="727"/>
      <c r="Z441" s="727"/>
      <c r="AA441" s="727"/>
      <c r="AB441" s="727"/>
      <c r="AC441" s="727"/>
      <c r="AD441" s="727"/>
      <c r="AE441" s="727"/>
      <c r="AF441" s="727"/>
      <c r="AG441" s="727"/>
      <c r="AH441" s="727"/>
      <c r="AI441" s="727"/>
      <c r="AJ441" s="727"/>
      <c r="AK441" s="727"/>
      <c r="AL441" s="727"/>
      <c r="AM441" s="727"/>
      <c r="AN441" s="727"/>
      <c r="AO441" s="727"/>
      <c r="AP441" s="727"/>
      <c r="AQ441" s="727"/>
      <c r="AR441" s="727"/>
      <c r="AS441" s="727"/>
      <c r="AT441" s="727"/>
      <c r="AU441" s="727"/>
      <c r="AV441" s="727"/>
      <c r="AW441" s="727"/>
      <c r="AX441" s="727"/>
      <c r="AY441" s="727"/>
      <c r="AZ441" s="727"/>
      <c r="BA441" s="727"/>
      <c r="BB441" s="727"/>
    </row>
    <row r="442" spans="1:54">
      <c r="A442" s="326"/>
      <c r="B442" s="791">
        <v>2.5</v>
      </c>
      <c r="C442" s="792">
        <v>700</v>
      </c>
      <c r="D442" s="779">
        <v>0.17835000000000001</v>
      </c>
      <c r="E442" s="779">
        <v>3469.3</v>
      </c>
      <c r="F442" s="779">
        <v>3915.2</v>
      </c>
      <c r="G442" s="779">
        <v>7.8455000000000004</v>
      </c>
      <c r="H442" s="727"/>
      <c r="I442" s="727"/>
      <c r="J442" s="727"/>
      <c r="K442" s="727"/>
      <c r="L442" s="727"/>
      <c r="M442" s="727"/>
      <c r="N442" s="727"/>
      <c r="O442" s="727"/>
      <c r="P442" s="727"/>
      <c r="Q442" s="727"/>
      <c r="R442" s="727"/>
      <c r="S442" s="727"/>
      <c r="T442" s="727"/>
      <c r="U442" s="727"/>
      <c r="V442" s="727"/>
      <c r="W442" s="727"/>
      <c r="X442" s="727"/>
      <c r="Y442" s="727"/>
      <c r="Z442" s="727"/>
      <c r="AA442" s="727"/>
      <c r="AB442" s="727"/>
      <c r="AC442" s="727"/>
      <c r="AD442" s="727"/>
      <c r="AE442" s="727"/>
      <c r="AF442" s="727"/>
      <c r="AG442" s="727"/>
      <c r="AH442" s="727"/>
      <c r="AI442" s="727"/>
      <c r="AJ442" s="727"/>
      <c r="AK442" s="727"/>
      <c r="AL442" s="727"/>
      <c r="AM442" s="727"/>
      <c r="AN442" s="727"/>
      <c r="AO442" s="727"/>
      <c r="AP442" s="727"/>
      <c r="AQ442" s="727"/>
      <c r="AR442" s="727"/>
      <c r="AS442" s="727"/>
      <c r="AT442" s="727"/>
      <c r="AU442" s="727"/>
      <c r="AV442" s="727"/>
      <c r="AW442" s="727"/>
      <c r="AX442" s="727"/>
      <c r="AY442" s="727"/>
      <c r="AZ442" s="727"/>
      <c r="BA442" s="727"/>
      <c r="BB442" s="727"/>
    </row>
    <row r="443" spans="1:54">
      <c r="A443" s="326"/>
      <c r="B443" s="791">
        <v>2.5</v>
      </c>
      <c r="C443" s="792">
        <v>800</v>
      </c>
      <c r="D443" s="779">
        <v>0.19722000000000001</v>
      </c>
      <c r="E443" s="779">
        <v>3656.2</v>
      </c>
      <c r="F443" s="779">
        <v>4149.2</v>
      </c>
      <c r="G443" s="779">
        <v>8.0744000000000007</v>
      </c>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7"/>
      <c r="AF443" s="727"/>
      <c r="AG443" s="727"/>
      <c r="AH443" s="727"/>
      <c r="AI443" s="727"/>
      <c r="AJ443" s="727"/>
      <c r="AK443" s="727"/>
      <c r="AL443" s="727"/>
      <c r="AM443" s="727"/>
      <c r="AN443" s="727"/>
      <c r="AO443" s="727"/>
      <c r="AP443" s="727"/>
      <c r="AQ443" s="727"/>
      <c r="AR443" s="727"/>
      <c r="AS443" s="727"/>
      <c r="AT443" s="727"/>
      <c r="AU443" s="727"/>
      <c r="AV443" s="727"/>
      <c r="AW443" s="727"/>
      <c r="AX443" s="727"/>
      <c r="AY443" s="727"/>
      <c r="AZ443" s="727"/>
      <c r="BA443" s="727"/>
      <c r="BB443" s="727"/>
    </row>
    <row r="444" spans="1:54">
      <c r="A444" s="326"/>
      <c r="B444" s="791">
        <v>2.5</v>
      </c>
      <c r="C444" s="792">
        <v>900</v>
      </c>
      <c r="D444" s="779">
        <v>0.21597</v>
      </c>
      <c r="E444" s="779">
        <v>3849.4</v>
      </c>
      <c r="F444" s="779">
        <v>4389.3</v>
      </c>
      <c r="G444" s="779">
        <v>8.2881999999999998</v>
      </c>
      <c r="H444" s="727"/>
      <c r="I444" s="727"/>
      <c r="J444" s="727"/>
      <c r="K444" s="727"/>
      <c r="L444" s="727"/>
      <c r="M444" s="727"/>
      <c r="N444" s="727"/>
      <c r="O444" s="727"/>
      <c r="P444" s="727"/>
      <c r="Q444" s="727"/>
      <c r="R444" s="727"/>
      <c r="S444" s="727"/>
      <c r="T444" s="727"/>
      <c r="U444" s="727"/>
      <c r="V444" s="727"/>
      <c r="W444" s="727"/>
      <c r="X444" s="727"/>
      <c r="Y444" s="727"/>
      <c r="Z444" s="727"/>
      <c r="AA444" s="727"/>
      <c r="AB444" s="727"/>
      <c r="AC444" s="727"/>
      <c r="AD444" s="727"/>
      <c r="AE444" s="727"/>
      <c r="AF444" s="727"/>
      <c r="AG444" s="727"/>
      <c r="AH444" s="727"/>
      <c r="AI444" s="727"/>
      <c r="AJ444" s="727"/>
      <c r="AK444" s="727"/>
      <c r="AL444" s="727"/>
      <c r="AM444" s="727"/>
      <c r="AN444" s="727"/>
      <c r="AO444" s="727"/>
      <c r="AP444" s="727"/>
      <c r="AQ444" s="727"/>
      <c r="AR444" s="727"/>
      <c r="AS444" s="727"/>
      <c r="AT444" s="727"/>
      <c r="AU444" s="727"/>
      <c r="AV444" s="727"/>
      <c r="AW444" s="727"/>
      <c r="AX444" s="727"/>
      <c r="AY444" s="727"/>
      <c r="AZ444" s="727"/>
      <c r="BA444" s="727"/>
      <c r="BB444" s="727"/>
    </row>
    <row r="445" spans="1:54">
      <c r="A445" s="326"/>
      <c r="B445" s="791">
        <v>2.5</v>
      </c>
      <c r="C445" s="792">
        <v>1000</v>
      </c>
      <c r="D445" s="779">
        <v>0.23466000000000001</v>
      </c>
      <c r="E445" s="779">
        <v>4049</v>
      </c>
      <c r="F445" s="779">
        <v>4635.6000000000004</v>
      </c>
      <c r="G445" s="779">
        <v>8.4896999999999991</v>
      </c>
      <c r="H445" s="727"/>
      <c r="I445" s="727"/>
      <c r="J445" s="727"/>
      <c r="K445" s="727"/>
      <c r="L445" s="727"/>
      <c r="M445" s="727"/>
      <c r="N445" s="727"/>
      <c r="O445" s="727"/>
      <c r="P445" s="727"/>
      <c r="Q445" s="727"/>
      <c r="R445" s="727"/>
      <c r="S445" s="727"/>
      <c r="T445" s="727"/>
      <c r="U445" s="727"/>
      <c r="V445" s="727"/>
      <c r="W445" s="727"/>
      <c r="X445" s="727"/>
      <c r="Y445" s="727"/>
      <c r="Z445" s="727"/>
      <c r="AA445" s="727"/>
      <c r="AB445" s="727"/>
      <c r="AC445" s="727"/>
      <c r="AD445" s="727"/>
      <c r="AE445" s="727"/>
      <c r="AF445" s="727"/>
      <c r="AG445" s="727"/>
      <c r="AH445" s="727"/>
      <c r="AI445" s="727"/>
      <c r="AJ445" s="727"/>
      <c r="AK445" s="727"/>
      <c r="AL445" s="727"/>
      <c r="AM445" s="727"/>
      <c r="AN445" s="727"/>
      <c r="AO445" s="727"/>
      <c r="AP445" s="727"/>
      <c r="AQ445" s="727"/>
      <c r="AR445" s="727"/>
      <c r="AS445" s="727"/>
      <c r="AT445" s="727"/>
      <c r="AU445" s="727"/>
      <c r="AV445" s="727"/>
      <c r="AW445" s="727"/>
      <c r="AX445" s="727"/>
      <c r="AY445" s="727"/>
      <c r="AZ445" s="727"/>
      <c r="BA445" s="727"/>
      <c r="BB445" s="727"/>
    </row>
    <row r="446" spans="1:54">
      <c r="A446" s="326"/>
      <c r="B446" s="791">
        <v>2.5</v>
      </c>
      <c r="C446" s="792">
        <v>1100</v>
      </c>
      <c r="D446" s="779">
        <v>0.25330000000000003</v>
      </c>
      <c r="E446" s="779">
        <v>4254.7</v>
      </c>
      <c r="F446" s="779">
        <v>4887.8999999999996</v>
      </c>
      <c r="G446" s="779">
        <v>8.6804000000000006</v>
      </c>
      <c r="H446" s="727"/>
      <c r="I446" s="727"/>
      <c r="J446" s="727"/>
      <c r="K446" s="727"/>
      <c r="L446" s="727"/>
      <c r="M446" s="727"/>
      <c r="N446" s="727"/>
      <c r="O446" s="727"/>
      <c r="P446" s="727"/>
      <c r="Q446" s="727"/>
      <c r="R446" s="727"/>
      <c r="S446" s="727"/>
      <c r="T446" s="727"/>
      <c r="U446" s="727"/>
      <c r="V446" s="727"/>
      <c r="W446" s="727"/>
      <c r="X446" s="727"/>
      <c r="Y446" s="727"/>
      <c r="Z446" s="727"/>
      <c r="AA446" s="727"/>
      <c r="AB446" s="727"/>
      <c r="AC446" s="727"/>
      <c r="AD446" s="727"/>
      <c r="AE446" s="727"/>
      <c r="AF446" s="727"/>
      <c r="AG446" s="727"/>
      <c r="AH446" s="727"/>
      <c r="AI446" s="727"/>
      <c r="AJ446" s="727"/>
      <c r="AK446" s="727"/>
      <c r="AL446" s="727"/>
      <c r="AM446" s="727"/>
      <c r="AN446" s="727"/>
      <c r="AO446" s="727"/>
      <c r="AP446" s="727"/>
      <c r="AQ446" s="727"/>
      <c r="AR446" s="727"/>
      <c r="AS446" s="727"/>
      <c r="AT446" s="727"/>
      <c r="AU446" s="727"/>
      <c r="AV446" s="727"/>
      <c r="AW446" s="727"/>
      <c r="AX446" s="727"/>
      <c r="AY446" s="727"/>
      <c r="AZ446" s="727"/>
      <c r="BA446" s="727"/>
      <c r="BB446" s="727"/>
    </row>
    <row r="447" spans="1:54">
      <c r="A447" s="326"/>
      <c r="B447" s="791">
        <v>2.5</v>
      </c>
      <c r="C447" s="792">
        <v>1200</v>
      </c>
      <c r="D447" s="779">
        <v>0.27189999999999998</v>
      </c>
      <c r="E447" s="779">
        <v>4466.3</v>
      </c>
      <c r="F447" s="779">
        <v>5146</v>
      </c>
      <c r="G447" s="779">
        <v>8.8618000000000006</v>
      </c>
      <c r="H447" s="727"/>
      <c r="I447" s="727"/>
      <c r="J447" s="727"/>
      <c r="K447" s="727"/>
      <c r="L447" s="727"/>
      <c r="M447" s="727"/>
      <c r="N447" s="727"/>
      <c r="O447" s="727"/>
      <c r="P447" s="727"/>
      <c r="Q447" s="727"/>
      <c r="R447" s="727"/>
      <c r="S447" s="727"/>
      <c r="T447" s="727"/>
      <c r="U447" s="727"/>
      <c r="V447" s="727"/>
      <c r="W447" s="727"/>
      <c r="X447" s="727"/>
      <c r="Y447" s="727"/>
      <c r="Z447" s="727"/>
      <c r="AA447" s="727"/>
      <c r="AB447" s="727"/>
      <c r="AC447" s="727"/>
      <c r="AD447" s="727"/>
      <c r="AE447" s="727"/>
      <c r="AF447" s="727"/>
      <c r="AG447" s="727"/>
      <c r="AH447" s="727"/>
      <c r="AI447" s="727"/>
      <c r="AJ447" s="727"/>
      <c r="AK447" s="727"/>
      <c r="AL447" s="727"/>
      <c r="AM447" s="727"/>
      <c r="AN447" s="727"/>
      <c r="AO447" s="727"/>
      <c r="AP447" s="727"/>
      <c r="AQ447" s="727"/>
      <c r="AR447" s="727"/>
      <c r="AS447" s="727"/>
      <c r="AT447" s="727"/>
      <c r="AU447" s="727"/>
      <c r="AV447" s="727"/>
      <c r="AW447" s="727"/>
      <c r="AX447" s="727"/>
      <c r="AY447" s="727"/>
      <c r="AZ447" s="727"/>
      <c r="BA447" s="727"/>
      <c r="BB447" s="727"/>
    </row>
    <row r="448" spans="1:54">
      <c r="A448" s="326"/>
      <c r="B448" s="791">
        <v>2.5</v>
      </c>
      <c r="C448" s="792">
        <v>1300</v>
      </c>
      <c r="D448" s="779">
        <v>0.29048000000000002</v>
      </c>
      <c r="E448" s="779">
        <v>4683.3999999999996</v>
      </c>
      <c r="F448" s="779">
        <v>5409.5</v>
      </c>
      <c r="G448" s="779">
        <v>9.0349000000000004</v>
      </c>
      <c r="H448" s="727"/>
      <c r="I448" s="727"/>
      <c r="J448" s="727"/>
      <c r="K448" s="727"/>
      <c r="L448" s="727"/>
      <c r="M448" s="727"/>
      <c r="N448" s="727"/>
      <c r="O448" s="727"/>
      <c r="P448" s="727"/>
      <c r="Q448" s="727"/>
      <c r="R448" s="727"/>
      <c r="S448" s="727"/>
      <c r="T448" s="727"/>
      <c r="U448" s="727"/>
      <c r="V448" s="727"/>
      <c r="W448" s="727"/>
      <c r="X448" s="727"/>
      <c r="Y448" s="727"/>
      <c r="Z448" s="727"/>
      <c r="AA448" s="727"/>
      <c r="AB448" s="727"/>
      <c r="AC448" s="727"/>
      <c r="AD448" s="727"/>
      <c r="AE448" s="727"/>
      <c r="AF448" s="727"/>
      <c r="AG448" s="727"/>
      <c r="AH448" s="727"/>
      <c r="AI448" s="727"/>
      <c r="AJ448" s="727"/>
      <c r="AK448" s="727"/>
      <c r="AL448" s="727"/>
      <c r="AM448" s="727"/>
      <c r="AN448" s="727"/>
      <c r="AO448" s="727"/>
      <c r="AP448" s="727"/>
      <c r="AQ448" s="727"/>
      <c r="AR448" s="727"/>
      <c r="AS448" s="727"/>
      <c r="AT448" s="727"/>
      <c r="AU448" s="727"/>
      <c r="AV448" s="727"/>
      <c r="AW448" s="727"/>
      <c r="AX448" s="727"/>
      <c r="AY448" s="727"/>
      <c r="AZ448" s="727"/>
      <c r="BA448" s="727"/>
      <c r="BB448" s="727"/>
    </row>
    <row r="449" spans="1:54">
      <c r="A449" s="326"/>
      <c r="B449" s="791">
        <v>3</v>
      </c>
      <c r="C449" s="792">
        <v>233.85</v>
      </c>
      <c r="D449" s="779">
        <v>6.6669999999999993E-2</v>
      </c>
      <c r="E449" s="779">
        <v>2603.1999999999998</v>
      </c>
      <c r="F449" s="779">
        <v>2803.2</v>
      </c>
      <c r="G449" s="779">
        <v>6.1856</v>
      </c>
      <c r="H449" s="727"/>
      <c r="I449" s="727"/>
      <c r="J449" s="727"/>
      <c r="K449" s="727"/>
      <c r="L449" s="727"/>
      <c r="M449" s="727"/>
      <c r="N449" s="727"/>
      <c r="O449" s="727"/>
      <c r="P449" s="727"/>
      <c r="Q449" s="727"/>
      <c r="R449" s="727"/>
      <c r="S449" s="727"/>
      <c r="T449" s="727"/>
      <c r="U449" s="727"/>
      <c r="V449" s="727"/>
      <c r="W449" s="727"/>
      <c r="X449" s="727"/>
      <c r="Y449" s="727"/>
      <c r="Z449" s="727"/>
      <c r="AA449" s="727"/>
      <c r="AB449" s="727"/>
      <c r="AC449" s="727"/>
      <c r="AD449" s="727"/>
      <c r="AE449" s="727"/>
      <c r="AF449" s="727"/>
      <c r="AG449" s="727"/>
      <c r="AH449" s="727"/>
      <c r="AI449" s="727"/>
      <c r="AJ449" s="727"/>
      <c r="AK449" s="727"/>
      <c r="AL449" s="727"/>
      <c r="AM449" s="727"/>
      <c r="AN449" s="727"/>
      <c r="AO449" s="727"/>
      <c r="AP449" s="727"/>
      <c r="AQ449" s="727"/>
      <c r="AR449" s="727"/>
      <c r="AS449" s="727"/>
      <c r="AT449" s="727"/>
      <c r="AU449" s="727"/>
      <c r="AV449" s="727"/>
      <c r="AW449" s="727"/>
      <c r="AX449" s="727"/>
      <c r="AY449" s="727"/>
      <c r="AZ449" s="727"/>
      <c r="BA449" s="727"/>
      <c r="BB449" s="727"/>
    </row>
    <row r="450" spans="1:54">
      <c r="A450" s="326"/>
      <c r="B450" s="791">
        <v>3</v>
      </c>
      <c r="C450" s="792">
        <v>250</v>
      </c>
      <c r="D450" s="779">
        <v>7.0629999999999998E-2</v>
      </c>
      <c r="E450" s="779">
        <v>2644.7</v>
      </c>
      <c r="F450" s="779">
        <v>2856.5</v>
      </c>
      <c r="G450" s="779">
        <v>6.2892999999999999</v>
      </c>
      <c r="H450" s="727"/>
      <c r="I450" s="727"/>
      <c r="J450" s="727"/>
      <c r="K450" s="727"/>
      <c r="L450" s="727"/>
      <c r="M450" s="727"/>
      <c r="N450" s="727"/>
      <c r="O450" s="727"/>
      <c r="P450" s="727"/>
      <c r="Q450" s="727"/>
      <c r="R450" s="727"/>
      <c r="S450" s="727"/>
      <c r="T450" s="727"/>
      <c r="U450" s="727"/>
      <c r="V450" s="727"/>
      <c r="W450" s="727"/>
      <c r="X450" s="727"/>
      <c r="Y450" s="727"/>
      <c r="Z450" s="727"/>
      <c r="AA450" s="727"/>
      <c r="AB450" s="727"/>
      <c r="AC450" s="727"/>
      <c r="AD450" s="727"/>
      <c r="AE450" s="727"/>
      <c r="AF450" s="727"/>
      <c r="AG450" s="727"/>
      <c r="AH450" s="727"/>
      <c r="AI450" s="727"/>
      <c r="AJ450" s="727"/>
      <c r="AK450" s="727"/>
      <c r="AL450" s="727"/>
      <c r="AM450" s="727"/>
      <c r="AN450" s="727"/>
      <c r="AO450" s="727"/>
      <c r="AP450" s="727"/>
      <c r="AQ450" s="727"/>
      <c r="AR450" s="727"/>
      <c r="AS450" s="727"/>
      <c r="AT450" s="727"/>
      <c r="AU450" s="727"/>
      <c r="AV450" s="727"/>
      <c r="AW450" s="727"/>
      <c r="AX450" s="727"/>
      <c r="AY450" s="727"/>
      <c r="AZ450" s="727"/>
      <c r="BA450" s="727"/>
      <c r="BB450" s="727"/>
    </row>
    <row r="451" spans="1:54">
      <c r="A451" s="326"/>
      <c r="B451" s="791">
        <v>3</v>
      </c>
      <c r="C451" s="792">
        <v>300</v>
      </c>
      <c r="D451" s="779">
        <v>8.1180000000000002E-2</v>
      </c>
      <c r="E451" s="779">
        <v>2750.8</v>
      </c>
      <c r="F451" s="779">
        <v>2994.3</v>
      </c>
      <c r="G451" s="779">
        <v>6.5411999999999999</v>
      </c>
      <c r="H451" s="727"/>
      <c r="I451" s="727"/>
      <c r="J451" s="727"/>
      <c r="K451" s="727"/>
      <c r="L451" s="727"/>
      <c r="M451" s="727"/>
      <c r="N451" s="727"/>
      <c r="O451" s="727"/>
      <c r="P451" s="727"/>
      <c r="Q451" s="727"/>
      <c r="R451" s="727"/>
      <c r="S451" s="727"/>
      <c r="T451" s="727"/>
      <c r="U451" s="727"/>
      <c r="V451" s="727"/>
      <c r="W451" s="727"/>
      <c r="X451" s="727"/>
      <c r="Y451" s="727"/>
      <c r="Z451" s="727"/>
      <c r="AA451" s="727"/>
      <c r="AB451" s="727"/>
      <c r="AC451" s="727"/>
      <c r="AD451" s="727"/>
      <c r="AE451" s="727"/>
      <c r="AF451" s="727"/>
      <c r="AG451" s="727"/>
      <c r="AH451" s="727"/>
      <c r="AI451" s="727"/>
      <c r="AJ451" s="727"/>
      <c r="AK451" s="727"/>
      <c r="AL451" s="727"/>
      <c r="AM451" s="727"/>
      <c r="AN451" s="727"/>
      <c r="AO451" s="727"/>
      <c r="AP451" s="727"/>
      <c r="AQ451" s="727"/>
      <c r="AR451" s="727"/>
      <c r="AS451" s="727"/>
      <c r="AT451" s="727"/>
      <c r="AU451" s="727"/>
      <c r="AV451" s="727"/>
      <c r="AW451" s="727"/>
      <c r="AX451" s="727"/>
      <c r="AY451" s="727"/>
      <c r="AZ451" s="727"/>
      <c r="BA451" s="727"/>
      <c r="BB451" s="727"/>
    </row>
    <row r="452" spans="1:54">
      <c r="A452" s="326"/>
      <c r="B452" s="791">
        <v>3</v>
      </c>
      <c r="C452" s="792">
        <v>350</v>
      </c>
      <c r="D452" s="779">
        <v>9.0560000000000002E-2</v>
      </c>
      <c r="E452" s="779">
        <v>2844.4</v>
      </c>
      <c r="F452" s="779">
        <v>3116.1</v>
      </c>
      <c r="G452" s="779">
        <v>6.7450000000000001</v>
      </c>
      <c r="H452" s="727"/>
      <c r="I452" s="727"/>
      <c r="J452" s="727"/>
      <c r="K452" s="727"/>
      <c r="L452" s="727"/>
      <c r="M452" s="727"/>
      <c r="N452" s="727"/>
      <c r="O452" s="727"/>
      <c r="P452" s="727"/>
      <c r="Q452" s="727"/>
      <c r="R452" s="727"/>
      <c r="S452" s="727"/>
      <c r="T452" s="727"/>
      <c r="U452" s="727"/>
      <c r="V452" s="727"/>
      <c r="W452" s="727"/>
      <c r="X452" s="727"/>
      <c r="Y452" s="727"/>
      <c r="Z452" s="727"/>
      <c r="AA452" s="727"/>
      <c r="AB452" s="727"/>
      <c r="AC452" s="727"/>
      <c r="AD452" s="727"/>
      <c r="AE452" s="727"/>
      <c r="AF452" s="727"/>
      <c r="AG452" s="727"/>
      <c r="AH452" s="727"/>
      <c r="AI452" s="727"/>
      <c r="AJ452" s="727"/>
      <c r="AK452" s="727"/>
      <c r="AL452" s="727"/>
      <c r="AM452" s="727"/>
      <c r="AN452" s="727"/>
      <c r="AO452" s="727"/>
      <c r="AP452" s="727"/>
      <c r="AQ452" s="727"/>
      <c r="AR452" s="727"/>
      <c r="AS452" s="727"/>
      <c r="AT452" s="727"/>
      <c r="AU452" s="727"/>
      <c r="AV452" s="727"/>
      <c r="AW452" s="727"/>
      <c r="AX452" s="727"/>
      <c r="AY452" s="727"/>
      <c r="AZ452" s="727"/>
      <c r="BA452" s="727"/>
      <c r="BB452" s="727"/>
    </row>
    <row r="453" spans="1:54">
      <c r="A453" s="326"/>
      <c r="B453" s="791">
        <v>3</v>
      </c>
      <c r="C453" s="792">
        <v>400</v>
      </c>
      <c r="D453" s="779">
        <v>9.9379999999999996E-2</v>
      </c>
      <c r="E453" s="779">
        <v>2933.6</v>
      </c>
      <c r="F453" s="779">
        <v>3231.7</v>
      </c>
      <c r="G453" s="779">
        <v>6.9234999999999998</v>
      </c>
      <c r="H453" s="727"/>
      <c r="I453" s="727"/>
      <c r="J453" s="727"/>
      <c r="K453" s="727"/>
      <c r="L453" s="727"/>
      <c r="M453" s="727"/>
      <c r="N453" s="727"/>
      <c r="O453" s="727"/>
      <c r="P453" s="727"/>
      <c r="Q453" s="727"/>
      <c r="R453" s="727"/>
      <c r="S453" s="727"/>
      <c r="T453" s="727"/>
      <c r="U453" s="727"/>
      <c r="V453" s="727"/>
      <c r="W453" s="727"/>
      <c r="X453" s="727"/>
      <c r="Y453" s="727"/>
      <c r="Z453" s="727"/>
      <c r="AA453" s="727"/>
      <c r="AB453" s="727"/>
      <c r="AC453" s="727"/>
      <c r="AD453" s="727"/>
      <c r="AE453" s="727"/>
      <c r="AF453" s="727"/>
      <c r="AG453" s="727"/>
      <c r="AH453" s="727"/>
      <c r="AI453" s="727"/>
      <c r="AJ453" s="727"/>
      <c r="AK453" s="727"/>
      <c r="AL453" s="727"/>
      <c r="AM453" s="727"/>
      <c r="AN453" s="727"/>
      <c r="AO453" s="727"/>
      <c r="AP453" s="727"/>
      <c r="AQ453" s="727"/>
      <c r="AR453" s="727"/>
      <c r="AS453" s="727"/>
      <c r="AT453" s="727"/>
      <c r="AU453" s="727"/>
      <c r="AV453" s="727"/>
      <c r="AW453" s="727"/>
      <c r="AX453" s="727"/>
      <c r="AY453" s="727"/>
      <c r="AZ453" s="727"/>
      <c r="BA453" s="727"/>
      <c r="BB453" s="727"/>
    </row>
    <row r="454" spans="1:54">
      <c r="A454" s="326"/>
      <c r="B454" s="791">
        <v>3</v>
      </c>
      <c r="C454" s="792">
        <v>450</v>
      </c>
      <c r="D454" s="779">
        <v>0.10789</v>
      </c>
      <c r="E454" s="779">
        <v>3021.2</v>
      </c>
      <c r="F454" s="779">
        <v>3344.9</v>
      </c>
      <c r="G454" s="779">
        <v>7.0856000000000003</v>
      </c>
      <c r="H454" s="727"/>
      <c r="I454" s="727"/>
      <c r="J454" s="727"/>
      <c r="K454" s="727"/>
      <c r="L454" s="727"/>
      <c r="M454" s="727"/>
      <c r="N454" s="727"/>
      <c r="O454" s="727"/>
      <c r="P454" s="727"/>
      <c r="Q454" s="727"/>
      <c r="R454" s="727"/>
      <c r="S454" s="727"/>
      <c r="T454" s="727"/>
      <c r="U454" s="727"/>
      <c r="V454" s="727"/>
      <c r="W454" s="727"/>
      <c r="X454" s="727"/>
      <c r="Y454" s="727"/>
      <c r="Z454" s="727"/>
      <c r="AA454" s="727"/>
      <c r="AB454" s="727"/>
      <c r="AC454" s="727"/>
      <c r="AD454" s="727"/>
      <c r="AE454" s="727"/>
      <c r="AF454" s="727"/>
      <c r="AG454" s="727"/>
      <c r="AH454" s="727"/>
      <c r="AI454" s="727"/>
      <c r="AJ454" s="727"/>
      <c r="AK454" s="727"/>
      <c r="AL454" s="727"/>
      <c r="AM454" s="727"/>
      <c r="AN454" s="727"/>
      <c r="AO454" s="727"/>
      <c r="AP454" s="727"/>
      <c r="AQ454" s="727"/>
      <c r="AR454" s="727"/>
      <c r="AS454" s="727"/>
      <c r="AT454" s="727"/>
      <c r="AU454" s="727"/>
      <c r="AV454" s="727"/>
      <c r="AW454" s="727"/>
      <c r="AX454" s="727"/>
      <c r="AY454" s="727"/>
      <c r="AZ454" s="727"/>
      <c r="BA454" s="727"/>
      <c r="BB454" s="727"/>
    </row>
    <row r="455" spans="1:54">
      <c r="A455" s="326"/>
      <c r="B455" s="791">
        <v>3</v>
      </c>
      <c r="C455" s="792">
        <v>500</v>
      </c>
      <c r="D455" s="779">
        <v>0.1162</v>
      </c>
      <c r="E455" s="779">
        <v>3108.6</v>
      </c>
      <c r="F455" s="779">
        <v>3457.2</v>
      </c>
      <c r="G455" s="779">
        <v>7.2359</v>
      </c>
      <c r="H455" s="727"/>
      <c r="I455" s="727"/>
      <c r="J455" s="727"/>
      <c r="K455" s="727"/>
      <c r="L455" s="727"/>
      <c r="M455" s="727"/>
      <c r="N455" s="727"/>
      <c r="O455" s="727"/>
      <c r="P455" s="727"/>
      <c r="Q455" s="727"/>
      <c r="R455" s="727"/>
      <c r="S455" s="727"/>
      <c r="T455" s="727"/>
      <c r="U455" s="727"/>
      <c r="V455" s="727"/>
      <c r="W455" s="727"/>
      <c r="X455" s="727"/>
      <c r="Y455" s="727"/>
      <c r="Z455" s="727"/>
      <c r="AA455" s="727"/>
      <c r="AB455" s="727"/>
      <c r="AC455" s="727"/>
      <c r="AD455" s="727"/>
      <c r="AE455" s="727"/>
      <c r="AF455" s="727"/>
      <c r="AG455" s="727"/>
      <c r="AH455" s="727"/>
      <c r="AI455" s="727"/>
      <c r="AJ455" s="727"/>
      <c r="AK455" s="727"/>
      <c r="AL455" s="727"/>
      <c r="AM455" s="727"/>
      <c r="AN455" s="727"/>
      <c r="AO455" s="727"/>
      <c r="AP455" s="727"/>
      <c r="AQ455" s="727"/>
      <c r="AR455" s="727"/>
      <c r="AS455" s="727"/>
      <c r="AT455" s="727"/>
      <c r="AU455" s="727"/>
      <c r="AV455" s="727"/>
      <c r="AW455" s="727"/>
      <c r="AX455" s="727"/>
      <c r="AY455" s="727"/>
      <c r="AZ455" s="727"/>
      <c r="BA455" s="727"/>
      <c r="BB455" s="727"/>
    </row>
    <row r="456" spans="1:54">
      <c r="A456" s="326"/>
      <c r="B456" s="791">
        <v>3</v>
      </c>
      <c r="C456" s="792">
        <v>600</v>
      </c>
      <c r="D456" s="779">
        <v>0.13245000000000001</v>
      </c>
      <c r="E456" s="779">
        <v>3285.5</v>
      </c>
      <c r="F456" s="779">
        <v>3682.8</v>
      </c>
      <c r="G456" s="779">
        <v>7.5103</v>
      </c>
      <c r="H456" s="727"/>
      <c r="I456" s="727"/>
      <c r="J456" s="727"/>
      <c r="K456" s="727"/>
      <c r="L456" s="727"/>
      <c r="M456" s="727"/>
      <c r="N456" s="727"/>
      <c r="O456" s="727"/>
      <c r="P456" s="727"/>
      <c r="Q456" s="727"/>
      <c r="R456" s="727"/>
      <c r="S456" s="727"/>
      <c r="T456" s="727"/>
      <c r="U456" s="727"/>
      <c r="V456" s="727"/>
      <c r="W456" s="727"/>
      <c r="X456" s="727"/>
      <c r="Y456" s="727"/>
      <c r="Z456" s="727"/>
      <c r="AA456" s="727"/>
      <c r="AB456" s="727"/>
      <c r="AC456" s="727"/>
      <c r="AD456" s="727"/>
      <c r="AE456" s="727"/>
      <c r="AF456" s="727"/>
      <c r="AG456" s="727"/>
      <c r="AH456" s="727"/>
      <c r="AI456" s="727"/>
      <c r="AJ456" s="727"/>
      <c r="AK456" s="727"/>
      <c r="AL456" s="727"/>
      <c r="AM456" s="727"/>
      <c r="AN456" s="727"/>
      <c r="AO456" s="727"/>
      <c r="AP456" s="727"/>
      <c r="AQ456" s="727"/>
      <c r="AR456" s="727"/>
      <c r="AS456" s="727"/>
      <c r="AT456" s="727"/>
      <c r="AU456" s="727"/>
      <c r="AV456" s="727"/>
      <c r="AW456" s="727"/>
      <c r="AX456" s="727"/>
      <c r="AY456" s="727"/>
      <c r="AZ456" s="727"/>
      <c r="BA456" s="727"/>
      <c r="BB456" s="727"/>
    </row>
    <row r="457" spans="1:54">
      <c r="A457" s="326"/>
      <c r="B457" s="791">
        <v>3</v>
      </c>
      <c r="C457" s="792">
        <v>700</v>
      </c>
      <c r="D457" s="779">
        <v>0.14840999999999999</v>
      </c>
      <c r="E457" s="779">
        <v>3467</v>
      </c>
      <c r="F457" s="779">
        <v>3912.2</v>
      </c>
      <c r="G457" s="779">
        <v>7.7590000000000003</v>
      </c>
      <c r="H457" s="727"/>
      <c r="I457" s="727"/>
      <c r="J457" s="727"/>
      <c r="K457" s="727"/>
      <c r="L457" s="727"/>
      <c r="M457" s="727"/>
      <c r="N457" s="727"/>
      <c r="O457" s="727"/>
      <c r="P457" s="727"/>
      <c r="Q457" s="727"/>
      <c r="R457" s="727"/>
      <c r="S457" s="727"/>
      <c r="T457" s="727"/>
      <c r="U457" s="727"/>
      <c r="V457" s="727"/>
      <c r="W457" s="727"/>
      <c r="X457" s="727"/>
      <c r="Y457" s="727"/>
      <c r="Z457" s="727"/>
      <c r="AA457" s="727"/>
      <c r="AB457" s="727"/>
      <c r="AC457" s="727"/>
      <c r="AD457" s="727"/>
      <c r="AE457" s="727"/>
      <c r="AF457" s="727"/>
      <c r="AG457" s="727"/>
      <c r="AH457" s="727"/>
      <c r="AI457" s="727"/>
      <c r="AJ457" s="727"/>
      <c r="AK457" s="727"/>
      <c r="AL457" s="727"/>
      <c r="AM457" s="727"/>
      <c r="AN457" s="727"/>
      <c r="AO457" s="727"/>
      <c r="AP457" s="727"/>
      <c r="AQ457" s="727"/>
      <c r="AR457" s="727"/>
      <c r="AS457" s="727"/>
      <c r="AT457" s="727"/>
      <c r="AU457" s="727"/>
      <c r="AV457" s="727"/>
      <c r="AW457" s="727"/>
      <c r="AX457" s="727"/>
      <c r="AY457" s="727"/>
      <c r="AZ457" s="727"/>
      <c r="BA457" s="727"/>
      <c r="BB457" s="727"/>
    </row>
    <row r="458" spans="1:54">
      <c r="A458" s="326"/>
      <c r="B458" s="791">
        <v>3</v>
      </c>
      <c r="C458" s="792">
        <v>800</v>
      </c>
      <c r="D458" s="779">
        <v>0.16420000000000001</v>
      </c>
      <c r="E458" s="779">
        <v>3654.3</v>
      </c>
      <c r="F458" s="779">
        <v>4146.8999999999996</v>
      </c>
      <c r="G458" s="779">
        <v>7.9885000000000002</v>
      </c>
      <c r="H458" s="727"/>
      <c r="I458" s="727"/>
      <c r="J458" s="727"/>
      <c r="K458" s="727"/>
      <c r="L458" s="727"/>
      <c r="M458" s="727"/>
      <c r="N458" s="727"/>
      <c r="O458" s="727"/>
      <c r="P458" s="727"/>
      <c r="Q458" s="727"/>
      <c r="R458" s="727"/>
      <c r="S458" s="727"/>
      <c r="T458" s="727"/>
      <c r="U458" s="727"/>
      <c r="V458" s="727"/>
      <c r="W458" s="727"/>
      <c r="X458" s="727"/>
      <c r="Y458" s="727"/>
      <c r="Z458" s="727"/>
      <c r="AA458" s="727"/>
      <c r="AB458" s="727"/>
      <c r="AC458" s="727"/>
      <c r="AD458" s="727"/>
      <c r="AE458" s="727"/>
      <c r="AF458" s="727"/>
      <c r="AG458" s="727"/>
      <c r="AH458" s="727"/>
      <c r="AI458" s="727"/>
      <c r="AJ458" s="727"/>
      <c r="AK458" s="727"/>
      <c r="AL458" s="727"/>
      <c r="AM458" s="727"/>
      <c r="AN458" s="727"/>
      <c r="AO458" s="727"/>
      <c r="AP458" s="727"/>
      <c r="AQ458" s="727"/>
      <c r="AR458" s="727"/>
      <c r="AS458" s="727"/>
      <c r="AT458" s="727"/>
      <c r="AU458" s="727"/>
      <c r="AV458" s="727"/>
      <c r="AW458" s="727"/>
      <c r="AX458" s="727"/>
      <c r="AY458" s="727"/>
      <c r="AZ458" s="727"/>
      <c r="BA458" s="727"/>
      <c r="BB458" s="727"/>
    </row>
    <row r="459" spans="1:54">
      <c r="A459" s="326"/>
      <c r="B459" s="791">
        <v>3</v>
      </c>
      <c r="C459" s="792">
        <v>900</v>
      </c>
      <c r="D459" s="779">
        <v>0.17988000000000001</v>
      </c>
      <c r="E459" s="779">
        <v>3847.9</v>
      </c>
      <c r="F459" s="779">
        <v>4387.5</v>
      </c>
      <c r="G459" s="779">
        <v>8.2027999999999999</v>
      </c>
      <c r="H459" s="727"/>
      <c r="I459" s="727"/>
      <c r="J459" s="727"/>
      <c r="K459" s="727"/>
      <c r="L459" s="727"/>
      <c r="M459" s="727"/>
      <c r="N459" s="727"/>
      <c r="O459" s="727"/>
      <c r="P459" s="727"/>
      <c r="Q459" s="727"/>
      <c r="R459" s="727"/>
      <c r="S459" s="727"/>
      <c r="T459" s="727"/>
      <c r="U459" s="727"/>
      <c r="V459" s="727"/>
      <c r="W459" s="727"/>
      <c r="X459" s="727"/>
      <c r="Y459" s="727"/>
      <c r="Z459" s="727"/>
      <c r="AA459" s="727"/>
      <c r="AB459" s="727"/>
      <c r="AC459" s="727"/>
      <c r="AD459" s="727"/>
      <c r="AE459" s="727"/>
      <c r="AF459" s="727"/>
      <c r="AG459" s="727"/>
      <c r="AH459" s="727"/>
      <c r="AI459" s="727"/>
      <c r="AJ459" s="727"/>
      <c r="AK459" s="727"/>
      <c r="AL459" s="727"/>
      <c r="AM459" s="727"/>
      <c r="AN459" s="727"/>
      <c r="AO459" s="727"/>
      <c r="AP459" s="727"/>
      <c r="AQ459" s="727"/>
      <c r="AR459" s="727"/>
      <c r="AS459" s="727"/>
      <c r="AT459" s="727"/>
      <c r="AU459" s="727"/>
      <c r="AV459" s="727"/>
      <c r="AW459" s="727"/>
      <c r="AX459" s="727"/>
      <c r="AY459" s="727"/>
      <c r="AZ459" s="727"/>
      <c r="BA459" s="727"/>
      <c r="BB459" s="727"/>
    </row>
    <row r="460" spans="1:54">
      <c r="A460" s="326"/>
      <c r="B460" s="791">
        <v>3</v>
      </c>
      <c r="C460" s="792">
        <v>1000</v>
      </c>
      <c r="D460" s="779">
        <v>0.19549</v>
      </c>
      <c r="E460" s="779">
        <v>4047.7</v>
      </c>
      <c r="F460" s="779">
        <v>4634.2</v>
      </c>
      <c r="G460" s="779">
        <v>8.4045000000000005</v>
      </c>
      <c r="H460" s="727"/>
      <c r="I460" s="727"/>
      <c r="J460" s="727"/>
      <c r="K460" s="727"/>
      <c r="L460" s="727"/>
      <c r="M460" s="727"/>
      <c r="N460" s="727"/>
      <c r="O460" s="727"/>
      <c r="P460" s="727"/>
      <c r="Q460" s="727"/>
      <c r="R460" s="727"/>
      <c r="S460" s="727"/>
      <c r="T460" s="727"/>
      <c r="U460" s="727"/>
      <c r="V460" s="727"/>
      <c r="W460" s="727"/>
      <c r="X460" s="727"/>
      <c r="Y460" s="727"/>
      <c r="Z460" s="727"/>
      <c r="AA460" s="727"/>
      <c r="AB460" s="727"/>
      <c r="AC460" s="727"/>
      <c r="AD460" s="727"/>
      <c r="AE460" s="727"/>
      <c r="AF460" s="727"/>
      <c r="AG460" s="727"/>
      <c r="AH460" s="727"/>
      <c r="AI460" s="727"/>
      <c r="AJ460" s="727"/>
      <c r="AK460" s="727"/>
      <c r="AL460" s="727"/>
      <c r="AM460" s="727"/>
      <c r="AN460" s="727"/>
      <c r="AO460" s="727"/>
      <c r="AP460" s="727"/>
      <c r="AQ460" s="727"/>
      <c r="AR460" s="727"/>
      <c r="AS460" s="727"/>
      <c r="AT460" s="727"/>
      <c r="AU460" s="727"/>
      <c r="AV460" s="727"/>
      <c r="AW460" s="727"/>
      <c r="AX460" s="727"/>
      <c r="AY460" s="727"/>
      <c r="AZ460" s="727"/>
      <c r="BA460" s="727"/>
      <c r="BB460" s="727"/>
    </row>
    <row r="461" spans="1:54">
      <c r="A461" s="326"/>
      <c r="B461" s="791">
        <v>3</v>
      </c>
      <c r="C461" s="792">
        <v>1100</v>
      </c>
      <c r="D461" s="779">
        <v>0.21104999999999999</v>
      </c>
      <c r="E461" s="779">
        <v>4253.6000000000004</v>
      </c>
      <c r="F461" s="779">
        <v>4886.7</v>
      </c>
      <c r="G461" s="779">
        <v>8.5954999999999995</v>
      </c>
      <c r="H461" s="727"/>
      <c r="I461" s="727"/>
      <c r="J461" s="727"/>
      <c r="K461" s="727"/>
      <c r="L461" s="727"/>
      <c r="M461" s="727"/>
      <c r="N461" s="727"/>
      <c r="O461" s="727"/>
      <c r="P461" s="727"/>
      <c r="Q461" s="727"/>
      <c r="R461" s="727"/>
      <c r="S461" s="727"/>
      <c r="T461" s="727"/>
      <c r="U461" s="727"/>
      <c r="V461" s="727"/>
      <c r="W461" s="727"/>
      <c r="X461" s="727"/>
      <c r="Y461" s="727"/>
      <c r="Z461" s="727"/>
      <c r="AA461" s="727"/>
      <c r="AB461" s="727"/>
      <c r="AC461" s="727"/>
      <c r="AD461" s="727"/>
      <c r="AE461" s="727"/>
      <c r="AF461" s="727"/>
      <c r="AG461" s="727"/>
      <c r="AH461" s="727"/>
      <c r="AI461" s="727"/>
      <c r="AJ461" s="727"/>
      <c r="AK461" s="727"/>
      <c r="AL461" s="727"/>
      <c r="AM461" s="727"/>
      <c r="AN461" s="727"/>
      <c r="AO461" s="727"/>
      <c r="AP461" s="727"/>
      <c r="AQ461" s="727"/>
      <c r="AR461" s="727"/>
      <c r="AS461" s="727"/>
      <c r="AT461" s="727"/>
      <c r="AU461" s="727"/>
      <c r="AV461" s="727"/>
      <c r="AW461" s="727"/>
      <c r="AX461" s="727"/>
      <c r="AY461" s="727"/>
      <c r="AZ461" s="727"/>
      <c r="BA461" s="727"/>
      <c r="BB461" s="727"/>
    </row>
    <row r="462" spans="1:54">
      <c r="A462" s="326"/>
      <c r="B462" s="791">
        <v>3</v>
      </c>
      <c r="C462" s="792">
        <v>1200</v>
      </c>
      <c r="D462" s="779">
        <v>0.22658</v>
      </c>
      <c r="E462" s="779">
        <v>4465.3</v>
      </c>
      <c r="F462" s="779">
        <v>5145.1000000000004</v>
      </c>
      <c r="G462" s="779">
        <v>8.7771000000000008</v>
      </c>
      <c r="H462" s="727"/>
      <c r="I462" s="727"/>
      <c r="J462" s="727"/>
      <c r="K462" s="727"/>
      <c r="L462" s="727"/>
      <c r="M462" s="727"/>
      <c r="N462" s="727"/>
      <c r="O462" s="727"/>
      <c r="P462" s="727"/>
      <c r="Q462" s="727"/>
      <c r="R462" s="727"/>
      <c r="S462" s="727"/>
      <c r="T462" s="727"/>
      <c r="U462" s="727"/>
      <c r="V462" s="727"/>
      <c r="W462" s="727"/>
      <c r="X462" s="727"/>
      <c r="Y462" s="727"/>
      <c r="Z462" s="727"/>
      <c r="AA462" s="727"/>
      <c r="AB462" s="727"/>
      <c r="AC462" s="727"/>
      <c r="AD462" s="727"/>
      <c r="AE462" s="727"/>
      <c r="AF462" s="727"/>
      <c r="AG462" s="727"/>
      <c r="AH462" s="727"/>
      <c r="AI462" s="727"/>
      <c r="AJ462" s="727"/>
      <c r="AK462" s="727"/>
      <c r="AL462" s="727"/>
      <c r="AM462" s="727"/>
      <c r="AN462" s="727"/>
      <c r="AO462" s="727"/>
      <c r="AP462" s="727"/>
      <c r="AQ462" s="727"/>
      <c r="AR462" s="727"/>
      <c r="AS462" s="727"/>
      <c r="AT462" s="727"/>
      <c r="AU462" s="727"/>
      <c r="AV462" s="727"/>
      <c r="AW462" s="727"/>
      <c r="AX462" s="727"/>
      <c r="AY462" s="727"/>
      <c r="AZ462" s="727"/>
      <c r="BA462" s="727"/>
      <c r="BB462" s="727"/>
    </row>
    <row r="463" spans="1:54">
      <c r="A463" s="326"/>
      <c r="B463" s="791">
        <v>3</v>
      </c>
      <c r="C463" s="792">
        <v>1300</v>
      </c>
      <c r="D463" s="779">
        <v>0.24207000000000001</v>
      </c>
      <c r="E463" s="779">
        <v>4682.6000000000004</v>
      </c>
      <c r="F463" s="779">
        <v>5408.8</v>
      </c>
      <c r="G463" s="779">
        <v>8.9502000000000006</v>
      </c>
      <c r="H463" s="727"/>
      <c r="I463" s="727"/>
      <c r="J463" s="727"/>
      <c r="K463" s="727"/>
      <c r="L463" s="727"/>
      <c r="M463" s="727"/>
      <c r="N463" s="727"/>
      <c r="O463" s="727"/>
      <c r="P463" s="727"/>
      <c r="Q463" s="727"/>
      <c r="R463" s="727"/>
      <c r="S463" s="727"/>
      <c r="T463" s="727"/>
      <c r="U463" s="727"/>
      <c r="V463" s="727"/>
      <c r="W463" s="727"/>
      <c r="X463" s="727"/>
      <c r="Y463" s="727"/>
      <c r="Z463" s="727"/>
      <c r="AA463" s="727"/>
      <c r="AB463" s="727"/>
      <c r="AC463" s="727"/>
      <c r="AD463" s="727"/>
      <c r="AE463" s="727"/>
      <c r="AF463" s="727"/>
      <c r="AG463" s="727"/>
      <c r="AH463" s="727"/>
      <c r="AI463" s="727"/>
      <c r="AJ463" s="727"/>
      <c r="AK463" s="727"/>
      <c r="AL463" s="727"/>
      <c r="AM463" s="727"/>
      <c r="AN463" s="727"/>
      <c r="AO463" s="727"/>
      <c r="AP463" s="727"/>
      <c r="AQ463" s="727"/>
      <c r="AR463" s="727"/>
      <c r="AS463" s="727"/>
      <c r="AT463" s="727"/>
      <c r="AU463" s="727"/>
      <c r="AV463" s="727"/>
      <c r="AW463" s="727"/>
      <c r="AX463" s="727"/>
      <c r="AY463" s="727"/>
      <c r="AZ463" s="727"/>
      <c r="BA463" s="727"/>
      <c r="BB463" s="727"/>
    </row>
    <row r="464" spans="1:54">
      <c r="A464" s="326"/>
      <c r="B464" s="791">
        <v>3.5</v>
      </c>
      <c r="C464" s="792">
        <v>242.56</v>
      </c>
      <c r="D464" s="779">
        <v>5.706E-2</v>
      </c>
      <c r="E464" s="779">
        <v>2603</v>
      </c>
      <c r="F464" s="779">
        <v>2802.7</v>
      </c>
      <c r="G464" s="779">
        <v>6.1243999999999996</v>
      </c>
      <c r="H464" s="727"/>
      <c r="I464" s="727"/>
      <c r="J464" s="727"/>
      <c r="K464" s="727"/>
      <c r="L464" s="727"/>
      <c r="M464" s="727"/>
      <c r="N464" s="727"/>
      <c r="O464" s="727"/>
      <c r="P464" s="727"/>
      <c r="Q464" s="727"/>
      <c r="R464" s="727"/>
      <c r="S464" s="727"/>
      <c r="T464" s="727"/>
      <c r="U464" s="727"/>
      <c r="V464" s="727"/>
      <c r="W464" s="727"/>
      <c r="X464" s="727"/>
      <c r="Y464" s="727"/>
      <c r="Z464" s="727"/>
      <c r="AA464" s="727"/>
      <c r="AB464" s="727"/>
      <c r="AC464" s="727"/>
      <c r="AD464" s="727"/>
      <c r="AE464" s="727"/>
      <c r="AF464" s="727"/>
      <c r="AG464" s="727"/>
      <c r="AH464" s="727"/>
      <c r="AI464" s="727"/>
      <c r="AJ464" s="727"/>
      <c r="AK464" s="727"/>
      <c r="AL464" s="727"/>
      <c r="AM464" s="727"/>
      <c r="AN464" s="727"/>
      <c r="AO464" s="727"/>
      <c r="AP464" s="727"/>
      <c r="AQ464" s="727"/>
      <c r="AR464" s="727"/>
      <c r="AS464" s="727"/>
      <c r="AT464" s="727"/>
      <c r="AU464" s="727"/>
      <c r="AV464" s="727"/>
      <c r="AW464" s="727"/>
      <c r="AX464" s="727"/>
      <c r="AY464" s="727"/>
      <c r="AZ464" s="727"/>
      <c r="BA464" s="727"/>
      <c r="BB464" s="727"/>
    </row>
    <row r="465" spans="1:54">
      <c r="A465" s="326"/>
      <c r="B465" s="791">
        <v>3.5</v>
      </c>
      <c r="C465" s="792">
        <v>250</v>
      </c>
      <c r="D465" s="779">
        <v>5.876E-2</v>
      </c>
      <c r="E465" s="779">
        <v>2624</v>
      </c>
      <c r="F465" s="779">
        <v>2829.7</v>
      </c>
      <c r="G465" s="779">
        <v>6.1764000000000001</v>
      </c>
      <c r="H465" s="727"/>
      <c r="I465" s="727"/>
      <c r="J465" s="727"/>
      <c r="K465" s="727"/>
      <c r="L465" s="727"/>
      <c r="M465" s="727"/>
      <c r="N465" s="727"/>
      <c r="O465" s="727"/>
      <c r="P465" s="727"/>
      <c r="Q465" s="727"/>
      <c r="R465" s="727"/>
      <c r="S465" s="727"/>
      <c r="T465" s="727"/>
      <c r="U465" s="727"/>
      <c r="V465" s="727"/>
      <c r="W465" s="727"/>
      <c r="X465" s="727"/>
      <c r="Y465" s="727"/>
      <c r="Z465" s="727"/>
      <c r="AA465" s="727"/>
      <c r="AB465" s="727"/>
      <c r="AC465" s="727"/>
      <c r="AD465" s="727"/>
      <c r="AE465" s="727"/>
      <c r="AF465" s="727"/>
      <c r="AG465" s="727"/>
      <c r="AH465" s="727"/>
      <c r="AI465" s="727"/>
      <c r="AJ465" s="727"/>
      <c r="AK465" s="727"/>
      <c r="AL465" s="727"/>
      <c r="AM465" s="727"/>
      <c r="AN465" s="727"/>
      <c r="AO465" s="727"/>
      <c r="AP465" s="727"/>
      <c r="AQ465" s="727"/>
      <c r="AR465" s="727"/>
      <c r="AS465" s="727"/>
      <c r="AT465" s="727"/>
      <c r="AU465" s="727"/>
      <c r="AV465" s="727"/>
      <c r="AW465" s="727"/>
      <c r="AX465" s="727"/>
      <c r="AY465" s="727"/>
      <c r="AZ465" s="727"/>
      <c r="BA465" s="727"/>
      <c r="BB465" s="727"/>
    </row>
    <row r="466" spans="1:54">
      <c r="A466" s="326"/>
      <c r="B466" s="791">
        <v>3.5</v>
      </c>
      <c r="C466" s="792">
        <v>300</v>
      </c>
      <c r="D466" s="779">
        <v>6.8449999999999997E-2</v>
      </c>
      <c r="E466" s="779">
        <v>2738.8</v>
      </c>
      <c r="F466" s="779">
        <v>2978.4</v>
      </c>
      <c r="G466" s="779">
        <v>6.4484000000000004</v>
      </c>
      <c r="H466" s="727"/>
      <c r="I466" s="727"/>
      <c r="J466" s="727"/>
      <c r="K466" s="727"/>
      <c r="L466" s="727"/>
      <c r="M466" s="727"/>
      <c r="N466" s="727"/>
      <c r="O466" s="727"/>
      <c r="P466" s="727"/>
      <c r="Q466" s="727"/>
      <c r="R466" s="727"/>
      <c r="S466" s="727"/>
      <c r="T466" s="727"/>
      <c r="U466" s="727"/>
      <c r="V466" s="727"/>
      <c r="W466" s="727"/>
      <c r="X466" s="727"/>
      <c r="Y466" s="727"/>
      <c r="Z466" s="727"/>
      <c r="AA466" s="727"/>
      <c r="AB466" s="727"/>
      <c r="AC466" s="727"/>
      <c r="AD466" s="727"/>
      <c r="AE466" s="727"/>
      <c r="AF466" s="727"/>
      <c r="AG466" s="727"/>
      <c r="AH466" s="727"/>
      <c r="AI466" s="727"/>
      <c r="AJ466" s="727"/>
      <c r="AK466" s="727"/>
      <c r="AL466" s="727"/>
      <c r="AM466" s="727"/>
      <c r="AN466" s="727"/>
      <c r="AO466" s="727"/>
      <c r="AP466" s="727"/>
      <c r="AQ466" s="727"/>
      <c r="AR466" s="727"/>
      <c r="AS466" s="727"/>
      <c r="AT466" s="727"/>
      <c r="AU466" s="727"/>
      <c r="AV466" s="727"/>
      <c r="AW466" s="727"/>
      <c r="AX466" s="727"/>
      <c r="AY466" s="727"/>
      <c r="AZ466" s="727"/>
      <c r="BA466" s="727"/>
      <c r="BB466" s="727"/>
    </row>
    <row r="467" spans="1:54">
      <c r="A467" s="326"/>
      <c r="B467" s="791">
        <v>3.5</v>
      </c>
      <c r="C467" s="792">
        <v>350</v>
      </c>
      <c r="D467" s="779">
        <v>7.6799999999999993E-2</v>
      </c>
      <c r="E467" s="779">
        <v>2836</v>
      </c>
      <c r="F467" s="779">
        <v>3104.9</v>
      </c>
      <c r="G467" s="779">
        <v>6.6600999999999999</v>
      </c>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27"/>
      <c r="AM467" s="727"/>
      <c r="AN467" s="727"/>
      <c r="AO467" s="727"/>
      <c r="AP467" s="727"/>
      <c r="AQ467" s="727"/>
      <c r="AR467" s="727"/>
      <c r="AS467" s="727"/>
      <c r="AT467" s="727"/>
      <c r="AU467" s="727"/>
      <c r="AV467" s="727"/>
      <c r="AW467" s="727"/>
      <c r="AX467" s="727"/>
      <c r="AY467" s="727"/>
      <c r="AZ467" s="727"/>
      <c r="BA467" s="727"/>
      <c r="BB467" s="727"/>
    </row>
    <row r="468" spans="1:54">
      <c r="A468" s="326"/>
      <c r="B468" s="791">
        <v>3.5</v>
      </c>
      <c r="C468" s="792">
        <v>400</v>
      </c>
      <c r="D468" s="779">
        <v>8.4559999999999996E-2</v>
      </c>
      <c r="E468" s="779">
        <v>2927.2</v>
      </c>
      <c r="F468" s="779">
        <v>3223.2</v>
      </c>
      <c r="G468" s="779">
        <v>6.8428000000000004</v>
      </c>
      <c r="H468" s="727"/>
      <c r="I468" s="727"/>
      <c r="J468" s="727"/>
      <c r="K468" s="727"/>
      <c r="L468" s="727"/>
      <c r="M468" s="727"/>
      <c r="N468" s="727"/>
      <c r="O468" s="727"/>
      <c r="P468" s="727"/>
      <c r="Q468" s="727"/>
      <c r="R468" s="727"/>
      <c r="S468" s="727"/>
      <c r="T468" s="727"/>
      <c r="U468" s="727"/>
      <c r="V468" s="727"/>
      <c r="W468" s="727"/>
      <c r="X468" s="727"/>
      <c r="Y468" s="727"/>
      <c r="Z468" s="727"/>
      <c r="AA468" s="727"/>
      <c r="AB468" s="727"/>
      <c r="AC468" s="727"/>
      <c r="AD468" s="727"/>
      <c r="AE468" s="727"/>
      <c r="AF468" s="727"/>
      <c r="AG468" s="727"/>
      <c r="AH468" s="727"/>
      <c r="AI468" s="727"/>
      <c r="AJ468" s="727"/>
      <c r="AK468" s="727"/>
      <c r="AL468" s="727"/>
      <c r="AM468" s="727"/>
      <c r="AN468" s="727"/>
      <c r="AO468" s="727"/>
      <c r="AP468" s="727"/>
      <c r="AQ468" s="727"/>
      <c r="AR468" s="727"/>
      <c r="AS468" s="727"/>
      <c r="AT468" s="727"/>
      <c r="AU468" s="727"/>
      <c r="AV468" s="727"/>
      <c r="AW468" s="727"/>
      <c r="AX468" s="727"/>
      <c r="AY468" s="727"/>
      <c r="AZ468" s="727"/>
      <c r="BA468" s="727"/>
      <c r="BB468" s="727"/>
    </row>
    <row r="469" spans="1:54">
      <c r="A469" s="326"/>
      <c r="B469" s="791">
        <v>3.5</v>
      </c>
      <c r="C469" s="792">
        <v>450</v>
      </c>
      <c r="D469" s="779">
        <v>9.1980000000000006E-2</v>
      </c>
      <c r="E469" s="779">
        <v>3016.1</v>
      </c>
      <c r="F469" s="779">
        <v>3338.1</v>
      </c>
      <c r="G469" s="779">
        <v>7.0073999999999996</v>
      </c>
      <c r="H469" s="727"/>
      <c r="I469" s="727"/>
      <c r="J469" s="727"/>
      <c r="K469" s="727"/>
      <c r="L469" s="727"/>
      <c r="M469" s="727"/>
      <c r="N469" s="727"/>
      <c r="O469" s="727"/>
      <c r="P469" s="727"/>
      <c r="Q469" s="727"/>
      <c r="R469" s="727"/>
      <c r="S469" s="727"/>
      <c r="T469" s="727"/>
      <c r="U469" s="727"/>
      <c r="V469" s="727"/>
      <c r="W469" s="727"/>
      <c r="X469" s="727"/>
      <c r="Y469" s="727"/>
      <c r="Z469" s="727"/>
      <c r="AA469" s="727"/>
      <c r="AB469" s="727"/>
      <c r="AC469" s="727"/>
      <c r="AD469" s="727"/>
      <c r="AE469" s="727"/>
      <c r="AF469" s="727"/>
      <c r="AG469" s="727"/>
      <c r="AH469" s="727"/>
      <c r="AI469" s="727"/>
      <c r="AJ469" s="727"/>
      <c r="AK469" s="727"/>
      <c r="AL469" s="727"/>
      <c r="AM469" s="727"/>
      <c r="AN469" s="727"/>
      <c r="AO469" s="727"/>
      <c r="AP469" s="727"/>
      <c r="AQ469" s="727"/>
      <c r="AR469" s="727"/>
      <c r="AS469" s="727"/>
      <c r="AT469" s="727"/>
      <c r="AU469" s="727"/>
      <c r="AV469" s="727"/>
      <c r="AW469" s="727"/>
      <c r="AX469" s="727"/>
      <c r="AY469" s="727"/>
      <c r="AZ469" s="727"/>
      <c r="BA469" s="727"/>
      <c r="BB469" s="727"/>
    </row>
    <row r="470" spans="1:54">
      <c r="A470" s="326"/>
      <c r="B470" s="791">
        <v>3.5</v>
      </c>
      <c r="C470" s="792">
        <v>500</v>
      </c>
      <c r="D470" s="779">
        <v>9.919E-2</v>
      </c>
      <c r="E470" s="779">
        <v>3104.5</v>
      </c>
      <c r="F470" s="779">
        <v>3451.7</v>
      </c>
      <c r="G470" s="779">
        <v>7.1593</v>
      </c>
      <c r="H470" s="727"/>
      <c r="I470" s="727"/>
      <c r="J470" s="727"/>
      <c r="K470" s="727"/>
      <c r="L470" s="727"/>
      <c r="M470" s="727"/>
      <c r="N470" s="727"/>
      <c r="O470" s="727"/>
      <c r="P470" s="727"/>
      <c r="Q470" s="727"/>
      <c r="R470" s="727"/>
      <c r="S470" s="727"/>
      <c r="T470" s="727"/>
      <c r="U470" s="727"/>
      <c r="V470" s="727"/>
      <c r="W470" s="727"/>
      <c r="X470" s="727"/>
      <c r="Y470" s="727"/>
      <c r="Z470" s="727"/>
      <c r="AA470" s="727"/>
      <c r="AB470" s="727"/>
      <c r="AC470" s="727"/>
      <c r="AD470" s="727"/>
      <c r="AE470" s="727"/>
      <c r="AF470" s="727"/>
      <c r="AG470" s="727"/>
      <c r="AH470" s="727"/>
      <c r="AI470" s="727"/>
      <c r="AJ470" s="727"/>
      <c r="AK470" s="727"/>
      <c r="AL470" s="727"/>
      <c r="AM470" s="727"/>
      <c r="AN470" s="727"/>
      <c r="AO470" s="727"/>
      <c r="AP470" s="727"/>
      <c r="AQ470" s="727"/>
      <c r="AR470" s="727"/>
      <c r="AS470" s="727"/>
      <c r="AT470" s="727"/>
      <c r="AU470" s="727"/>
      <c r="AV470" s="727"/>
      <c r="AW470" s="727"/>
      <c r="AX470" s="727"/>
      <c r="AY470" s="727"/>
      <c r="AZ470" s="727"/>
      <c r="BA470" s="727"/>
      <c r="BB470" s="727"/>
    </row>
    <row r="471" spans="1:54">
      <c r="A471" s="326"/>
      <c r="B471" s="791">
        <v>3.5</v>
      </c>
      <c r="C471" s="792">
        <v>600</v>
      </c>
      <c r="D471" s="779">
        <v>0.11325</v>
      </c>
      <c r="E471" s="779">
        <v>3282.5</v>
      </c>
      <c r="F471" s="779">
        <v>3678.9</v>
      </c>
      <c r="G471" s="779">
        <v>7.4356999999999998</v>
      </c>
      <c r="H471" s="727"/>
      <c r="I471" s="727"/>
      <c r="J471" s="727"/>
      <c r="K471" s="727"/>
      <c r="L471" s="727"/>
      <c r="M471" s="727"/>
      <c r="N471" s="727"/>
      <c r="O471" s="727"/>
      <c r="P471" s="727"/>
      <c r="Q471" s="727"/>
      <c r="R471" s="727"/>
      <c r="S471" s="727"/>
      <c r="T471" s="727"/>
      <c r="U471" s="727"/>
      <c r="V471" s="727"/>
      <c r="W471" s="727"/>
      <c r="X471" s="727"/>
      <c r="Y471" s="727"/>
      <c r="Z471" s="727"/>
      <c r="AA471" s="727"/>
      <c r="AB471" s="727"/>
      <c r="AC471" s="727"/>
      <c r="AD471" s="727"/>
      <c r="AE471" s="727"/>
      <c r="AF471" s="727"/>
      <c r="AG471" s="727"/>
      <c r="AH471" s="727"/>
      <c r="AI471" s="727"/>
      <c r="AJ471" s="727"/>
      <c r="AK471" s="727"/>
      <c r="AL471" s="727"/>
      <c r="AM471" s="727"/>
      <c r="AN471" s="727"/>
      <c r="AO471" s="727"/>
      <c r="AP471" s="727"/>
      <c r="AQ471" s="727"/>
      <c r="AR471" s="727"/>
      <c r="AS471" s="727"/>
      <c r="AT471" s="727"/>
      <c r="AU471" s="727"/>
      <c r="AV471" s="727"/>
      <c r="AW471" s="727"/>
      <c r="AX471" s="727"/>
      <c r="AY471" s="727"/>
      <c r="AZ471" s="727"/>
      <c r="BA471" s="727"/>
      <c r="BB471" s="727"/>
    </row>
    <row r="472" spans="1:54">
      <c r="A472" s="326"/>
      <c r="B472" s="791">
        <v>3.5</v>
      </c>
      <c r="C472" s="792">
        <v>700</v>
      </c>
      <c r="D472" s="779">
        <v>0.12701999999999999</v>
      </c>
      <c r="E472" s="779">
        <v>3464.7</v>
      </c>
      <c r="F472" s="779">
        <v>3909.3</v>
      </c>
      <c r="G472" s="779">
        <v>7.6855000000000002</v>
      </c>
      <c r="H472" s="727"/>
      <c r="I472" s="727"/>
      <c r="J472" s="727"/>
      <c r="K472" s="727"/>
      <c r="L472" s="727"/>
      <c r="M472" s="727"/>
      <c r="N472" s="727"/>
      <c r="O472" s="727"/>
      <c r="P472" s="727"/>
      <c r="Q472" s="727"/>
      <c r="R472" s="727"/>
      <c r="S472" s="727"/>
      <c r="T472" s="727"/>
      <c r="U472" s="727"/>
      <c r="V472" s="727"/>
      <c r="W472" s="727"/>
      <c r="X472" s="727"/>
      <c r="Y472" s="727"/>
      <c r="Z472" s="727"/>
      <c r="AA472" s="727"/>
      <c r="AB472" s="727"/>
      <c r="AC472" s="727"/>
      <c r="AD472" s="727"/>
      <c r="AE472" s="727"/>
      <c r="AF472" s="727"/>
      <c r="AG472" s="727"/>
      <c r="AH472" s="727"/>
      <c r="AI472" s="727"/>
      <c r="AJ472" s="727"/>
      <c r="AK472" s="727"/>
      <c r="AL472" s="727"/>
      <c r="AM472" s="727"/>
      <c r="AN472" s="727"/>
      <c r="AO472" s="727"/>
      <c r="AP472" s="727"/>
      <c r="AQ472" s="727"/>
      <c r="AR472" s="727"/>
      <c r="AS472" s="727"/>
      <c r="AT472" s="727"/>
      <c r="AU472" s="727"/>
      <c r="AV472" s="727"/>
      <c r="AW472" s="727"/>
      <c r="AX472" s="727"/>
      <c r="AY472" s="727"/>
      <c r="AZ472" s="727"/>
      <c r="BA472" s="727"/>
      <c r="BB472" s="727"/>
    </row>
    <row r="473" spans="1:54">
      <c r="A473" s="326"/>
      <c r="B473" s="791">
        <v>3.5</v>
      </c>
      <c r="C473" s="792">
        <v>800</v>
      </c>
      <c r="D473" s="779">
        <v>0.14061000000000001</v>
      </c>
      <c r="E473" s="779">
        <v>3652.5</v>
      </c>
      <c r="F473" s="779">
        <v>4144.6000000000004</v>
      </c>
      <c r="G473" s="779">
        <v>7.9156000000000004</v>
      </c>
      <c r="H473" s="727"/>
      <c r="I473" s="727"/>
      <c r="J473" s="727"/>
      <c r="K473" s="727"/>
      <c r="L473" s="727"/>
      <c r="M473" s="727"/>
      <c r="N473" s="727"/>
      <c r="O473" s="727"/>
      <c r="P473" s="727"/>
      <c r="Q473" s="727"/>
      <c r="R473" s="727"/>
      <c r="S473" s="727"/>
      <c r="T473" s="727"/>
      <c r="U473" s="727"/>
      <c r="V473" s="727"/>
      <c r="W473" s="727"/>
      <c r="X473" s="727"/>
      <c r="Y473" s="727"/>
      <c r="Z473" s="727"/>
      <c r="AA473" s="727"/>
      <c r="AB473" s="727"/>
      <c r="AC473" s="727"/>
      <c r="AD473" s="727"/>
      <c r="AE473" s="727"/>
      <c r="AF473" s="727"/>
      <c r="AG473" s="727"/>
      <c r="AH473" s="727"/>
      <c r="AI473" s="727"/>
      <c r="AJ473" s="727"/>
      <c r="AK473" s="727"/>
      <c r="AL473" s="727"/>
      <c r="AM473" s="727"/>
      <c r="AN473" s="727"/>
      <c r="AO473" s="727"/>
      <c r="AP473" s="727"/>
      <c r="AQ473" s="727"/>
      <c r="AR473" s="727"/>
      <c r="AS473" s="727"/>
      <c r="AT473" s="727"/>
      <c r="AU473" s="727"/>
      <c r="AV473" s="727"/>
      <c r="AW473" s="727"/>
      <c r="AX473" s="727"/>
      <c r="AY473" s="727"/>
      <c r="AZ473" s="727"/>
      <c r="BA473" s="727"/>
      <c r="BB473" s="727"/>
    </row>
    <row r="474" spans="1:54">
      <c r="A474" s="326"/>
      <c r="B474" s="791">
        <v>3.5</v>
      </c>
      <c r="C474" s="792">
        <v>900</v>
      </c>
      <c r="D474" s="779">
        <v>0.15409999999999999</v>
      </c>
      <c r="E474" s="779">
        <v>3846.4</v>
      </c>
      <c r="F474" s="779">
        <v>4385.7</v>
      </c>
      <c r="G474" s="779">
        <v>8.1303999999999998</v>
      </c>
      <c r="H474" s="727"/>
      <c r="I474" s="727"/>
      <c r="J474" s="727"/>
      <c r="K474" s="727"/>
      <c r="L474" s="727"/>
      <c r="M474" s="727"/>
      <c r="N474" s="727"/>
      <c r="O474" s="727"/>
      <c r="P474" s="727"/>
      <c r="Q474" s="727"/>
      <c r="R474" s="727"/>
      <c r="S474" s="727"/>
      <c r="T474" s="727"/>
      <c r="U474" s="727"/>
      <c r="V474" s="727"/>
      <c r="W474" s="727"/>
      <c r="X474" s="727"/>
      <c r="Y474" s="727"/>
      <c r="Z474" s="727"/>
      <c r="AA474" s="727"/>
      <c r="AB474" s="727"/>
      <c r="AC474" s="727"/>
      <c r="AD474" s="727"/>
      <c r="AE474" s="727"/>
      <c r="AF474" s="727"/>
      <c r="AG474" s="727"/>
      <c r="AH474" s="727"/>
      <c r="AI474" s="727"/>
      <c r="AJ474" s="727"/>
      <c r="AK474" s="727"/>
      <c r="AL474" s="727"/>
      <c r="AM474" s="727"/>
      <c r="AN474" s="727"/>
      <c r="AO474" s="727"/>
      <c r="AP474" s="727"/>
      <c r="AQ474" s="727"/>
      <c r="AR474" s="727"/>
      <c r="AS474" s="727"/>
      <c r="AT474" s="727"/>
      <c r="AU474" s="727"/>
      <c r="AV474" s="727"/>
      <c r="AW474" s="727"/>
      <c r="AX474" s="727"/>
      <c r="AY474" s="727"/>
      <c r="AZ474" s="727"/>
      <c r="BA474" s="727"/>
      <c r="BB474" s="727"/>
    </row>
    <row r="475" spans="1:54">
      <c r="A475" s="326"/>
      <c r="B475" s="791">
        <v>3.5</v>
      </c>
      <c r="C475" s="792">
        <v>1000</v>
      </c>
      <c r="D475" s="779">
        <v>0.16750999999999999</v>
      </c>
      <c r="E475" s="779">
        <v>4046.4</v>
      </c>
      <c r="F475" s="779">
        <v>4632.7</v>
      </c>
      <c r="G475" s="779">
        <v>8.3323999999999998</v>
      </c>
      <c r="H475" s="727"/>
      <c r="I475" s="727"/>
      <c r="J475" s="727"/>
      <c r="K475" s="727"/>
      <c r="L475" s="727"/>
      <c r="M475" s="727"/>
      <c r="N475" s="727"/>
      <c r="O475" s="727"/>
      <c r="P475" s="727"/>
      <c r="Q475" s="727"/>
      <c r="R475" s="727"/>
      <c r="S475" s="727"/>
      <c r="T475" s="727"/>
      <c r="U475" s="727"/>
      <c r="V475" s="727"/>
      <c r="W475" s="727"/>
      <c r="X475" s="727"/>
      <c r="Y475" s="727"/>
      <c r="Z475" s="727"/>
      <c r="AA475" s="727"/>
      <c r="AB475" s="727"/>
      <c r="AC475" s="727"/>
      <c r="AD475" s="727"/>
      <c r="AE475" s="727"/>
      <c r="AF475" s="727"/>
      <c r="AG475" s="727"/>
      <c r="AH475" s="727"/>
      <c r="AI475" s="727"/>
      <c r="AJ475" s="727"/>
      <c r="AK475" s="727"/>
      <c r="AL475" s="727"/>
      <c r="AM475" s="727"/>
      <c r="AN475" s="727"/>
      <c r="AO475" s="727"/>
      <c r="AP475" s="727"/>
      <c r="AQ475" s="727"/>
      <c r="AR475" s="727"/>
      <c r="AS475" s="727"/>
      <c r="AT475" s="727"/>
      <c r="AU475" s="727"/>
      <c r="AV475" s="727"/>
      <c r="AW475" s="727"/>
      <c r="AX475" s="727"/>
      <c r="AY475" s="727"/>
      <c r="AZ475" s="727"/>
      <c r="BA475" s="727"/>
      <c r="BB475" s="727"/>
    </row>
    <row r="476" spans="1:54">
      <c r="A476" s="326"/>
      <c r="B476" s="791">
        <v>3.5</v>
      </c>
      <c r="C476" s="792">
        <v>1100</v>
      </c>
      <c r="D476" s="779">
        <v>0.18087</v>
      </c>
      <c r="E476" s="779">
        <v>4252.5</v>
      </c>
      <c r="F476" s="779">
        <v>4885.6000000000004</v>
      </c>
      <c r="G476" s="779">
        <v>8.5236000000000001</v>
      </c>
      <c r="H476" s="727"/>
      <c r="I476" s="727"/>
      <c r="J476" s="727"/>
      <c r="K476" s="727"/>
      <c r="L476" s="727"/>
      <c r="M476" s="727"/>
      <c r="N476" s="727"/>
      <c r="O476" s="727"/>
      <c r="P476" s="727"/>
      <c r="Q476" s="727"/>
      <c r="R476" s="727"/>
      <c r="S476" s="727"/>
      <c r="T476" s="727"/>
      <c r="U476" s="727"/>
      <c r="V476" s="727"/>
      <c r="W476" s="727"/>
      <c r="X476" s="727"/>
      <c r="Y476" s="727"/>
      <c r="Z476" s="727"/>
      <c r="AA476" s="727"/>
      <c r="AB476" s="727"/>
      <c r="AC476" s="727"/>
      <c r="AD476" s="727"/>
      <c r="AE476" s="727"/>
      <c r="AF476" s="727"/>
      <c r="AG476" s="727"/>
      <c r="AH476" s="727"/>
      <c r="AI476" s="727"/>
      <c r="AJ476" s="727"/>
      <c r="AK476" s="727"/>
      <c r="AL476" s="727"/>
      <c r="AM476" s="727"/>
      <c r="AN476" s="727"/>
      <c r="AO476" s="727"/>
      <c r="AP476" s="727"/>
      <c r="AQ476" s="727"/>
      <c r="AR476" s="727"/>
      <c r="AS476" s="727"/>
      <c r="AT476" s="727"/>
      <c r="AU476" s="727"/>
      <c r="AV476" s="727"/>
      <c r="AW476" s="727"/>
      <c r="AX476" s="727"/>
      <c r="AY476" s="727"/>
      <c r="AZ476" s="727"/>
      <c r="BA476" s="727"/>
      <c r="BB476" s="727"/>
    </row>
    <row r="477" spans="1:54">
      <c r="A477" s="326"/>
      <c r="B477" s="791">
        <v>3.5</v>
      </c>
      <c r="C477" s="792">
        <v>1200</v>
      </c>
      <c r="D477" s="779">
        <v>0.19420000000000001</v>
      </c>
      <c r="E477" s="779">
        <v>4464.3999999999996</v>
      </c>
      <c r="F477" s="779">
        <v>5144.1000000000004</v>
      </c>
      <c r="G477" s="779">
        <v>8.7052999999999994</v>
      </c>
      <c r="H477" s="727"/>
      <c r="I477" s="727"/>
      <c r="J477" s="727"/>
      <c r="K477" s="727"/>
      <c r="L477" s="727"/>
      <c r="M477" s="727"/>
      <c r="N477" s="727"/>
      <c r="O477" s="727"/>
      <c r="P477" s="727"/>
      <c r="Q477" s="727"/>
      <c r="R477" s="727"/>
      <c r="S477" s="727"/>
      <c r="T477" s="727"/>
      <c r="U477" s="727"/>
      <c r="V477" s="727"/>
      <c r="W477" s="727"/>
      <c r="X477" s="727"/>
      <c r="Y477" s="727"/>
      <c r="Z477" s="727"/>
      <c r="AA477" s="727"/>
      <c r="AB477" s="727"/>
      <c r="AC477" s="727"/>
      <c r="AD477" s="727"/>
      <c r="AE477" s="727"/>
      <c r="AF477" s="727"/>
      <c r="AG477" s="727"/>
      <c r="AH477" s="727"/>
      <c r="AI477" s="727"/>
      <c r="AJ477" s="727"/>
      <c r="AK477" s="727"/>
      <c r="AL477" s="727"/>
      <c r="AM477" s="727"/>
      <c r="AN477" s="727"/>
      <c r="AO477" s="727"/>
      <c r="AP477" s="727"/>
      <c r="AQ477" s="727"/>
      <c r="AR477" s="727"/>
      <c r="AS477" s="727"/>
      <c r="AT477" s="727"/>
      <c r="AU477" s="727"/>
      <c r="AV477" s="727"/>
      <c r="AW477" s="727"/>
      <c r="AX477" s="727"/>
      <c r="AY477" s="727"/>
      <c r="AZ477" s="727"/>
      <c r="BA477" s="727"/>
      <c r="BB477" s="727"/>
    </row>
    <row r="478" spans="1:54">
      <c r="A478" s="326"/>
      <c r="B478" s="791">
        <v>3.5</v>
      </c>
      <c r="C478" s="792">
        <v>1300</v>
      </c>
      <c r="D478" s="779">
        <v>0.20749999999999999</v>
      </c>
      <c r="E478" s="779">
        <v>4681.8</v>
      </c>
      <c r="F478" s="779">
        <v>5408</v>
      </c>
      <c r="G478" s="779">
        <v>8.8786000000000005</v>
      </c>
      <c r="H478" s="727"/>
      <c r="I478" s="727"/>
      <c r="J478" s="727"/>
      <c r="K478" s="727"/>
      <c r="L478" s="727"/>
      <c r="M478" s="727"/>
      <c r="N478" s="727"/>
      <c r="O478" s="727"/>
      <c r="P478" s="727"/>
      <c r="Q478" s="727"/>
      <c r="R478" s="727"/>
      <c r="S478" s="727"/>
      <c r="T478" s="727"/>
      <c r="U478" s="727"/>
      <c r="V478" s="727"/>
      <c r="W478" s="727"/>
      <c r="X478" s="727"/>
      <c r="Y478" s="727"/>
      <c r="Z478" s="727"/>
      <c r="AA478" s="727"/>
      <c r="AB478" s="727"/>
      <c r="AC478" s="727"/>
      <c r="AD478" s="727"/>
      <c r="AE478" s="727"/>
      <c r="AF478" s="727"/>
      <c r="AG478" s="727"/>
      <c r="AH478" s="727"/>
      <c r="AI478" s="727"/>
      <c r="AJ478" s="727"/>
      <c r="AK478" s="727"/>
      <c r="AL478" s="727"/>
      <c r="AM478" s="727"/>
      <c r="AN478" s="727"/>
      <c r="AO478" s="727"/>
      <c r="AP478" s="727"/>
      <c r="AQ478" s="727"/>
      <c r="AR478" s="727"/>
      <c r="AS478" s="727"/>
      <c r="AT478" s="727"/>
      <c r="AU478" s="727"/>
      <c r="AV478" s="727"/>
      <c r="AW478" s="727"/>
      <c r="AX478" s="727"/>
      <c r="AY478" s="727"/>
      <c r="AZ478" s="727"/>
      <c r="BA478" s="727"/>
      <c r="BB478" s="727"/>
    </row>
    <row r="479" spans="1:54">
      <c r="A479" s="326"/>
      <c r="B479" s="791">
        <v>4</v>
      </c>
      <c r="C479" s="792">
        <v>250.35</v>
      </c>
      <c r="D479" s="779">
        <v>4.9779999999999998E-2</v>
      </c>
      <c r="E479" s="779">
        <v>2601.6999999999998</v>
      </c>
      <c r="F479" s="779">
        <v>2800.8</v>
      </c>
      <c r="G479" s="779">
        <v>6.0696000000000003</v>
      </c>
      <c r="H479" s="727"/>
      <c r="I479" s="727"/>
      <c r="J479" s="727"/>
      <c r="K479" s="727"/>
      <c r="L479" s="727"/>
      <c r="M479" s="727"/>
      <c r="N479" s="727"/>
      <c r="O479" s="727"/>
      <c r="P479" s="727"/>
      <c r="Q479" s="727"/>
      <c r="R479" s="727"/>
      <c r="S479" s="727"/>
      <c r="T479" s="727"/>
      <c r="U479" s="727"/>
      <c r="V479" s="727"/>
      <c r="W479" s="727"/>
      <c r="X479" s="727"/>
      <c r="Y479" s="727"/>
      <c r="Z479" s="727"/>
      <c r="AA479" s="727"/>
      <c r="AB479" s="727"/>
      <c r="AC479" s="727"/>
      <c r="AD479" s="727"/>
      <c r="AE479" s="727"/>
      <c r="AF479" s="727"/>
      <c r="AG479" s="727"/>
      <c r="AH479" s="727"/>
      <c r="AI479" s="727"/>
      <c r="AJ479" s="727"/>
      <c r="AK479" s="727"/>
      <c r="AL479" s="727"/>
      <c r="AM479" s="727"/>
      <c r="AN479" s="727"/>
      <c r="AO479" s="727"/>
      <c r="AP479" s="727"/>
      <c r="AQ479" s="727"/>
      <c r="AR479" s="727"/>
      <c r="AS479" s="727"/>
      <c r="AT479" s="727"/>
      <c r="AU479" s="727"/>
      <c r="AV479" s="727"/>
      <c r="AW479" s="727"/>
      <c r="AX479" s="727"/>
      <c r="AY479" s="727"/>
      <c r="AZ479" s="727"/>
      <c r="BA479" s="727"/>
      <c r="BB479" s="727"/>
    </row>
    <row r="480" spans="1:54">
      <c r="A480" s="326"/>
      <c r="B480" s="791">
        <v>4</v>
      </c>
      <c r="C480" s="792">
        <v>275</v>
      </c>
      <c r="D480" s="779">
        <v>5.4609999999999999E-2</v>
      </c>
      <c r="E480" s="779">
        <v>2668.9</v>
      </c>
      <c r="F480" s="779">
        <v>2887.3</v>
      </c>
      <c r="G480" s="779">
        <v>6.2312000000000003</v>
      </c>
      <c r="H480" s="727"/>
      <c r="I480" s="727"/>
      <c r="J480" s="727"/>
      <c r="K480" s="727"/>
      <c r="L480" s="727"/>
      <c r="M480" s="727"/>
      <c r="N480" s="727"/>
      <c r="O480" s="727"/>
      <c r="P480" s="727"/>
      <c r="Q480" s="727"/>
      <c r="R480" s="727"/>
      <c r="S480" s="727"/>
      <c r="T480" s="727"/>
      <c r="U480" s="727"/>
      <c r="V480" s="727"/>
      <c r="W480" s="727"/>
      <c r="X480" s="727"/>
      <c r="Y480" s="727"/>
      <c r="Z480" s="727"/>
      <c r="AA480" s="727"/>
      <c r="AB480" s="727"/>
      <c r="AC480" s="727"/>
      <c r="AD480" s="727"/>
      <c r="AE480" s="727"/>
      <c r="AF480" s="727"/>
      <c r="AG480" s="727"/>
      <c r="AH480" s="727"/>
      <c r="AI480" s="727"/>
      <c r="AJ480" s="727"/>
      <c r="AK480" s="727"/>
      <c r="AL480" s="727"/>
      <c r="AM480" s="727"/>
      <c r="AN480" s="727"/>
      <c r="AO480" s="727"/>
      <c r="AP480" s="727"/>
      <c r="AQ480" s="727"/>
      <c r="AR480" s="727"/>
      <c r="AS480" s="727"/>
      <c r="AT480" s="727"/>
      <c r="AU480" s="727"/>
      <c r="AV480" s="727"/>
      <c r="AW480" s="727"/>
      <c r="AX480" s="727"/>
      <c r="AY480" s="727"/>
      <c r="AZ480" s="727"/>
      <c r="BA480" s="727"/>
      <c r="BB480" s="727"/>
    </row>
    <row r="481" spans="1:54">
      <c r="A481" s="326"/>
      <c r="B481" s="791">
        <v>4</v>
      </c>
      <c r="C481" s="792">
        <v>300</v>
      </c>
      <c r="D481" s="779">
        <v>5.8869999999999999E-2</v>
      </c>
      <c r="E481" s="779">
        <v>2726.2</v>
      </c>
      <c r="F481" s="779">
        <v>2961.7</v>
      </c>
      <c r="G481" s="779">
        <v>6.3639000000000001</v>
      </c>
      <c r="H481" s="727"/>
      <c r="I481" s="727"/>
      <c r="J481" s="727"/>
      <c r="K481" s="727"/>
      <c r="L481" s="727"/>
      <c r="M481" s="727"/>
      <c r="N481" s="727"/>
      <c r="O481" s="727"/>
      <c r="P481" s="727"/>
      <c r="Q481" s="727"/>
      <c r="R481" s="727"/>
      <c r="S481" s="727"/>
      <c r="T481" s="727"/>
      <c r="U481" s="727"/>
      <c r="V481" s="727"/>
      <c r="W481" s="727"/>
      <c r="X481" s="727"/>
      <c r="Y481" s="727"/>
      <c r="Z481" s="727"/>
      <c r="AA481" s="727"/>
      <c r="AB481" s="727"/>
      <c r="AC481" s="727"/>
      <c r="AD481" s="727"/>
      <c r="AE481" s="727"/>
      <c r="AF481" s="727"/>
      <c r="AG481" s="727"/>
      <c r="AH481" s="727"/>
      <c r="AI481" s="727"/>
      <c r="AJ481" s="727"/>
      <c r="AK481" s="727"/>
      <c r="AL481" s="727"/>
      <c r="AM481" s="727"/>
      <c r="AN481" s="727"/>
      <c r="AO481" s="727"/>
      <c r="AP481" s="727"/>
      <c r="AQ481" s="727"/>
      <c r="AR481" s="727"/>
      <c r="AS481" s="727"/>
      <c r="AT481" s="727"/>
      <c r="AU481" s="727"/>
      <c r="AV481" s="727"/>
      <c r="AW481" s="727"/>
      <c r="AX481" s="727"/>
      <c r="AY481" s="727"/>
      <c r="AZ481" s="727"/>
      <c r="BA481" s="727"/>
      <c r="BB481" s="727"/>
    </row>
    <row r="482" spans="1:54">
      <c r="A482" s="326"/>
      <c r="B482" s="791">
        <v>4</v>
      </c>
      <c r="C482" s="792">
        <v>350</v>
      </c>
      <c r="D482" s="779">
        <v>6.6470000000000001E-2</v>
      </c>
      <c r="E482" s="779">
        <v>2827.4</v>
      </c>
      <c r="F482" s="779">
        <v>3093.3</v>
      </c>
      <c r="G482" s="779">
        <v>6.5842999999999998</v>
      </c>
      <c r="H482" s="727"/>
      <c r="I482" s="727"/>
      <c r="J482" s="727"/>
      <c r="K482" s="727"/>
      <c r="L482" s="727"/>
      <c r="M482" s="727"/>
      <c r="N482" s="727"/>
      <c r="O482" s="727"/>
      <c r="P482" s="727"/>
      <c r="Q482" s="727"/>
      <c r="R482" s="727"/>
      <c r="S482" s="727"/>
      <c r="T482" s="727"/>
      <c r="U482" s="727"/>
      <c r="V482" s="727"/>
      <c r="W482" s="727"/>
      <c r="X482" s="727"/>
      <c r="Y482" s="727"/>
      <c r="Z482" s="727"/>
      <c r="AA482" s="727"/>
      <c r="AB482" s="727"/>
      <c r="AC482" s="727"/>
      <c r="AD482" s="727"/>
      <c r="AE482" s="727"/>
      <c r="AF482" s="727"/>
      <c r="AG482" s="727"/>
      <c r="AH482" s="727"/>
      <c r="AI482" s="727"/>
      <c r="AJ482" s="727"/>
      <c r="AK482" s="727"/>
      <c r="AL482" s="727"/>
      <c r="AM482" s="727"/>
      <c r="AN482" s="727"/>
      <c r="AO482" s="727"/>
      <c r="AP482" s="727"/>
      <c r="AQ482" s="727"/>
      <c r="AR482" s="727"/>
      <c r="AS482" s="727"/>
      <c r="AT482" s="727"/>
      <c r="AU482" s="727"/>
      <c r="AV482" s="727"/>
      <c r="AW482" s="727"/>
      <c r="AX482" s="727"/>
      <c r="AY482" s="727"/>
      <c r="AZ482" s="727"/>
      <c r="BA482" s="727"/>
      <c r="BB482" s="727"/>
    </row>
    <row r="483" spans="1:54">
      <c r="A483" s="326"/>
      <c r="B483" s="791">
        <v>4</v>
      </c>
      <c r="C483" s="792">
        <v>400</v>
      </c>
      <c r="D483" s="779">
        <v>7.3429999999999995E-2</v>
      </c>
      <c r="E483" s="779">
        <v>2920.8</v>
      </c>
      <c r="F483" s="779">
        <v>3214.5</v>
      </c>
      <c r="G483" s="779">
        <v>6.7713999999999999</v>
      </c>
      <c r="H483" s="727"/>
      <c r="I483" s="727"/>
      <c r="J483" s="727"/>
      <c r="K483" s="727"/>
      <c r="L483" s="727"/>
      <c r="M483" s="727"/>
      <c r="N483" s="727"/>
      <c r="O483" s="727"/>
      <c r="P483" s="727"/>
      <c r="Q483" s="727"/>
      <c r="R483" s="727"/>
      <c r="S483" s="727"/>
      <c r="T483" s="727"/>
      <c r="U483" s="727"/>
      <c r="V483" s="727"/>
      <c r="W483" s="727"/>
      <c r="X483" s="727"/>
      <c r="Y483" s="727"/>
      <c r="Z483" s="727"/>
      <c r="AA483" s="727"/>
      <c r="AB483" s="727"/>
      <c r="AC483" s="727"/>
      <c r="AD483" s="727"/>
      <c r="AE483" s="727"/>
      <c r="AF483" s="727"/>
      <c r="AG483" s="727"/>
      <c r="AH483" s="727"/>
      <c r="AI483" s="727"/>
      <c r="AJ483" s="727"/>
      <c r="AK483" s="727"/>
      <c r="AL483" s="727"/>
      <c r="AM483" s="727"/>
      <c r="AN483" s="727"/>
      <c r="AO483" s="727"/>
      <c r="AP483" s="727"/>
      <c r="AQ483" s="727"/>
      <c r="AR483" s="727"/>
      <c r="AS483" s="727"/>
      <c r="AT483" s="727"/>
      <c r="AU483" s="727"/>
      <c r="AV483" s="727"/>
      <c r="AW483" s="727"/>
      <c r="AX483" s="727"/>
      <c r="AY483" s="727"/>
      <c r="AZ483" s="727"/>
      <c r="BA483" s="727"/>
      <c r="BB483" s="727"/>
    </row>
    <row r="484" spans="1:54">
      <c r="A484" s="326"/>
      <c r="B484" s="791">
        <v>4</v>
      </c>
      <c r="C484" s="792">
        <v>450</v>
      </c>
      <c r="D484" s="779">
        <v>8.004E-2</v>
      </c>
      <c r="E484" s="779">
        <v>3011</v>
      </c>
      <c r="F484" s="779">
        <v>3331.2</v>
      </c>
      <c r="G484" s="779">
        <v>6.9386000000000001</v>
      </c>
      <c r="H484" s="727"/>
      <c r="I484" s="727"/>
      <c r="J484" s="727"/>
      <c r="K484" s="727"/>
      <c r="L484" s="727"/>
      <c r="M484" s="727"/>
      <c r="N484" s="727"/>
      <c r="O484" s="727"/>
      <c r="P484" s="727"/>
      <c r="Q484" s="727"/>
      <c r="R484" s="727"/>
      <c r="S484" s="727"/>
      <c r="T484" s="727"/>
      <c r="U484" s="727"/>
      <c r="V484" s="727"/>
      <c r="W484" s="727"/>
      <c r="X484" s="727"/>
      <c r="Y484" s="727"/>
      <c r="Z484" s="727"/>
      <c r="AA484" s="727"/>
      <c r="AB484" s="727"/>
      <c r="AC484" s="727"/>
      <c r="AD484" s="727"/>
      <c r="AE484" s="727"/>
      <c r="AF484" s="727"/>
      <c r="AG484" s="727"/>
      <c r="AH484" s="727"/>
      <c r="AI484" s="727"/>
      <c r="AJ484" s="727"/>
      <c r="AK484" s="727"/>
      <c r="AL484" s="727"/>
      <c r="AM484" s="727"/>
      <c r="AN484" s="727"/>
      <c r="AO484" s="727"/>
      <c r="AP484" s="727"/>
      <c r="AQ484" s="727"/>
      <c r="AR484" s="727"/>
      <c r="AS484" s="727"/>
      <c r="AT484" s="727"/>
      <c r="AU484" s="727"/>
      <c r="AV484" s="727"/>
      <c r="AW484" s="727"/>
      <c r="AX484" s="727"/>
      <c r="AY484" s="727"/>
      <c r="AZ484" s="727"/>
      <c r="BA484" s="727"/>
      <c r="BB484" s="727"/>
    </row>
    <row r="485" spans="1:54">
      <c r="A485" s="326"/>
      <c r="B485" s="791">
        <v>4</v>
      </c>
      <c r="C485" s="792">
        <v>500</v>
      </c>
      <c r="D485" s="779">
        <v>8.6440000000000003E-2</v>
      </c>
      <c r="E485" s="779">
        <v>3100.3</v>
      </c>
      <c r="F485" s="779">
        <v>3446</v>
      </c>
      <c r="G485" s="779">
        <v>7.0922000000000001</v>
      </c>
      <c r="H485" s="727"/>
      <c r="I485" s="727"/>
      <c r="J485" s="727"/>
      <c r="K485" s="727"/>
      <c r="L485" s="727"/>
      <c r="M485" s="727"/>
      <c r="N485" s="727"/>
      <c r="O485" s="727"/>
      <c r="P485" s="727"/>
      <c r="Q485" s="727"/>
      <c r="R485" s="727"/>
      <c r="S485" s="727"/>
      <c r="T485" s="727"/>
      <c r="U485" s="727"/>
      <c r="V485" s="727"/>
      <c r="W485" s="727"/>
      <c r="X485" s="727"/>
      <c r="Y485" s="727"/>
      <c r="Z485" s="727"/>
      <c r="AA485" s="727"/>
      <c r="AB485" s="727"/>
      <c r="AC485" s="727"/>
      <c r="AD485" s="727"/>
      <c r="AE485" s="727"/>
      <c r="AF485" s="727"/>
      <c r="AG485" s="727"/>
      <c r="AH485" s="727"/>
      <c r="AI485" s="727"/>
      <c r="AJ485" s="727"/>
      <c r="AK485" s="727"/>
      <c r="AL485" s="727"/>
      <c r="AM485" s="727"/>
      <c r="AN485" s="727"/>
      <c r="AO485" s="727"/>
      <c r="AP485" s="727"/>
      <c r="AQ485" s="727"/>
      <c r="AR485" s="727"/>
      <c r="AS485" s="727"/>
      <c r="AT485" s="727"/>
      <c r="AU485" s="727"/>
      <c r="AV485" s="727"/>
      <c r="AW485" s="727"/>
      <c r="AX485" s="727"/>
      <c r="AY485" s="727"/>
      <c r="AZ485" s="727"/>
      <c r="BA485" s="727"/>
      <c r="BB485" s="727"/>
    </row>
    <row r="486" spans="1:54">
      <c r="A486" s="326"/>
      <c r="B486" s="791">
        <v>4</v>
      </c>
      <c r="C486" s="792">
        <v>600</v>
      </c>
      <c r="D486" s="779">
        <v>9.8860000000000003E-2</v>
      </c>
      <c r="E486" s="779">
        <v>3279.4</v>
      </c>
      <c r="F486" s="779">
        <v>3674.9</v>
      </c>
      <c r="G486" s="779">
        <v>7.3705999999999996</v>
      </c>
      <c r="H486" s="727"/>
      <c r="I486" s="727"/>
      <c r="J486" s="727"/>
      <c r="K486" s="727"/>
      <c r="L486" s="727"/>
      <c r="M486" s="727"/>
      <c r="N486" s="727"/>
      <c r="O486" s="727"/>
      <c r="P486" s="727"/>
      <c r="Q486" s="727"/>
      <c r="R486" s="727"/>
      <c r="S486" s="727"/>
      <c r="T486" s="727"/>
      <c r="U486" s="727"/>
      <c r="V486" s="727"/>
      <c r="W486" s="727"/>
      <c r="X486" s="727"/>
      <c r="Y486" s="727"/>
      <c r="Z486" s="727"/>
      <c r="AA486" s="727"/>
      <c r="AB486" s="727"/>
      <c r="AC486" s="727"/>
      <c r="AD486" s="727"/>
      <c r="AE486" s="727"/>
      <c r="AF486" s="727"/>
      <c r="AG486" s="727"/>
      <c r="AH486" s="727"/>
      <c r="AI486" s="727"/>
      <c r="AJ486" s="727"/>
      <c r="AK486" s="727"/>
      <c r="AL486" s="727"/>
      <c r="AM486" s="727"/>
      <c r="AN486" s="727"/>
      <c r="AO486" s="727"/>
      <c r="AP486" s="727"/>
      <c r="AQ486" s="727"/>
      <c r="AR486" s="727"/>
      <c r="AS486" s="727"/>
      <c r="AT486" s="727"/>
      <c r="AU486" s="727"/>
      <c r="AV486" s="727"/>
      <c r="AW486" s="727"/>
      <c r="AX486" s="727"/>
      <c r="AY486" s="727"/>
      <c r="AZ486" s="727"/>
      <c r="BA486" s="727"/>
      <c r="BB486" s="727"/>
    </row>
    <row r="487" spans="1:54">
      <c r="A487" s="326"/>
      <c r="B487" s="791">
        <v>4</v>
      </c>
      <c r="C487" s="792">
        <v>700</v>
      </c>
      <c r="D487" s="779">
        <v>0.11098</v>
      </c>
      <c r="E487" s="779">
        <v>3462.4</v>
      </c>
      <c r="F487" s="779">
        <v>3906.3</v>
      </c>
      <c r="G487" s="779">
        <v>7.6214000000000004</v>
      </c>
      <c r="H487" s="727"/>
      <c r="I487" s="727"/>
      <c r="J487" s="727"/>
      <c r="K487" s="727"/>
      <c r="L487" s="727"/>
      <c r="M487" s="727"/>
      <c r="N487" s="727"/>
      <c r="O487" s="727"/>
      <c r="P487" s="727"/>
      <c r="Q487" s="727"/>
      <c r="R487" s="727"/>
      <c r="S487" s="727"/>
      <c r="T487" s="727"/>
      <c r="U487" s="727"/>
      <c r="V487" s="727"/>
      <c r="W487" s="727"/>
      <c r="X487" s="727"/>
      <c r="Y487" s="727"/>
      <c r="Z487" s="727"/>
      <c r="AA487" s="727"/>
      <c r="AB487" s="727"/>
      <c r="AC487" s="727"/>
      <c r="AD487" s="727"/>
      <c r="AE487" s="727"/>
      <c r="AF487" s="727"/>
      <c r="AG487" s="727"/>
      <c r="AH487" s="727"/>
      <c r="AI487" s="727"/>
      <c r="AJ487" s="727"/>
      <c r="AK487" s="727"/>
      <c r="AL487" s="727"/>
      <c r="AM487" s="727"/>
      <c r="AN487" s="727"/>
      <c r="AO487" s="727"/>
      <c r="AP487" s="727"/>
      <c r="AQ487" s="727"/>
      <c r="AR487" s="727"/>
      <c r="AS487" s="727"/>
      <c r="AT487" s="727"/>
      <c r="AU487" s="727"/>
      <c r="AV487" s="727"/>
      <c r="AW487" s="727"/>
      <c r="AX487" s="727"/>
      <c r="AY487" s="727"/>
      <c r="AZ487" s="727"/>
      <c r="BA487" s="727"/>
      <c r="BB487" s="727"/>
    </row>
    <row r="488" spans="1:54">
      <c r="A488" s="326"/>
      <c r="B488" s="791">
        <v>4</v>
      </c>
      <c r="C488" s="792">
        <v>800</v>
      </c>
      <c r="D488" s="779">
        <v>0.12292</v>
      </c>
      <c r="E488" s="779">
        <v>3650.6</v>
      </c>
      <c r="F488" s="779">
        <v>4142.3</v>
      </c>
      <c r="G488" s="779">
        <v>7.8522999999999996</v>
      </c>
      <c r="H488" s="727"/>
      <c r="I488" s="727"/>
      <c r="J488" s="727"/>
      <c r="K488" s="727"/>
      <c r="L488" s="727"/>
      <c r="M488" s="727"/>
      <c r="N488" s="727"/>
      <c r="O488" s="727"/>
      <c r="P488" s="727"/>
      <c r="Q488" s="727"/>
      <c r="R488" s="727"/>
      <c r="S488" s="727"/>
      <c r="T488" s="727"/>
      <c r="U488" s="727"/>
      <c r="V488" s="727"/>
      <c r="W488" s="727"/>
      <c r="X488" s="727"/>
      <c r="Y488" s="727"/>
      <c r="Z488" s="727"/>
      <c r="AA488" s="727"/>
      <c r="AB488" s="727"/>
      <c r="AC488" s="727"/>
      <c r="AD488" s="727"/>
      <c r="AE488" s="727"/>
      <c r="AF488" s="727"/>
      <c r="AG488" s="727"/>
      <c r="AH488" s="727"/>
      <c r="AI488" s="727"/>
      <c r="AJ488" s="727"/>
      <c r="AK488" s="727"/>
      <c r="AL488" s="727"/>
      <c r="AM488" s="727"/>
      <c r="AN488" s="727"/>
      <c r="AO488" s="727"/>
      <c r="AP488" s="727"/>
      <c r="AQ488" s="727"/>
      <c r="AR488" s="727"/>
      <c r="AS488" s="727"/>
      <c r="AT488" s="727"/>
      <c r="AU488" s="727"/>
      <c r="AV488" s="727"/>
      <c r="AW488" s="727"/>
      <c r="AX488" s="727"/>
      <c r="AY488" s="727"/>
      <c r="AZ488" s="727"/>
      <c r="BA488" s="727"/>
      <c r="BB488" s="727"/>
    </row>
    <row r="489" spans="1:54">
      <c r="A489" s="326"/>
      <c r="B489" s="791">
        <v>4</v>
      </c>
      <c r="C489" s="792">
        <v>900</v>
      </c>
      <c r="D489" s="779">
        <v>0.13475999999999999</v>
      </c>
      <c r="E489" s="779">
        <v>3844.8</v>
      </c>
      <c r="F489" s="779">
        <v>4383.8999999999996</v>
      </c>
      <c r="G489" s="779">
        <v>8.0675000000000008</v>
      </c>
      <c r="H489" s="727"/>
      <c r="I489" s="727"/>
      <c r="J489" s="727"/>
      <c r="K489" s="727"/>
      <c r="L489" s="727"/>
      <c r="M489" s="727"/>
      <c r="N489" s="727"/>
      <c r="O489" s="727"/>
      <c r="P489" s="727"/>
      <c r="Q489" s="727"/>
      <c r="R489" s="727"/>
      <c r="S489" s="727"/>
      <c r="T489" s="727"/>
      <c r="U489" s="727"/>
      <c r="V489" s="727"/>
      <c r="W489" s="727"/>
      <c r="X489" s="727"/>
      <c r="Y489" s="727"/>
      <c r="Z489" s="727"/>
      <c r="AA489" s="727"/>
      <c r="AB489" s="727"/>
      <c r="AC489" s="727"/>
      <c r="AD489" s="727"/>
      <c r="AE489" s="727"/>
      <c r="AF489" s="727"/>
      <c r="AG489" s="727"/>
      <c r="AH489" s="727"/>
      <c r="AI489" s="727"/>
      <c r="AJ489" s="727"/>
      <c r="AK489" s="727"/>
      <c r="AL489" s="727"/>
      <c r="AM489" s="727"/>
      <c r="AN489" s="727"/>
      <c r="AO489" s="727"/>
      <c r="AP489" s="727"/>
      <c r="AQ489" s="727"/>
      <c r="AR489" s="727"/>
      <c r="AS489" s="727"/>
      <c r="AT489" s="727"/>
      <c r="AU489" s="727"/>
      <c r="AV489" s="727"/>
      <c r="AW489" s="727"/>
      <c r="AX489" s="727"/>
      <c r="AY489" s="727"/>
      <c r="AZ489" s="727"/>
      <c r="BA489" s="727"/>
      <c r="BB489" s="727"/>
    </row>
    <row r="490" spans="1:54">
      <c r="A490" s="326"/>
      <c r="B490" s="791">
        <v>4</v>
      </c>
      <c r="C490" s="792">
        <v>1000</v>
      </c>
      <c r="D490" s="779">
        <v>0.14652999999999999</v>
      </c>
      <c r="E490" s="779">
        <v>4045.1</v>
      </c>
      <c r="F490" s="779">
        <v>4631.2</v>
      </c>
      <c r="G490" s="779">
        <v>8.2698</v>
      </c>
      <c r="H490" s="727"/>
      <c r="I490" s="727"/>
      <c r="J490" s="727"/>
      <c r="K490" s="727"/>
      <c r="L490" s="727"/>
      <c r="M490" s="727"/>
      <c r="N490" s="727"/>
      <c r="O490" s="727"/>
      <c r="P490" s="727"/>
      <c r="Q490" s="727"/>
      <c r="R490" s="727"/>
      <c r="S490" s="727"/>
      <c r="T490" s="727"/>
      <c r="U490" s="727"/>
      <c r="V490" s="727"/>
      <c r="W490" s="727"/>
      <c r="X490" s="727"/>
      <c r="Y490" s="727"/>
      <c r="Z490" s="727"/>
      <c r="AA490" s="727"/>
      <c r="AB490" s="727"/>
      <c r="AC490" s="727"/>
      <c r="AD490" s="727"/>
      <c r="AE490" s="727"/>
      <c r="AF490" s="727"/>
      <c r="AG490" s="727"/>
      <c r="AH490" s="727"/>
      <c r="AI490" s="727"/>
      <c r="AJ490" s="727"/>
      <c r="AK490" s="727"/>
      <c r="AL490" s="727"/>
      <c r="AM490" s="727"/>
      <c r="AN490" s="727"/>
      <c r="AO490" s="727"/>
      <c r="AP490" s="727"/>
      <c r="AQ490" s="727"/>
      <c r="AR490" s="727"/>
      <c r="AS490" s="727"/>
      <c r="AT490" s="727"/>
      <c r="AU490" s="727"/>
      <c r="AV490" s="727"/>
      <c r="AW490" s="727"/>
      <c r="AX490" s="727"/>
      <c r="AY490" s="727"/>
      <c r="AZ490" s="727"/>
      <c r="BA490" s="727"/>
      <c r="BB490" s="727"/>
    </row>
    <row r="491" spans="1:54">
      <c r="A491" s="326"/>
      <c r="B491" s="791">
        <v>4</v>
      </c>
      <c r="C491" s="792">
        <v>1100</v>
      </c>
      <c r="D491" s="779">
        <v>0.15823999999999999</v>
      </c>
      <c r="E491" s="779">
        <v>4251.3999999999996</v>
      </c>
      <c r="F491" s="779">
        <v>4884.3999999999996</v>
      </c>
      <c r="G491" s="779">
        <v>8.4611999999999998</v>
      </c>
      <c r="H491" s="727"/>
      <c r="I491" s="727"/>
      <c r="J491" s="727"/>
      <c r="K491" s="727"/>
      <c r="L491" s="727"/>
      <c r="M491" s="727"/>
      <c r="N491" s="727"/>
      <c r="O491" s="727"/>
      <c r="P491" s="727"/>
      <c r="Q491" s="727"/>
      <c r="R491" s="727"/>
      <c r="S491" s="727"/>
      <c r="T491" s="727"/>
      <c r="U491" s="727"/>
      <c r="V491" s="727"/>
      <c r="W491" s="727"/>
      <c r="X491" s="727"/>
      <c r="Y491" s="727"/>
      <c r="Z491" s="727"/>
      <c r="AA491" s="727"/>
      <c r="AB491" s="727"/>
      <c r="AC491" s="727"/>
      <c r="AD491" s="727"/>
      <c r="AE491" s="727"/>
      <c r="AF491" s="727"/>
      <c r="AG491" s="727"/>
      <c r="AH491" s="727"/>
      <c r="AI491" s="727"/>
      <c r="AJ491" s="727"/>
      <c r="AK491" s="727"/>
      <c r="AL491" s="727"/>
      <c r="AM491" s="727"/>
      <c r="AN491" s="727"/>
      <c r="AO491" s="727"/>
      <c r="AP491" s="727"/>
      <c r="AQ491" s="727"/>
      <c r="AR491" s="727"/>
      <c r="AS491" s="727"/>
      <c r="AT491" s="727"/>
      <c r="AU491" s="727"/>
      <c r="AV491" s="727"/>
      <c r="AW491" s="727"/>
      <c r="AX491" s="727"/>
      <c r="AY491" s="727"/>
      <c r="AZ491" s="727"/>
      <c r="BA491" s="727"/>
      <c r="BB491" s="727"/>
    </row>
    <row r="492" spans="1:54">
      <c r="A492" s="326"/>
      <c r="B492" s="791">
        <v>4</v>
      </c>
      <c r="C492" s="792">
        <v>1200</v>
      </c>
      <c r="D492" s="779">
        <v>0.16991999999999999</v>
      </c>
      <c r="E492" s="779">
        <v>4463.5</v>
      </c>
      <c r="F492" s="779">
        <v>5143.2</v>
      </c>
      <c r="G492" s="779">
        <v>8.6430000000000007</v>
      </c>
      <c r="H492" s="727"/>
      <c r="I492" s="727"/>
      <c r="J492" s="727"/>
      <c r="K492" s="727"/>
      <c r="L492" s="727"/>
      <c r="M492" s="727"/>
      <c r="N492" s="727"/>
      <c r="O492" s="727"/>
      <c r="P492" s="727"/>
      <c r="Q492" s="727"/>
      <c r="R492" s="727"/>
      <c r="S492" s="727"/>
      <c r="T492" s="727"/>
      <c r="U492" s="727"/>
      <c r="V492" s="727"/>
      <c r="W492" s="727"/>
      <c r="X492" s="727"/>
      <c r="Y492" s="727"/>
      <c r="Z492" s="727"/>
      <c r="AA492" s="727"/>
      <c r="AB492" s="727"/>
      <c r="AC492" s="727"/>
      <c r="AD492" s="727"/>
      <c r="AE492" s="727"/>
      <c r="AF492" s="727"/>
      <c r="AG492" s="727"/>
      <c r="AH492" s="727"/>
      <c r="AI492" s="727"/>
      <c r="AJ492" s="727"/>
      <c r="AK492" s="727"/>
      <c r="AL492" s="727"/>
      <c r="AM492" s="727"/>
      <c r="AN492" s="727"/>
      <c r="AO492" s="727"/>
      <c r="AP492" s="727"/>
      <c r="AQ492" s="727"/>
      <c r="AR492" s="727"/>
      <c r="AS492" s="727"/>
      <c r="AT492" s="727"/>
      <c r="AU492" s="727"/>
      <c r="AV492" s="727"/>
      <c r="AW492" s="727"/>
      <c r="AX492" s="727"/>
      <c r="AY492" s="727"/>
      <c r="AZ492" s="727"/>
      <c r="BA492" s="727"/>
      <c r="BB492" s="727"/>
    </row>
    <row r="493" spans="1:54">
      <c r="A493" s="326"/>
      <c r="B493" s="791">
        <v>4</v>
      </c>
      <c r="C493" s="792">
        <v>1300</v>
      </c>
      <c r="D493" s="779">
        <v>0.18157000000000001</v>
      </c>
      <c r="E493" s="779">
        <v>4680.8999999999996</v>
      </c>
      <c r="F493" s="779">
        <v>5407.2</v>
      </c>
      <c r="G493" s="779">
        <v>8.8163999999999998</v>
      </c>
      <c r="H493" s="727"/>
      <c r="I493" s="727"/>
      <c r="J493" s="727"/>
      <c r="K493" s="727"/>
      <c r="L493" s="727"/>
      <c r="M493" s="727"/>
      <c r="N493" s="727"/>
      <c r="O493" s="727"/>
      <c r="P493" s="727"/>
      <c r="Q493" s="727"/>
      <c r="R493" s="727"/>
      <c r="S493" s="727"/>
      <c r="T493" s="727"/>
      <c r="U493" s="727"/>
      <c r="V493" s="727"/>
      <c r="W493" s="727"/>
      <c r="X493" s="727"/>
      <c r="Y493" s="727"/>
      <c r="Z493" s="727"/>
      <c r="AA493" s="727"/>
      <c r="AB493" s="727"/>
      <c r="AC493" s="727"/>
      <c r="AD493" s="727"/>
      <c r="AE493" s="727"/>
      <c r="AF493" s="727"/>
      <c r="AG493" s="727"/>
      <c r="AH493" s="727"/>
      <c r="AI493" s="727"/>
      <c r="AJ493" s="727"/>
      <c r="AK493" s="727"/>
      <c r="AL493" s="727"/>
      <c r="AM493" s="727"/>
      <c r="AN493" s="727"/>
      <c r="AO493" s="727"/>
      <c r="AP493" s="727"/>
      <c r="AQ493" s="727"/>
      <c r="AR493" s="727"/>
      <c r="AS493" s="727"/>
      <c r="AT493" s="727"/>
      <c r="AU493" s="727"/>
      <c r="AV493" s="727"/>
      <c r="AW493" s="727"/>
      <c r="AX493" s="727"/>
      <c r="AY493" s="727"/>
      <c r="AZ493" s="727"/>
      <c r="BA493" s="727"/>
      <c r="BB493" s="727"/>
    </row>
    <row r="494" spans="1:54">
      <c r="A494" s="326"/>
      <c r="B494" s="791">
        <v>4.5</v>
      </c>
      <c r="C494" s="792">
        <v>257.44</v>
      </c>
      <c r="D494" s="779">
        <v>4.4060000000000002E-2</v>
      </c>
      <c r="E494" s="779">
        <v>2599.6999999999998</v>
      </c>
      <c r="F494" s="779">
        <v>2798</v>
      </c>
      <c r="G494" s="779">
        <v>6.0198</v>
      </c>
      <c r="H494" s="727"/>
      <c r="I494" s="727"/>
      <c r="J494" s="727"/>
      <c r="K494" s="727"/>
      <c r="L494" s="727"/>
      <c r="M494" s="727"/>
      <c r="N494" s="727"/>
      <c r="O494" s="727"/>
      <c r="P494" s="727"/>
      <c r="Q494" s="727"/>
      <c r="R494" s="727"/>
      <c r="S494" s="727"/>
      <c r="T494" s="727"/>
      <c r="U494" s="727"/>
      <c r="V494" s="727"/>
      <c r="W494" s="727"/>
      <c r="X494" s="727"/>
      <c r="Y494" s="727"/>
      <c r="Z494" s="727"/>
      <c r="AA494" s="727"/>
      <c r="AB494" s="727"/>
      <c r="AC494" s="727"/>
      <c r="AD494" s="727"/>
      <c r="AE494" s="727"/>
      <c r="AF494" s="727"/>
      <c r="AG494" s="727"/>
      <c r="AH494" s="727"/>
      <c r="AI494" s="727"/>
      <c r="AJ494" s="727"/>
      <c r="AK494" s="727"/>
      <c r="AL494" s="727"/>
      <c r="AM494" s="727"/>
      <c r="AN494" s="727"/>
      <c r="AO494" s="727"/>
      <c r="AP494" s="727"/>
      <c r="AQ494" s="727"/>
      <c r="AR494" s="727"/>
      <c r="AS494" s="727"/>
      <c r="AT494" s="727"/>
      <c r="AU494" s="727"/>
      <c r="AV494" s="727"/>
      <c r="AW494" s="727"/>
      <c r="AX494" s="727"/>
      <c r="AY494" s="727"/>
      <c r="AZ494" s="727"/>
      <c r="BA494" s="727"/>
      <c r="BB494" s="727"/>
    </row>
    <row r="495" spans="1:54">
      <c r="A495" s="326"/>
      <c r="B495" s="791">
        <v>4.5</v>
      </c>
      <c r="C495" s="792">
        <v>275</v>
      </c>
      <c r="D495" s="779">
        <v>4.7329999999999997E-2</v>
      </c>
      <c r="E495" s="779">
        <v>2651.4</v>
      </c>
      <c r="F495" s="779">
        <v>2864.4</v>
      </c>
      <c r="G495" s="779">
        <v>6.1429</v>
      </c>
      <c r="H495" s="727"/>
      <c r="I495" s="727"/>
      <c r="J495" s="727"/>
      <c r="K495" s="727"/>
      <c r="L495" s="727"/>
      <c r="M495" s="727"/>
      <c r="N495" s="727"/>
      <c r="O495" s="727"/>
      <c r="P495" s="727"/>
      <c r="Q495" s="727"/>
      <c r="R495" s="727"/>
      <c r="S495" s="727"/>
      <c r="T495" s="727"/>
      <c r="U495" s="727"/>
      <c r="V495" s="727"/>
      <c r="W495" s="727"/>
      <c r="X495" s="727"/>
      <c r="Y495" s="727"/>
      <c r="Z495" s="727"/>
      <c r="AA495" s="727"/>
      <c r="AB495" s="727"/>
      <c r="AC495" s="727"/>
      <c r="AD495" s="727"/>
      <c r="AE495" s="727"/>
      <c r="AF495" s="727"/>
      <c r="AG495" s="727"/>
      <c r="AH495" s="727"/>
      <c r="AI495" s="727"/>
      <c r="AJ495" s="727"/>
      <c r="AK495" s="727"/>
      <c r="AL495" s="727"/>
      <c r="AM495" s="727"/>
      <c r="AN495" s="727"/>
      <c r="AO495" s="727"/>
      <c r="AP495" s="727"/>
      <c r="AQ495" s="727"/>
      <c r="AR495" s="727"/>
      <c r="AS495" s="727"/>
      <c r="AT495" s="727"/>
      <c r="AU495" s="727"/>
      <c r="AV495" s="727"/>
      <c r="AW495" s="727"/>
      <c r="AX495" s="727"/>
      <c r="AY495" s="727"/>
      <c r="AZ495" s="727"/>
      <c r="BA495" s="727"/>
      <c r="BB495" s="727"/>
    </row>
    <row r="496" spans="1:54">
      <c r="A496" s="326"/>
      <c r="B496" s="791">
        <v>4.5</v>
      </c>
      <c r="C496" s="792">
        <v>300</v>
      </c>
      <c r="D496" s="779">
        <v>5.1380000000000002E-2</v>
      </c>
      <c r="E496" s="779">
        <v>2713</v>
      </c>
      <c r="F496" s="779">
        <v>2944.2</v>
      </c>
      <c r="G496" s="779">
        <v>6.2854000000000001</v>
      </c>
      <c r="H496" s="727"/>
      <c r="I496" s="727"/>
      <c r="J496" s="727"/>
      <c r="K496" s="727"/>
      <c r="L496" s="727"/>
      <c r="M496" s="727"/>
      <c r="N496" s="727"/>
      <c r="O496" s="727"/>
      <c r="P496" s="727"/>
      <c r="Q496" s="727"/>
      <c r="R496" s="727"/>
      <c r="S496" s="727"/>
      <c r="T496" s="727"/>
      <c r="U496" s="727"/>
      <c r="V496" s="727"/>
      <c r="W496" s="727"/>
      <c r="X496" s="727"/>
      <c r="Y496" s="727"/>
      <c r="Z496" s="727"/>
      <c r="AA496" s="727"/>
      <c r="AB496" s="727"/>
      <c r="AC496" s="727"/>
      <c r="AD496" s="727"/>
      <c r="AE496" s="727"/>
      <c r="AF496" s="727"/>
      <c r="AG496" s="727"/>
      <c r="AH496" s="727"/>
      <c r="AI496" s="727"/>
      <c r="AJ496" s="727"/>
      <c r="AK496" s="727"/>
      <c r="AL496" s="727"/>
      <c r="AM496" s="727"/>
      <c r="AN496" s="727"/>
      <c r="AO496" s="727"/>
      <c r="AP496" s="727"/>
      <c r="AQ496" s="727"/>
      <c r="AR496" s="727"/>
      <c r="AS496" s="727"/>
      <c r="AT496" s="727"/>
      <c r="AU496" s="727"/>
      <c r="AV496" s="727"/>
      <c r="AW496" s="727"/>
      <c r="AX496" s="727"/>
      <c r="AY496" s="727"/>
      <c r="AZ496" s="727"/>
      <c r="BA496" s="727"/>
      <c r="BB496" s="727"/>
    </row>
    <row r="497" spans="1:54">
      <c r="A497" s="326"/>
      <c r="B497" s="791">
        <v>4.5</v>
      </c>
      <c r="C497" s="792">
        <v>350</v>
      </c>
      <c r="D497" s="779">
        <v>5.842E-2</v>
      </c>
      <c r="E497" s="779">
        <v>2818.6</v>
      </c>
      <c r="F497" s="779">
        <v>3081.5</v>
      </c>
      <c r="G497" s="779">
        <v>6.5152999999999999</v>
      </c>
      <c r="H497" s="727"/>
      <c r="I497" s="727"/>
      <c r="J497" s="727"/>
      <c r="K497" s="727"/>
      <c r="L497" s="727"/>
      <c r="M497" s="727"/>
      <c r="N497" s="727"/>
      <c r="O497" s="727"/>
      <c r="P497" s="727"/>
      <c r="Q497" s="727"/>
      <c r="R497" s="727"/>
      <c r="S497" s="727"/>
      <c r="T497" s="727"/>
      <c r="U497" s="727"/>
      <c r="V497" s="727"/>
      <c r="W497" s="727"/>
      <c r="X497" s="727"/>
      <c r="Y497" s="727"/>
      <c r="Z497" s="727"/>
      <c r="AA497" s="727"/>
      <c r="AB497" s="727"/>
      <c r="AC497" s="727"/>
      <c r="AD497" s="727"/>
      <c r="AE497" s="727"/>
      <c r="AF497" s="727"/>
      <c r="AG497" s="727"/>
      <c r="AH497" s="727"/>
      <c r="AI497" s="727"/>
      <c r="AJ497" s="727"/>
      <c r="AK497" s="727"/>
      <c r="AL497" s="727"/>
      <c r="AM497" s="727"/>
      <c r="AN497" s="727"/>
      <c r="AO497" s="727"/>
      <c r="AP497" s="727"/>
      <c r="AQ497" s="727"/>
      <c r="AR497" s="727"/>
      <c r="AS497" s="727"/>
      <c r="AT497" s="727"/>
      <c r="AU497" s="727"/>
      <c r="AV497" s="727"/>
      <c r="AW497" s="727"/>
      <c r="AX497" s="727"/>
      <c r="AY497" s="727"/>
      <c r="AZ497" s="727"/>
      <c r="BA497" s="727"/>
      <c r="BB497" s="727"/>
    </row>
    <row r="498" spans="1:54">
      <c r="A498" s="326"/>
      <c r="B498" s="791">
        <v>4.5</v>
      </c>
      <c r="C498" s="792">
        <v>400</v>
      </c>
      <c r="D498" s="779">
        <v>6.4769999999999994E-2</v>
      </c>
      <c r="E498" s="779">
        <v>2914.2</v>
      </c>
      <c r="F498" s="779">
        <v>3205.7</v>
      </c>
      <c r="G498" s="779">
        <v>6.7070999999999996</v>
      </c>
      <c r="H498" s="727"/>
      <c r="I498" s="727"/>
      <c r="J498" s="727"/>
      <c r="K498" s="727"/>
      <c r="L498" s="727"/>
      <c r="M498" s="727"/>
      <c r="N498" s="727"/>
      <c r="O498" s="727"/>
      <c r="P498" s="727"/>
      <c r="Q498" s="727"/>
      <c r="R498" s="727"/>
      <c r="S498" s="727"/>
      <c r="T498" s="727"/>
      <c r="U498" s="727"/>
      <c r="V498" s="727"/>
      <c r="W498" s="727"/>
      <c r="X498" s="727"/>
      <c r="Y498" s="727"/>
      <c r="Z498" s="727"/>
      <c r="AA498" s="727"/>
      <c r="AB498" s="727"/>
      <c r="AC498" s="727"/>
      <c r="AD498" s="727"/>
      <c r="AE498" s="727"/>
      <c r="AF498" s="727"/>
      <c r="AG498" s="727"/>
      <c r="AH498" s="727"/>
      <c r="AI498" s="727"/>
      <c r="AJ498" s="727"/>
      <c r="AK498" s="727"/>
      <c r="AL498" s="727"/>
      <c r="AM498" s="727"/>
      <c r="AN498" s="727"/>
      <c r="AO498" s="727"/>
      <c r="AP498" s="727"/>
      <c r="AQ498" s="727"/>
      <c r="AR498" s="727"/>
      <c r="AS498" s="727"/>
      <c r="AT498" s="727"/>
      <c r="AU498" s="727"/>
      <c r="AV498" s="727"/>
      <c r="AW498" s="727"/>
      <c r="AX498" s="727"/>
      <c r="AY498" s="727"/>
      <c r="AZ498" s="727"/>
      <c r="BA498" s="727"/>
      <c r="BB498" s="727"/>
    </row>
    <row r="499" spans="1:54">
      <c r="A499" s="326"/>
      <c r="B499" s="791">
        <v>4.5</v>
      </c>
      <c r="C499" s="792">
        <v>450</v>
      </c>
      <c r="D499" s="779">
        <v>7.0760000000000003E-2</v>
      </c>
      <c r="E499" s="779">
        <v>3005.8</v>
      </c>
      <c r="F499" s="779">
        <v>3324.2</v>
      </c>
      <c r="G499" s="779">
        <v>6.8769999999999998</v>
      </c>
      <c r="H499" s="727"/>
      <c r="I499" s="727"/>
      <c r="J499" s="727"/>
      <c r="K499" s="727"/>
      <c r="L499" s="727"/>
      <c r="M499" s="727"/>
      <c r="N499" s="727"/>
      <c r="O499" s="727"/>
      <c r="P499" s="727"/>
      <c r="Q499" s="727"/>
      <c r="R499" s="727"/>
      <c r="S499" s="727"/>
      <c r="T499" s="727"/>
      <c r="U499" s="727"/>
      <c r="V499" s="727"/>
      <c r="W499" s="727"/>
      <c r="X499" s="727"/>
      <c r="Y499" s="727"/>
      <c r="Z499" s="727"/>
      <c r="AA499" s="727"/>
      <c r="AB499" s="727"/>
      <c r="AC499" s="727"/>
      <c r="AD499" s="727"/>
      <c r="AE499" s="727"/>
      <c r="AF499" s="727"/>
      <c r="AG499" s="727"/>
      <c r="AH499" s="727"/>
      <c r="AI499" s="727"/>
      <c r="AJ499" s="727"/>
      <c r="AK499" s="727"/>
      <c r="AL499" s="727"/>
      <c r="AM499" s="727"/>
      <c r="AN499" s="727"/>
      <c r="AO499" s="727"/>
      <c r="AP499" s="727"/>
      <c r="AQ499" s="727"/>
      <c r="AR499" s="727"/>
      <c r="AS499" s="727"/>
      <c r="AT499" s="727"/>
      <c r="AU499" s="727"/>
      <c r="AV499" s="727"/>
      <c r="AW499" s="727"/>
      <c r="AX499" s="727"/>
      <c r="AY499" s="727"/>
      <c r="AZ499" s="727"/>
      <c r="BA499" s="727"/>
      <c r="BB499" s="727"/>
    </row>
    <row r="500" spans="1:54">
      <c r="A500" s="326"/>
      <c r="B500" s="791">
        <v>4.5</v>
      </c>
      <c r="C500" s="792">
        <v>500</v>
      </c>
      <c r="D500" s="779">
        <v>7.6520000000000005E-2</v>
      </c>
      <c r="E500" s="779">
        <v>3096</v>
      </c>
      <c r="F500" s="779">
        <v>3440.4</v>
      </c>
      <c r="G500" s="779">
        <v>7.0323000000000002</v>
      </c>
      <c r="H500" s="727"/>
      <c r="I500" s="727"/>
      <c r="J500" s="727"/>
      <c r="K500" s="727"/>
      <c r="L500" s="727"/>
      <c r="M500" s="727"/>
      <c r="N500" s="727"/>
      <c r="O500" s="727"/>
      <c r="P500" s="727"/>
      <c r="Q500" s="727"/>
      <c r="R500" s="727"/>
      <c r="S500" s="727"/>
      <c r="T500" s="727"/>
      <c r="U500" s="727"/>
      <c r="V500" s="727"/>
      <c r="W500" s="727"/>
      <c r="X500" s="727"/>
      <c r="Y500" s="727"/>
      <c r="Z500" s="727"/>
      <c r="AA500" s="727"/>
      <c r="AB500" s="727"/>
      <c r="AC500" s="727"/>
      <c r="AD500" s="727"/>
      <c r="AE500" s="727"/>
      <c r="AF500" s="727"/>
      <c r="AG500" s="727"/>
      <c r="AH500" s="727"/>
      <c r="AI500" s="727"/>
      <c r="AJ500" s="727"/>
      <c r="AK500" s="727"/>
      <c r="AL500" s="727"/>
      <c r="AM500" s="727"/>
      <c r="AN500" s="727"/>
      <c r="AO500" s="727"/>
      <c r="AP500" s="727"/>
      <c r="AQ500" s="727"/>
      <c r="AR500" s="727"/>
      <c r="AS500" s="727"/>
      <c r="AT500" s="727"/>
      <c r="AU500" s="727"/>
      <c r="AV500" s="727"/>
      <c r="AW500" s="727"/>
      <c r="AX500" s="727"/>
      <c r="AY500" s="727"/>
      <c r="AZ500" s="727"/>
      <c r="BA500" s="727"/>
      <c r="BB500" s="727"/>
    </row>
    <row r="501" spans="1:54">
      <c r="A501" s="326"/>
      <c r="B501" s="791">
        <v>4.5</v>
      </c>
      <c r="C501" s="792">
        <v>600</v>
      </c>
      <c r="D501" s="779">
        <v>8.7660000000000002E-2</v>
      </c>
      <c r="E501" s="779">
        <v>3276.4</v>
      </c>
      <c r="F501" s="779">
        <v>3670.9</v>
      </c>
      <c r="G501" s="779">
        <v>7.3127000000000004</v>
      </c>
      <c r="H501" s="727"/>
      <c r="I501" s="727"/>
      <c r="J501" s="727"/>
      <c r="K501" s="727"/>
      <c r="L501" s="727"/>
      <c r="M501" s="727"/>
      <c r="N501" s="727"/>
      <c r="O501" s="727"/>
      <c r="P501" s="727"/>
      <c r="Q501" s="727"/>
      <c r="R501" s="727"/>
      <c r="S501" s="727"/>
      <c r="T501" s="727"/>
      <c r="U501" s="727"/>
      <c r="V501" s="727"/>
      <c r="W501" s="727"/>
      <c r="X501" s="727"/>
      <c r="Y501" s="727"/>
      <c r="Z501" s="727"/>
      <c r="AA501" s="727"/>
      <c r="AB501" s="727"/>
      <c r="AC501" s="727"/>
      <c r="AD501" s="727"/>
      <c r="AE501" s="727"/>
      <c r="AF501" s="727"/>
      <c r="AG501" s="727"/>
      <c r="AH501" s="727"/>
      <c r="AI501" s="727"/>
      <c r="AJ501" s="727"/>
      <c r="AK501" s="727"/>
      <c r="AL501" s="727"/>
      <c r="AM501" s="727"/>
      <c r="AN501" s="727"/>
      <c r="AO501" s="727"/>
      <c r="AP501" s="727"/>
      <c r="AQ501" s="727"/>
      <c r="AR501" s="727"/>
      <c r="AS501" s="727"/>
      <c r="AT501" s="727"/>
      <c r="AU501" s="727"/>
      <c r="AV501" s="727"/>
      <c r="AW501" s="727"/>
      <c r="AX501" s="727"/>
      <c r="AY501" s="727"/>
      <c r="AZ501" s="727"/>
      <c r="BA501" s="727"/>
      <c r="BB501" s="727"/>
    </row>
    <row r="502" spans="1:54">
      <c r="A502" s="326"/>
      <c r="B502" s="791">
        <v>4.5</v>
      </c>
      <c r="C502" s="792">
        <v>700</v>
      </c>
      <c r="D502" s="779">
        <v>9.8500000000000004E-2</v>
      </c>
      <c r="E502" s="779">
        <v>3460</v>
      </c>
      <c r="F502" s="779">
        <v>3903.3</v>
      </c>
      <c r="G502" s="779">
        <v>7.5647000000000002</v>
      </c>
      <c r="H502" s="727"/>
      <c r="I502" s="727"/>
      <c r="J502" s="727"/>
      <c r="K502" s="727"/>
      <c r="L502" s="727"/>
      <c r="M502" s="727"/>
      <c r="N502" s="727"/>
      <c r="O502" s="727"/>
      <c r="P502" s="727"/>
      <c r="Q502" s="727"/>
      <c r="R502" s="727"/>
      <c r="S502" s="727"/>
      <c r="T502" s="727"/>
      <c r="U502" s="727"/>
      <c r="V502" s="727"/>
      <c r="W502" s="727"/>
      <c r="X502" s="727"/>
      <c r="Y502" s="727"/>
      <c r="Z502" s="727"/>
      <c r="AA502" s="727"/>
      <c r="AB502" s="727"/>
      <c r="AC502" s="727"/>
      <c r="AD502" s="727"/>
      <c r="AE502" s="727"/>
      <c r="AF502" s="727"/>
      <c r="AG502" s="727"/>
      <c r="AH502" s="727"/>
      <c r="AI502" s="727"/>
      <c r="AJ502" s="727"/>
      <c r="AK502" s="727"/>
      <c r="AL502" s="727"/>
      <c r="AM502" s="727"/>
      <c r="AN502" s="727"/>
      <c r="AO502" s="727"/>
      <c r="AP502" s="727"/>
      <c r="AQ502" s="727"/>
      <c r="AR502" s="727"/>
      <c r="AS502" s="727"/>
      <c r="AT502" s="727"/>
      <c r="AU502" s="727"/>
      <c r="AV502" s="727"/>
      <c r="AW502" s="727"/>
      <c r="AX502" s="727"/>
      <c r="AY502" s="727"/>
      <c r="AZ502" s="727"/>
      <c r="BA502" s="727"/>
      <c r="BB502" s="727"/>
    </row>
    <row r="503" spans="1:54">
      <c r="A503" s="326"/>
      <c r="B503" s="791">
        <v>4.5</v>
      </c>
      <c r="C503" s="792">
        <v>800</v>
      </c>
      <c r="D503" s="779">
        <v>0.10915999999999999</v>
      </c>
      <c r="E503" s="779">
        <v>3648.8</v>
      </c>
      <c r="F503" s="779">
        <v>4140</v>
      </c>
      <c r="G503" s="779">
        <v>7.7961999999999998</v>
      </c>
      <c r="H503" s="727"/>
      <c r="I503" s="727"/>
      <c r="J503" s="727"/>
      <c r="K503" s="727"/>
      <c r="L503" s="727"/>
      <c r="M503" s="727"/>
      <c r="N503" s="727"/>
      <c r="O503" s="727"/>
      <c r="P503" s="727"/>
      <c r="Q503" s="727"/>
      <c r="R503" s="727"/>
      <c r="S503" s="727"/>
      <c r="T503" s="727"/>
      <c r="U503" s="727"/>
      <c r="V503" s="727"/>
      <c r="W503" s="727"/>
      <c r="X503" s="727"/>
      <c r="Y503" s="727"/>
      <c r="Z503" s="727"/>
      <c r="AA503" s="727"/>
      <c r="AB503" s="727"/>
      <c r="AC503" s="727"/>
      <c r="AD503" s="727"/>
      <c r="AE503" s="727"/>
      <c r="AF503" s="727"/>
      <c r="AG503" s="727"/>
      <c r="AH503" s="727"/>
      <c r="AI503" s="727"/>
      <c r="AJ503" s="727"/>
      <c r="AK503" s="727"/>
      <c r="AL503" s="727"/>
      <c r="AM503" s="727"/>
      <c r="AN503" s="727"/>
      <c r="AO503" s="727"/>
      <c r="AP503" s="727"/>
      <c r="AQ503" s="727"/>
      <c r="AR503" s="727"/>
      <c r="AS503" s="727"/>
      <c r="AT503" s="727"/>
      <c r="AU503" s="727"/>
      <c r="AV503" s="727"/>
      <c r="AW503" s="727"/>
      <c r="AX503" s="727"/>
      <c r="AY503" s="727"/>
      <c r="AZ503" s="727"/>
      <c r="BA503" s="727"/>
      <c r="BB503" s="727"/>
    </row>
    <row r="504" spans="1:54">
      <c r="A504" s="326"/>
      <c r="B504" s="791">
        <v>4.5</v>
      </c>
      <c r="C504" s="792">
        <v>900</v>
      </c>
      <c r="D504" s="779">
        <v>0.11971999999999999</v>
      </c>
      <c r="E504" s="779">
        <v>3843.3</v>
      </c>
      <c r="F504" s="779">
        <v>4382.1000000000004</v>
      </c>
      <c r="G504" s="779">
        <v>8.0117999999999991</v>
      </c>
      <c r="H504" s="727"/>
      <c r="I504" s="727"/>
      <c r="J504" s="727"/>
      <c r="K504" s="727"/>
      <c r="L504" s="727"/>
      <c r="M504" s="727"/>
      <c r="N504" s="727"/>
      <c r="O504" s="727"/>
      <c r="P504" s="727"/>
      <c r="Q504" s="727"/>
      <c r="R504" s="727"/>
      <c r="S504" s="727"/>
      <c r="T504" s="727"/>
      <c r="U504" s="727"/>
      <c r="V504" s="727"/>
      <c r="W504" s="727"/>
      <c r="X504" s="727"/>
      <c r="Y504" s="727"/>
      <c r="Z504" s="727"/>
      <c r="AA504" s="727"/>
      <c r="AB504" s="727"/>
      <c r="AC504" s="727"/>
      <c r="AD504" s="727"/>
      <c r="AE504" s="727"/>
      <c r="AF504" s="727"/>
      <c r="AG504" s="727"/>
      <c r="AH504" s="727"/>
      <c r="AI504" s="727"/>
      <c r="AJ504" s="727"/>
      <c r="AK504" s="727"/>
      <c r="AL504" s="727"/>
      <c r="AM504" s="727"/>
      <c r="AN504" s="727"/>
      <c r="AO504" s="727"/>
      <c r="AP504" s="727"/>
      <c r="AQ504" s="727"/>
      <c r="AR504" s="727"/>
      <c r="AS504" s="727"/>
      <c r="AT504" s="727"/>
      <c r="AU504" s="727"/>
      <c r="AV504" s="727"/>
      <c r="AW504" s="727"/>
      <c r="AX504" s="727"/>
      <c r="AY504" s="727"/>
      <c r="AZ504" s="727"/>
      <c r="BA504" s="727"/>
      <c r="BB504" s="727"/>
    </row>
    <row r="505" spans="1:54">
      <c r="A505" s="326"/>
      <c r="B505" s="791">
        <v>4.5</v>
      </c>
      <c r="C505" s="792">
        <v>1000</v>
      </c>
      <c r="D505" s="779">
        <v>0.13020000000000001</v>
      </c>
      <c r="E505" s="779">
        <v>4043.9</v>
      </c>
      <c r="F505" s="779">
        <v>4629.8</v>
      </c>
      <c r="G505" s="779">
        <v>8.2143999999999995</v>
      </c>
      <c r="H505" s="727"/>
      <c r="I505" s="727"/>
      <c r="J505" s="727"/>
      <c r="K505" s="727"/>
      <c r="L505" s="727"/>
      <c r="M505" s="727"/>
      <c r="N505" s="727"/>
      <c r="O505" s="727"/>
      <c r="P505" s="727"/>
      <c r="Q505" s="727"/>
      <c r="R505" s="727"/>
      <c r="S505" s="727"/>
      <c r="T505" s="727"/>
      <c r="U505" s="727"/>
      <c r="V505" s="727"/>
      <c r="W505" s="727"/>
      <c r="X505" s="727"/>
      <c r="Y505" s="727"/>
      <c r="Z505" s="727"/>
      <c r="AA505" s="727"/>
      <c r="AB505" s="727"/>
      <c r="AC505" s="727"/>
      <c r="AD505" s="727"/>
      <c r="AE505" s="727"/>
      <c r="AF505" s="727"/>
      <c r="AG505" s="727"/>
      <c r="AH505" s="727"/>
      <c r="AI505" s="727"/>
      <c r="AJ505" s="727"/>
      <c r="AK505" s="727"/>
      <c r="AL505" s="727"/>
      <c r="AM505" s="727"/>
      <c r="AN505" s="727"/>
      <c r="AO505" s="727"/>
      <c r="AP505" s="727"/>
      <c r="AQ505" s="727"/>
      <c r="AR505" s="727"/>
      <c r="AS505" s="727"/>
      <c r="AT505" s="727"/>
      <c r="AU505" s="727"/>
      <c r="AV505" s="727"/>
      <c r="AW505" s="727"/>
      <c r="AX505" s="727"/>
      <c r="AY505" s="727"/>
      <c r="AZ505" s="727"/>
      <c r="BA505" s="727"/>
      <c r="BB505" s="727"/>
    </row>
    <row r="506" spans="1:54">
      <c r="A506" s="326"/>
      <c r="B506" s="791">
        <v>4.5</v>
      </c>
      <c r="C506" s="792">
        <v>1100</v>
      </c>
      <c r="D506" s="779">
        <v>0.14063999999999999</v>
      </c>
      <c r="E506" s="779">
        <v>4250.3999999999996</v>
      </c>
      <c r="F506" s="779">
        <v>4883.2</v>
      </c>
      <c r="G506" s="779">
        <v>8.4060000000000006</v>
      </c>
      <c r="H506" s="727"/>
      <c r="I506" s="727"/>
      <c r="J506" s="727"/>
      <c r="K506" s="727"/>
      <c r="L506" s="727"/>
      <c r="M506" s="727"/>
      <c r="N506" s="727"/>
      <c r="O506" s="727"/>
      <c r="P506" s="727"/>
      <c r="Q506" s="727"/>
      <c r="R506" s="727"/>
      <c r="S506" s="727"/>
      <c r="T506" s="727"/>
      <c r="U506" s="727"/>
      <c r="V506" s="727"/>
      <c r="W506" s="727"/>
      <c r="X506" s="727"/>
      <c r="Y506" s="727"/>
      <c r="Z506" s="727"/>
      <c r="AA506" s="727"/>
      <c r="AB506" s="727"/>
      <c r="AC506" s="727"/>
      <c r="AD506" s="727"/>
      <c r="AE506" s="727"/>
      <c r="AF506" s="727"/>
      <c r="AG506" s="727"/>
      <c r="AH506" s="727"/>
      <c r="AI506" s="727"/>
      <c r="AJ506" s="727"/>
      <c r="AK506" s="727"/>
      <c r="AL506" s="727"/>
      <c r="AM506" s="727"/>
      <c r="AN506" s="727"/>
      <c r="AO506" s="727"/>
      <c r="AP506" s="727"/>
      <c r="AQ506" s="727"/>
      <c r="AR506" s="727"/>
      <c r="AS506" s="727"/>
      <c r="AT506" s="727"/>
      <c r="AU506" s="727"/>
      <c r="AV506" s="727"/>
      <c r="AW506" s="727"/>
      <c r="AX506" s="727"/>
      <c r="AY506" s="727"/>
      <c r="AZ506" s="727"/>
      <c r="BA506" s="727"/>
      <c r="BB506" s="727"/>
    </row>
    <row r="507" spans="1:54">
      <c r="A507" s="326"/>
      <c r="B507" s="791">
        <v>4.5</v>
      </c>
      <c r="C507" s="792">
        <v>1200</v>
      </c>
      <c r="D507" s="779">
        <v>0.15103</v>
      </c>
      <c r="E507" s="779">
        <v>4462.6000000000004</v>
      </c>
      <c r="F507" s="779">
        <v>5142.2</v>
      </c>
      <c r="G507" s="779">
        <v>8.5879999999999992</v>
      </c>
      <c r="H507" s="727"/>
      <c r="I507" s="727"/>
      <c r="J507" s="727"/>
      <c r="K507" s="727"/>
      <c r="L507" s="727"/>
      <c r="M507" s="727"/>
      <c r="N507" s="727"/>
      <c r="O507" s="727"/>
      <c r="P507" s="727"/>
      <c r="Q507" s="727"/>
      <c r="R507" s="727"/>
      <c r="S507" s="727"/>
      <c r="T507" s="727"/>
      <c r="U507" s="727"/>
      <c r="V507" s="727"/>
      <c r="W507" s="727"/>
      <c r="X507" s="727"/>
      <c r="Y507" s="727"/>
      <c r="Z507" s="727"/>
      <c r="AA507" s="727"/>
      <c r="AB507" s="727"/>
      <c r="AC507" s="727"/>
      <c r="AD507" s="727"/>
      <c r="AE507" s="727"/>
      <c r="AF507" s="727"/>
      <c r="AG507" s="727"/>
      <c r="AH507" s="727"/>
      <c r="AI507" s="727"/>
      <c r="AJ507" s="727"/>
      <c r="AK507" s="727"/>
      <c r="AL507" s="727"/>
      <c r="AM507" s="727"/>
      <c r="AN507" s="727"/>
      <c r="AO507" s="727"/>
      <c r="AP507" s="727"/>
      <c r="AQ507" s="727"/>
      <c r="AR507" s="727"/>
      <c r="AS507" s="727"/>
      <c r="AT507" s="727"/>
      <c r="AU507" s="727"/>
      <c r="AV507" s="727"/>
      <c r="AW507" s="727"/>
      <c r="AX507" s="727"/>
      <c r="AY507" s="727"/>
      <c r="AZ507" s="727"/>
      <c r="BA507" s="727"/>
      <c r="BB507" s="727"/>
    </row>
    <row r="508" spans="1:54">
      <c r="A508" s="326"/>
      <c r="B508" s="791">
        <v>4.5</v>
      </c>
      <c r="C508" s="792">
        <v>1300</v>
      </c>
      <c r="D508" s="779">
        <v>0.16139999999999999</v>
      </c>
      <c r="E508" s="779">
        <v>4680.1000000000004</v>
      </c>
      <c r="F508" s="779">
        <v>5406.5</v>
      </c>
      <c r="G508" s="779">
        <v>8.7615999999999996</v>
      </c>
      <c r="H508" s="727"/>
      <c r="I508" s="727"/>
      <c r="J508" s="727"/>
      <c r="K508" s="727"/>
      <c r="L508" s="727"/>
      <c r="M508" s="727"/>
      <c r="N508" s="727"/>
      <c r="O508" s="727"/>
      <c r="P508" s="727"/>
      <c r="Q508" s="727"/>
      <c r="R508" s="727"/>
      <c r="S508" s="727"/>
      <c r="T508" s="727"/>
      <c r="U508" s="727"/>
      <c r="V508" s="727"/>
      <c r="W508" s="727"/>
      <c r="X508" s="727"/>
      <c r="Y508" s="727"/>
      <c r="Z508" s="727"/>
      <c r="AA508" s="727"/>
      <c r="AB508" s="727"/>
      <c r="AC508" s="727"/>
      <c r="AD508" s="727"/>
      <c r="AE508" s="727"/>
      <c r="AF508" s="727"/>
      <c r="AG508" s="727"/>
      <c r="AH508" s="727"/>
      <c r="AI508" s="727"/>
      <c r="AJ508" s="727"/>
      <c r="AK508" s="727"/>
      <c r="AL508" s="727"/>
      <c r="AM508" s="727"/>
      <c r="AN508" s="727"/>
      <c r="AO508" s="727"/>
      <c r="AP508" s="727"/>
      <c r="AQ508" s="727"/>
      <c r="AR508" s="727"/>
      <c r="AS508" s="727"/>
      <c r="AT508" s="727"/>
      <c r="AU508" s="727"/>
      <c r="AV508" s="727"/>
      <c r="AW508" s="727"/>
      <c r="AX508" s="727"/>
      <c r="AY508" s="727"/>
      <c r="AZ508" s="727"/>
      <c r="BA508" s="727"/>
      <c r="BB508" s="727"/>
    </row>
    <row r="509" spans="1:54">
      <c r="A509" s="326"/>
      <c r="B509" s="791">
        <v>5</v>
      </c>
      <c r="C509" s="792">
        <v>263.94</v>
      </c>
      <c r="D509" s="779">
        <v>3.9449999999999999E-2</v>
      </c>
      <c r="E509" s="779">
        <v>2597</v>
      </c>
      <c r="F509" s="779">
        <v>2794.2</v>
      </c>
      <c r="G509" s="779">
        <v>5.9737</v>
      </c>
      <c r="H509" s="727"/>
      <c r="I509" s="727"/>
      <c r="J509" s="727"/>
      <c r="K509" s="727"/>
      <c r="L509" s="727"/>
      <c r="M509" s="727"/>
      <c r="N509" s="727"/>
      <c r="O509" s="727"/>
      <c r="P509" s="727"/>
      <c r="Q509" s="727"/>
      <c r="R509" s="727"/>
      <c r="S509" s="727"/>
      <c r="T509" s="727"/>
      <c r="U509" s="727"/>
      <c r="V509" s="727"/>
      <c r="W509" s="727"/>
      <c r="X509" s="727"/>
      <c r="Y509" s="727"/>
      <c r="Z509" s="727"/>
      <c r="AA509" s="727"/>
      <c r="AB509" s="727"/>
      <c r="AC509" s="727"/>
      <c r="AD509" s="727"/>
      <c r="AE509" s="727"/>
      <c r="AF509" s="727"/>
      <c r="AG509" s="727"/>
      <c r="AH509" s="727"/>
      <c r="AI509" s="727"/>
      <c r="AJ509" s="727"/>
      <c r="AK509" s="727"/>
      <c r="AL509" s="727"/>
      <c r="AM509" s="727"/>
      <c r="AN509" s="727"/>
      <c r="AO509" s="727"/>
      <c r="AP509" s="727"/>
      <c r="AQ509" s="727"/>
      <c r="AR509" s="727"/>
      <c r="AS509" s="727"/>
      <c r="AT509" s="727"/>
      <c r="AU509" s="727"/>
      <c r="AV509" s="727"/>
      <c r="AW509" s="727"/>
      <c r="AX509" s="727"/>
      <c r="AY509" s="727"/>
      <c r="AZ509" s="727"/>
      <c r="BA509" s="727"/>
      <c r="BB509" s="727"/>
    </row>
    <row r="510" spans="1:54">
      <c r="A510" s="326"/>
      <c r="B510" s="791">
        <v>5</v>
      </c>
      <c r="C510" s="792">
        <v>275</v>
      </c>
      <c r="D510" s="779">
        <v>4.1439999999999998E-2</v>
      </c>
      <c r="E510" s="779">
        <v>2632.3</v>
      </c>
      <c r="F510" s="779">
        <v>2839.5</v>
      </c>
      <c r="G510" s="779">
        <v>6.0571000000000002</v>
      </c>
      <c r="H510" s="727"/>
      <c r="I510" s="727"/>
      <c r="J510" s="727"/>
      <c r="K510" s="727"/>
      <c r="L510" s="727"/>
      <c r="M510" s="727"/>
      <c r="N510" s="727"/>
      <c r="O510" s="727"/>
      <c r="P510" s="727"/>
      <c r="Q510" s="727"/>
      <c r="R510" s="727"/>
      <c r="S510" s="727"/>
      <c r="T510" s="727"/>
      <c r="U510" s="727"/>
      <c r="V510" s="727"/>
      <c r="W510" s="727"/>
      <c r="X510" s="727"/>
      <c r="Y510" s="727"/>
      <c r="Z510" s="727"/>
      <c r="AA510" s="727"/>
      <c r="AB510" s="727"/>
      <c r="AC510" s="727"/>
      <c r="AD510" s="727"/>
      <c r="AE510" s="727"/>
      <c r="AF510" s="727"/>
      <c r="AG510" s="727"/>
      <c r="AH510" s="727"/>
      <c r="AI510" s="727"/>
      <c r="AJ510" s="727"/>
      <c r="AK510" s="727"/>
      <c r="AL510" s="727"/>
      <c r="AM510" s="727"/>
      <c r="AN510" s="727"/>
      <c r="AO510" s="727"/>
      <c r="AP510" s="727"/>
      <c r="AQ510" s="727"/>
      <c r="AR510" s="727"/>
      <c r="AS510" s="727"/>
      <c r="AT510" s="727"/>
      <c r="AU510" s="727"/>
      <c r="AV510" s="727"/>
      <c r="AW510" s="727"/>
      <c r="AX510" s="727"/>
      <c r="AY510" s="727"/>
      <c r="AZ510" s="727"/>
      <c r="BA510" s="727"/>
      <c r="BB510" s="727"/>
    </row>
    <row r="511" spans="1:54">
      <c r="A511" s="326"/>
      <c r="B511" s="791">
        <v>5</v>
      </c>
      <c r="C511" s="792">
        <v>300</v>
      </c>
      <c r="D511" s="779">
        <v>4.5350000000000001E-2</v>
      </c>
      <c r="E511" s="779">
        <v>2699</v>
      </c>
      <c r="F511" s="779">
        <v>2925.7</v>
      </c>
      <c r="G511" s="779">
        <v>6.2111000000000001</v>
      </c>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727"/>
      <c r="AH511" s="727"/>
      <c r="AI511" s="727"/>
      <c r="AJ511" s="727"/>
      <c r="AK511" s="727"/>
      <c r="AL511" s="727"/>
      <c r="AM511" s="727"/>
      <c r="AN511" s="727"/>
      <c r="AO511" s="727"/>
      <c r="AP511" s="727"/>
      <c r="AQ511" s="727"/>
      <c r="AR511" s="727"/>
      <c r="AS511" s="727"/>
      <c r="AT511" s="727"/>
      <c r="AU511" s="727"/>
      <c r="AV511" s="727"/>
      <c r="AW511" s="727"/>
      <c r="AX511" s="727"/>
      <c r="AY511" s="727"/>
      <c r="AZ511" s="727"/>
      <c r="BA511" s="727"/>
      <c r="BB511" s="727"/>
    </row>
    <row r="512" spans="1:54">
      <c r="A512" s="326"/>
      <c r="B512" s="791">
        <v>5</v>
      </c>
      <c r="C512" s="792">
        <v>350</v>
      </c>
      <c r="D512" s="779">
        <v>5.1970000000000002E-2</v>
      </c>
      <c r="E512" s="779">
        <v>2809.5</v>
      </c>
      <c r="F512" s="779">
        <v>3069.3</v>
      </c>
      <c r="G512" s="779">
        <v>6.4516</v>
      </c>
      <c r="H512" s="727"/>
      <c r="I512" s="727"/>
      <c r="J512" s="727"/>
      <c r="K512" s="727"/>
      <c r="L512" s="727"/>
      <c r="M512" s="727"/>
      <c r="N512" s="727"/>
      <c r="O512" s="727"/>
      <c r="P512" s="727"/>
      <c r="Q512" s="727"/>
      <c r="R512" s="727"/>
      <c r="S512" s="727"/>
      <c r="T512" s="727"/>
      <c r="U512" s="727"/>
      <c r="V512" s="727"/>
      <c r="W512" s="727"/>
      <c r="X512" s="727"/>
      <c r="Y512" s="727"/>
      <c r="Z512" s="727"/>
      <c r="AA512" s="727"/>
      <c r="AB512" s="727"/>
      <c r="AC512" s="727"/>
      <c r="AD512" s="727"/>
      <c r="AE512" s="727"/>
      <c r="AF512" s="727"/>
      <c r="AG512" s="727"/>
      <c r="AH512" s="727"/>
      <c r="AI512" s="727"/>
      <c r="AJ512" s="727"/>
      <c r="AK512" s="727"/>
      <c r="AL512" s="727"/>
      <c r="AM512" s="727"/>
      <c r="AN512" s="727"/>
      <c r="AO512" s="727"/>
      <c r="AP512" s="727"/>
      <c r="AQ512" s="727"/>
      <c r="AR512" s="727"/>
      <c r="AS512" s="727"/>
      <c r="AT512" s="727"/>
      <c r="AU512" s="727"/>
      <c r="AV512" s="727"/>
      <c r="AW512" s="727"/>
      <c r="AX512" s="727"/>
      <c r="AY512" s="727"/>
      <c r="AZ512" s="727"/>
      <c r="BA512" s="727"/>
      <c r="BB512" s="727"/>
    </row>
    <row r="513" spans="1:54">
      <c r="A513" s="326"/>
      <c r="B513" s="791">
        <v>5</v>
      </c>
      <c r="C513" s="792">
        <v>400</v>
      </c>
      <c r="D513" s="779">
        <v>5.7840000000000003E-2</v>
      </c>
      <c r="E513" s="779">
        <v>2907.5</v>
      </c>
      <c r="F513" s="779">
        <v>3196.7</v>
      </c>
      <c r="G513" s="779">
        <v>6.6482999999999999</v>
      </c>
      <c r="H513" s="727"/>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27"/>
      <c r="AE513" s="727"/>
      <c r="AF513" s="727"/>
      <c r="AG513" s="727"/>
      <c r="AH513" s="727"/>
      <c r="AI513" s="727"/>
      <c r="AJ513" s="727"/>
      <c r="AK513" s="727"/>
      <c r="AL513" s="727"/>
      <c r="AM513" s="727"/>
      <c r="AN513" s="727"/>
      <c r="AO513" s="727"/>
      <c r="AP513" s="727"/>
      <c r="AQ513" s="727"/>
      <c r="AR513" s="727"/>
      <c r="AS513" s="727"/>
      <c r="AT513" s="727"/>
      <c r="AU513" s="727"/>
      <c r="AV513" s="727"/>
      <c r="AW513" s="727"/>
      <c r="AX513" s="727"/>
      <c r="AY513" s="727"/>
      <c r="AZ513" s="727"/>
      <c r="BA513" s="727"/>
      <c r="BB513" s="727"/>
    </row>
    <row r="514" spans="1:54">
      <c r="A514" s="326"/>
      <c r="B514" s="791">
        <v>5</v>
      </c>
      <c r="C514" s="792">
        <v>450</v>
      </c>
      <c r="D514" s="779">
        <v>6.3320000000000001E-2</v>
      </c>
      <c r="E514" s="779">
        <v>3000.6</v>
      </c>
      <c r="F514" s="779">
        <v>3317.2</v>
      </c>
      <c r="G514" s="779">
        <v>6.8209999999999997</v>
      </c>
      <c r="H514" s="727"/>
      <c r="I514" s="727"/>
      <c r="J514" s="727"/>
      <c r="K514" s="727"/>
      <c r="L514" s="727"/>
      <c r="M514" s="727"/>
      <c r="N514" s="727"/>
      <c r="O514" s="727"/>
      <c r="P514" s="727"/>
      <c r="Q514" s="727"/>
      <c r="R514" s="727"/>
      <c r="S514" s="727"/>
      <c r="T514" s="727"/>
      <c r="U514" s="727"/>
      <c r="V514" s="727"/>
      <c r="W514" s="727"/>
      <c r="X514" s="727"/>
      <c r="Y514" s="727"/>
      <c r="Z514" s="727"/>
      <c r="AA514" s="727"/>
      <c r="AB514" s="727"/>
      <c r="AC514" s="727"/>
      <c r="AD514" s="727"/>
      <c r="AE514" s="727"/>
      <c r="AF514" s="727"/>
      <c r="AG514" s="727"/>
      <c r="AH514" s="727"/>
      <c r="AI514" s="727"/>
      <c r="AJ514" s="727"/>
      <c r="AK514" s="727"/>
      <c r="AL514" s="727"/>
      <c r="AM514" s="727"/>
      <c r="AN514" s="727"/>
      <c r="AO514" s="727"/>
      <c r="AP514" s="727"/>
      <c r="AQ514" s="727"/>
      <c r="AR514" s="727"/>
      <c r="AS514" s="727"/>
      <c r="AT514" s="727"/>
      <c r="AU514" s="727"/>
      <c r="AV514" s="727"/>
      <c r="AW514" s="727"/>
      <c r="AX514" s="727"/>
      <c r="AY514" s="727"/>
      <c r="AZ514" s="727"/>
      <c r="BA514" s="727"/>
      <c r="BB514" s="727"/>
    </row>
    <row r="515" spans="1:54">
      <c r="A515" s="326"/>
      <c r="B515" s="791">
        <v>5</v>
      </c>
      <c r="C515" s="792">
        <v>500</v>
      </c>
      <c r="D515" s="779">
        <v>6.8580000000000002E-2</v>
      </c>
      <c r="E515" s="779">
        <v>3091.8</v>
      </c>
      <c r="F515" s="779">
        <v>3434.7</v>
      </c>
      <c r="G515" s="779">
        <v>6.9781000000000004</v>
      </c>
      <c r="H515" s="727"/>
      <c r="I515" s="727"/>
      <c r="J515" s="727"/>
      <c r="K515" s="727"/>
      <c r="L515" s="727"/>
      <c r="M515" s="727"/>
      <c r="N515" s="727"/>
      <c r="O515" s="727"/>
      <c r="P515" s="727"/>
      <c r="Q515" s="727"/>
      <c r="R515" s="727"/>
      <c r="S515" s="727"/>
      <c r="T515" s="727"/>
      <c r="U515" s="727"/>
      <c r="V515" s="727"/>
      <c r="W515" s="727"/>
      <c r="X515" s="727"/>
      <c r="Y515" s="727"/>
      <c r="Z515" s="727"/>
      <c r="AA515" s="727"/>
      <c r="AB515" s="727"/>
      <c r="AC515" s="727"/>
      <c r="AD515" s="727"/>
      <c r="AE515" s="727"/>
      <c r="AF515" s="727"/>
      <c r="AG515" s="727"/>
      <c r="AH515" s="727"/>
      <c r="AI515" s="727"/>
      <c r="AJ515" s="727"/>
      <c r="AK515" s="727"/>
      <c r="AL515" s="727"/>
      <c r="AM515" s="727"/>
      <c r="AN515" s="727"/>
      <c r="AO515" s="727"/>
      <c r="AP515" s="727"/>
      <c r="AQ515" s="727"/>
      <c r="AR515" s="727"/>
      <c r="AS515" s="727"/>
      <c r="AT515" s="727"/>
      <c r="AU515" s="727"/>
      <c r="AV515" s="727"/>
      <c r="AW515" s="727"/>
      <c r="AX515" s="727"/>
      <c r="AY515" s="727"/>
      <c r="AZ515" s="727"/>
      <c r="BA515" s="727"/>
      <c r="BB515" s="727"/>
    </row>
    <row r="516" spans="1:54">
      <c r="A516" s="326"/>
      <c r="B516" s="791">
        <v>5</v>
      </c>
      <c r="C516" s="792">
        <v>600</v>
      </c>
      <c r="D516" s="779">
        <v>7.8700000000000006E-2</v>
      </c>
      <c r="E516" s="779">
        <v>3273.3</v>
      </c>
      <c r="F516" s="779">
        <v>3666.9</v>
      </c>
      <c r="G516" s="779">
        <v>7.2605000000000004</v>
      </c>
      <c r="H516" s="727"/>
      <c r="I516" s="727"/>
      <c r="J516" s="727"/>
      <c r="K516" s="727"/>
      <c r="L516" s="727"/>
      <c r="M516" s="727"/>
      <c r="N516" s="727"/>
      <c r="O516" s="727"/>
      <c r="P516" s="727"/>
      <c r="Q516" s="727"/>
      <c r="R516" s="727"/>
      <c r="S516" s="727"/>
      <c r="T516" s="727"/>
      <c r="U516" s="727"/>
      <c r="V516" s="727"/>
      <c r="W516" s="727"/>
      <c r="X516" s="727"/>
      <c r="Y516" s="727"/>
      <c r="Z516" s="727"/>
      <c r="AA516" s="727"/>
      <c r="AB516" s="727"/>
      <c r="AC516" s="727"/>
      <c r="AD516" s="727"/>
      <c r="AE516" s="727"/>
      <c r="AF516" s="727"/>
      <c r="AG516" s="727"/>
      <c r="AH516" s="727"/>
      <c r="AI516" s="727"/>
      <c r="AJ516" s="727"/>
      <c r="AK516" s="727"/>
      <c r="AL516" s="727"/>
      <c r="AM516" s="727"/>
      <c r="AN516" s="727"/>
      <c r="AO516" s="727"/>
      <c r="AP516" s="727"/>
      <c r="AQ516" s="727"/>
      <c r="AR516" s="727"/>
      <c r="AS516" s="727"/>
      <c r="AT516" s="727"/>
      <c r="AU516" s="727"/>
      <c r="AV516" s="727"/>
      <c r="AW516" s="727"/>
      <c r="AX516" s="727"/>
      <c r="AY516" s="727"/>
      <c r="AZ516" s="727"/>
      <c r="BA516" s="727"/>
      <c r="BB516" s="727"/>
    </row>
    <row r="517" spans="1:54">
      <c r="A517" s="326"/>
      <c r="B517" s="791">
        <v>5</v>
      </c>
      <c r="C517" s="792">
        <v>700</v>
      </c>
      <c r="D517" s="779">
        <v>8.8520000000000001E-2</v>
      </c>
      <c r="E517" s="779">
        <v>3457.7</v>
      </c>
      <c r="F517" s="779">
        <v>3900.3</v>
      </c>
      <c r="G517" s="779">
        <v>7.5136000000000003</v>
      </c>
      <c r="H517" s="727"/>
      <c r="I517" s="727"/>
      <c r="J517" s="727"/>
      <c r="K517" s="727"/>
      <c r="L517" s="727"/>
      <c r="M517" s="727"/>
      <c r="N517" s="727"/>
      <c r="O517" s="727"/>
      <c r="P517" s="727"/>
      <c r="Q517" s="727"/>
      <c r="R517" s="727"/>
      <c r="S517" s="727"/>
      <c r="T517" s="727"/>
      <c r="U517" s="727"/>
      <c r="V517" s="727"/>
      <c r="W517" s="727"/>
      <c r="X517" s="727"/>
      <c r="Y517" s="727"/>
      <c r="Z517" s="727"/>
      <c r="AA517" s="727"/>
      <c r="AB517" s="727"/>
      <c r="AC517" s="727"/>
      <c r="AD517" s="727"/>
      <c r="AE517" s="727"/>
      <c r="AF517" s="727"/>
      <c r="AG517" s="727"/>
      <c r="AH517" s="727"/>
      <c r="AI517" s="727"/>
      <c r="AJ517" s="727"/>
      <c r="AK517" s="727"/>
      <c r="AL517" s="727"/>
      <c r="AM517" s="727"/>
      <c r="AN517" s="727"/>
      <c r="AO517" s="727"/>
      <c r="AP517" s="727"/>
      <c r="AQ517" s="727"/>
      <c r="AR517" s="727"/>
      <c r="AS517" s="727"/>
      <c r="AT517" s="727"/>
      <c r="AU517" s="727"/>
      <c r="AV517" s="727"/>
      <c r="AW517" s="727"/>
      <c r="AX517" s="727"/>
      <c r="AY517" s="727"/>
      <c r="AZ517" s="727"/>
      <c r="BA517" s="727"/>
      <c r="BB517" s="727"/>
    </row>
    <row r="518" spans="1:54">
      <c r="A518" s="326"/>
      <c r="B518" s="791">
        <v>5</v>
      </c>
      <c r="C518" s="792">
        <v>800</v>
      </c>
      <c r="D518" s="779">
        <v>9.8159999999999997E-2</v>
      </c>
      <c r="E518" s="779">
        <v>3646.9</v>
      </c>
      <c r="F518" s="779">
        <v>4137.7</v>
      </c>
      <c r="G518" s="779">
        <v>7.7458</v>
      </c>
      <c r="H518" s="727"/>
      <c r="I518" s="727"/>
      <c r="J518" s="727"/>
      <c r="K518" s="727"/>
      <c r="L518" s="727"/>
      <c r="M518" s="727"/>
      <c r="N518" s="727"/>
      <c r="O518" s="727"/>
      <c r="P518" s="727"/>
      <c r="Q518" s="727"/>
      <c r="R518" s="727"/>
      <c r="S518" s="727"/>
      <c r="T518" s="727"/>
      <c r="U518" s="727"/>
      <c r="V518" s="727"/>
      <c r="W518" s="727"/>
      <c r="X518" s="727"/>
      <c r="Y518" s="727"/>
      <c r="Z518" s="727"/>
      <c r="AA518" s="727"/>
      <c r="AB518" s="727"/>
      <c r="AC518" s="727"/>
      <c r="AD518" s="727"/>
      <c r="AE518" s="727"/>
      <c r="AF518" s="727"/>
      <c r="AG518" s="727"/>
      <c r="AH518" s="727"/>
      <c r="AI518" s="727"/>
      <c r="AJ518" s="727"/>
      <c r="AK518" s="727"/>
      <c r="AL518" s="727"/>
      <c r="AM518" s="727"/>
      <c r="AN518" s="727"/>
      <c r="AO518" s="727"/>
      <c r="AP518" s="727"/>
      <c r="AQ518" s="727"/>
      <c r="AR518" s="727"/>
      <c r="AS518" s="727"/>
      <c r="AT518" s="727"/>
      <c r="AU518" s="727"/>
      <c r="AV518" s="727"/>
      <c r="AW518" s="727"/>
      <c r="AX518" s="727"/>
      <c r="AY518" s="727"/>
      <c r="AZ518" s="727"/>
      <c r="BA518" s="727"/>
      <c r="BB518" s="727"/>
    </row>
    <row r="519" spans="1:54">
      <c r="A519" s="326"/>
      <c r="B519" s="791">
        <v>5</v>
      </c>
      <c r="C519" s="792">
        <v>900</v>
      </c>
      <c r="D519" s="779">
        <v>0.10768999999999999</v>
      </c>
      <c r="E519" s="779">
        <v>3841.8</v>
      </c>
      <c r="F519" s="779">
        <v>4380.2</v>
      </c>
      <c r="G519" s="779">
        <v>7.9619</v>
      </c>
      <c r="H519" s="727"/>
      <c r="I519" s="727"/>
      <c r="J519" s="727"/>
      <c r="K519" s="727"/>
      <c r="L519" s="727"/>
      <c r="M519" s="727"/>
      <c r="N519" s="727"/>
      <c r="O519" s="727"/>
      <c r="P519" s="727"/>
      <c r="Q519" s="727"/>
      <c r="R519" s="727"/>
      <c r="S519" s="727"/>
      <c r="T519" s="727"/>
      <c r="U519" s="727"/>
      <c r="V519" s="727"/>
      <c r="W519" s="727"/>
      <c r="X519" s="727"/>
      <c r="Y519" s="727"/>
      <c r="Z519" s="727"/>
      <c r="AA519" s="727"/>
      <c r="AB519" s="727"/>
      <c r="AC519" s="727"/>
      <c r="AD519" s="727"/>
      <c r="AE519" s="727"/>
      <c r="AF519" s="727"/>
      <c r="AG519" s="727"/>
      <c r="AH519" s="727"/>
      <c r="AI519" s="727"/>
      <c r="AJ519" s="727"/>
      <c r="AK519" s="727"/>
      <c r="AL519" s="727"/>
      <c r="AM519" s="727"/>
      <c r="AN519" s="727"/>
      <c r="AO519" s="727"/>
      <c r="AP519" s="727"/>
      <c r="AQ519" s="727"/>
      <c r="AR519" s="727"/>
      <c r="AS519" s="727"/>
      <c r="AT519" s="727"/>
      <c r="AU519" s="727"/>
      <c r="AV519" s="727"/>
      <c r="AW519" s="727"/>
      <c r="AX519" s="727"/>
      <c r="AY519" s="727"/>
      <c r="AZ519" s="727"/>
      <c r="BA519" s="727"/>
      <c r="BB519" s="727"/>
    </row>
    <row r="520" spans="1:54">
      <c r="A520" s="326"/>
      <c r="B520" s="791">
        <v>5</v>
      </c>
      <c r="C520" s="792">
        <v>1000</v>
      </c>
      <c r="D520" s="779">
        <v>0.11715</v>
      </c>
      <c r="E520" s="779">
        <v>4042.6</v>
      </c>
      <c r="F520" s="779">
        <v>4628.3</v>
      </c>
      <c r="G520" s="779">
        <v>8.1647999999999996</v>
      </c>
      <c r="H520" s="727"/>
      <c r="I520" s="727"/>
      <c r="J520" s="727"/>
      <c r="K520" s="727"/>
      <c r="L520" s="727"/>
      <c r="M520" s="727"/>
      <c r="N520" s="727"/>
      <c r="O520" s="727"/>
      <c r="P520" s="727"/>
      <c r="Q520" s="727"/>
      <c r="R520" s="727"/>
      <c r="S520" s="727"/>
      <c r="T520" s="727"/>
      <c r="U520" s="727"/>
      <c r="V520" s="727"/>
      <c r="W520" s="727"/>
      <c r="X520" s="727"/>
      <c r="Y520" s="727"/>
      <c r="Z520" s="727"/>
      <c r="AA520" s="727"/>
      <c r="AB520" s="727"/>
      <c r="AC520" s="727"/>
      <c r="AD520" s="727"/>
      <c r="AE520" s="727"/>
      <c r="AF520" s="727"/>
      <c r="AG520" s="727"/>
      <c r="AH520" s="727"/>
      <c r="AI520" s="727"/>
      <c r="AJ520" s="727"/>
      <c r="AK520" s="727"/>
      <c r="AL520" s="727"/>
      <c r="AM520" s="727"/>
      <c r="AN520" s="727"/>
      <c r="AO520" s="727"/>
      <c r="AP520" s="727"/>
      <c r="AQ520" s="727"/>
      <c r="AR520" s="727"/>
      <c r="AS520" s="727"/>
      <c r="AT520" s="727"/>
      <c r="AU520" s="727"/>
      <c r="AV520" s="727"/>
      <c r="AW520" s="727"/>
      <c r="AX520" s="727"/>
      <c r="AY520" s="727"/>
      <c r="AZ520" s="727"/>
      <c r="BA520" s="727"/>
      <c r="BB520" s="727"/>
    </row>
    <row r="521" spans="1:54">
      <c r="A521" s="326"/>
      <c r="B521" s="791">
        <v>5</v>
      </c>
      <c r="C521" s="792">
        <v>1100</v>
      </c>
      <c r="D521" s="779">
        <v>0.12655</v>
      </c>
      <c r="E521" s="779">
        <v>4249.3</v>
      </c>
      <c r="F521" s="779">
        <v>4882.1000000000004</v>
      </c>
      <c r="G521" s="779">
        <v>8.3566000000000003</v>
      </c>
      <c r="H521" s="727"/>
      <c r="I521" s="727"/>
      <c r="J521" s="727"/>
      <c r="K521" s="727"/>
      <c r="L521" s="727"/>
      <c r="M521" s="727"/>
      <c r="N521" s="727"/>
      <c r="O521" s="727"/>
      <c r="P521" s="727"/>
      <c r="Q521" s="727"/>
      <c r="R521" s="727"/>
      <c r="S521" s="727"/>
      <c r="T521" s="727"/>
      <c r="U521" s="727"/>
      <c r="V521" s="727"/>
      <c r="W521" s="727"/>
      <c r="X521" s="727"/>
      <c r="Y521" s="727"/>
      <c r="Z521" s="727"/>
      <c r="AA521" s="727"/>
      <c r="AB521" s="727"/>
      <c r="AC521" s="727"/>
      <c r="AD521" s="727"/>
      <c r="AE521" s="727"/>
      <c r="AF521" s="727"/>
      <c r="AG521" s="727"/>
      <c r="AH521" s="727"/>
      <c r="AI521" s="727"/>
      <c r="AJ521" s="727"/>
      <c r="AK521" s="727"/>
      <c r="AL521" s="727"/>
      <c r="AM521" s="727"/>
      <c r="AN521" s="727"/>
      <c r="AO521" s="727"/>
      <c r="AP521" s="727"/>
      <c r="AQ521" s="727"/>
      <c r="AR521" s="727"/>
      <c r="AS521" s="727"/>
      <c r="AT521" s="727"/>
      <c r="AU521" s="727"/>
      <c r="AV521" s="727"/>
      <c r="AW521" s="727"/>
      <c r="AX521" s="727"/>
      <c r="AY521" s="727"/>
      <c r="AZ521" s="727"/>
      <c r="BA521" s="727"/>
      <c r="BB521" s="727"/>
    </row>
    <row r="522" spans="1:54">
      <c r="A522" s="326"/>
      <c r="B522" s="791">
        <v>5</v>
      </c>
      <c r="C522" s="792">
        <v>1200</v>
      </c>
      <c r="D522" s="779">
        <v>0.13592000000000001</v>
      </c>
      <c r="E522" s="779">
        <v>4461.6000000000004</v>
      </c>
      <c r="F522" s="779">
        <v>5141.3</v>
      </c>
      <c r="G522" s="779">
        <v>8.5388000000000002</v>
      </c>
      <c r="H522" s="727"/>
      <c r="I522" s="727"/>
      <c r="J522" s="727"/>
      <c r="K522" s="727"/>
      <c r="L522" s="727"/>
      <c r="M522" s="727"/>
      <c r="N522" s="727"/>
      <c r="O522" s="727"/>
      <c r="P522" s="727"/>
      <c r="Q522" s="727"/>
      <c r="R522" s="727"/>
      <c r="S522" s="727"/>
      <c r="T522" s="727"/>
      <c r="U522" s="727"/>
      <c r="V522" s="727"/>
      <c r="W522" s="727"/>
      <c r="X522" s="727"/>
      <c r="Y522" s="727"/>
      <c r="Z522" s="727"/>
      <c r="AA522" s="727"/>
      <c r="AB522" s="727"/>
      <c r="AC522" s="727"/>
      <c r="AD522" s="727"/>
      <c r="AE522" s="727"/>
      <c r="AF522" s="727"/>
      <c r="AG522" s="727"/>
      <c r="AH522" s="727"/>
      <c r="AI522" s="727"/>
      <c r="AJ522" s="727"/>
      <c r="AK522" s="727"/>
      <c r="AL522" s="727"/>
      <c r="AM522" s="727"/>
      <c r="AN522" s="727"/>
      <c r="AO522" s="727"/>
      <c r="AP522" s="727"/>
      <c r="AQ522" s="727"/>
      <c r="AR522" s="727"/>
      <c r="AS522" s="727"/>
      <c r="AT522" s="727"/>
      <c r="AU522" s="727"/>
      <c r="AV522" s="727"/>
      <c r="AW522" s="727"/>
      <c r="AX522" s="727"/>
      <c r="AY522" s="727"/>
      <c r="AZ522" s="727"/>
      <c r="BA522" s="727"/>
      <c r="BB522" s="727"/>
    </row>
    <row r="523" spans="1:54">
      <c r="A523" s="326"/>
      <c r="B523" s="791">
        <v>5</v>
      </c>
      <c r="C523" s="792">
        <v>1300</v>
      </c>
      <c r="D523" s="779">
        <v>0.14527000000000001</v>
      </c>
      <c r="E523" s="779">
        <v>4679.3</v>
      </c>
      <c r="F523" s="779">
        <v>5405.7</v>
      </c>
      <c r="G523" s="779">
        <v>8.7124000000000006</v>
      </c>
      <c r="H523" s="727"/>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27"/>
      <c r="AE523" s="727"/>
      <c r="AF523" s="727"/>
      <c r="AG523" s="727"/>
      <c r="AH523" s="727"/>
      <c r="AI523" s="727"/>
      <c r="AJ523" s="727"/>
      <c r="AK523" s="727"/>
      <c r="AL523" s="727"/>
      <c r="AM523" s="727"/>
      <c r="AN523" s="727"/>
      <c r="AO523" s="727"/>
      <c r="AP523" s="727"/>
      <c r="AQ523" s="727"/>
      <c r="AR523" s="727"/>
      <c r="AS523" s="727"/>
      <c r="AT523" s="727"/>
      <c r="AU523" s="727"/>
      <c r="AV523" s="727"/>
      <c r="AW523" s="727"/>
      <c r="AX523" s="727"/>
      <c r="AY523" s="727"/>
      <c r="AZ523" s="727"/>
      <c r="BA523" s="727"/>
      <c r="BB523" s="727"/>
    </row>
    <row r="524" spans="1:54">
      <c r="A524" s="326"/>
      <c r="B524" s="791">
        <v>6</v>
      </c>
      <c r="C524" s="792">
        <v>275.58999999999997</v>
      </c>
      <c r="D524" s="779">
        <v>3.245E-2</v>
      </c>
      <c r="E524" s="779">
        <v>2589.9</v>
      </c>
      <c r="F524" s="779">
        <v>2784.6</v>
      </c>
      <c r="G524" s="779">
        <v>5.8902000000000001</v>
      </c>
      <c r="H524" s="727"/>
      <c r="I524" s="727"/>
      <c r="J524" s="727"/>
      <c r="K524" s="727"/>
      <c r="L524" s="727"/>
      <c r="M524" s="727"/>
      <c r="N524" s="727"/>
      <c r="O524" s="727"/>
      <c r="P524" s="727"/>
      <c r="Q524" s="727"/>
      <c r="R524" s="727"/>
      <c r="S524" s="727"/>
      <c r="T524" s="727"/>
      <c r="U524" s="727"/>
      <c r="V524" s="727"/>
      <c r="W524" s="727"/>
      <c r="X524" s="727"/>
      <c r="Y524" s="727"/>
      <c r="Z524" s="727"/>
      <c r="AA524" s="727"/>
      <c r="AB524" s="727"/>
      <c r="AC524" s="727"/>
      <c r="AD524" s="727"/>
      <c r="AE524" s="727"/>
      <c r="AF524" s="727"/>
      <c r="AG524" s="727"/>
      <c r="AH524" s="727"/>
      <c r="AI524" s="727"/>
      <c r="AJ524" s="727"/>
      <c r="AK524" s="727"/>
      <c r="AL524" s="727"/>
      <c r="AM524" s="727"/>
      <c r="AN524" s="727"/>
      <c r="AO524" s="727"/>
      <c r="AP524" s="727"/>
      <c r="AQ524" s="727"/>
      <c r="AR524" s="727"/>
      <c r="AS524" s="727"/>
      <c r="AT524" s="727"/>
      <c r="AU524" s="727"/>
      <c r="AV524" s="727"/>
      <c r="AW524" s="727"/>
      <c r="AX524" s="727"/>
      <c r="AY524" s="727"/>
      <c r="AZ524" s="727"/>
      <c r="BA524" s="727"/>
      <c r="BB524" s="727"/>
    </row>
    <row r="525" spans="1:54">
      <c r="A525" s="326"/>
      <c r="B525" s="791">
        <v>6</v>
      </c>
      <c r="C525" s="792">
        <v>300</v>
      </c>
      <c r="D525" s="779">
        <v>3.619E-2</v>
      </c>
      <c r="E525" s="779">
        <v>2668.4</v>
      </c>
      <c r="F525" s="779">
        <v>2885.6</v>
      </c>
      <c r="G525" s="779">
        <v>6.0702999999999996</v>
      </c>
      <c r="H525" s="727"/>
      <c r="I525" s="727"/>
      <c r="J525" s="727"/>
      <c r="K525" s="727"/>
      <c r="L525" s="727"/>
      <c r="M525" s="727"/>
      <c r="N525" s="727"/>
      <c r="O525" s="727"/>
      <c r="P525" s="727"/>
      <c r="Q525" s="727"/>
      <c r="R525" s="727"/>
      <c r="S525" s="727"/>
      <c r="T525" s="727"/>
      <c r="U525" s="727"/>
      <c r="V525" s="727"/>
      <c r="W525" s="727"/>
      <c r="X525" s="727"/>
      <c r="Y525" s="727"/>
      <c r="Z525" s="727"/>
      <c r="AA525" s="727"/>
      <c r="AB525" s="727"/>
      <c r="AC525" s="727"/>
      <c r="AD525" s="727"/>
      <c r="AE525" s="727"/>
      <c r="AF525" s="727"/>
      <c r="AG525" s="727"/>
      <c r="AH525" s="727"/>
      <c r="AI525" s="727"/>
      <c r="AJ525" s="727"/>
      <c r="AK525" s="727"/>
      <c r="AL525" s="727"/>
      <c r="AM525" s="727"/>
      <c r="AN525" s="727"/>
      <c r="AO525" s="727"/>
      <c r="AP525" s="727"/>
      <c r="AQ525" s="727"/>
      <c r="AR525" s="727"/>
      <c r="AS525" s="727"/>
      <c r="AT525" s="727"/>
      <c r="AU525" s="727"/>
      <c r="AV525" s="727"/>
      <c r="AW525" s="727"/>
      <c r="AX525" s="727"/>
      <c r="AY525" s="727"/>
      <c r="AZ525" s="727"/>
      <c r="BA525" s="727"/>
      <c r="BB525" s="727"/>
    </row>
    <row r="526" spans="1:54">
      <c r="A526" s="326"/>
      <c r="B526" s="791">
        <v>6</v>
      </c>
      <c r="C526" s="792">
        <v>350</v>
      </c>
      <c r="D526" s="779">
        <v>4.2250000000000003E-2</v>
      </c>
      <c r="E526" s="779">
        <v>2790.4</v>
      </c>
      <c r="F526" s="779">
        <v>3043.9</v>
      </c>
      <c r="G526" s="779">
        <v>6.3357000000000001</v>
      </c>
      <c r="H526" s="727"/>
      <c r="I526" s="727"/>
      <c r="J526" s="727"/>
      <c r="K526" s="727"/>
      <c r="L526" s="727"/>
      <c r="M526" s="727"/>
      <c r="N526" s="727"/>
      <c r="O526" s="727"/>
      <c r="P526" s="727"/>
      <c r="Q526" s="727"/>
      <c r="R526" s="727"/>
      <c r="S526" s="727"/>
      <c r="T526" s="727"/>
      <c r="U526" s="727"/>
      <c r="V526" s="727"/>
      <c r="W526" s="727"/>
      <c r="X526" s="727"/>
      <c r="Y526" s="727"/>
      <c r="Z526" s="727"/>
      <c r="AA526" s="727"/>
      <c r="AB526" s="727"/>
      <c r="AC526" s="727"/>
      <c r="AD526" s="727"/>
      <c r="AE526" s="727"/>
      <c r="AF526" s="727"/>
      <c r="AG526" s="727"/>
      <c r="AH526" s="727"/>
      <c r="AI526" s="727"/>
      <c r="AJ526" s="727"/>
      <c r="AK526" s="727"/>
      <c r="AL526" s="727"/>
      <c r="AM526" s="727"/>
      <c r="AN526" s="727"/>
      <c r="AO526" s="727"/>
      <c r="AP526" s="727"/>
      <c r="AQ526" s="727"/>
      <c r="AR526" s="727"/>
      <c r="AS526" s="727"/>
      <c r="AT526" s="727"/>
      <c r="AU526" s="727"/>
      <c r="AV526" s="727"/>
      <c r="AW526" s="727"/>
      <c r="AX526" s="727"/>
      <c r="AY526" s="727"/>
      <c r="AZ526" s="727"/>
      <c r="BA526" s="727"/>
      <c r="BB526" s="727"/>
    </row>
    <row r="527" spans="1:54">
      <c r="A527" s="326"/>
      <c r="B527" s="791">
        <v>6</v>
      </c>
      <c r="C527" s="792">
        <v>400</v>
      </c>
      <c r="D527" s="779">
        <v>4.7419999999999997E-2</v>
      </c>
      <c r="E527" s="779">
        <v>2893.7</v>
      </c>
      <c r="F527" s="779">
        <v>3178.3</v>
      </c>
      <c r="G527" s="779">
        <v>6.5431999999999997</v>
      </c>
      <c r="H527" s="727"/>
      <c r="I527" s="727"/>
      <c r="J527" s="727"/>
      <c r="K527" s="727"/>
      <c r="L527" s="727"/>
      <c r="M527" s="727"/>
      <c r="N527" s="727"/>
      <c r="O527" s="727"/>
      <c r="P527" s="727"/>
      <c r="Q527" s="727"/>
      <c r="R527" s="727"/>
      <c r="S527" s="727"/>
      <c r="T527" s="727"/>
      <c r="U527" s="727"/>
      <c r="V527" s="727"/>
      <c r="W527" s="727"/>
      <c r="X527" s="727"/>
      <c r="Y527" s="727"/>
      <c r="Z527" s="727"/>
      <c r="AA527" s="727"/>
      <c r="AB527" s="727"/>
      <c r="AC527" s="727"/>
      <c r="AD527" s="727"/>
      <c r="AE527" s="727"/>
      <c r="AF527" s="727"/>
      <c r="AG527" s="727"/>
      <c r="AH527" s="727"/>
      <c r="AI527" s="727"/>
      <c r="AJ527" s="727"/>
      <c r="AK527" s="727"/>
      <c r="AL527" s="727"/>
      <c r="AM527" s="727"/>
      <c r="AN527" s="727"/>
      <c r="AO527" s="727"/>
      <c r="AP527" s="727"/>
      <c r="AQ527" s="727"/>
      <c r="AR527" s="727"/>
      <c r="AS527" s="727"/>
      <c r="AT527" s="727"/>
      <c r="AU527" s="727"/>
      <c r="AV527" s="727"/>
      <c r="AW527" s="727"/>
      <c r="AX527" s="727"/>
      <c r="AY527" s="727"/>
      <c r="AZ527" s="727"/>
      <c r="BA527" s="727"/>
      <c r="BB527" s="727"/>
    </row>
    <row r="528" spans="1:54">
      <c r="A528" s="326"/>
      <c r="B528" s="791">
        <v>6</v>
      </c>
      <c r="C528" s="792">
        <v>450</v>
      </c>
      <c r="D528" s="779">
        <v>5.2170000000000001E-2</v>
      </c>
      <c r="E528" s="779">
        <v>2989.9</v>
      </c>
      <c r="F528" s="779">
        <v>3302.9</v>
      </c>
      <c r="G528" s="779">
        <v>6.7218999999999998</v>
      </c>
      <c r="H528" s="727"/>
      <c r="I528" s="727"/>
      <c r="J528" s="727"/>
      <c r="K528" s="727"/>
      <c r="L528" s="727"/>
      <c r="M528" s="727"/>
      <c r="N528" s="727"/>
      <c r="O528" s="727"/>
      <c r="P528" s="727"/>
      <c r="Q528" s="727"/>
      <c r="R528" s="727"/>
      <c r="S528" s="727"/>
      <c r="T528" s="727"/>
      <c r="U528" s="727"/>
      <c r="V528" s="727"/>
      <c r="W528" s="727"/>
      <c r="X528" s="727"/>
      <c r="Y528" s="727"/>
      <c r="Z528" s="727"/>
      <c r="AA528" s="727"/>
      <c r="AB528" s="727"/>
      <c r="AC528" s="727"/>
      <c r="AD528" s="727"/>
      <c r="AE528" s="727"/>
      <c r="AF528" s="727"/>
      <c r="AG528" s="727"/>
      <c r="AH528" s="727"/>
      <c r="AI528" s="727"/>
      <c r="AJ528" s="727"/>
      <c r="AK528" s="727"/>
      <c r="AL528" s="727"/>
      <c r="AM528" s="727"/>
      <c r="AN528" s="727"/>
      <c r="AO528" s="727"/>
      <c r="AP528" s="727"/>
      <c r="AQ528" s="727"/>
      <c r="AR528" s="727"/>
      <c r="AS528" s="727"/>
      <c r="AT528" s="727"/>
      <c r="AU528" s="727"/>
      <c r="AV528" s="727"/>
      <c r="AW528" s="727"/>
      <c r="AX528" s="727"/>
      <c r="AY528" s="727"/>
      <c r="AZ528" s="727"/>
      <c r="BA528" s="727"/>
      <c r="BB528" s="727"/>
    </row>
    <row r="529" spans="1:54">
      <c r="A529" s="326"/>
      <c r="B529" s="791">
        <v>6</v>
      </c>
      <c r="C529" s="792">
        <v>500</v>
      </c>
      <c r="D529" s="779">
        <v>5.6669999999999998E-2</v>
      </c>
      <c r="E529" s="779">
        <v>3083.1</v>
      </c>
      <c r="F529" s="779">
        <v>3423.1</v>
      </c>
      <c r="G529" s="779">
        <v>6.8826000000000001</v>
      </c>
      <c r="H529" s="727"/>
      <c r="I529" s="727"/>
      <c r="J529" s="727"/>
      <c r="K529" s="727"/>
      <c r="L529" s="727"/>
      <c r="M529" s="727"/>
      <c r="N529" s="727"/>
      <c r="O529" s="727"/>
      <c r="P529" s="727"/>
      <c r="Q529" s="727"/>
      <c r="R529" s="727"/>
      <c r="S529" s="727"/>
      <c r="T529" s="727"/>
      <c r="U529" s="727"/>
      <c r="V529" s="727"/>
      <c r="W529" s="727"/>
      <c r="X529" s="727"/>
      <c r="Y529" s="727"/>
      <c r="Z529" s="727"/>
      <c r="AA529" s="727"/>
      <c r="AB529" s="727"/>
      <c r="AC529" s="727"/>
      <c r="AD529" s="727"/>
      <c r="AE529" s="727"/>
      <c r="AF529" s="727"/>
      <c r="AG529" s="727"/>
      <c r="AH529" s="727"/>
      <c r="AI529" s="727"/>
      <c r="AJ529" s="727"/>
      <c r="AK529" s="727"/>
      <c r="AL529" s="727"/>
      <c r="AM529" s="727"/>
      <c r="AN529" s="727"/>
      <c r="AO529" s="727"/>
      <c r="AP529" s="727"/>
      <c r="AQ529" s="727"/>
      <c r="AR529" s="727"/>
      <c r="AS529" s="727"/>
      <c r="AT529" s="727"/>
      <c r="AU529" s="727"/>
      <c r="AV529" s="727"/>
      <c r="AW529" s="727"/>
      <c r="AX529" s="727"/>
      <c r="AY529" s="727"/>
      <c r="AZ529" s="727"/>
      <c r="BA529" s="727"/>
      <c r="BB529" s="727"/>
    </row>
    <row r="530" spans="1:54">
      <c r="A530" s="326"/>
      <c r="B530" s="791">
        <v>6</v>
      </c>
      <c r="C530" s="792">
        <v>550</v>
      </c>
      <c r="D530" s="779">
        <v>6.1019999999999998E-2</v>
      </c>
      <c r="E530" s="779">
        <v>3175.2</v>
      </c>
      <c r="F530" s="779">
        <v>3541.3</v>
      </c>
      <c r="G530" s="779">
        <v>7.0308000000000002</v>
      </c>
      <c r="H530" s="727"/>
      <c r="I530" s="727"/>
      <c r="J530" s="727"/>
      <c r="K530" s="727"/>
      <c r="L530" s="727"/>
      <c r="M530" s="727"/>
      <c r="N530" s="727"/>
      <c r="O530" s="727"/>
      <c r="P530" s="727"/>
      <c r="Q530" s="727"/>
      <c r="R530" s="727"/>
      <c r="S530" s="727"/>
      <c r="T530" s="727"/>
      <c r="U530" s="727"/>
      <c r="V530" s="727"/>
      <c r="W530" s="727"/>
      <c r="X530" s="727"/>
      <c r="Y530" s="727"/>
      <c r="Z530" s="727"/>
      <c r="AA530" s="727"/>
      <c r="AB530" s="727"/>
      <c r="AC530" s="727"/>
      <c r="AD530" s="727"/>
      <c r="AE530" s="727"/>
      <c r="AF530" s="727"/>
      <c r="AG530" s="727"/>
      <c r="AH530" s="727"/>
      <c r="AI530" s="727"/>
      <c r="AJ530" s="727"/>
      <c r="AK530" s="727"/>
      <c r="AL530" s="727"/>
      <c r="AM530" s="727"/>
      <c r="AN530" s="727"/>
      <c r="AO530" s="727"/>
      <c r="AP530" s="727"/>
      <c r="AQ530" s="727"/>
      <c r="AR530" s="727"/>
      <c r="AS530" s="727"/>
      <c r="AT530" s="727"/>
      <c r="AU530" s="727"/>
      <c r="AV530" s="727"/>
      <c r="AW530" s="727"/>
      <c r="AX530" s="727"/>
      <c r="AY530" s="727"/>
      <c r="AZ530" s="727"/>
      <c r="BA530" s="727"/>
      <c r="BB530" s="727"/>
    </row>
    <row r="531" spans="1:54">
      <c r="A531" s="326"/>
      <c r="B531" s="791">
        <v>6</v>
      </c>
      <c r="C531" s="792">
        <v>600</v>
      </c>
      <c r="D531" s="779">
        <v>6.5269999999999995E-2</v>
      </c>
      <c r="E531" s="779">
        <v>3267.2</v>
      </c>
      <c r="F531" s="779">
        <v>3658.8</v>
      </c>
      <c r="G531" s="779">
        <v>7.1692999999999998</v>
      </c>
      <c r="H531" s="727"/>
      <c r="I531" s="727"/>
      <c r="J531" s="727"/>
      <c r="K531" s="727"/>
      <c r="L531" s="727"/>
      <c r="M531" s="727"/>
      <c r="N531" s="727"/>
      <c r="O531" s="727"/>
      <c r="P531" s="727"/>
      <c r="Q531" s="727"/>
      <c r="R531" s="727"/>
      <c r="S531" s="727"/>
      <c r="T531" s="727"/>
      <c r="U531" s="727"/>
      <c r="V531" s="727"/>
      <c r="W531" s="727"/>
      <c r="X531" s="727"/>
      <c r="Y531" s="727"/>
      <c r="Z531" s="727"/>
      <c r="AA531" s="727"/>
      <c r="AB531" s="727"/>
      <c r="AC531" s="727"/>
      <c r="AD531" s="727"/>
      <c r="AE531" s="727"/>
      <c r="AF531" s="727"/>
      <c r="AG531" s="727"/>
      <c r="AH531" s="727"/>
      <c r="AI531" s="727"/>
      <c r="AJ531" s="727"/>
      <c r="AK531" s="727"/>
      <c r="AL531" s="727"/>
      <c r="AM531" s="727"/>
      <c r="AN531" s="727"/>
      <c r="AO531" s="727"/>
      <c r="AP531" s="727"/>
      <c r="AQ531" s="727"/>
      <c r="AR531" s="727"/>
      <c r="AS531" s="727"/>
      <c r="AT531" s="727"/>
      <c r="AU531" s="727"/>
      <c r="AV531" s="727"/>
      <c r="AW531" s="727"/>
      <c r="AX531" s="727"/>
      <c r="AY531" s="727"/>
      <c r="AZ531" s="727"/>
      <c r="BA531" s="727"/>
      <c r="BB531" s="727"/>
    </row>
    <row r="532" spans="1:54">
      <c r="A532" s="326"/>
      <c r="B532" s="791">
        <v>6</v>
      </c>
      <c r="C532" s="792">
        <v>700</v>
      </c>
      <c r="D532" s="779">
        <v>7.3550000000000004E-2</v>
      </c>
      <c r="E532" s="779">
        <v>3453</v>
      </c>
      <c r="F532" s="779">
        <v>3894.3</v>
      </c>
      <c r="G532" s="779">
        <v>7.4246999999999996</v>
      </c>
      <c r="H532" s="727"/>
      <c r="I532" s="727"/>
      <c r="J532" s="727"/>
      <c r="K532" s="727"/>
      <c r="L532" s="727"/>
      <c r="M532" s="727"/>
      <c r="N532" s="727"/>
      <c r="O532" s="727"/>
      <c r="P532" s="727"/>
      <c r="Q532" s="727"/>
      <c r="R532" s="727"/>
      <c r="S532" s="727"/>
      <c r="T532" s="727"/>
      <c r="U532" s="727"/>
      <c r="V532" s="727"/>
      <c r="W532" s="727"/>
      <c r="X532" s="727"/>
      <c r="Y532" s="727"/>
      <c r="Z532" s="727"/>
      <c r="AA532" s="727"/>
      <c r="AB532" s="727"/>
      <c r="AC532" s="727"/>
      <c r="AD532" s="727"/>
      <c r="AE532" s="727"/>
      <c r="AF532" s="727"/>
      <c r="AG532" s="727"/>
      <c r="AH532" s="727"/>
      <c r="AI532" s="727"/>
      <c r="AJ532" s="727"/>
      <c r="AK532" s="727"/>
      <c r="AL532" s="727"/>
      <c r="AM532" s="727"/>
      <c r="AN532" s="727"/>
      <c r="AO532" s="727"/>
      <c r="AP532" s="727"/>
      <c r="AQ532" s="727"/>
      <c r="AR532" s="727"/>
      <c r="AS532" s="727"/>
      <c r="AT532" s="727"/>
      <c r="AU532" s="727"/>
      <c r="AV532" s="727"/>
      <c r="AW532" s="727"/>
      <c r="AX532" s="727"/>
      <c r="AY532" s="727"/>
      <c r="AZ532" s="727"/>
      <c r="BA532" s="727"/>
      <c r="BB532" s="727"/>
    </row>
    <row r="533" spans="1:54">
      <c r="A533" s="326"/>
      <c r="B533" s="791">
        <v>6</v>
      </c>
      <c r="C533" s="792">
        <v>800</v>
      </c>
      <c r="D533" s="779">
        <v>8.165E-2</v>
      </c>
      <c r="E533" s="779">
        <v>3643.2</v>
      </c>
      <c r="F533" s="779">
        <v>4133.1000000000004</v>
      </c>
      <c r="G533" s="779">
        <v>7.6581999999999999</v>
      </c>
      <c r="H533" s="727"/>
      <c r="I533" s="727"/>
      <c r="J533" s="727"/>
      <c r="K533" s="727"/>
      <c r="L533" s="727"/>
      <c r="M533" s="727"/>
      <c r="N533" s="727"/>
      <c r="O533" s="727"/>
      <c r="P533" s="727"/>
      <c r="Q533" s="727"/>
      <c r="R533" s="727"/>
      <c r="S533" s="727"/>
      <c r="T533" s="727"/>
      <c r="U533" s="727"/>
      <c r="V533" s="727"/>
      <c r="W533" s="727"/>
      <c r="X533" s="727"/>
      <c r="Y533" s="727"/>
      <c r="Z533" s="727"/>
      <c r="AA533" s="727"/>
      <c r="AB533" s="727"/>
      <c r="AC533" s="727"/>
      <c r="AD533" s="727"/>
      <c r="AE533" s="727"/>
      <c r="AF533" s="727"/>
      <c r="AG533" s="727"/>
      <c r="AH533" s="727"/>
      <c r="AI533" s="727"/>
      <c r="AJ533" s="727"/>
      <c r="AK533" s="727"/>
      <c r="AL533" s="727"/>
      <c r="AM533" s="727"/>
      <c r="AN533" s="727"/>
      <c r="AO533" s="727"/>
      <c r="AP533" s="727"/>
      <c r="AQ533" s="727"/>
      <c r="AR533" s="727"/>
      <c r="AS533" s="727"/>
      <c r="AT533" s="727"/>
      <c r="AU533" s="727"/>
      <c r="AV533" s="727"/>
      <c r="AW533" s="727"/>
      <c r="AX533" s="727"/>
      <c r="AY533" s="727"/>
      <c r="AZ533" s="727"/>
      <c r="BA533" s="727"/>
      <c r="BB533" s="727"/>
    </row>
    <row r="534" spans="1:54">
      <c r="A534" s="326"/>
      <c r="B534" s="791">
        <v>6</v>
      </c>
      <c r="C534" s="792">
        <v>900</v>
      </c>
      <c r="D534" s="779">
        <v>8.9639999999999997E-2</v>
      </c>
      <c r="E534" s="779">
        <v>3838.8</v>
      </c>
      <c r="F534" s="779">
        <v>4376.6000000000004</v>
      </c>
      <c r="G534" s="779">
        <v>7.8750999999999998</v>
      </c>
      <c r="H534" s="727"/>
      <c r="I534" s="727"/>
      <c r="J534" s="727"/>
      <c r="K534" s="727"/>
      <c r="L534" s="727"/>
      <c r="M534" s="727"/>
      <c r="N534" s="727"/>
      <c r="O534" s="727"/>
      <c r="P534" s="727"/>
      <c r="Q534" s="727"/>
      <c r="R534" s="727"/>
      <c r="S534" s="727"/>
      <c r="T534" s="727"/>
      <c r="U534" s="727"/>
      <c r="V534" s="727"/>
      <c r="W534" s="727"/>
      <c r="X534" s="727"/>
      <c r="Y534" s="727"/>
      <c r="Z534" s="727"/>
      <c r="AA534" s="727"/>
      <c r="AB534" s="727"/>
      <c r="AC534" s="727"/>
      <c r="AD534" s="727"/>
      <c r="AE534" s="727"/>
      <c r="AF534" s="727"/>
      <c r="AG534" s="727"/>
      <c r="AH534" s="727"/>
      <c r="AI534" s="727"/>
      <c r="AJ534" s="727"/>
      <c r="AK534" s="727"/>
      <c r="AL534" s="727"/>
      <c r="AM534" s="727"/>
      <c r="AN534" s="727"/>
      <c r="AO534" s="727"/>
      <c r="AP534" s="727"/>
      <c r="AQ534" s="727"/>
      <c r="AR534" s="727"/>
      <c r="AS534" s="727"/>
      <c r="AT534" s="727"/>
      <c r="AU534" s="727"/>
      <c r="AV534" s="727"/>
      <c r="AW534" s="727"/>
      <c r="AX534" s="727"/>
      <c r="AY534" s="727"/>
      <c r="AZ534" s="727"/>
      <c r="BA534" s="727"/>
      <c r="BB534" s="727"/>
    </row>
    <row r="535" spans="1:54">
      <c r="A535" s="326"/>
      <c r="B535" s="791">
        <v>6</v>
      </c>
      <c r="C535" s="792">
        <v>1000</v>
      </c>
      <c r="D535" s="779">
        <v>9.7559999999999994E-2</v>
      </c>
      <c r="E535" s="779">
        <v>4040.1</v>
      </c>
      <c r="F535" s="779">
        <v>4625.3999999999996</v>
      </c>
      <c r="G535" s="779">
        <v>8.0785999999999998</v>
      </c>
      <c r="H535" s="727"/>
      <c r="I535" s="727"/>
      <c r="J535" s="727"/>
      <c r="K535" s="727"/>
      <c r="L535" s="727"/>
      <c r="M535" s="727"/>
      <c r="N535" s="727"/>
      <c r="O535" s="727"/>
      <c r="P535" s="727"/>
      <c r="Q535" s="727"/>
      <c r="R535" s="727"/>
      <c r="S535" s="727"/>
      <c r="T535" s="727"/>
      <c r="U535" s="727"/>
      <c r="V535" s="727"/>
      <c r="W535" s="727"/>
      <c r="X535" s="727"/>
      <c r="Y535" s="727"/>
      <c r="Z535" s="727"/>
      <c r="AA535" s="727"/>
      <c r="AB535" s="727"/>
      <c r="AC535" s="727"/>
      <c r="AD535" s="727"/>
      <c r="AE535" s="727"/>
      <c r="AF535" s="727"/>
      <c r="AG535" s="727"/>
      <c r="AH535" s="727"/>
      <c r="AI535" s="727"/>
      <c r="AJ535" s="727"/>
      <c r="AK535" s="727"/>
      <c r="AL535" s="727"/>
      <c r="AM535" s="727"/>
      <c r="AN535" s="727"/>
      <c r="AO535" s="727"/>
      <c r="AP535" s="727"/>
      <c r="AQ535" s="727"/>
      <c r="AR535" s="727"/>
      <c r="AS535" s="727"/>
      <c r="AT535" s="727"/>
      <c r="AU535" s="727"/>
      <c r="AV535" s="727"/>
      <c r="AW535" s="727"/>
      <c r="AX535" s="727"/>
      <c r="AY535" s="727"/>
      <c r="AZ535" s="727"/>
      <c r="BA535" s="727"/>
      <c r="BB535" s="727"/>
    </row>
    <row r="536" spans="1:54">
      <c r="A536" s="326"/>
      <c r="B536" s="791">
        <v>6</v>
      </c>
      <c r="C536" s="792">
        <v>1100</v>
      </c>
      <c r="D536" s="779">
        <v>0.10543</v>
      </c>
      <c r="E536" s="779">
        <v>4247.1000000000004</v>
      </c>
      <c r="F536" s="779">
        <v>4879.7</v>
      </c>
      <c r="G536" s="779">
        <v>8.2708999999999993</v>
      </c>
      <c r="H536" s="727"/>
      <c r="I536" s="727"/>
      <c r="J536" s="727"/>
      <c r="K536" s="727"/>
      <c r="L536" s="727"/>
      <c r="M536" s="727"/>
      <c r="N536" s="727"/>
      <c r="O536" s="727"/>
      <c r="P536" s="727"/>
      <c r="Q536" s="727"/>
      <c r="R536" s="727"/>
      <c r="S536" s="727"/>
      <c r="T536" s="727"/>
      <c r="U536" s="727"/>
      <c r="V536" s="727"/>
      <c r="W536" s="727"/>
      <c r="X536" s="727"/>
      <c r="Y536" s="727"/>
      <c r="Z536" s="727"/>
      <c r="AA536" s="727"/>
      <c r="AB536" s="727"/>
      <c r="AC536" s="727"/>
      <c r="AD536" s="727"/>
      <c r="AE536" s="727"/>
      <c r="AF536" s="727"/>
      <c r="AG536" s="727"/>
      <c r="AH536" s="727"/>
      <c r="AI536" s="727"/>
      <c r="AJ536" s="727"/>
      <c r="AK536" s="727"/>
      <c r="AL536" s="727"/>
      <c r="AM536" s="727"/>
      <c r="AN536" s="727"/>
      <c r="AO536" s="727"/>
      <c r="AP536" s="727"/>
      <c r="AQ536" s="727"/>
      <c r="AR536" s="727"/>
      <c r="AS536" s="727"/>
      <c r="AT536" s="727"/>
      <c r="AU536" s="727"/>
      <c r="AV536" s="727"/>
      <c r="AW536" s="727"/>
      <c r="AX536" s="727"/>
      <c r="AY536" s="727"/>
      <c r="AZ536" s="727"/>
      <c r="BA536" s="727"/>
      <c r="BB536" s="727"/>
    </row>
    <row r="537" spans="1:54">
      <c r="A537" s="326"/>
      <c r="B537" s="791">
        <v>6</v>
      </c>
      <c r="C537" s="792">
        <v>1200</v>
      </c>
      <c r="D537" s="779">
        <v>0.11326</v>
      </c>
      <c r="E537" s="779">
        <v>4459.8</v>
      </c>
      <c r="F537" s="779">
        <v>5139.3999999999996</v>
      </c>
      <c r="G537" s="779">
        <v>8.4534000000000002</v>
      </c>
      <c r="H537" s="727"/>
      <c r="I537" s="727"/>
      <c r="J537" s="727"/>
      <c r="K537" s="727"/>
      <c r="L537" s="727"/>
      <c r="M537" s="727"/>
      <c r="N537" s="727"/>
      <c r="O537" s="727"/>
      <c r="P537" s="727"/>
      <c r="Q537" s="727"/>
      <c r="R537" s="727"/>
      <c r="S537" s="727"/>
      <c r="T537" s="727"/>
      <c r="U537" s="727"/>
      <c r="V537" s="727"/>
      <c r="W537" s="727"/>
      <c r="X537" s="727"/>
      <c r="Y537" s="727"/>
      <c r="Z537" s="727"/>
      <c r="AA537" s="727"/>
      <c r="AB537" s="727"/>
      <c r="AC537" s="727"/>
      <c r="AD537" s="727"/>
      <c r="AE537" s="727"/>
      <c r="AF537" s="727"/>
      <c r="AG537" s="727"/>
      <c r="AH537" s="727"/>
      <c r="AI537" s="727"/>
      <c r="AJ537" s="727"/>
      <c r="AK537" s="727"/>
      <c r="AL537" s="727"/>
      <c r="AM537" s="727"/>
      <c r="AN537" s="727"/>
      <c r="AO537" s="727"/>
      <c r="AP537" s="727"/>
      <c r="AQ537" s="727"/>
      <c r="AR537" s="727"/>
      <c r="AS537" s="727"/>
      <c r="AT537" s="727"/>
      <c r="AU537" s="727"/>
      <c r="AV537" s="727"/>
      <c r="AW537" s="727"/>
      <c r="AX537" s="727"/>
      <c r="AY537" s="727"/>
      <c r="AZ537" s="727"/>
      <c r="BA537" s="727"/>
      <c r="BB537" s="727"/>
    </row>
    <row r="538" spans="1:54">
      <c r="A538" s="326"/>
      <c r="B538" s="791">
        <v>6</v>
      </c>
      <c r="C538" s="792">
        <v>1300</v>
      </c>
      <c r="D538" s="779">
        <v>0.12107</v>
      </c>
      <c r="E538" s="779">
        <v>4677.7</v>
      </c>
      <c r="F538" s="779">
        <v>5404.1</v>
      </c>
      <c r="G538" s="779">
        <v>8.6273</v>
      </c>
      <c r="H538" s="727"/>
      <c r="I538" s="727"/>
      <c r="J538" s="727"/>
      <c r="K538" s="727"/>
      <c r="L538" s="727"/>
      <c r="M538" s="727"/>
      <c r="N538" s="727"/>
      <c r="O538" s="727"/>
      <c r="P538" s="727"/>
      <c r="Q538" s="727"/>
      <c r="R538" s="727"/>
      <c r="S538" s="727"/>
      <c r="T538" s="727"/>
      <c r="U538" s="727"/>
      <c r="V538" s="727"/>
      <c r="W538" s="727"/>
      <c r="X538" s="727"/>
      <c r="Y538" s="727"/>
      <c r="Z538" s="727"/>
      <c r="AA538" s="727"/>
      <c r="AB538" s="727"/>
      <c r="AC538" s="727"/>
      <c r="AD538" s="727"/>
      <c r="AE538" s="727"/>
      <c r="AF538" s="727"/>
      <c r="AG538" s="727"/>
      <c r="AH538" s="727"/>
      <c r="AI538" s="727"/>
      <c r="AJ538" s="727"/>
      <c r="AK538" s="727"/>
      <c r="AL538" s="727"/>
      <c r="AM538" s="727"/>
      <c r="AN538" s="727"/>
      <c r="AO538" s="727"/>
      <c r="AP538" s="727"/>
      <c r="AQ538" s="727"/>
      <c r="AR538" s="727"/>
      <c r="AS538" s="727"/>
      <c r="AT538" s="727"/>
      <c r="AU538" s="727"/>
      <c r="AV538" s="727"/>
      <c r="AW538" s="727"/>
      <c r="AX538" s="727"/>
      <c r="AY538" s="727"/>
      <c r="AZ538" s="727"/>
      <c r="BA538" s="727"/>
      <c r="BB538" s="727"/>
    </row>
    <row r="539" spans="1:54">
      <c r="A539" s="326"/>
      <c r="B539" s="791">
        <v>7</v>
      </c>
      <c r="C539" s="792">
        <v>285.83</v>
      </c>
      <c r="D539" s="779">
        <v>2.7378E-2</v>
      </c>
      <c r="E539" s="779">
        <v>2581</v>
      </c>
      <c r="F539" s="779">
        <v>2772.6</v>
      </c>
      <c r="G539" s="779">
        <v>5.8148</v>
      </c>
      <c r="H539" s="727"/>
      <c r="I539" s="727"/>
      <c r="J539" s="727"/>
      <c r="K539" s="727"/>
      <c r="L539" s="727"/>
      <c r="M539" s="727"/>
      <c r="N539" s="727"/>
      <c r="O539" s="727"/>
      <c r="P539" s="727"/>
      <c r="Q539" s="727"/>
      <c r="R539" s="727"/>
      <c r="S539" s="727"/>
      <c r="T539" s="727"/>
      <c r="U539" s="727"/>
      <c r="V539" s="727"/>
      <c r="W539" s="727"/>
      <c r="X539" s="727"/>
      <c r="Y539" s="727"/>
      <c r="Z539" s="727"/>
      <c r="AA539" s="727"/>
      <c r="AB539" s="727"/>
      <c r="AC539" s="727"/>
      <c r="AD539" s="727"/>
      <c r="AE539" s="727"/>
      <c r="AF539" s="727"/>
      <c r="AG539" s="727"/>
      <c r="AH539" s="727"/>
      <c r="AI539" s="727"/>
      <c r="AJ539" s="727"/>
      <c r="AK539" s="727"/>
      <c r="AL539" s="727"/>
      <c r="AM539" s="727"/>
      <c r="AN539" s="727"/>
      <c r="AO539" s="727"/>
      <c r="AP539" s="727"/>
      <c r="AQ539" s="727"/>
      <c r="AR539" s="727"/>
      <c r="AS539" s="727"/>
      <c r="AT539" s="727"/>
      <c r="AU539" s="727"/>
      <c r="AV539" s="727"/>
      <c r="AW539" s="727"/>
      <c r="AX539" s="727"/>
      <c r="AY539" s="727"/>
      <c r="AZ539" s="727"/>
      <c r="BA539" s="727"/>
      <c r="BB539" s="727"/>
    </row>
    <row r="540" spans="1:54">
      <c r="A540" s="326"/>
      <c r="B540" s="791">
        <v>7</v>
      </c>
      <c r="C540" s="792">
        <v>300</v>
      </c>
      <c r="D540" s="779">
        <v>2.9492000000000001E-2</v>
      </c>
      <c r="E540" s="779">
        <v>2633.5</v>
      </c>
      <c r="F540" s="779">
        <v>2839.9</v>
      </c>
      <c r="G540" s="779">
        <v>5.9337</v>
      </c>
      <c r="H540" s="727"/>
      <c r="I540" s="727"/>
      <c r="J540" s="727"/>
      <c r="K540" s="727"/>
      <c r="L540" s="727"/>
      <c r="M540" s="727"/>
      <c r="N540" s="727"/>
      <c r="O540" s="727"/>
      <c r="P540" s="727"/>
      <c r="Q540" s="727"/>
      <c r="R540" s="727"/>
      <c r="S540" s="727"/>
      <c r="T540" s="727"/>
      <c r="U540" s="727"/>
      <c r="V540" s="727"/>
      <c r="W540" s="727"/>
      <c r="X540" s="727"/>
      <c r="Y540" s="727"/>
      <c r="Z540" s="727"/>
      <c r="AA540" s="727"/>
      <c r="AB540" s="727"/>
      <c r="AC540" s="727"/>
      <c r="AD540" s="727"/>
      <c r="AE540" s="727"/>
      <c r="AF540" s="727"/>
      <c r="AG540" s="727"/>
      <c r="AH540" s="727"/>
      <c r="AI540" s="727"/>
      <c r="AJ540" s="727"/>
      <c r="AK540" s="727"/>
      <c r="AL540" s="727"/>
      <c r="AM540" s="727"/>
      <c r="AN540" s="727"/>
      <c r="AO540" s="727"/>
      <c r="AP540" s="727"/>
      <c r="AQ540" s="727"/>
      <c r="AR540" s="727"/>
      <c r="AS540" s="727"/>
      <c r="AT540" s="727"/>
      <c r="AU540" s="727"/>
      <c r="AV540" s="727"/>
      <c r="AW540" s="727"/>
      <c r="AX540" s="727"/>
      <c r="AY540" s="727"/>
      <c r="AZ540" s="727"/>
      <c r="BA540" s="727"/>
      <c r="BB540" s="727"/>
    </row>
    <row r="541" spans="1:54">
      <c r="A541" s="326"/>
      <c r="B541" s="791">
        <v>7</v>
      </c>
      <c r="C541" s="792">
        <v>350</v>
      </c>
      <c r="D541" s="779">
        <v>3.5262000000000002E-2</v>
      </c>
      <c r="E541" s="779">
        <v>2770.1</v>
      </c>
      <c r="F541" s="779">
        <v>3016.9</v>
      </c>
      <c r="G541" s="779">
        <v>6.2305000000000001</v>
      </c>
      <c r="H541" s="727"/>
      <c r="I541" s="727"/>
      <c r="J541" s="727"/>
      <c r="K541" s="727"/>
      <c r="L541" s="727"/>
      <c r="M541" s="727"/>
      <c r="N541" s="727"/>
      <c r="O541" s="727"/>
      <c r="P541" s="727"/>
      <c r="Q541" s="727"/>
      <c r="R541" s="727"/>
      <c r="S541" s="727"/>
      <c r="T541" s="727"/>
      <c r="U541" s="727"/>
      <c r="V541" s="727"/>
      <c r="W541" s="727"/>
      <c r="X541" s="727"/>
      <c r="Y541" s="727"/>
      <c r="Z541" s="727"/>
      <c r="AA541" s="727"/>
      <c r="AB541" s="727"/>
      <c r="AC541" s="727"/>
      <c r="AD541" s="727"/>
      <c r="AE541" s="727"/>
      <c r="AF541" s="727"/>
      <c r="AG541" s="727"/>
      <c r="AH541" s="727"/>
      <c r="AI541" s="727"/>
      <c r="AJ541" s="727"/>
      <c r="AK541" s="727"/>
      <c r="AL541" s="727"/>
      <c r="AM541" s="727"/>
      <c r="AN541" s="727"/>
      <c r="AO541" s="727"/>
      <c r="AP541" s="727"/>
      <c r="AQ541" s="727"/>
      <c r="AR541" s="727"/>
      <c r="AS541" s="727"/>
      <c r="AT541" s="727"/>
      <c r="AU541" s="727"/>
      <c r="AV541" s="727"/>
      <c r="AW541" s="727"/>
      <c r="AX541" s="727"/>
      <c r="AY541" s="727"/>
      <c r="AZ541" s="727"/>
      <c r="BA541" s="727"/>
      <c r="BB541" s="727"/>
    </row>
    <row r="542" spans="1:54">
      <c r="A542" s="326"/>
      <c r="B542" s="791">
        <v>7</v>
      </c>
      <c r="C542" s="792">
        <v>400</v>
      </c>
      <c r="D542" s="779">
        <v>3.9958E-2</v>
      </c>
      <c r="E542" s="779">
        <v>2879.5</v>
      </c>
      <c r="F542" s="779">
        <v>3159.2</v>
      </c>
      <c r="G542" s="779">
        <v>6.4501999999999997</v>
      </c>
      <c r="H542" s="727"/>
      <c r="I542" s="727"/>
      <c r="J542" s="727"/>
      <c r="K542" s="727"/>
      <c r="L542" s="727"/>
      <c r="M542" s="727"/>
      <c r="N542" s="727"/>
      <c r="O542" s="727"/>
      <c r="P542" s="727"/>
      <c r="Q542" s="727"/>
      <c r="R542" s="727"/>
      <c r="S542" s="727"/>
      <c r="T542" s="727"/>
      <c r="U542" s="727"/>
      <c r="V542" s="727"/>
      <c r="W542" s="727"/>
      <c r="X542" s="727"/>
      <c r="Y542" s="727"/>
      <c r="Z542" s="727"/>
      <c r="AA542" s="727"/>
      <c r="AB542" s="727"/>
      <c r="AC542" s="727"/>
      <c r="AD542" s="727"/>
      <c r="AE542" s="727"/>
      <c r="AF542" s="727"/>
      <c r="AG542" s="727"/>
      <c r="AH542" s="727"/>
      <c r="AI542" s="727"/>
      <c r="AJ542" s="727"/>
      <c r="AK542" s="727"/>
      <c r="AL542" s="727"/>
      <c r="AM542" s="727"/>
      <c r="AN542" s="727"/>
      <c r="AO542" s="727"/>
      <c r="AP542" s="727"/>
      <c r="AQ542" s="727"/>
      <c r="AR542" s="727"/>
      <c r="AS542" s="727"/>
      <c r="AT542" s="727"/>
      <c r="AU542" s="727"/>
      <c r="AV542" s="727"/>
      <c r="AW542" s="727"/>
      <c r="AX542" s="727"/>
      <c r="AY542" s="727"/>
      <c r="AZ542" s="727"/>
      <c r="BA542" s="727"/>
      <c r="BB542" s="727"/>
    </row>
    <row r="543" spans="1:54">
      <c r="A543" s="326"/>
      <c r="B543" s="791">
        <v>7</v>
      </c>
      <c r="C543" s="792">
        <v>450</v>
      </c>
      <c r="D543" s="779">
        <v>4.4186999999999997E-2</v>
      </c>
      <c r="E543" s="779">
        <v>2979</v>
      </c>
      <c r="F543" s="779">
        <v>3288.3</v>
      </c>
      <c r="G543" s="779">
        <v>6.6353</v>
      </c>
      <c r="H543" s="727"/>
      <c r="I543" s="727"/>
      <c r="J543" s="727"/>
      <c r="K543" s="727"/>
      <c r="L543" s="727"/>
      <c r="M543" s="727"/>
      <c r="N543" s="727"/>
      <c r="O543" s="727"/>
      <c r="P543" s="727"/>
      <c r="Q543" s="727"/>
      <c r="R543" s="727"/>
      <c r="S543" s="727"/>
      <c r="T543" s="727"/>
      <c r="U543" s="727"/>
      <c r="V543" s="727"/>
      <c r="W543" s="727"/>
      <c r="X543" s="727"/>
      <c r="Y543" s="727"/>
      <c r="Z543" s="727"/>
      <c r="AA543" s="727"/>
      <c r="AB543" s="727"/>
      <c r="AC543" s="727"/>
      <c r="AD543" s="727"/>
      <c r="AE543" s="727"/>
      <c r="AF543" s="727"/>
      <c r="AG543" s="727"/>
      <c r="AH543" s="727"/>
      <c r="AI543" s="727"/>
      <c r="AJ543" s="727"/>
      <c r="AK543" s="727"/>
      <c r="AL543" s="727"/>
      <c r="AM543" s="727"/>
      <c r="AN543" s="727"/>
      <c r="AO543" s="727"/>
      <c r="AP543" s="727"/>
      <c r="AQ543" s="727"/>
      <c r="AR543" s="727"/>
      <c r="AS543" s="727"/>
      <c r="AT543" s="727"/>
      <c r="AU543" s="727"/>
      <c r="AV543" s="727"/>
      <c r="AW543" s="727"/>
      <c r="AX543" s="727"/>
      <c r="AY543" s="727"/>
      <c r="AZ543" s="727"/>
      <c r="BA543" s="727"/>
      <c r="BB543" s="727"/>
    </row>
    <row r="544" spans="1:54">
      <c r="A544" s="326"/>
      <c r="B544" s="791">
        <v>7</v>
      </c>
      <c r="C544" s="792">
        <v>500</v>
      </c>
      <c r="D544" s="779">
        <v>4.8156999999999998E-2</v>
      </c>
      <c r="E544" s="779">
        <v>3074.3</v>
      </c>
      <c r="F544" s="779">
        <v>3411.4</v>
      </c>
      <c r="G544" s="779">
        <v>6.8</v>
      </c>
      <c r="H544" s="727"/>
      <c r="I544" s="727"/>
      <c r="J544" s="727"/>
      <c r="K544" s="727"/>
      <c r="L544" s="727"/>
      <c r="M544" s="727"/>
      <c r="N544" s="727"/>
      <c r="O544" s="727"/>
      <c r="P544" s="727"/>
      <c r="Q544" s="727"/>
      <c r="R544" s="727"/>
      <c r="S544" s="727"/>
      <c r="T544" s="727"/>
      <c r="U544" s="727"/>
      <c r="V544" s="727"/>
      <c r="W544" s="727"/>
      <c r="X544" s="727"/>
      <c r="Y544" s="727"/>
      <c r="Z544" s="727"/>
      <c r="AA544" s="727"/>
      <c r="AB544" s="727"/>
      <c r="AC544" s="727"/>
      <c r="AD544" s="727"/>
      <c r="AE544" s="727"/>
      <c r="AF544" s="727"/>
      <c r="AG544" s="727"/>
      <c r="AH544" s="727"/>
      <c r="AI544" s="727"/>
      <c r="AJ544" s="727"/>
      <c r="AK544" s="727"/>
      <c r="AL544" s="727"/>
      <c r="AM544" s="727"/>
      <c r="AN544" s="727"/>
      <c r="AO544" s="727"/>
      <c r="AP544" s="727"/>
      <c r="AQ544" s="727"/>
      <c r="AR544" s="727"/>
      <c r="AS544" s="727"/>
      <c r="AT544" s="727"/>
      <c r="AU544" s="727"/>
      <c r="AV544" s="727"/>
      <c r="AW544" s="727"/>
      <c r="AX544" s="727"/>
      <c r="AY544" s="727"/>
      <c r="AZ544" s="727"/>
      <c r="BA544" s="727"/>
      <c r="BB544" s="727"/>
    </row>
    <row r="545" spans="1:54">
      <c r="A545" s="326"/>
      <c r="B545" s="791">
        <v>7</v>
      </c>
      <c r="C545" s="792">
        <v>550</v>
      </c>
      <c r="D545" s="779">
        <v>5.1965999999999998E-2</v>
      </c>
      <c r="E545" s="779">
        <v>3167.9</v>
      </c>
      <c r="F545" s="779">
        <v>3531.6</v>
      </c>
      <c r="G545" s="779">
        <v>6.9507000000000003</v>
      </c>
      <c r="H545" s="727"/>
      <c r="I545" s="727"/>
      <c r="J545" s="727"/>
      <c r="K545" s="727"/>
      <c r="L545" s="727"/>
      <c r="M545" s="727"/>
      <c r="N545" s="727"/>
      <c r="O545" s="727"/>
      <c r="P545" s="727"/>
      <c r="Q545" s="727"/>
      <c r="R545" s="727"/>
      <c r="S545" s="727"/>
      <c r="T545" s="727"/>
      <c r="U545" s="727"/>
      <c r="V545" s="727"/>
      <c r="W545" s="727"/>
      <c r="X545" s="727"/>
      <c r="Y545" s="727"/>
      <c r="Z545" s="727"/>
      <c r="AA545" s="727"/>
      <c r="AB545" s="727"/>
      <c r="AC545" s="727"/>
      <c r="AD545" s="727"/>
      <c r="AE545" s="727"/>
      <c r="AF545" s="727"/>
      <c r="AG545" s="727"/>
      <c r="AH545" s="727"/>
      <c r="AI545" s="727"/>
      <c r="AJ545" s="727"/>
      <c r="AK545" s="727"/>
      <c r="AL545" s="727"/>
      <c r="AM545" s="727"/>
      <c r="AN545" s="727"/>
      <c r="AO545" s="727"/>
      <c r="AP545" s="727"/>
      <c r="AQ545" s="727"/>
      <c r="AR545" s="727"/>
      <c r="AS545" s="727"/>
      <c r="AT545" s="727"/>
      <c r="AU545" s="727"/>
      <c r="AV545" s="727"/>
      <c r="AW545" s="727"/>
      <c r="AX545" s="727"/>
      <c r="AY545" s="727"/>
      <c r="AZ545" s="727"/>
      <c r="BA545" s="727"/>
      <c r="BB545" s="727"/>
    </row>
    <row r="546" spans="1:54">
      <c r="A546" s="326"/>
      <c r="B546" s="791">
        <v>7</v>
      </c>
      <c r="C546" s="792">
        <v>600</v>
      </c>
      <c r="D546" s="779">
        <v>5.5664999999999999E-2</v>
      </c>
      <c r="E546" s="779">
        <v>3261</v>
      </c>
      <c r="F546" s="779">
        <v>3650.6</v>
      </c>
      <c r="G546" s="779">
        <v>7.0910000000000002</v>
      </c>
      <c r="H546" s="727"/>
      <c r="I546" s="727"/>
      <c r="J546" s="727"/>
      <c r="K546" s="727"/>
      <c r="L546" s="727"/>
      <c r="M546" s="727"/>
      <c r="N546" s="727"/>
      <c r="O546" s="727"/>
      <c r="P546" s="727"/>
      <c r="Q546" s="727"/>
      <c r="R546" s="727"/>
      <c r="S546" s="727"/>
      <c r="T546" s="727"/>
      <c r="U546" s="727"/>
      <c r="V546" s="727"/>
      <c r="W546" s="727"/>
      <c r="X546" s="727"/>
      <c r="Y546" s="727"/>
      <c r="Z546" s="727"/>
      <c r="AA546" s="727"/>
      <c r="AB546" s="727"/>
      <c r="AC546" s="727"/>
      <c r="AD546" s="727"/>
      <c r="AE546" s="727"/>
      <c r="AF546" s="727"/>
      <c r="AG546" s="727"/>
      <c r="AH546" s="727"/>
      <c r="AI546" s="727"/>
      <c r="AJ546" s="727"/>
      <c r="AK546" s="727"/>
      <c r="AL546" s="727"/>
      <c r="AM546" s="727"/>
      <c r="AN546" s="727"/>
      <c r="AO546" s="727"/>
      <c r="AP546" s="727"/>
      <c r="AQ546" s="727"/>
      <c r="AR546" s="727"/>
      <c r="AS546" s="727"/>
      <c r="AT546" s="727"/>
      <c r="AU546" s="727"/>
      <c r="AV546" s="727"/>
      <c r="AW546" s="727"/>
      <c r="AX546" s="727"/>
      <c r="AY546" s="727"/>
      <c r="AZ546" s="727"/>
      <c r="BA546" s="727"/>
      <c r="BB546" s="727"/>
    </row>
    <row r="547" spans="1:54">
      <c r="A547" s="326"/>
      <c r="B547" s="791">
        <v>7</v>
      </c>
      <c r="C547" s="792">
        <v>700</v>
      </c>
      <c r="D547" s="779">
        <v>6.2850000000000003E-2</v>
      </c>
      <c r="E547" s="779">
        <v>3448.3</v>
      </c>
      <c r="F547" s="779">
        <v>3888.3</v>
      </c>
      <c r="G547" s="779">
        <v>7.3487</v>
      </c>
      <c r="H547" s="727"/>
      <c r="I547" s="727"/>
      <c r="J547" s="727"/>
      <c r="K547" s="727"/>
      <c r="L547" s="727"/>
      <c r="M547" s="727"/>
      <c r="N547" s="727"/>
      <c r="O547" s="727"/>
      <c r="P547" s="727"/>
      <c r="Q547" s="727"/>
      <c r="R547" s="727"/>
      <c r="S547" s="727"/>
      <c r="T547" s="727"/>
      <c r="U547" s="727"/>
      <c r="V547" s="727"/>
      <c r="W547" s="727"/>
      <c r="X547" s="727"/>
      <c r="Y547" s="727"/>
      <c r="Z547" s="727"/>
      <c r="AA547" s="727"/>
      <c r="AB547" s="727"/>
      <c r="AC547" s="727"/>
      <c r="AD547" s="727"/>
      <c r="AE547" s="727"/>
      <c r="AF547" s="727"/>
      <c r="AG547" s="727"/>
      <c r="AH547" s="727"/>
      <c r="AI547" s="727"/>
      <c r="AJ547" s="727"/>
      <c r="AK547" s="727"/>
      <c r="AL547" s="727"/>
      <c r="AM547" s="727"/>
      <c r="AN547" s="727"/>
      <c r="AO547" s="727"/>
      <c r="AP547" s="727"/>
      <c r="AQ547" s="727"/>
      <c r="AR547" s="727"/>
      <c r="AS547" s="727"/>
      <c r="AT547" s="727"/>
      <c r="AU547" s="727"/>
      <c r="AV547" s="727"/>
      <c r="AW547" s="727"/>
      <c r="AX547" s="727"/>
      <c r="AY547" s="727"/>
      <c r="AZ547" s="727"/>
      <c r="BA547" s="727"/>
      <c r="BB547" s="727"/>
    </row>
    <row r="548" spans="1:54">
      <c r="A548" s="326"/>
      <c r="B548" s="791">
        <v>7</v>
      </c>
      <c r="C548" s="792">
        <v>800</v>
      </c>
      <c r="D548" s="779">
        <v>6.9856000000000001E-2</v>
      </c>
      <c r="E548" s="779">
        <v>3639.5</v>
      </c>
      <c r="F548" s="779">
        <v>4128.5</v>
      </c>
      <c r="G548" s="779">
        <v>7.5835999999999997</v>
      </c>
      <c r="H548" s="727"/>
      <c r="I548" s="727"/>
      <c r="J548" s="727"/>
      <c r="K548" s="727"/>
      <c r="L548" s="727"/>
      <c r="M548" s="727"/>
      <c r="N548" s="727"/>
      <c r="O548" s="727"/>
      <c r="P548" s="727"/>
      <c r="Q548" s="727"/>
      <c r="R548" s="727"/>
      <c r="S548" s="727"/>
      <c r="T548" s="727"/>
      <c r="U548" s="727"/>
      <c r="V548" s="727"/>
      <c r="W548" s="727"/>
      <c r="X548" s="727"/>
      <c r="Y548" s="727"/>
      <c r="Z548" s="727"/>
      <c r="AA548" s="727"/>
      <c r="AB548" s="727"/>
      <c r="AC548" s="727"/>
      <c r="AD548" s="727"/>
      <c r="AE548" s="727"/>
      <c r="AF548" s="727"/>
      <c r="AG548" s="727"/>
      <c r="AH548" s="727"/>
      <c r="AI548" s="727"/>
      <c r="AJ548" s="727"/>
      <c r="AK548" s="727"/>
      <c r="AL548" s="727"/>
      <c r="AM548" s="727"/>
      <c r="AN548" s="727"/>
      <c r="AO548" s="727"/>
      <c r="AP548" s="727"/>
      <c r="AQ548" s="727"/>
      <c r="AR548" s="727"/>
      <c r="AS548" s="727"/>
      <c r="AT548" s="727"/>
      <c r="AU548" s="727"/>
      <c r="AV548" s="727"/>
      <c r="AW548" s="727"/>
      <c r="AX548" s="727"/>
      <c r="AY548" s="727"/>
      <c r="AZ548" s="727"/>
      <c r="BA548" s="727"/>
      <c r="BB548" s="727"/>
    </row>
    <row r="549" spans="1:54">
      <c r="A549" s="326"/>
      <c r="B549" s="791">
        <v>7</v>
      </c>
      <c r="C549" s="792">
        <v>900</v>
      </c>
      <c r="D549" s="779">
        <v>7.6749999999999999E-2</v>
      </c>
      <c r="E549" s="779">
        <v>3835.7</v>
      </c>
      <c r="F549" s="779">
        <v>4373</v>
      </c>
      <c r="G549" s="779">
        <v>7.8014000000000001</v>
      </c>
      <c r="H549" s="727"/>
      <c r="I549" s="727"/>
      <c r="J549" s="727"/>
      <c r="K549" s="727"/>
      <c r="L549" s="727"/>
      <c r="M549" s="727"/>
      <c r="N549" s="727"/>
      <c r="O549" s="727"/>
      <c r="P549" s="727"/>
      <c r="Q549" s="727"/>
      <c r="R549" s="727"/>
      <c r="S549" s="727"/>
      <c r="T549" s="727"/>
      <c r="U549" s="727"/>
      <c r="V549" s="727"/>
      <c r="W549" s="727"/>
      <c r="X549" s="727"/>
      <c r="Y549" s="727"/>
      <c r="Z549" s="727"/>
      <c r="AA549" s="727"/>
      <c r="AB549" s="727"/>
      <c r="AC549" s="727"/>
      <c r="AD549" s="727"/>
      <c r="AE549" s="727"/>
      <c r="AF549" s="727"/>
      <c r="AG549" s="727"/>
      <c r="AH549" s="727"/>
      <c r="AI549" s="727"/>
      <c r="AJ549" s="727"/>
      <c r="AK549" s="727"/>
      <c r="AL549" s="727"/>
      <c r="AM549" s="727"/>
      <c r="AN549" s="727"/>
      <c r="AO549" s="727"/>
      <c r="AP549" s="727"/>
      <c r="AQ549" s="727"/>
      <c r="AR549" s="727"/>
      <c r="AS549" s="727"/>
      <c r="AT549" s="727"/>
      <c r="AU549" s="727"/>
      <c r="AV549" s="727"/>
      <c r="AW549" s="727"/>
      <c r="AX549" s="727"/>
      <c r="AY549" s="727"/>
      <c r="AZ549" s="727"/>
      <c r="BA549" s="727"/>
      <c r="BB549" s="727"/>
    </row>
    <row r="550" spans="1:54">
      <c r="A550" s="326"/>
      <c r="B550" s="791">
        <v>7</v>
      </c>
      <c r="C550" s="792">
        <v>1000</v>
      </c>
      <c r="D550" s="779">
        <v>8.3571000000000006E-2</v>
      </c>
      <c r="E550" s="779">
        <v>4037.5</v>
      </c>
      <c r="F550" s="779">
        <v>4622.5</v>
      </c>
      <c r="G550" s="779">
        <v>8.0054999999999996</v>
      </c>
      <c r="H550" s="727"/>
      <c r="I550" s="727"/>
      <c r="J550" s="727"/>
      <c r="K550" s="727"/>
      <c r="L550" s="727"/>
      <c r="M550" s="727"/>
      <c r="N550" s="727"/>
      <c r="O550" s="727"/>
      <c r="P550" s="727"/>
      <c r="Q550" s="727"/>
      <c r="R550" s="727"/>
      <c r="S550" s="727"/>
      <c r="T550" s="727"/>
      <c r="U550" s="727"/>
      <c r="V550" s="727"/>
      <c r="W550" s="727"/>
      <c r="X550" s="727"/>
      <c r="Y550" s="727"/>
      <c r="Z550" s="727"/>
      <c r="AA550" s="727"/>
      <c r="AB550" s="727"/>
      <c r="AC550" s="727"/>
      <c r="AD550" s="727"/>
      <c r="AE550" s="727"/>
      <c r="AF550" s="727"/>
      <c r="AG550" s="727"/>
      <c r="AH550" s="727"/>
      <c r="AI550" s="727"/>
      <c r="AJ550" s="727"/>
      <c r="AK550" s="727"/>
      <c r="AL550" s="727"/>
      <c r="AM550" s="727"/>
      <c r="AN550" s="727"/>
      <c r="AO550" s="727"/>
      <c r="AP550" s="727"/>
      <c r="AQ550" s="727"/>
      <c r="AR550" s="727"/>
      <c r="AS550" s="727"/>
      <c r="AT550" s="727"/>
      <c r="AU550" s="727"/>
      <c r="AV550" s="727"/>
      <c r="AW550" s="727"/>
      <c r="AX550" s="727"/>
      <c r="AY550" s="727"/>
      <c r="AZ550" s="727"/>
      <c r="BA550" s="727"/>
      <c r="BB550" s="727"/>
    </row>
    <row r="551" spans="1:54">
      <c r="A551" s="326"/>
      <c r="B551" s="791">
        <v>7</v>
      </c>
      <c r="C551" s="792">
        <v>1100</v>
      </c>
      <c r="D551" s="779">
        <v>9.0341000000000005E-2</v>
      </c>
      <c r="E551" s="779">
        <v>4245</v>
      </c>
      <c r="F551" s="779">
        <v>4877.3999999999996</v>
      </c>
      <c r="G551" s="779">
        <v>8.1981999999999999</v>
      </c>
      <c r="H551" s="727"/>
      <c r="I551" s="727"/>
      <c r="J551" s="727"/>
      <c r="K551" s="727"/>
      <c r="L551" s="727"/>
      <c r="M551" s="727"/>
      <c r="N551" s="727"/>
      <c r="O551" s="727"/>
      <c r="P551" s="727"/>
      <c r="Q551" s="727"/>
      <c r="R551" s="727"/>
      <c r="S551" s="727"/>
      <c r="T551" s="727"/>
      <c r="U551" s="727"/>
      <c r="V551" s="727"/>
      <c r="W551" s="727"/>
      <c r="X551" s="727"/>
      <c r="Y551" s="727"/>
      <c r="Z551" s="727"/>
      <c r="AA551" s="727"/>
      <c r="AB551" s="727"/>
      <c r="AC551" s="727"/>
      <c r="AD551" s="727"/>
      <c r="AE551" s="727"/>
      <c r="AF551" s="727"/>
      <c r="AG551" s="727"/>
      <c r="AH551" s="727"/>
      <c r="AI551" s="727"/>
      <c r="AJ551" s="727"/>
      <c r="AK551" s="727"/>
      <c r="AL551" s="727"/>
      <c r="AM551" s="727"/>
      <c r="AN551" s="727"/>
      <c r="AO551" s="727"/>
      <c r="AP551" s="727"/>
      <c r="AQ551" s="727"/>
      <c r="AR551" s="727"/>
      <c r="AS551" s="727"/>
      <c r="AT551" s="727"/>
      <c r="AU551" s="727"/>
      <c r="AV551" s="727"/>
      <c r="AW551" s="727"/>
      <c r="AX551" s="727"/>
      <c r="AY551" s="727"/>
      <c r="AZ551" s="727"/>
      <c r="BA551" s="727"/>
      <c r="BB551" s="727"/>
    </row>
    <row r="552" spans="1:54">
      <c r="A552" s="326"/>
      <c r="B552" s="791">
        <v>7</v>
      </c>
      <c r="C552" s="792">
        <v>1200</v>
      </c>
      <c r="D552" s="779">
        <v>9.7074999999999995E-2</v>
      </c>
      <c r="E552" s="779">
        <v>4457.8999999999996</v>
      </c>
      <c r="F552" s="779">
        <v>5137.3999999999996</v>
      </c>
      <c r="G552" s="779">
        <v>8.3810000000000002</v>
      </c>
      <c r="H552" s="727"/>
      <c r="I552" s="727"/>
      <c r="J552" s="727"/>
      <c r="K552" s="727"/>
      <c r="L552" s="727"/>
      <c r="M552" s="727"/>
      <c r="N552" s="727"/>
      <c r="O552" s="727"/>
      <c r="P552" s="727"/>
      <c r="Q552" s="727"/>
      <c r="R552" s="727"/>
      <c r="S552" s="727"/>
      <c r="T552" s="727"/>
      <c r="U552" s="727"/>
      <c r="V552" s="727"/>
      <c r="W552" s="727"/>
      <c r="X552" s="727"/>
      <c r="Y552" s="727"/>
      <c r="Z552" s="727"/>
      <c r="AA552" s="727"/>
      <c r="AB552" s="727"/>
      <c r="AC552" s="727"/>
      <c r="AD552" s="727"/>
      <c r="AE552" s="727"/>
      <c r="AF552" s="727"/>
      <c r="AG552" s="727"/>
      <c r="AH552" s="727"/>
      <c r="AI552" s="727"/>
      <c r="AJ552" s="727"/>
      <c r="AK552" s="727"/>
      <c r="AL552" s="727"/>
      <c r="AM552" s="727"/>
      <c r="AN552" s="727"/>
      <c r="AO552" s="727"/>
      <c r="AP552" s="727"/>
      <c r="AQ552" s="727"/>
      <c r="AR552" s="727"/>
      <c r="AS552" s="727"/>
      <c r="AT552" s="727"/>
      <c r="AU552" s="727"/>
      <c r="AV552" s="727"/>
      <c r="AW552" s="727"/>
      <c r="AX552" s="727"/>
      <c r="AY552" s="727"/>
      <c r="AZ552" s="727"/>
      <c r="BA552" s="727"/>
      <c r="BB552" s="727"/>
    </row>
    <row r="553" spans="1:54">
      <c r="A553" s="326"/>
      <c r="B553" s="791">
        <v>7</v>
      </c>
      <c r="C553" s="792">
        <v>1300</v>
      </c>
      <c r="D553" s="779">
        <v>0.103781</v>
      </c>
      <c r="E553" s="779">
        <v>4676.1000000000004</v>
      </c>
      <c r="F553" s="779">
        <v>5402.6</v>
      </c>
      <c r="G553" s="779">
        <v>8.5550999999999995</v>
      </c>
      <c r="H553" s="727"/>
      <c r="I553" s="727"/>
      <c r="J553" s="727"/>
      <c r="K553" s="727"/>
      <c r="L553" s="727"/>
      <c r="M553" s="727"/>
      <c r="N553" s="727"/>
      <c r="O553" s="727"/>
      <c r="P553" s="727"/>
      <c r="Q553" s="727"/>
      <c r="R553" s="727"/>
      <c r="S553" s="727"/>
      <c r="T553" s="727"/>
      <c r="U553" s="727"/>
      <c r="V553" s="727"/>
      <c r="W553" s="727"/>
      <c r="X553" s="727"/>
      <c r="Y553" s="727"/>
      <c r="Z553" s="727"/>
      <c r="AA553" s="727"/>
      <c r="AB553" s="727"/>
      <c r="AC553" s="727"/>
      <c r="AD553" s="727"/>
      <c r="AE553" s="727"/>
      <c r="AF553" s="727"/>
      <c r="AG553" s="727"/>
      <c r="AH553" s="727"/>
      <c r="AI553" s="727"/>
      <c r="AJ553" s="727"/>
      <c r="AK553" s="727"/>
      <c r="AL553" s="727"/>
      <c r="AM553" s="727"/>
      <c r="AN553" s="727"/>
      <c r="AO553" s="727"/>
      <c r="AP553" s="727"/>
      <c r="AQ553" s="727"/>
      <c r="AR553" s="727"/>
      <c r="AS553" s="727"/>
      <c r="AT553" s="727"/>
      <c r="AU553" s="727"/>
      <c r="AV553" s="727"/>
      <c r="AW553" s="727"/>
      <c r="AX553" s="727"/>
      <c r="AY553" s="727"/>
      <c r="AZ553" s="727"/>
      <c r="BA553" s="727"/>
      <c r="BB553" s="727"/>
    </row>
    <row r="554" spans="1:54">
      <c r="A554" s="326"/>
      <c r="B554" s="791">
        <v>8</v>
      </c>
      <c r="C554" s="792">
        <v>295.01</v>
      </c>
      <c r="D554" s="779">
        <v>2.3525000000000001E-2</v>
      </c>
      <c r="E554" s="779">
        <v>2570.5</v>
      </c>
      <c r="F554" s="779">
        <v>2758.7</v>
      </c>
      <c r="G554" s="779">
        <v>5.7450000000000001</v>
      </c>
      <c r="H554" s="727"/>
      <c r="I554" s="727"/>
      <c r="J554" s="727"/>
      <c r="K554" s="727"/>
      <c r="L554" s="727"/>
      <c r="M554" s="727"/>
      <c r="N554" s="727"/>
      <c r="O554" s="727"/>
      <c r="P554" s="727"/>
      <c r="Q554" s="727"/>
      <c r="R554" s="727"/>
      <c r="S554" s="727"/>
      <c r="T554" s="727"/>
      <c r="U554" s="727"/>
      <c r="V554" s="727"/>
      <c r="W554" s="727"/>
      <c r="X554" s="727"/>
      <c r="Y554" s="727"/>
      <c r="Z554" s="727"/>
      <c r="AA554" s="727"/>
      <c r="AB554" s="727"/>
      <c r="AC554" s="727"/>
      <c r="AD554" s="727"/>
      <c r="AE554" s="727"/>
      <c r="AF554" s="727"/>
      <c r="AG554" s="727"/>
      <c r="AH554" s="727"/>
      <c r="AI554" s="727"/>
      <c r="AJ554" s="727"/>
      <c r="AK554" s="727"/>
      <c r="AL554" s="727"/>
      <c r="AM554" s="727"/>
      <c r="AN554" s="727"/>
      <c r="AO554" s="727"/>
      <c r="AP554" s="727"/>
      <c r="AQ554" s="727"/>
      <c r="AR554" s="727"/>
      <c r="AS554" s="727"/>
      <c r="AT554" s="727"/>
      <c r="AU554" s="727"/>
      <c r="AV554" s="727"/>
      <c r="AW554" s="727"/>
      <c r="AX554" s="727"/>
      <c r="AY554" s="727"/>
      <c r="AZ554" s="727"/>
      <c r="BA554" s="727"/>
      <c r="BB554" s="727"/>
    </row>
    <row r="555" spans="1:54">
      <c r="A555" s="326"/>
      <c r="B555" s="791">
        <v>8</v>
      </c>
      <c r="C555" s="792">
        <v>300</v>
      </c>
      <c r="D555" s="779">
        <v>2.4278999999999998E-2</v>
      </c>
      <c r="E555" s="779">
        <v>2592.3000000000002</v>
      </c>
      <c r="F555" s="779">
        <v>2786.5</v>
      </c>
      <c r="G555" s="779">
        <v>5.7937000000000003</v>
      </c>
      <c r="H555" s="727"/>
      <c r="I555" s="727"/>
      <c r="J555" s="727"/>
      <c r="K555" s="727"/>
      <c r="L555" s="727"/>
      <c r="M555" s="727"/>
      <c r="N555" s="727"/>
      <c r="O555" s="727"/>
      <c r="P555" s="727"/>
      <c r="Q555" s="727"/>
      <c r="R555" s="727"/>
      <c r="S555" s="727"/>
      <c r="T555" s="727"/>
      <c r="U555" s="727"/>
      <c r="V555" s="727"/>
      <c r="W555" s="727"/>
      <c r="X555" s="727"/>
      <c r="Y555" s="727"/>
      <c r="Z555" s="727"/>
      <c r="AA555" s="727"/>
      <c r="AB555" s="727"/>
      <c r="AC555" s="727"/>
      <c r="AD555" s="727"/>
      <c r="AE555" s="727"/>
      <c r="AF555" s="727"/>
      <c r="AG555" s="727"/>
      <c r="AH555" s="727"/>
      <c r="AI555" s="727"/>
      <c r="AJ555" s="727"/>
      <c r="AK555" s="727"/>
      <c r="AL555" s="727"/>
      <c r="AM555" s="727"/>
      <c r="AN555" s="727"/>
      <c r="AO555" s="727"/>
      <c r="AP555" s="727"/>
      <c r="AQ555" s="727"/>
      <c r="AR555" s="727"/>
      <c r="AS555" s="727"/>
      <c r="AT555" s="727"/>
      <c r="AU555" s="727"/>
      <c r="AV555" s="727"/>
      <c r="AW555" s="727"/>
      <c r="AX555" s="727"/>
      <c r="AY555" s="727"/>
      <c r="AZ555" s="727"/>
      <c r="BA555" s="727"/>
      <c r="BB555" s="727"/>
    </row>
    <row r="556" spans="1:54">
      <c r="A556" s="326"/>
      <c r="B556" s="791">
        <v>8</v>
      </c>
      <c r="C556" s="792">
        <v>350</v>
      </c>
      <c r="D556" s="779">
        <v>2.9975000000000002E-2</v>
      </c>
      <c r="E556" s="779">
        <v>2748.3</v>
      </c>
      <c r="F556" s="779">
        <v>2988.1</v>
      </c>
      <c r="G556" s="779">
        <v>6.1321000000000003</v>
      </c>
      <c r="H556" s="727"/>
      <c r="I556" s="727"/>
      <c r="J556" s="727"/>
      <c r="K556" s="727"/>
      <c r="L556" s="727"/>
      <c r="M556" s="727"/>
      <c r="N556" s="727"/>
      <c r="O556" s="727"/>
      <c r="P556" s="727"/>
      <c r="Q556" s="727"/>
      <c r="R556" s="727"/>
      <c r="S556" s="727"/>
      <c r="T556" s="727"/>
      <c r="U556" s="727"/>
      <c r="V556" s="727"/>
      <c r="W556" s="727"/>
      <c r="X556" s="727"/>
      <c r="Y556" s="727"/>
      <c r="Z556" s="727"/>
      <c r="AA556" s="727"/>
      <c r="AB556" s="727"/>
      <c r="AC556" s="727"/>
      <c r="AD556" s="727"/>
      <c r="AE556" s="727"/>
      <c r="AF556" s="727"/>
      <c r="AG556" s="727"/>
      <c r="AH556" s="727"/>
      <c r="AI556" s="727"/>
      <c r="AJ556" s="727"/>
      <c r="AK556" s="727"/>
      <c r="AL556" s="727"/>
      <c r="AM556" s="727"/>
      <c r="AN556" s="727"/>
      <c r="AO556" s="727"/>
      <c r="AP556" s="727"/>
      <c r="AQ556" s="727"/>
      <c r="AR556" s="727"/>
      <c r="AS556" s="727"/>
      <c r="AT556" s="727"/>
      <c r="AU556" s="727"/>
      <c r="AV556" s="727"/>
      <c r="AW556" s="727"/>
      <c r="AX556" s="727"/>
      <c r="AY556" s="727"/>
      <c r="AZ556" s="727"/>
      <c r="BA556" s="727"/>
      <c r="BB556" s="727"/>
    </row>
    <row r="557" spans="1:54">
      <c r="A557" s="326"/>
      <c r="B557" s="791">
        <v>8</v>
      </c>
      <c r="C557" s="792">
        <v>400</v>
      </c>
      <c r="D557" s="779">
        <v>3.4344E-2</v>
      </c>
      <c r="E557" s="779">
        <v>2864.6</v>
      </c>
      <c r="F557" s="779">
        <v>3139.4</v>
      </c>
      <c r="G557" s="779">
        <v>6.3658000000000001</v>
      </c>
      <c r="H557" s="727"/>
      <c r="I557" s="727"/>
      <c r="J557" s="727"/>
      <c r="K557" s="727"/>
      <c r="L557" s="727"/>
      <c r="M557" s="727"/>
      <c r="N557" s="727"/>
      <c r="O557" s="727"/>
      <c r="P557" s="727"/>
      <c r="Q557" s="727"/>
      <c r="R557" s="727"/>
      <c r="S557" s="727"/>
      <c r="T557" s="727"/>
      <c r="U557" s="727"/>
      <c r="V557" s="727"/>
      <c r="W557" s="727"/>
      <c r="X557" s="727"/>
      <c r="Y557" s="727"/>
      <c r="Z557" s="727"/>
      <c r="AA557" s="727"/>
      <c r="AB557" s="727"/>
      <c r="AC557" s="727"/>
      <c r="AD557" s="727"/>
      <c r="AE557" s="727"/>
      <c r="AF557" s="727"/>
      <c r="AG557" s="727"/>
      <c r="AH557" s="727"/>
      <c r="AI557" s="727"/>
      <c r="AJ557" s="727"/>
      <c r="AK557" s="727"/>
      <c r="AL557" s="727"/>
      <c r="AM557" s="727"/>
      <c r="AN557" s="727"/>
      <c r="AO557" s="727"/>
      <c r="AP557" s="727"/>
      <c r="AQ557" s="727"/>
      <c r="AR557" s="727"/>
      <c r="AS557" s="727"/>
      <c r="AT557" s="727"/>
      <c r="AU557" s="727"/>
      <c r="AV557" s="727"/>
      <c r="AW557" s="727"/>
      <c r="AX557" s="727"/>
      <c r="AY557" s="727"/>
      <c r="AZ557" s="727"/>
      <c r="BA557" s="727"/>
      <c r="BB557" s="727"/>
    </row>
    <row r="558" spans="1:54">
      <c r="A558" s="326"/>
      <c r="B558" s="791">
        <v>8</v>
      </c>
      <c r="C558" s="792">
        <v>450</v>
      </c>
      <c r="D558" s="779">
        <v>3.8193999999999999E-2</v>
      </c>
      <c r="E558" s="779">
        <v>2967.8</v>
      </c>
      <c r="F558" s="779">
        <v>3273.3</v>
      </c>
      <c r="G558" s="779">
        <v>6.5579000000000001</v>
      </c>
      <c r="H558" s="727"/>
      <c r="I558" s="727"/>
      <c r="J558" s="727"/>
      <c r="K558" s="727"/>
      <c r="L558" s="727"/>
      <c r="M558" s="727"/>
      <c r="N558" s="727"/>
      <c r="O558" s="727"/>
      <c r="P558" s="727"/>
      <c r="Q558" s="727"/>
      <c r="R558" s="727"/>
      <c r="S558" s="727"/>
      <c r="T558" s="727"/>
      <c r="U558" s="727"/>
      <c r="V558" s="727"/>
      <c r="W558" s="727"/>
      <c r="X558" s="727"/>
      <c r="Y558" s="727"/>
      <c r="Z558" s="727"/>
      <c r="AA558" s="727"/>
      <c r="AB558" s="727"/>
      <c r="AC558" s="727"/>
      <c r="AD558" s="727"/>
      <c r="AE558" s="727"/>
      <c r="AF558" s="727"/>
      <c r="AG558" s="727"/>
      <c r="AH558" s="727"/>
      <c r="AI558" s="727"/>
      <c r="AJ558" s="727"/>
      <c r="AK558" s="727"/>
      <c r="AL558" s="727"/>
      <c r="AM558" s="727"/>
      <c r="AN558" s="727"/>
      <c r="AO558" s="727"/>
      <c r="AP558" s="727"/>
      <c r="AQ558" s="727"/>
      <c r="AR558" s="727"/>
      <c r="AS558" s="727"/>
      <c r="AT558" s="727"/>
      <c r="AU558" s="727"/>
      <c r="AV558" s="727"/>
      <c r="AW558" s="727"/>
      <c r="AX558" s="727"/>
      <c r="AY558" s="727"/>
      <c r="AZ558" s="727"/>
      <c r="BA558" s="727"/>
      <c r="BB558" s="727"/>
    </row>
    <row r="559" spans="1:54">
      <c r="A559" s="326"/>
      <c r="B559" s="791">
        <v>8</v>
      </c>
      <c r="C559" s="792">
        <v>500</v>
      </c>
      <c r="D559" s="779">
        <v>4.1766999999999999E-2</v>
      </c>
      <c r="E559" s="779">
        <v>3065.4</v>
      </c>
      <c r="F559" s="779">
        <v>3399.5</v>
      </c>
      <c r="G559" s="779">
        <v>6.7266000000000004</v>
      </c>
      <c r="H559" s="727"/>
      <c r="I559" s="727"/>
      <c r="J559" s="727"/>
      <c r="K559" s="727"/>
      <c r="L559" s="727"/>
      <c r="M559" s="727"/>
      <c r="N559" s="727"/>
      <c r="O559" s="727"/>
      <c r="P559" s="727"/>
      <c r="Q559" s="727"/>
      <c r="R559" s="727"/>
      <c r="S559" s="727"/>
      <c r="T559" s="727"/>
      <c r="U559" s="727"/>
      <c r="V559" s="727"/>
      <c r="W559" s="727"/>
      <c r="X559" s="727"/>
      <c r="Y559" s="727"/>
      <c r="Z559" s="727"/>
      <c r="AA559" s="727"/>
      <c r="AB559" s="727"/>
      <c r="AC559" s="727"/>
      <c r="AD559" s="727"/>
      <c r="AE559" s="727"/>
      <c r="AF559" s="727"/>
      <c r="AG559" s="727"/>
      <c r="AH559" s="727"/>
      <c r="AI559" s="727"/>
      <c r="AJ559" s="727"/>
      <c r="AK559" s="727"/>
      <c r="AL559" s="727"/>
      <c r="AM559" s="727"/>
      <c r="AN559" s="727"/>
      <c r="AO559" s="727"/>
      <c r="AP559" s="727"/>
      <c r="AQ559" s="727"/>
      <c r="AR559" s="727"/>
      <c r="AS559" s="727"/>
      <c r="AT559" s="727"/>
      <c r="AU559" s="727"/>
      <c r="AV559" s="727"/>
      <c r="AW559" s="727"/>
      <c r="AX559" s="727"/>
      <c r="AY559" s="727"/>
      <c r="AZ559" s="727"/>
      <c r="BA559" s="727"/>
      <c r="BB559" s="727"/>
    </row>
    <row r="560" spans="1:54">
      <c r="A560" s="326"/>
      <c r="B560" s="791">
        <v>8</v>
      </c>
      <c r="C560" s="792">
        <v>550</v>
      </c>
      <c r="D560" s="779">
        <v>4.5171999999999997E-2</v>
      </c>
      <c r="E560" s="779">
        <v>3160.5</v>
      </c>
      <c r="F560" s="779">
        <v>3521.8</v>
      </c>
      <c r="G560" s="779">
        <v>6.88</v>
      </c>
      <c r="H560" s="727"/>
      <c r="I560" s="727"/>
      <c r="J560" s="727"/>
      <c r="K560" s="727"/>
      <c r="L560" s="727"/>
      <c r="M560" s="727"/>
      <c r="N560" s="727"/>
      <c r="O560" s="727"/>
      <c r="P560" s="727"/>
      <c r="Q560" s="727"/>
      <c r="R560" s="727"/>
      <c r="S560" s="727"/>
      <c r="T560" s="727"/>
      <c r="U560" s="727"/>
      <c r="V560" s="727"/>
      <c r="W560" s="727"/>
      <c r="X560" s="727"/>
      <c r="Y560" s="727"/>
      <c r="Z560" s="727"/>
      <c r="AA560" s="727"/>
      <c r="AB560" s="727"/>
      <c r="AC560" s="727"/>
      <c r="AD560" s="727"/>
      <c r="AE560" s="727"/>
      <c r="AF560" s="727"/>
      <c r="AG560" s="727"/>
      <c r="AH560" s="727"/>
      <c r="AI560" s="727"/>
      <c r="AJ560" s="727"/>
      <c r="AK560" s="727"/>
      <c r="AL560" s="727"/>
      <c r="AM560" s="727"/>
      <c r="AN560" s="727"/>
      <c r="AO560" s="727"/>
      <c r="AP560" s="727"/>
      <c r="AQ560" s="727"/>
      <c r="AR560" s="727"/>
      <c r="AS560" s="727"/>
      <c r="AT560" s="727"/>
      <c r="AU560" s="727"/>
      <c r="AV560" s="727"/>
      <c r="AW560" s="727"/>
      <c r="AX560" s="727"/>
      <c r="AY560" s="727"/>
      <c r="AZ560" s="727"/>
      <c r="BA560" s="727"/>
      <c r="BB560" s="727"/>
    </row>
    <row r="561" spans="1:54">
      <c r="A561" s="326"/>
      <c r="B561" s="791">
        <v>8</v>
      </c>
      <c r="C561" s="792">
        <v>600</v>
      </c>
      <c r="D561" s="779">
        <v>4.8462999999999999E-2</v>
      </c>
      <c r="E561" s="779">
        <v>3254.7</v>
      </c>
      <c r="F561" s="779">
        <v>3642.4</v>
      </c>
      <c r="G561" s="779">
        <v>7.0221</v>
      </c>
      <c r="H561" s="727"/>
      <c r="I561" s="727"/>
      <c r="J561" s="727"/>
      <c r="K561" s="727"/>
      <c r="L561" s="727"/>
      <c r="M561" s="727"/>
      <c r="N561" s="727"/>
      <c r="O561" s="727"/>
      <c r="P561" s="727"/>
      <c r="Q561" s="727"/>
      <c r="R561" s="727"/>
      <c r="S561" s="727"/>
      <c r="T561" s="727"/>
      <c r="U561" s="727"/>
      <c r="V561" s="727"/>
      <c r="W561" s="727"/>
      <c r="X561" s="727"/>
      <c r="Y561" s="727"/>
      <c r="Z561" s="727"/>
      <c r="AA561" s="727"/>
      <c r="AB561" s="727"/>
      <c r="AC561" s="727"/>
      <c r="AD561" s="727"/>
      <c r="AE561" s="727"/>
      <c r="AF561" s="727"/>
      <c r="AG561" s="727"/>
      <c r="AH561" s="727"/>
      <c r="AI561" s="727"/>
      <c r="AJ561" s="727"/>
      <c r="AK561" s="727"/>
      <c r="AL561" s="727"/>
      <c r="AM561" s="727"/>
      <c r="AN561" s="727"/>
      <c r="AO561" s="727"/>
      <c r="AP561" s="727"/>
      <c r="AQ561" s="727"/>
      <c r="AR561" s="727"/>
      <c r="AS561" s="727"/>
      <c r="AT561" s="727"/>
      <c r="AU561" s="727"/>
      <c r="AV561" s="727"/>
      <c r="AW561" s="727"/>
      <c r="AX561" s="727"/>
      <c r="AY561" s="727"/>
      <c r="AZ561" s="727"/>
      <c r="BA561" s="727"/>
      <c r="BB561" s="727"/>
    </row>
    <row r="562" spans="1:54">
      <c r="A562" s="326"/>
      <c r="B562" s="791">
        <v>8</v>
      </c>
      <c r="C562" s="792">
        <v>700</v>
      </c>
      <c r="D562" s="779">
        <v>5.4829000000000003E-2</v>
      </c>
      <c r="E562" s="779">
        <v>3443.6</v>
      </c>
      <c r="F562" s="779">
        <v>3882.2</v>
      </c>
      <c r="G562" s="779">
        <v>7.2821999999999996</v>
      </c>
      <c r="H562" s="727"/>
      <c r="I562" s="727"/>
      <c r="J562" s="727"/>
      <c r="K562" s="727"/>
      <c r="L562" s="727"/>
      <c r="M562" s="727"/>
      <c r="N562" s="727"/>
      <c r="O562" s="727"/>
      <c r="P562" s="727"/>
      <c r="Q562" s="727"/>
      <c r="R562" s="727"/>
      <c r="S562" s="727"/>
      <c r="T562" s="727"/>
      <c r="U562" s="727"/>
      <c r="V562" s="727"/>
      <c r="W562" s="727"/>
      <c r="X562" s="727"/>
      <c r="Y562" s="727"/>
      <c r="Z562" s="727"/>
      <c r="AA562" s="727"/>
      <c r="AB562" s="727"/>
      <c r="AC562" s="727"/>
      <c r="AD562" s="727"/>
      <c r="AE562" s="727"/>
      <c r="AF562" s="727"/>
      <c r="AG562" s="727"/>
      <c r="AH562" s="727"/>
      <c r="AI562" s="727"/>
      <c r="AJ562" s="727"/>
      <c r="AK562" s="727"/>
      <c r="AL562" s="727"/>
      <c r="AM562" s="727"/>
      <c r="AN562" s="727"/>
      <c r="AO562" s="727"/>
      <c r="AP562" s="727"/>
      <c r="AQ562" s="727"/>
      <c r="AR562" s="727"/>
      <c r="AS562" s="727"/>
      <c r="AT562" s="727"/>
      <c r="AU562" s="727"/>
      <c r="AV562" s="727"/>
      <c r="AW562" s="727"/>
      <c r="AX562" s="727"/>
      <c r="AY562" s="727"/>
      <c r="AZ562" s="727"/>
      <c r="BA562" s="727"/>
      <c r="BB562" s="727"/>
    </row>
    <row r="563" spans="1:54">
      <c r="A563" s="326"/>
      <c r="B563" s="791">
        <v>8</v>
      </c>
      <c r="C563" s="792">
        <v>800</v>
      </c>
      <c r="D563" s="779">
        <v>6.1011000000000003E-2</v>
      </c>
      <c r="E563" s="779">
        <v>3635.7</v>
      </c>
      <c r="F563" s="779">
        <v>4123.8</v>
      </c>
      <c r="G563" s="779">
        <v>7.5185000000000004</v>
      </c>
      <c r="H563" s="727"/>
      <c r="I563" s="727"/>
      <c r="J563" s="727"/>
      <c r="K563" s="727"/>
      <c r="L563" s="727"/>
      <c r="M563" s="727"/>
      <c r="N563" s="727"/>
      <c r="O563" s="727"/>
      <c r="P563" s="727"/>
      <c r="Q563" s="727"/>
      <c r="R563" s="727"/>
      <c r="S563" s="727"/>
      <c r="T563" s="727"/>
      <c r="U563" s="727"/>
      <c r="V563" s="727"/>
      <c r="W563" s="727"/>
      <c r="X563" s="727"/>
      <c r="Y563" s="727"/>
      <c r="Z563" s="727"/>
      <c r="AA563" s="727"/>
      <c r="AB563" s="727"/>
      <c r="AC563" s="727"/>
      <c r="AD563" s="727"/>
      <c r="AE563" s="727"/>
      <c r="AF563" s="727"/>
      <c r="AG563" s="727"/>
      <c r="AH563" s="727"/>
      <c r="AI563" s="727"/>
      <c r="AJ563" s="727"/>
      <c r="AK563" s="727"/>
      <c r="AL563" s="727"/>
      <c r="AM563" s="727"/>
      <c r="AN563" s="727"/>
      <c r="AO563" s="727"/>
      <c r="AP563" s="727"/>
      <c r="AQ563" s="727"/>
      <c r="AR563" s="727"/>
      <c r="AS563" s="727"/>
      <c r="AT563" s="727"/>
      <c r="AU563" s="727"/>
      <c r="AV563" s="727"/>
      <c r="AW563" s="727"/>
      <c r="AX563" s="727"/>
      <c r="AY563" s="727"/>
      <c r="AZ563" s="727"/>
      <c r="BA563" s="727"/>
      <c r="BB563" s="727"/>
    </row>
    <row r="564" spans="1:54">
      <c r="A564" s="326"/>
      <c r="B564" s="791">
        <v>8</v>
      </c>
      <c r="C564" s="792">
        <v>900</v>
      </c>
      <c r="D564" s="779">
        <v>6.7082000000000003E-2</v>
      </c>
      <c r="E564" s="779">
        <v>3832.7</v>
      </c>
      <c r="F564" s="779">
        <v>4369.3</v>
      </c>
      <c r="G564" s="779">
        <v>7.7371999999999996</v>
      </c>
      <c r="H564" s="727"/>
      <c r="I564" s="727"/>
      <c r="J564" s="727"/>
      <c r="K564" s="727"/>
      <c r="L564" s="727"/>
      <c r="M564" s="727"/>
      <c r="N564" s="727"/>
      <c r="O564" s="727"/>
      <c r="P564" s="727"/>
      <c r="Q564" s="727"/>
      <c r="R564" s="727"/>
      <c r="S564" s="727"/>
      <c r="T564" s="727"/>
      <c r="U564" s="727"/>
      <c r="V564" s="727"/>
      <c r="W564" s="727"/>
      <c r="X564" s="727"/>
      <c r="Y564" s="727"/>
      <c r="Z564" s="727"/>
      <c r="AA564" s="727"/>
      <c r="AB564" s="727"/>
      <c r="AC564" s="727"/>
      <c r="AD564" s="727"/>
      <c r="AE564" s="727"/>
      <c r="AF564" s="727"/>
      <c r="AG564" s="727"/>
      <c r="AH564" s="727"/>
      <c r="AI564" s="727"/>
      <c r="AJ564" s="727"/>
      <c r="AK564" s="727"/>
      <c r="AL564" s="727"/>
      <c r="AM564" s="727"/>
      <c r="AN564" s="727"/>
      <c r="AO564" s="727"/>
      <c r="AP564" s="727"/>
      <c r="AQ564" s="727"/>
      <c r="AR564" s="727"/>
      <c r="AS564" s="727"/>
      <c r="AT564" s="727"/>
      <c r="AU564" s="727"/>
      <c r="AV564" s="727"/>
      <c r="AW564" s="727"/>
      <c r="AX564" s="727"/>
      <c r="AY564" s="727"/>
      <c r="AZ564" s="727"/>
      <c r="BA564" s="727"/>
      <c r="BB564" s="727"/>
    </row>
    <row r="565" spans="1:54">
      <c r="A565" s="326"/>
      <c r="B565" s="791">
        <v>8</v>
      </c>
      <c r="C565" s="792">
        <v>1000</v>
      </c>
      <c r="D565" s="779">
        <v>7.3079000000000005E-2</v>
      </c>
      <c r="E565" s="779">
        <v>4035</v>
      </c>
      <c r="F565" s="779">
        <v>4619.6000000000004</v>
      </c>
      <c r="G565" s="779">
        <v>7.9419000000000004</v>
      </c>
      <c r="H565" s="727"/>
      <c r="I565" s="727"/>
      <c r="J565" s="727"/>
      <c r="K565" s="727"/>
      <c r="L565" s="727"/>
      <c r="M565" s="727"/>
      <c r="N565" s="727"/>
      <c r="O565" s="727"/>
      <c r="P565" s="727"/>
      <c r="Q565" s="727"/>
      <c r="R565" s="727"/>
      <c r="S565" s="727"/>
      <c r="T565" s="727"/>
      <c r="U565" s="727"/>
      <c r="V565" s="727"/>
      <c r="W565" s="727"/>
      <c r="X565" s="727"/>
      <c r="Y565" s="727"/>
      <c r="Z565" s="727"/>
      <c r="AA565" s="727"/>
      <c r="AB565" s="727"/>
      <c r="AC565" s="727"/>
      <c r="AD565" s="727"/>
      <c r="AE565" s="727"/>
      <c r="AF565" s="727"/>
      <c r="AG565" s="727"/>
      <c r="AH565" s="727"/>
      <c r="AI565" s="727"/>
      <c r="AJ565" s="727"/>
      <c r="AK565" s="727"/>
      <c r="AL565" s="727"/>
      <c r="AM565" s="727"/>
      <c r="AN565" s="727"/>
      <c r="AO565" s="727"/>
      <c r="AP565" s="727"/>
      <c r="AQ565" s="727"/>
      <c r="AR565" s="727"/>
      <c r="AS565" s="727"/>
      <c r="AT565" s="727"/>
      <c r="AU565" s="727"/>
      <c r="AV565" s="727"/>
      <c r="AW565" s="727"/>
      <c r="AX565" s="727"/>
      <c r="AY565" s="727"/>
      <c r="AZ565" s="727"/>
      <c r="BA565" s="727"/>
      <c r="BB565" s="727"/>
    </row>
    <row r="566" spans="1:54">
      <c r="A566" s="326"/>
      <c r="B566" s="791">
        <v>8</v>
      </c>
      <c r="C566" s="792">
        <v>1100</v>
      </c>
      <c r="D566" s="779">
        <v>7.9024999999999998E-2</v>
      </c>
      <c r="E566" s="779">
        <v>4242.8</v>
      </c>
      <c r="F566" s="779">
        <v>4875</v>
      </c>
      <c r="G566" s="779">
        <v>8.1349999999999998</v>
      </c>
      <c r="H566" s="727"/>
      <c r="I566" s="727"/>
      <c r="J566" s="727"/>
      <c r="K566" s="727"/>
      <c r="L566" s="727"/>
      <c r="M566" s="727"/>
      <c r="N566" s="727"/>
      <c r="O566" s="727"/>
      <c r="P566" s="727"/>
      <c r="Q566" s="727"/>
      <c r="R566" s="727"/>
      <c r="S566" s="727"/>
      <c r="T566" s="727"/>
      <c r="U566" s="727"/>
      <c r="V566" s="727"/>
      <c r="W566" s="727"/>
      <c r="X566" s="727"/>
      <c r="Y566" s="727"/>
      <c r="Z566" s="727"/>
      <c r="AA566" s="727"/>
      <c r="AB566" s="727"/>
      <c r="AC566" s="727"/>
      <c r="AD566" s="727"/>
      <c r="AE566" s="727"/>
      <c r="AF566" s="727"/>
      <c r="AG566" s="727"/>
      <c r="AH566" s="727"/>
      <c r="AI566" s="727"/>
      <c r="AJ566" s="727"/>
      <c r="AK566" s="727"/>
      <c r="AL566" s="727"/>
      <c r="AM566" s="727"/>
      <c r="AN566" s="727"/>
      <c r="AO566" s="727"/>
      <c r="AP566" s="727"/>
      <c r="AQ566" s="727"/>
      <c r="AR566" s="727"/>
      <c r="AS566" s="727"/>
      <c r="AT566" s="727"/>
      <c r="AU566" s="727"/>
      <c r="AV566" s="727"/>
      <c r="AW566" s="727"/>
      <c r="AX566" s="727"/>
      <c r="AY566" s="727"/>
      <c r="AZ566" s="727"/>
      <c r="BA566" s="727"/>
      <c r="BB566" s="727"/>
    </row>
    <row r="567" spans="1:54">
      <c r="A567" s="326"/>
      <c r="B567" s="791">
        <v>8</v>
      </c>
      <c r="C567" s="792">
        <v>1200</v>
      </c>
      <c r="D567" s="779">
        <v>8.4933999999999996E-2</v>
      </c>
      <c r="E567" s="779">
        <v>4456.1000000000004</v>
      </c>
      <c r="F567" s="779">
        <v>5135.5</v>
      </c>
      <c r="G567" s="779">
        <v>8.3180999999999994</v>
      </c>
      <c r="H567" s="727"/>
      <c r="I567" s="727"/>
      <c r="J567" s="727"/>
      <c r="K567" s="727"/>
      <c r="L567" s="727"/>
      <c r="M567" s="727"/>
      <c r="N567" s="727"/>
      <c r="O567" s="727"/>
      <c r="P567" s="727"/>
      <c r="Q567" s="727"/>
      <c r="R567" s="727"/>
      <c r="S567" s="727"/>
      <c r="T567" s="727"/>
      <c r="U567" s="727"/>
      <c r="V567" s="727"/>
      <c r="W567" s="727"/>
      <c r="X567" s="727"/>
      <c r="Y567" s="727"/>
      <c r="Z567" s="727"/>
      <c r="AA567" s="727"/>
      <c r="AB567" s="727"/>
      <c r="AC567" s="727"/>
      <c r="AD567" s="727"/>
      <c r="AE567" s="727"/>
      <c r="AF567" s="727"/>
      <c r="AG567" s="727"/>
      <c r="AH567" s="727"/>
      <c r="AI567" s="727"/>
      <c r="AJ567" s="727"/>
      <c r="AK567" s="727"/>
      <c r="AL567" s="727"/>
      <c r="AM567" s="727"/>
      <c r="AN567" s="727"/>
      <c r="AO567" s="727"/>
      <c r="AP567" s="727"/>
      <c r="AQ567" s="727"/>
      <c r="AR567" s="727"/>
      <c r="AS567" s="727"/>
      <c r="AT567" s="727"/>
      <c r="AU567" s="727"/>
      <c r="AV567" s="727"/>
      <c r="AW567" s="727"/>
      <c r="AX567" s="727"/>
      <c r="AY567" s="727"/>
      <c r="AZ567" s="727"/>
      <c r="BA567" s="727"/>
      <c r="BB567" s="727"/>
    </row>
    <row r="568" spans="1:54">
      <c r="A568" s="326"/>
      <c r="B568" s="791">
        <v>8</v>
      </c>
      <c r="C568" s="792">
        <v>1300</v>
      </c>
      <c r="D568" s="779">
        <v>9.0816999999999995E-2</v>
      </c>
      <c r="E568" s="779">
        <v>4674.5</v>
      </c>
      <c r="F568" s="779">
        <v>5401</v>
      </c>
      <c r="G568" s="779">
        <v>8.4924999999999997</v>
      </c>
      <c r="H568" s="727"/>
      <c r="I568" s="727"/>
      <c r="J568" s="727"/>
      <c r="K568" s="727"/>
      <c r="L568" s="727"/>
      <c r="M568" s="727"/>
      <c r="N568" s="727"/>
      <c r="O568" s="727"/>
      <c r="P568" s="727"/>
      <c r="Q568" s="727"/>
      <c r="R568" s="727"/>
      <c r="S568" s="727"/>
      <c r="T568" s="727"/>
      <c r="U568" s="727"/>
      <c r="V568" s="727"/>
      <c r="W568" s="727"/>
      <c r="X568" s="727"/>
      <c r="Y568" s="727"/>
      <c r="Z568" s="727"/>
      <c r="AA568" s="727"/>
      <c r="AB568" s="727"/>
      <c r="AC568" s="727"/>
      <c r="AD568" s="727"/>
      <c r="AE568" s="727"/>
      <c r="AF568" s="727"/>
      <c r="AG568" s="727"/>
      <c r="AH568" s="727"/>
      <c r="AI568" s="727"/>
      <c r="AJ568" s="727"/>
      <c r="AK568" s="727"/>
      <c r="AL568" s="727"/>
      <c r="AM568" s="727"/>
      <c r="AN568" s="727"/>
      <c r="AO568" s="727"/>
      <c r="AP568" s="727"/>
      <c r="AQ568" s="727"/>
      <c r="AR568" s="727"/>
      <c r="AS568" s="727"/>
      <c r="AT568" s="727"/>
      <c r="AU568" s="727"/>
      <c r="AV568" s="727"/>
      <c r="AW568" s="727"/>
      <c r="AX568" s="727"/>
      <c r="AY568" s="727"/>
      <c r="AZ568" s="727"/>
      <c r="BA568" s="727"/>
      <c r="BB568" s="727"/>
    </row>
    <row r="569" spans="1:54">
      <c r="A569" s="326"/>
      <c r="B569" s="791">
        <v>9</v>
      </c>
      <c r="C569" s="792">
        <v>303.35000000000002</v>
      </c>
      <c r="D569" s="779">
        <v>2.0489E-2</v>
      </c>
      <c r="E569" s="779">
        <v>2558.5</v>
      </c>
      <c r="F569" s="779">
        <v>2742.9</v>
      </c>
      <c r="G569" s="779">
        <v>5.6791</v>
      </c>
      <c r="H569" s="727"/>
      <c r="I569" s="727"/>
      <c r="J569" s="727"/>
      <c r="K569" s="727"/>
      <c r="L569" s="727"/>
      <c r="M569" s="727"/>
      <c r="N569" s="727"/>
      <c r="O569" s="727"/>
      <c r="P569" s="727"/>
      <c r="Q569" s="727"/>
      <c r="R569" s="727"/>
      <c r="S569" s="727"/>
      <c r="T569" s="727"/>
      <c r="U569" s="727"/>
      <c r="V569" s="727"/>
      <c r="W569" s="727"/>
      <c r="X569" s="727"/>
      <c r="Y569" s="727"/>
      <c r="Z569" s="727"/>
      <c r="AA569" s="727"/>
      <c r="AB569" s="727"/>
      <c r="AC569" s="727"/>
      <c r="AD569" s="727"/>
      <c r="AE569" s="727"/>
      <c r="AF569" s="727"/>
      <c r="AG569" s="727"/>
      <c r="AH569" s="727"/>
      <c r="AI569" s="727"/>
      <c r="AJ569" s="727"/>
      <c r="AK569" s="727"/>
      <c r="AL569" s="727"/>
      <c r="AM569" s="727"/>
      <c r="AN569" s="727"/>
      <c r="AO569" s="727"/>
      <c r="AP569" s="727"/>
      <c r="AQ569" s="727"/>
      <c r="AR569" s="727"/>
      <c r="AS569" s="727"/>
      <c r="AT569" s="727"/>
      <c r="AU569" s="727"/>
      <c r="AV569" s="727"/>
      <c r="AW569" s="727"/>
      <c r="AX569" s="727"/>
      <c r="AY569" s="727"/>
      <c r="AZ569" s="727"/>
      <c r="BA569" s="727"/>
      <c r="BB569" s="727"/>
    </row>
    <row r="570" spans="1:54">
      <c r="A570" s="326"/>
      <c r="B570" s="791">
        <v>9</v>
      </c>
      <c r="C570" s="792">
        <v>325</v>
      </c>
      <c r="D570" s="779">
        <v>2.3283999999999999E-2</v>
      </c>
      <c r="E570" s="779">
        <v>2647.6</v>
      </c>
      <c r="F570" s="779">
        <v>2857.1</v>
      </c>
      <c r="G570" s="779">
        <v>5.8738000000000001</v>
      </c>
      <c r="H570" s="727"/>
      <c r="I570" s="727"/>
      <c r="J570" s="727"/>
      <c r="K570" s="727"/>
      <c r="L570" s="727"/>
      <c r="M570" s="727"/>
      <c r="N570" s="727"/>
      <c r="O570" s="727"/>
      <c r="P570" s="727"/>
      <c r="Q570" s="727"/>
      <c r="R570" s="727"/>
      <c r="S570" s="727"/>
      <c r="T570" s="727"/>
      <c r="U570" s="727"/>
      <c r="V570" s="727"/>
      <c r="W570" s="727"/>
      <c r="X570" s="727"/>
      <c r="Y570" s="727"/>
      <c r="Z570" s="727"/>
      <c r="AA570" s="727"/>
      <c r="AB570" s="727"/>
      <c r="AC570" s="727"/>
      <c r="AD570" s="727"/>
      <c r="AE570" s="727"/>
      <c r="AF570" s="727"/>
      <c r="AG570" s="727"/>
      <c r="AH570" s="727"/>
      <c r="AI570" s="727"/>
      <c r="AJ570" s="727"/>
      <c r="AK570" s="727"/>
      <c r="AL570" s="727"/>
      <c r="AM570" s="727"/>
      <c r="AN570" s="727"/>
      <c r="AO570" s="727"/>
      <c r="AP570" s="727"/>
      <c r="AQ570" s="727"/>
      <c r="AR570" s="727"/>
      <c r="AS570" s="727"/>
      <c r="AT570" s="727"/>
      <c r="AU570" s="727"/>
      <c r="AV570" s="727"/>
      <c r="AW570" s="727"/>
      <c r="AX570" s="727"/>
      <c r="AY570" s="727"/>
      <c r="AZ570" s="727"/>
      <c r="BA570" s="727"/>
      <c r="BB570" s="727"/>
    </row>
    <row r="571" spans="1:54">
      <c r="A571" s="326"/>
      <c r="B571" s="791">
        <v>9</v>
      </c>
      <c r="C571" s="792">
        <v>350</v>
      </c>
      <c r="D571" s="779">
        <v>2.5815999999999999E-2</v>
      </c>
      <c r="E571" s="779">
        <v>2725</v>
      </c>
      <c r="F571" s="779">
        <v>2957.3</v>
      </c>
      <c r="G571" s="779">
        <v>6.0380000000000003</v>
      </c>
      <c r="H571" s="727"/>
      <c r="I571" s="727"/>
      <c r="J571" s="727"/>
      <c r="K571" s="727"/>
      <c r="L571" s="727"/>
      <c r="M571" s="727"/>
      <c r="N571" s="727"/>
      <c r="O571" s="727"/>
      <c r="P571" s="727"/>
      <c r="Q571" s="727"/>
      <c r="R571" s="727"/>
      <c r="S571" s="727"/>
      <c r="T571" s="727"/>
      <c r="U571" s="727"/>
      <c r="V571" s="727"/>
      <c r="W571" s="727"/>
      <c r="X571" s="727"/>
      <c r="Y571" s="727"/>
      <c r="Z571" s="727"/>
      <c r="AA571" s="727"/>
      <c r="AB571" s="727"/>
      <c r="AC571" s="727"/>
      <c r="AD571" s="727"/>
      <c r="AE571" s="727"/>
      <c r="AF571" s="727"/>
      <c r="AG571" s="727"/>
      <c r="AH571" s="727"/>
      <c r="AI571" s="727"/>
      <c r="AJ571" s="727"/>
      <c r="AK571" s="727"/>
      <c r="AL571" s="727"/>
      <c r="AM571" s="727"/>
      <c r="AN571" s="727"/>
      <c r="AO571" s="727"/>
      <c r="AP571" s="727"/>
      <c r="AQ571" s="727"/>
      <c r="AR571" s="727"/>
      <c r="AS571" s="727"/>
      <c r="AT571" s="727"/>
      <c r="AU571" s="727"/>
      <c r="AV571" s="727"/>
      <c r="AW571" s="727"/>
      <c r="AX571" s="727"/>
      <c r="AY571" s="727"/>
      <c r="AZ571" s="727"/>
      <c r="BA571" s="727"/>
      <c r="BB571" s="727"/>
    </row>
    <row r="572" spans="1:54">
      <c r="A572" s="326"/>
      <c r="B572" s="791">
        <v>9</v>
      </c>
      <c r="C572" s="792">
        <v>400</v>
      </c>
      <c r="D572" s="779">
        <v>2.9960000000000001E-2</v>
      </c>
      <c r="E572" s="779">
        <v>2849.2</v>
      </c>
      <c r="F572" s="779">
        <v>3118.8</v>
      </c>
      <c r="G572" s="779">
        <v>6.2876000000000003</v>
      </c>
      <c r="H572" s="727"/>
      <c r="I572" s="727"/>
      <c r="J572" s="727"/>
      <c r="K572" s="727"/>
      <c r="L572" s="727"/>
      <c r="M572" s="727"/>
      <c r="N572" s="727"/>
      <c r="O572" s="727"/>
      <c r="P572" s="727"/>
      <c r="Q572" s="727"/>
      <c r="R572" s="727"/>
      <c r="S572" s="727"/>
      <c r="T572" s="727"/>
      <c r="U572" s="727"/>
      <c r="V572" s="727"/>
      <c r="W572" s="727"/>
      <c r="X572" s="727"/>
      <c r="Y572" s="727"/>
      <c r="Z572" s="727"/>
      <c r="AA572" s="727"/>
      <c r="AB572" s="727"/>
      <c r="AC572" s="727"/>
      <c r="AD572" s="727"/>
      <c r="AE572" s="727"/>
      <c r="AF572" s="727"/>
      <c r="AG572" s="727"/>
      <c r="AH572" s="727"/>
      <c r="AI572" s="727"/>
      <c r="AJ572" s="727"/>
      <c r="AK572" s="727"/>
      <c r="AL572" s="727"/>
      <c r="AM572" s="727"/>
      <c r="AN572" s="727"/>
      <c r="AO572" s="727"/>
      <c r="AP572" s="727"/>
      <c r="AQ572" s="727"/>
      <c r="AR572" s="727"/>
      <c r="AS572" s="727"/>
      <c r="AT572" s="727"/>
      <c r="AU572" s="727"/>
      <c r="AV572" s="727"/>
      <c r="AW572" s="727"/>
      <c r="AX572" s="727"/>
      <c r="AY572" s="727"/>
      <c r="AZ572" s="727"/>
      <c r="BA572" s="727"/>
      <c r="BB572" s="727"/>
    </row>
    <row r="573" spans="1:54">
      <c r="A573" s="326"/>
      <c r="B573" s="791">
        <v>9</v>
      </c>
      <c r="C573" s="792">
        <v>450</v>
      </c>
      <c r="D573" s="779">
        <v>3.3523999999999998E-2</v>
      </c>
      <c r="E573" s="779">
        <v>2956.3</v>
      </c>
      <c r="F573" s="779">
        <v>3258</v>
      </c>
      <c r="G573" s="779">
        <v>6.4871999999999996</v>
      </c>
      <c r="H573" s="727"/>
      <c r="I573" s="727"/>
      <c r="J573" s="727"/>
      <c r="K573" s="727"/>
      <c r="L573" s="727"/>
      <c r="M573" s="727"/>
      <c r="N573" s="727"/>
      <c r="O573" s="727"/>
      <c r="P573" s="727"/>
      <c r="Q573" s="727"/>
      <c r="R573" s="727"/>
      <c r="S573" s="727"/>
      <c r="T573" s="727"/>
      <c r="U573" s="727"/>
      <c r="V573" s="727"/>
      <c r="W573" s="727"/>
      <c r="X573" s="727"/>
      <c r="Y573" s="727"/>
      <c r="Z573" s="727"/>
      <c r="AA573" s="727"/>
      <c r="AB573" s="727"/>
      <c r="AC573" s="727"/>
      <c r="AD573" s="727"/>
      <c r="AE573" s="727"/>
      <c r="AF573" s="727"/>
      <c r="AG573" s="727"/>
      <c r="AH573" s="727"/>
      <c r="AI573" s="727"/>
      <c r="AJ573" s="727"/>
      <c r="AK573" s="727"/>
      <c r="AL573" s="727"/>
      <c r="AM573" s="727"/>
      <c r="AN573" s="727"/>
      <c r="AO573" s="727"/>
      <c r="AP573" s="727"/>
      <c r="AQ573" s="727"/>
      <c r="AR573" s="727"/>
      <c r="AS573" s="727"/>
      <c r="AT573" s="727"/>
      <c r="AU573" s="727"/>
      <c r="AV573" s="727"/>
      <c r="AW573" s="727"/>
      <c r="AX573" s="727"/>
      <c r="AY573" s="727"/>
      <c r="AZ573" s="727"/>
      <c r="BA573" s="727"/>
      <c r="BB573" s="727"/>
    </row>
    <row r="574" spans="1:54">
      <c r="A574" s="326"/>
      <c r="B574" s="791">
        <v>9</v>
      </c>
      <c r="C574" s="792">
        <v>500</v>
      </c>
      <c r="D574" s="779">
        <v>3.6792999999999999E-2</v>
      </c>
      <c r="E574" s="779">
        <v>3056.3</v>
      </c>
      <c r="F574" s="779">
        <v>3387.4</v>
      </c>
      <c r="G574" s="779">
        <v>6.6603000000000003</v>
      </c>
      <c r="H574" s="727"/>
      <c r="I574" s="727"/>
      <c r="J574" s="727"/>
      <c r="K574" s="727"/>
      <c r="L574" s="727"/>
      <c r="M574" s="727"/>
      <c r="N574" s="727"/>
      <c r="O574" s="727"/>
      <c r="P574" s="727"/>
      <c r="Q574" s="727"/>
      <c r="R574" s="727"/>
      <c r="S574" s="727"/>
      <c r="T574" s="727"/>
      <c r="U574" s="727"/>
      <c r="V574" s="727"/>
      <c r="W574" s="727"/>
      <c r="X574" s="727"/>
      <c r="Y574" s="727"/>
      <c r="Z574" s="727"/>
      <c r="AA574" s="727"/>
      <c r="AB574" s="727"/>
      <c r="AC574" s="727"/>
      <c r="AD574" s="727"/>
      <c r="AE574" s="727"/>
      <c r="AF574" s="727"/>
      <c r="AG574" s="727"/>
      <c r="AH574" s="727"/>
      <c r="AI574" s="727"/>
      <c r="AJ574" s="727"/>
      <c r="AK574" s="727"/>
      <c r="AL574" s="727"/>
      <c r="AM574" s="727"/>
      <c r="AN574" s="727"/>
      <c r="AO574" s="727"/>
      <c r="AP574" s="727"/>
      <c r="AQ574" s="727"/>
      <c r="AR574" s="727"/>
      <c r="AS574" s="727"/>
      <c r="AT574" s="727"/>
      <c r="AU574" s="727"/>
      <c r="AV574" s="727"/>
      <c r="AW574" s="727"/>
      <c r="AX574" s="727"/>
      <c r="AY574" s="727"/>
      <c r="AZ574" s="727"/>
      <c r="BA574" s="727"/>
      <c r="BB574" s="727"/>
    </row>
    <row r="575" spans="1:54">
      <c r="A575" s="326"/>
      <c r="B575" s="791">
        <v>9</v>
      </c>
      <c r="C575" s="792">
        <v>550</v>
      </c>
      <c r="D575" s="779">
        <v>3.9884999999999997E-2</v>
      </c>
      <c r="E575" s="779">
        <v>3153</v>
      </c>
      <c r="F575" s="779">
        <v>3512</v>
      </c>
      <c r="G575" s="779">
        <v>6.8163999999999998</v>
      </c>
      <c r="H575" s="727"/>
      <c r="I575" s="727"/>
      <c r="J575" s="727"/>
      <c r="K575" s="727"/>
      <c r="L575" s="727"/>
      <c r="M575" s="727"/>
      <c r="N575" s="727"/>
      <c r="O575" s="727"/>
      <c r="P575" s="727"/>
      <c r="Q575" s="727"/>
      <c r="R575" s="727"/>
      <c r="S575" s="727"/>
      <c r="T575" s="727"/>
      <c r="U575" s="727"/>
      <c r="V575" s="727"/>
      <c r="W575" s="727"/>
      <c r="X575" s="727"/>
      <c r="Y575" s="727"/>
      <c r="Z575" s="727"/>
      <c r="AA575" s="727"/>
      <c r="AB575" s="727"/>
      <c r="AC575" s="727"/>
      <c r="AD575" s="727"/>
      <c r="AE575" s="727"/>
      <c r="AF575" s="727"/>
      <c r="AG575" s="727"/>
      <c r="AH575" s="727"/>
      <c r="AI575" s="727"/>
      <c r="AJ575" s="727"/>
      <c r="AK575" s="727"/>
      <c r="AL575" s="727"/>
      <c r="AM575" s="727"/>
      <c r="AN575" s="727"/>
      <c r="AO575" s="727"/>
      <c r="AP575" s="727"/>
      <c r="AQ575" s="727"/>
      <c r="AR575" s="727"/>
      <c r="AS575" s="727"/>
      <c r="AT575" s="727"/>
      <c r="AU575" s="727"/>
      <c r="AV575" s="727"/>
      <c r="AW575" s="727"/>
      <c r="AX575" s="727"/>
      <c r="AY575" s="727"/>
      <c r="AZ575" s="727"/>
      <c r="BA575" s="727"/>
      <c r="BB575" s="727"/>
    </row>
    <row r="576" spans="1:54">
      <c r="A576" s="326"/>
      <c r="B576" s="791">
        <v>9</v>
      </c>
      <c r="C576" s="792">
        <v>600</v>
      </c>
      <c r="D576" s="779">
        <v>4.2861000000000003E-2</v>
      </c>
      <c r="E576" s="779">
        <v>3248.4</v>
      </c>
      <c r="F576" s="779">
        <v>3634.1</v>
      </c>
      <c r="G576" s="779">
        <v>6.9604999999999997</v>
      </c>
      <c r="H576" s="727"/>
      <c r="I576" s="727"/>
      <c r="J576" s="727"/>
      <c r="K576" s="727"/>
      <c r="L576" s="727"/>
      <c r="M576" s="727"/>
      <c r="N576" s="727"/>
      <c r="O576" s="727"/>
      <c r="P576" s="727"/>
      <c r="Q576" s="727"/>
      <c r="R576" s="727"/>
      <c r="S576" s="727"/>
      <c r="T576" s="727"/>
      <c r="U576" s="727"/>
      <c r="V576" s="727"/>
      <c r="W576" s="727"/>
      <c r="X576" s="727"/>
      <c r="Y576" s="727"/>
      <c r="Z576" s="727"/>
      <c r="AA576" s="727"/>
      <c r="AB576" s="727"/>
      <c r="AC576" s="727"/>
      <c r="AD576" s="727"/>
      <c r="AE576" s="727"/>
      <c r="AF576" s="727"/>
      <c r="AG576" s="727"/>
      <c r="AH576" s="727"/>
      <c r="AI576" s="727"/>
      <c r="AJ576" s="727"/>
      <c r="AK576" s="727"/>
      <c r="AL576" s="727"/>
      <c r="AM576" s="727"/>
      <c r="AN576" s="727"/>
      <c r="AO576" s="727"/>
      <c r="AP576" s="727"/>
      <c r="AQ576" s="727"/>
      <c r="AR576" s="727"/>
      <c r="AS576" s="727"/>
      <c r="AT576" s="727"/>
      <c r="AU576" s="727"/>
      <c r="AV576" s="727"/>
      <c r="AW576" s="727"/>
      <c r="AX576" s="727"/>
      <c r="AY576" s="727"/>
      <c r="AZ576" s="727"/>
      <c r="BA576" s="727"/>
      <c r="BB576" s="727"/>
    </row>
    <row r="577" spans="1:54">
      <c r="A577" s="326"/>
      <c r="B577" s="791">
        <v>9</v>
      </c>
      <c r="C577" s="792">
        <v>650</v>
      </c>
      <c r="D577" s="779">
        <v>4.5754999999999997E-2</v>
      </c>
      <c r="E577" s="779">
        <v>3343.4</v>
      </c>
      <c r="F577" s="779">
        <v>3755.2</v>
      </c>
      <c r="G577" s="779">
        <v>7.0953999999999997</v>
      </c>
      <c r="H577" s="727"/>
      <c r="I577" s="727"/>
      <c r="J577" s="727"/>
      <c r="K577" s="727"/>
      <c r="L577" s="727"/>
      <c r="M577" s="727"/>
      <c r="N577" s="727"/>
      <c r="O577" s="727"/>
      <c r="P577" s="727"/>
      <c r="Q577" s="727"/>
      <c r="R577" s="727"/>
      <c r="S577" s="727"/>
      <c r="T577" s="727"/>
      <c r="U577" s="727"/>
      <c r="V577" s="727"/>
      <c r="W577" s="727"/>
      <c r="X577" s="727"/>
      <c r="Y577" s="727"/>
      <c r="Z577" s="727"/>
      <c r="AA577" s="727"/>
      <c r="AB577" s="727"/>
      <c r="AC577" s="727"/>
      <c r="AD577" s="727"/>
      <c r="AE577" s="727"/>
      <c r="AF577" s="727"/>
      <c r="AG577" s="727"/>
      <c r="AH577" s="727"/>
      <c r="AI577" s="727"/>
      <c r="AJ577" s="727"/>
      <c r="AK577" s="727"/>
      <c r="AL577" s="727"/>
      <c r="AM577" s="727"/>
      <c r="AN577" s="727"/>
      <c r="AO577" s="727"/>
      <c r="AP577" s="727"/>
      <c r="AQ577" s="727"/>
      <c r="AR577" s="727"/>
      <c r="AS577" s="727"/>
      <c r="AT577" s="727"/>
      <c r="AU577" s="727"/>
      <c r="AV577" s="727"/>
      <c r="AW577" s="727"/>
      <c r="AX577" s="727"/>
      <c r="AY577" s="727"/>
      <c r="AZ577" s="727"/>
      <c r="BA577" s="727"/>
      <c r="BB577" s="727"/>
    </row>
    <row r="578" spans="1:54">
      <c r="A578" s="326"/>
      <c r="B578" s="791">
        <v>9</v>
      </c>
      <c r="C578" s="792">
        <v>700</v>
      </c>
      <c r="D578" s="779">
        <v>4.8589E-2</v>
      </c>
      <c r="E578" s="779">
        <v>3438.8</v>
      </c>
      <c r="F578" s="779">
        <v>3876.1</v>
      </c>
      <c r="G578" s="779">
        <v>7.2229000000000001</v>
      </c>
      <c r="H578" s="727"/>
      <c r="I578" s="727"/>
      <c r="J578" s="727"/>
      <c r="K578" s="727"/>
      <c r="L578" s="727"/>
      <c r="M578" s="727"/>
      <c r="N578" s="727"/>
      <c r="O578" s="727"/>
      <c r="P578" s="727"/>
      <c r="Q578" s="727"/>
      <c r="R578" s="727"/>
      <c r="S578" s="727"/>
      <c r="T578" s="727"/>
      <c r="U578" s="727"/>
      <c r="V578" s="727"/>
      <c r="W578" s="727"/>
      <c r="X578" s="727"/>
      <c r="Y578" s="727"/>
      <c r="Z578" s="727"/>
      <c r="AA578" s="727"/>
      <c r="AB578" s="727"/>
      <c r="AC578" s="727"/>
      <c r="AD578" s="727"/>
      <c r="AE578" s="727"/>
      <c r="AF578" s="727"/>
      <c r="AG578" s="727"/>
      <c r="AH578" s="727"/>
      <c r="AI578" s="727"/>
      <c r="AJ578" s="727"/>
      <c r="AK578" s="727"/>
      <c r="AL578" s="727"/>
      <c r="AM578" s="727"/>
      <c r="AN578" s="727"/>
      <c r="AO578" s="727"/>
      <c r="AP578" s="727"/>
      <c r="AQ578" s="727"/>
      <c r="AR578" s="727"/>
      <c r="AS578" s="727"/>
      <c r="AT578" s="727"/>
      <c r="AU578" s="727"/>
      <c r="AV578" s="727"/>
      <c r="AW578" s="727"/>
      <c r="AX578" s="727"/>
      <c r="AY578" s="727"/>
      <c r="AZ578" s="727"/>
      <c r="BA578" s="727"/>
      <c r="BB578" s="727"/>
    </row>
    <row r="579" spans="1:54">
      <c r="A579" s="326"/>
      <c r="B579" s="791">
        <v>9</v>
      </c>
      <c r="C579" s="792">
        <v>800</v>
      </c>
      <c r="D579" s="779">
        <v>5.4132E-2</v>
      </c>
      <c r="E579" s="779">
        <v>3632</v>
      </c>
      <c r="F579" s="779">
        <v>4119.2</v>
      </c>
      <c r="G579" s="779">
        <v>7.4606000000000003</v>
      </c>
      <c r="H579" s="727"/>
      <c r="I579" s="727"/>
      <c r="J579" s="727"/>
      <c r="K579" s="727"/>
      <c r="L579" s="727"/>
      <c r="M579" s="727"/>
      <c r="N579" s="727"/>
      <c r="O579" s="727"/>
      <c r="P579" s="727"/>
      <c r="Q579" s="727"/>
      <c r="R579" s="727"/>
      <c r="S579" s="727"/>
      <c r="T579" s="727"/>
      <c r="U579" s="727"/>
      <c r="V579" s="727"/>
      <c r="W579" s="727"/>
      <c r="X579" s="727"/>
      <c r="Y579" s="727"/>
      <c r="Z579" s="727"/>
      <c r="AA579" s="727"/>
      <c r="AB579" s="727"/>
      <c r="AC579" s="727"/>
      <c r="AD579" s="727"/>
      <c r="AE579" s="727"/>
      <c r="AF579" s="727"/>
      <c r="AG579" s="727"/>
      <c r="AH579" s="727"/>
      <c r="AI579" s="727"/>
      <c r="AJ579" s="727"/>
      <c r="AK579" s="727"/>
      <c r="AL579" s="727"/>
      <c r="AM579" s="727"/>
      <c r="AN579" s="727"/>
      <c r="AO579" s="727"/>
      <c r="AP579" s="727"/>
      <c r="AQ579" s="727"/>
      <c r="AR579" s="727"/>
      <c r="AS579" s="727"/>
      <c r="AT579" s="727"/>
      <c r="AU579" s="727"/>
      <c r="AV579" s="727"/>
      <c r="AW579" s="727"/>
      <c r="AX579" s="727"/>
      <c r="AY579" s="727"/>
      <c r="AZ579" s="727"/>
      <c r="BA579" s="727"/>
      <c r="BB579" s="727"/>
    </row>
    <row r="580" spans="1:54">
      <c r="A580" s="326"/>
      <c r="B580" s="791">
        <v>9</v>
      </c>
      <c r="C580" s="792">
        <v>900</v>
      </c>
      <c r="D580" s="779">
        <v>5.9561999999999997E-2</v>
      </c>
      <c r="E580" s="779">
        <v>3829.6</v>
      </c>
      <c r="F580" s="779">
        <v>4365.7</v>
      </c>
      <c r="G580" s="779">
        <v>7.6802000000000001</v>
      </c>
      <c r="H580" s="727"/>
      <c r="I580" s="727"/>
      <c r="J580" s="727"/>
      <c r="K580" s="727"/>
      <c r="L580" s="727"/>
      <c r="M580" s="727"/>
      <c r="N580" s="727"/>
      <c r="O580" s="727"/>
      <c r="P580" s="727"/>
      <c r="Q580" s="727"/>
      <c r="R580" s="727"/>
      <c r="S580" s="727"/>
      <c r="T580" s="727"/>
      <c r="U580" s="727"/>
      <c r="V580" s="727"/>
      <c r="W580" s="727"/>
      <c r="X580" s="727"/>
      <c r="Y580" s="727"/>
      <c r="Z580" s="727"/>
      <c r="AA580" s="727"/>
      <c r="AB580" s="727"/>
      <c r="AC580" s="727"/>
      <c r="AD580" s="727"/>
      <c r="AE580" s="727"/>
      <c r="AF580" s="727"/>
      <c r="AG580" s="727"/>
      <c r="AH580" s="727"/>
      <c r="AI580" s="727"/>
      <c r="AJ580" s="727"/>
      <c r="AK580" s="727"/>
      <c r="AL580" s="727"/>
      <c r="AM580" s="727"/>
      <c r="AN580" s="727"/>
      <c r="AO580" s="727"/>
      <c r="AP580" s="727"/>
      <c r="AQ580" s="727"/>
      <c r="AR580" s="727"/>
      <c r="AS580" s="727"/>
      <c r="AT580" s="727"/>
      <c r="AU580" s="727"/>
      <c r="AV580" s="727"/>
      <c r="AW580" s="727"/>
      <c r="AX580" s="727"/>
      <c r="AY580" s="727"/>
      <c r="AZ580" s="727"/>
      <c r="BA580" s="727"/>
      <c r="BB580" s="727"/>
    </row>
    <row r="581" spans="1:54">
      <c r="A581" s="326"/>
      <c r="B581" s="791">
        <v>9</v>
      </c>
      <c r="C581" s="792">
        <v>1000</v>
      </c>
      <c r="D581" s="779">
        <v>6.4919000000000004E-2</v>
      </c>
      <c r="E581" s="779">
        <v>4032.4</v>
      </c>
      <c r="F581" s="779">
        <v>4616.7</v>
      </c>
      <c r="G581" s="779">
        <v>7.8855000000000004</v>
      </c>
      <c r="H581" s="727"/>
      <c r="I581" s="727"/>
      <c r="J581" s="727"/>
      <c r="K581" s="727"/>
      <c r="L581" s="727"/>
      <c r="M581" s="727"/>
      <c r="N581" s="727"/>
      <c r="O581" s="727"/>
      <c r="P581" s="727"/>
      <c r="Q581" s="727"/>
      <c r="R581" s="727"/>
      <c r="S581" s="727"/>
      <c r="T581" s="727"/>
      <c r="U581" s="727"/>
      <c r="V581" s="727"/>
      <c r="W581" s="727"/>
      <c r="X581" s="727"/>
      <c r="Y581" s="727"/>
      <c r="Z581" s="727"/>
      <c r="AA581" s="727"/>
      <c r="AB581" s="727"/>
      <c r="AC581" s="727"/>
      <c r="AD581" s="727"/>
      <c r="AE581" s="727"/>
      <c r="AF581" s="727"/>
      <c r="AG581" s="727"/>
      <c r="AH581" s="727"/>
      <c r="AI581" s="727"/>
      <c r="AJ581" s="727"/>
      <c r="AK581" s="727"/>
      <c r="AL581" s="727"/>
      <c r="AM581" s="727"/>
      <c r="AN581" s="727"/>
      <c r="AO581" s="727"/>
      <c r="AP581" s="727"/>
      <c r="AQ581" s="727"/>
      <c r="AR581" s="727"/>
      <c r="AS581" s="727"/>
      <c r="AT581" s="727"/>
      <c r="AU581" s="727"/>
      <c r="AV581" s="727"/>
      <c r="AW581" s="727"/>
      <c r="AX581" s="727"/>
      <c r="AY581" s="727"/>
      <c r="AZ581" s="727"/>
      <c r="BA581" s="727"/>
      <c r="BB581" s="727"/>
    </row>
    <row r="582" spans="1:54">
      <c r="A582" s="326"/>
      <c r="B582" s="791">
        <v>9</v>
      </c>
      <c r="C582" s="792">
        <v>1100</v>
      </c>
      <c r="D582" s="779">
        <v>7.0223999999999995E-2</v>
      </c>
      <c r="E582" s="779">
        <v>4240.7</v>
      </c>
      <c r="F582" s="779">
        <v>4872.7</v>
      </c>
      <c r="G582" s="779">
        <v>8.0791000000000004</v>
      </c>
      <c r="H582" s="727"/>
      <c r="I582" s="727"/>
      <c r="J582" s="727"/>
      <c r="K582" s="727"/>
      <c r="L582" s="727"/>
      <c r="M582" s="727"/>
      <c r="N582" s="727"/>
      <c r="O582" s="727"/>
      <c r="P582" s="727"/>
      <c r="Q582" s="727"/>
      <c r="R582" s="727"/>
      <c r="S582" s="727"/>
      <c r="T582" s="727"/>
      <c r="U582" s="727"/>
      <c r="V582" s="727"/>
      <c r="W582" s="727"/>
      <c r="X582" s="727"/>
      <c r="Y582" s="727"/>
      <c r="Z582" s="727"/>
      <c r="AA582" s="727"/>
      <c r="AB582" s="727"/>
      <c r="AC582" s="727"/>
      <c r="AD582" s="727"/>
      <c r="AE582" s="727"/>
      <c r="AF582" s="727"/>
      <c r="AG582" s="727"/>
      <c r="AH582" s="727"/>
      <c r="AI582" s="727"/>
      <c r="AJ582" s="727"/>
      <c r="AK582" s="727"/>
      <c r="AL582" s="727"/>
      <c r="AM582" s="727"/>
      <c r="AN582" s="727"/>
      <c r="AO582" s="727"/>
      <c r="AP582" s="727"/>
      <c r="AQ582" s="727"/>
      <c r="AR582" s="727"/>
      <c r="AS582" s="727"/>
      <c r="AT582" s="727"/>
      <c r="AU582" s="727"/>
      <c r="AV582" s="727"/>
      <c r="AW582" s="727"/>
      <c r="AX582" s="727"/>
      <c r="AY582" s="727"/>
      <c r="AZ582" s="727"/>
      <c r="BA582" s="727"/>
      <c r="BB582" s="727"/>
    </row>
    <row r="583" spans="1:54">
      <c r="A583" s="326"/>
      <c r="B583" s="791">
        <v>9</v>
      </c>
      <c r="C583" s="792">
        <v>1200</v>
      </c>
      <c r="D583" s="779">
        <v>7.5492000000000004E-2</v>
      </c>
      <c r="E583" s="779">
        <v>4454.2</v>
      </c>
      <c r="F583" s="779">
        <v>5133.6000000000004</v>
      </c>
      <c r="G583" s="779">
        <v>8.2624999999999993</v>
      </c>
      <c r="H583" s="727"/>
      <c r="I583" s="727"/>
      <c r="J583" s="727"/>
      <c r="K583" s="727"/>
      <c r="L583" s="727"/>
      <c r="M583" s="727"/>
      <c r="N583" s="727"/>
      <c r="O583" s="727"/>
      <c r="P583" s="727"/>
      <c r="Q583" s="727"/>
      <c r="R583" s="727"/>
      <c r="S583" s="727"/>
      <c r="T583" s="727"/>
      <c r="U583" s="727"/>
      <c r="V583" s="727"/>
      <c r="W583" s="727"/>
      <c r="X583" s="727"/>
      <c r="Y583" s="727"/>
      <c r="Z583" s="727"/>
      <c r="AA583" s="727"/>
      <c r="AB583" s="727"/>
      <c r="AC583" s="727"/>
      <c r="AD583" s="727"/>
      <c r="AE583" s="727"/>
      <c r="AF583" s="727"/>
      <c r="AG583" s="727"/>
      <c r="AH583" s="727"/>
      <c r="AI583" s="727"/>
      <c r="AJ583" s="727"/>
      <c r="AK583" s="727"/>
      <c r="AL583" s="727"/>
      <c r="AM583" s="727"/>
      <c r="AN583" s="727"/>
      <c r="AO583" s="727"/>
      <c r="AP583" s="727"/>
      <c r="AQ583" s="727"/>
      <c r="AR583" s="727"/>
      <c r="AS583" s="727"/>
      <c r="AT583" s="727"/>
      <c r="AU583" s="727"/>
      <c r="AV583" s="727"/>
      <c r="AW583" s="727"/>
      <c r="AX583" s="727"/>
      <c r="AY583" s="727"/>
      <c r="AZ583" s="727"/>
      <c r="BA583" s="727"/>
      <c r="BB583" s="727"/>
    </row>
    <row r="584" spans="1:54">
      <c r="A584" s="326"/>
      <c r="B584" s="791">
        <v>9</v>
      </c>
      <c r="C584" s="792">
        <v>1300</v>
      </c>
      <c r="D584" s="779">
        <v>8.0732999999999999E-2</v>
      </c>
      <c r="E584" s="779">
        <v>4672.8999999999996</v>
      </c>
      <c r="F584" s="779">
        <v>5399.5</v>
      </c>
      <c r="G584" s="779">
        <v>8.4370999999999992</v>
      </c>
      <c r="H584" s="727"/>
      <c r="I584" s="727"/>
      <c r="J584" s="727"/>
      <c r="K584" s="727"/>
      <c r="L584" s="727"/>
      <c r="M584" s="727"/>
      <c r="N584" s="727"/>
      <c r="O584" s="727"/>
      <c r="P584" s="727"/>
      <c r="Q584" s="727"/>
      <c r="R584" s="727"/>
      <c r="S584" s="727"/>
      <c r="T584" s="727"/>
      <c r="U584" s="727"/>
      <c r="V584" s="727"/>
      <c r="W584" s="727"/>
      <c r="X584" s="727"/>
      <c r="Y584" s="727"/>
      <c r="Z584" s="727"/>
      <c r="AA584" s="727"/>
      <c r="AB584" s="727"/>
      <c r="AC584" s="727"/>
      <c r="AD584" s="727"/>
      <c r="AE584" s="727"/>
      <c r="AF584" s="727"/>
      <c r="AG584" s="727"/>
      <c r="AH584" s="727"/>
      <c r="AI584" s="727"/>
      <c r="AJ584" s="727"/>
      <c r="AK584" s="727"/>
      <c r="AL584" s="727"/>
      <c r="AM584" s="727"/>
      <c r="AN584" s="727"/>
      <c r="AO584" s="727"/>
      <c r="AP584" s="727"/>
      <c r="AQ584" s="727"/>
      <c r="AR584" s="727"/>
      <c r="AS584" s="727"/>
      <c r="AT584" s="727"/>
      <c r="AU584" s="727"/>
      <c r="AV584" s="727"/>
      <c r="AW584" s="727"/>
      <c r="AX584" s="727"/>
      <c r="AY584" s="727"/>
      <c r="AZ584" s="727"/>
      <c r="BA584" s="727"/>
      <c r="BB584" s="727"/>
    </row>
    <row r="585" spans="1:54">
      <c r="A585" s="326"/>
      <c r="B585" s="791">
        <v>10</v>
      </c>
      <c r="C585" s="792">
        <v>311</v>
      </c>
      <c r="D585" s="779">
        <v>1.8027999999999999E-2</v>
      </c>
      <c r="E585" s="779">
        <v>2545.1999999999998</v>
      </c>
      <c r="F585" s="779">
        <v>2725.5</v>
      </c>
      <c r="G585" s="779">
        <v>5.6158999999999999</v>
      </c>
      <c r="H585" s="727"/>
      <c r="I585" s="727"/>
      <c r="J585" s="727"/>
      <c r="K585" s="727"/>
      <c r="L585" s="727"/>
      <c r="M585" s="727"/>
      <c r="N585" s="727"/>
      <c r="O585" s="727"/>
      <c r="P585" s="727"/>
      <c r="Q585" s="727"/>
      <c r="R585" s="727"/>
      <c r="S585" s="727"/>
      <c r="T585" s="727"/>
      <c r="U585" s="727"/>
      <c r="V585" s="727"/>
      <c r="W585" s="727"/>
      <c r="X585" s="727"/>
      <c r="Y585" s="727"/>
      <c r="Z585" s="727"/>
      <c r="AA585" s="727"/>
      <c r="AB585" s="727"/>
      <c r="AC585" s="727"/>
      <c r="AD585" s="727"/>
      <c r="AE585" s="727"/>
      <c r="AF585" s="727"/>
      <c r="AG585" s="727"/>
      <c r="AH585" s="727"/>
      <c r="AI585" s="727"/>
      <c r="AJ585" s="727"/>
      <c r="AK585" s="727"/>
      <c r="AL585" s="727"/>
      <c r="AM585" s="727"/>
      <c r="AN585" s="727"/>
      <c r="AO585" s="727"/>
      <c r="AP585" s="727"/>
      <c r="AQ585" s="727"/>
      <c r="AR585" s="727"/>
      <c r="AS585" s="727"/>
      <c r="AT585" s="727"/>
      <c r="AU585" s="727"/>
      <c r="AV585" s="727"/>
      <c r="AW585" s="727"/>
      <c r="AX585" s="727"/>
      <c r="AY585" s="727"/>
      <c r="AZ585" s="727"/>
      <c r="BA585" s="727"/>
      <c r="BB585" s="727"/>
    </row>
    <row r="586" spans="1:54">
      <c r="A586" s="326"/>
      <c r="B586" s="791">
        <v>10</v>
      </c>
      <c r="C586" s="792">
        <v>325</v>
      </c>
      <c r="D586" s="779">
        <v>1.9876999999999999E-2</v>
      </c>
      <c r="E586" s="779">
        <v>2611.6</v>
      </c>
      <c r="F586" s="779">
        <v>2810.3</v>
      </c>
      <c r="G586" s="779">
        <v>5.7595999999999998</v>
      </c>
      <c r="H586" s="727"/>
      <c r="I586" s="727"/>
      <c r="J586" s="727"/>
      <c r="K586" s="727"/>
      <c r="L586" s="727"/>
      <c r="M586" s="727"/>
      <c r="N586" s="727"/>
      <c r="O586" s="727"/>
      <c r="P586" s="727"/>
      <c r="Q586" s="727"/>
      <c r="R586" s="727"/>
      <c r="S586" s="727"/>
      <c r="T586" s="727"/>
      <c r="U586" s="727"/>
      <c r="V586" s="727"/>
      <c r="W586" s="727"/>
      <c r="X586" s="727"/>
      <c r="Y586" s="727"/>
      <c r="Z586" s="727"/>
      <c r="AA586" s="727"/>
      <c r="AB586" s="727"/>
      <c r="AC586" s="727"/>
      <c r="AD586" s="727"/>
      <c r="AE586" s="727"/>
      <c r="AF586" s="727"/>
      <c r="AG586" s="727"/>
      <c r="AH586" s="727"/>
      <c r="AI586" s="727"/>
      <c r="AJ586" s="727"/>
      <c r="AK586" s="727"/>
      <c r="AL586" s="727"/>
      <c r="AM586" s="727"/>
      <c r="AN586" s="727"/>
      <c r="AO586" s="727"/>
      <c r="AP586" s="727"/>
      <c r="AQ586" s="727"/>
      <c r="AR586" s="727"/>
      <c r="AS586" s="727"/>
      <c r="AT586" s="727"/>
      <c r="AU586" s="727"/>
      <c r="AV586" s="727"/>
      <c r="AW586" s="727"/>
      <c r="AX586" s="727"/>
      <c r="AY586" s="727"/>
      <c r="AZ586" s="727"/>
      <c r="BA586" s="727"/>
      <c r="BB586" s="727"/>
    </row>
    <row r="587" spans="1:54">
      <c r="A587" s="326"/>
      <c r="B587" s="791">
        <v>10</v>
      </c>
      <c r="C587" s="792">
        <v>350</v>
      </c>
      <c r="D587" s="779">
        <v>2.2440000000000002E-2</v>
      </c>
      <c r="E587" s="779">
        <v>2699.6</v>
      </c>
      <c r="F587" s="779">
        <v>2924</v>
      </c>
      <c r="G587" s="779">
        <v>5.9459999999999997</v>
      </c>
      <c r="H587" s="727"/>
      <c r="I587" s="727"/>
      <c r="J587" s="727"/>
      <c r="K587" s="727"/>
      <c r="L587" s="727"/>
      <c r="M587" s="727"/>
      <c r="N587" s="727"/>
      <c r="O587" s="727"/>
      <c r="P587" s="727"/>
      <c r="Q587" s="727"/>
      <c r="R587" s="727"/>
      <c r="S587" s="727"/>
      <c r="T587" s="727"/>
      <c r="U587" s="727"/>
      <c r="V587" s="727"/>
      <c r="W587" s="727"/>
      <c r="X587" s="727"/>
      <c r="Y587" s="727"/>
      <c r="Z587" s="727"/>
      <c r="AA587" s="727"/>
      <c r="AB587" s="727"/>
      <c r="AC587" s="727"/>
      <c r="AD587" s="727"/>
      <c r="AE587" s="727"/>
      <c r="AF587" s="727"/>
      <c r="AG587" s="727"/>
      <c r="AH587" s="727"/>
      <c r="AI587" s="727"/>
      <c r="AJ587" s="727"/>
      <c r="AK587" s="727"/>
      <c r="AL587" s="727"/>
      <c r="AM587" s="727"/>
      <c r="AN587" s="727"/>
      <c r="AO587" s="727"/>
      <c r="AP587" s="727"/>
      <c r="AQ587" s="727"/>
      <c r="AR587" s="727"/>
      <c r="AS587" s="727"/>
      <c r="AT587" s="727"/>
      <c r="AU587" s="727"/>
      <c r="AV587" s="727"/>
      <c r="AW587" s="727"/>
      <c r="AX587" s="727"/>
      <c r="AY587" s="727"/>
      <c r="AZ587" s="727"/>
      <c r="BA587" s="727"/>
      <c r="BB587" s="727"/>
    </row>
    <row r="588" spans="1:54">
      <c r="A588" s="326"/>
      <c r="B588" s="791">
        <v>10</v>
      </c>
      <c r="C588" s="792">
        <v>400</v>
      </c>
      <c r="D588" s="779">
        <v>2.6436000000000001E-2</v>
      </c>
      <c r="E588" s="779">
        <v>2833.1</v>
      </c>
      <c r="F588" s="779">
        <v>3097.5</v>
      </c>
      <c r="G588" s="779">
        <v>6.2141000000000002</v>
      </c>
      <c r="H588" s="727"/>
      <c r="I588" s="727"/>
      <c r="J588" s="727"/>
      <c r="K588" s="727"/>
      <c r="L588" s="727"/>
      <c r="M588" s="727"/>
      <c r="N588" s="727"/>
      <c r="O588" s="727"/>
      <c r="P588" s="727"/>
      <c r="Q588" s="727"/>
      <c r="R588" s="727"/>
      <c r="S588" s="727"/>
      <c r="T588" s="727"/>
      <c r="U588" s="727"/>
      <c r="V588" s="727"/>
      <c r="W588" s="727"/>
      <c r="X588" s="727"/>
      <c r="Y588" s="727"/>
      <c r="Z588" s="727"/>
      <c r="AA588" s="727"/>
      <c r="AB588" s="727"/>
      <c r="AC588" s="727"/>
      <c r="AD588" s="727"/>
      <c r="AE588" s="727"/>
      <c r="AF588" s="727"/>
      <c r="AG588" s="727"/>
      <c r="AH588" s="727"/>
      <c r="AI588" s="727"/>
      <c r="AJ588" s="727"/>
      <c r="AK588" s="727"/>
      <c r="AL588" s="727"/>
      <c r="AM588" s="727"/>
      <c r="AN588" s="727"/>
      <c r="AO588" s="727"/>
      <c r="AP588" s="727"/>
      <c r="AQ588" s="727"/>
      <c r="AR588" s="727"/>
      <c r="AS588" s="727"/>
      <c r="AT588" s="727"/>
      <c r="AU588" s="727"/>
      <c r="AV588" s="727"/>
      <c r="AW588" s="727"/>
      <c r="AX588" s="727"/>
      <c r="AY588" s="727"/>
      <c r="AZ588" s="727"/>
      <c r="BA588" s="727"/>
      <c r="BB588" s="727"/>
    </row>
    <row r="589" spans="1:54">
      <c r="A589" s="326"/>
      <c r="B589" s="791">
        <v>10</v>
      </c>
      <c r="C589" s="792">
        <v>450</v>
      </c>
      <c r="D589" s="779">
        <v>2.9781999999999999E-2</v>
      </c>
      <c r="E589" s="779">
        <v>2944.5</v>
      </c>
      <c r="F589" s="779">
        <v>3242.4</v>
      </c>
      <c r="G589" s="779">
        <v>6.4218999999999999</v>
      </c>
      <c r="H589" s="727"/>
      <c r="I589" s="727"/>
      <c r="J589" s="727"/>
      <c r="K589" s="727"/>
      <c r="L589" s="727"/>
      <c r="M589" s="727"/>
      <c r="N589" s="727"/>
      <c r="O589" s="727"/>
      <c r="P589" s="727"/>
      <c r="Q589" s="727"/>
      <c r="R589" s="727"/>
      <c r="S589" s="727"/>
      <c r="T589" s="727"/>
      <c r="U589" s="727"/>
      <c r="V589" s="727"/>
      <c r="W589" s="727"/>
      <c r="X589" s="727"/>
      <c r="Y589" s="727"/>
      <c r="Z589" s="727"/>
      <c r="AA589" s="727"/>
      <c r="AB589" s="727"/>
      <c r="AC589" s="727"/>
      <c r="AD589" s="727"/>
      <c r="AE589" s="727"/>
      <c r="AF589" s="727"/>
      <c r="AG589" s="727"/>
      <c r="AH589" s="727"/>
      <c r="AI589" s="727"/>
      <c r="AJ589" s="727"/>
      <c r="AK589" s="727"/>
      <c r="AL589" s="727"/>
      <c r="AM589" s="727"/>
      <c r="AN589" s="727"/>
      <c r="AO589" s="727"/>
      <c r="AP589" s="727"/>
      <c r="AQ589" s="727"/>
      <c r="AR589" s="727"/>
      <c r="AS589" s="727"/>
      <c r="AT589" s="727"/>
      <c r="AU589" s="727"/>
      <c r="AV589" s="727"/>
      <c r="AW589" s="727"/>
      <c r="AX589" s="727"/>
      <c r="AY589" s="727"/>
      <c r="AZ589" s="727"/>
      <c r="BA589" s="727"/>
      <c r="BB589" s="727"/>
    </row>
    <row r="590" spans="1:54">
      <c r="A590" s="326"/>
      <c r="B590" s="791">
        <v>10</v>
      </c>
      <c r="C590" s="792">
        <v>500</v>
      </c>
      <c r="D590" s="779">
        <v>3.2811E-2</v>
      </c>
      <c r="E590" s="779">
        <v>3047</v>
      </c>
      <c r="F590" s="779">
        <v>3375.1</v>
      </c>
      <c r="G590" s="779">
        <v>6.5994999999999999</v>
      </c>
      <c r="H590" s="727"/>
      <c r="I590" s="727"/>
      <c r="J590" s="727"/>
      <c r="K590" s="727"/>
      <c r="L590" s="727"/>
      <c r="M590" s="727"/>
      <c r="N590" s="727"/>
      <c r="O590" s="727"/>
      <c r="P590" s="727"/>
      <c r="Q590" s="727"/>
      <c r="R590" s="727"/>
      <c r="S590" s="727"/>
      <c r="T590" s="727"/>
      <c r="U590" s="727"/>
      <c r="V590" s="727"/>
      <c r="W590" s="727"/>
      <c r="X590" s="727"/>
      <c r="Y590" s="727"/>
      <c r="Z590" s="727"/>
      <c r="AA590" s="727"/>
      <c r="AB590" s="727"/>
      <c r="AC590" s="727"/>
      <c r="AD590" s="727"/>
      <c r="AE590" s="727"/>
      <c r="AF590" s="727"/>
      <c r="AG590" s="727"/>
      <c r="AH590" s="727"/>
      <c r="AI590" s="727"/>
      <c r="AJ590" s="727"/>
      <c r="AK590" s="727"/>
      <c r="AL590" s="727"/>
      <c r="AM590" s="727"/>
      <c r="AN590" s="727"/>
      <c r="AO590" s="727"/>
      <c r="AP590" s="727"/>
      <c r="AQ590" s="727"/>
      <c r="AR590" s="727"/>
      <c r="AS590" s="727"/>
      <c r="AT590" s="727"/>
      <c r="AU590" s="727"/>
      <c r="AV590" s="727"/>
      <c r="AW590" s="727"/>
      <c r="AX590" s="727"/>
      <c r="AY590" s="727"/>
      <c r="AZ590" s="727"/>
      <c r="BA590" s="727"/>
      <c r="BB590" s="727"/>
    </row>
    <row r="591" spans="1:54">
      <c r="A591" s="326"/>
      <c r="B591" s="791">
        <v>10</v>
      </c>
      <c r="C591" s="792">
        <v>550</v>
      </c>
      <c r="D591" s="779">
        <v>3.5654999999999999E-2</v>
      </c>
      <c r="E591" s="779">
        <v>3145.4</v>
      </c>
      <c r="F591" s="779">
        <v>3502</v>
      </c>
      <c r="G591" s="779">
        <v>6.7584999999999997</v>
      </c>
      <c r="H591" s="727"/>
      <c r="I591" s="727"/>
      <c r="J591" s="727"/>
      <c r="K591" s="727"/>
      <c r="L591" s="727"/>
      <c r="M591" s="727"/>
      <c r="N591" s="727"/>
      <c r="O591" s="727"/>
      <c r="P591" s="727"/>
      <c r="Q591" s="727"/>
      <c r="R591" s="727"/>
      <c r="S591" s="727"/>
      <c r="T591" s="727"/>
      <c r="U591" s="727"/>
      <c r="V591" s="727"/>
      <c r="W591" s="727"/>
      <c r="X591" s="727"/>
      <c r="Y591" s="727"/>
      <c r="Z591" s="727"/>
      <c r="AA591" s="727"/>
      <c r="AB591" s="727"/>
      <c r="AC591" s="727"/>
      <c r="AD591" s="727"/>
      <c r="AE591" s="727"/>
      <c r="AF591" s="727"/>
      <c r="AG591" s="727"/>
      <c r="AH591" s="727"/>
      <c r="AI591" s="727"/>
      <c r="AJ591" s="727"/>
      <c r="AK591" s="727"/>
      <c r="AL591" s="727"/>
      <c r="AM591" s="727"/>
      <c r="AN591" s="727"/>
      <c r="AO591" s="727"/>
      <c r="AP591" s="727"/>
      <c r="AQ591" s="727"/>
      <c r="AR591" s="727"/>
      <c r="AS591" s="727"/>
      <c r="AT591" s="727"/>
      <c r="AU591" s="727"/>
      <c r="AV591" s="727"/>
      <c r="AW591" s="727"/>
      <c r="AX591" s="727"/>
      <c r="AY591" s="727"/>
      <c r="AZ591" s="727"/>
      <c r="BA591" s="727"/>
      <c r="BB591" s="727"/>
    </row>
    <row r="592" spans="1:54">
      <c r="A592" s="326"/>
      <c r="B592" s="791">
        <v>10</v>
      </c>
      <c r="C592" s="792">
        <v>600</v>
      </c>
      <c r="D592" s="779">
        <v>3.8378000000000002E-2</v>
      </c>
      <c r="E592" s="779">
        <v>3242</v>
      </c>
      <c r="F592" s="779">
        <v>3625.8</v>
      </c>
      <c r="G592" s="779">
        <v>6.9044999999999996</v>
      </c>
      <c r="H592" s="727"/>
      <c r="I592" s="727"/>
      <c r="J592" s="727"/>
      <c r="K592" s="727"/>
      <c r="L592" s="727"/>
      <c r="M592" s="727"/>
      <c r="N592" s="727"/>
      <c r="O592" s="727"/>
      <c r="P592" s="727"/>
      <c r="Q592" s="727"/>
      <c r="R592" s="727"/>
      <c r="S592" s="727"/>
      <c r="T592" s="727"/>
      <c r="U592" s="727"/>
      <c r="V592" s="727"/>
      <c r="W592" s="727"/>
      <c r="X592" s="727"/>
      <c r="Y592" s="727"/>
      <c r="Z592" s="727"/>
      <c r="AA592" s="727"/>
      <c r="AB592" s="727"/>
      <c r="AC592" s="727"/>
      <c r="AD592" s="727"/>
      <c r="AE592" s="727"/>
      <c r="AF592" s="727"/>
      <c r="AG592" s="727"/>
      <c r="AH592" s="727"/>
      <c r="AI592" s="727"/>
      <c r="AJ592" s="727"/>
      <c r="AK592" s="727"/>
      <c r="AL592" s="727"/>
      <c r="AM592" s="727"/>
      <c r="AN592" s="727"/>
      <c r="AO592" s="727"/>
      <c r="AP592" s="727"/>
      <c r="AQ592" s="727"/>
      <c r="AR592" s="727"/>
      <c r="AS592" s="727"/>
      <c r="AT592" s="727"/>
      <c r="AU592" s="727"/>
      <c r="AV592" s="727"/>
      <c r="AW592" s="727"/>
      <c r="AX592" s="727"/>
      <c r="AY592" s="727"/>
      <c r="AZ592" s="727"/>
      <c r="BA592" s="727"/>
      <c r="BB592" s="727"/>
    </row>
    <row r="593" spans="1:54">
      <c r="A593" s="326"/>
      <c r="B593" s="791">
        <v>10</v>
      </c>
      <c r="C593" s="792">
        <v>650</v>
      </c>
      <c r="D593" s="779">
        <v>4.1017999999999999E-2</v>
      </c>
      <c r="E593" s="779">
        <v>3338</v>
      </c>
      <c r="F593" s="779">
        <v>3748.1</v>
      </c>
      <c r="G593" s="779">
        <v>7.0407999999999999</v>
      </c>
      <c r="H593" s="727"/>
      <c r="I593" s="727"/>
      <c r="J593" s="727"/>
      <c r="K593" s="727"/>
      <c r="L593" s="727"/>
      <c r="M593" s="727"/>
      <c r="N593" s="727"/>
      <c r="O593" s="727"/>
      <c r="P593" s="727"/>
      <c r="Q593" s="727"/>
      <c r="R593" s="727"/>
      <c r="S593" s="727"/>
      <c r="T593" s="727"/>
      <c r="U593" s="727"/>
      <c r="V593" s="727"/>
      <c r="W593" s="727"/>
      <c r="X593" s="727"/>
      <c r="Y593" s="727"/>
      <c r="Z593" s="727"/>
      <c r="AA593" s="727"/>
      <c r="AB593" s="727"/>
      <c r="AC593" s="727"/>
      <c r="AD593" s="727"/>
      <c r="AE593" s="727"/>
      <c r="AF593" s="727"/>
      <c r="AG593" s="727"/>
      <c r="AH593" s="727"/>
      <c r="AI593" s="727"/>
      <c r="AJ593" s="727"/>
      <c r="AK593" s="727"/>
      <c r="AL593" s="727"/>
      <c r="AM593" s="727"/>
      <c r="AN593" s="727"/>
      <c r="AO593" s="727"/>
      <c r="AP593" s="727"/>
      <c r="AQ593" s="727"/>
      <c r="AR593" s="727"/>
      <c r="AS593" s="727"/>
      <c r="AT593" s="727"/>
      <c r="AU593" s="727"/>
      <c r="AV593" s="727"/>
      <c r="AW593" s="727"/>
      <c r="AX593" s="727"/>
      <c r="AY593" s="727"/>
      <c r="AZ593" s="727"/>
      <c r="BA593" s="727"/>
      <c r="BB593" s="727"/>
    </row>
    <row r="594" spans="1:54">
      <c r="A594" s="326"/>
      <c r="B594" s="791">
        <v>10</v>
      </c>
      <c r="C594" s="792">
        <v>700</v>
      </c>
      <c r="D594" s="779">
        <v>4.3596999999999997E-2</v>
      </c>
      <c r="E594" s="779">
        <v>3434</v>
      </c>
      <c r="F594" s="779">
        <v>3870</v>
      </c>
      <c r="G594" s="779">
        <v>7.1692999999999998</v>
      </c>
      <c r="H594" s="727"/>
      <c r="I594" s="727"/>
      <c r="J594" s="727"/>
      <c r="K594" s="727"/>
      <c r="L594" s="727"/>
      <c r="M594" s="727"/>
      <c r="N594" s="727"/>
      <c r="O594" s="727"/>
      <c r="P594" s="727"/>
      <c r="Q594" s="727"/>
      <c r="R594" s="727"/>
      <c r="S594" s="727"/>
      <c r="T594" s="727"/>
      <c r="U594" s="727"/>
      <c r="V594" s="727"/>
      <c r="W594" s="727"/>
      <c r="X594" s="727"/>
      <c r="Y594" s="727"/>
      <c r="Z594" s="727"/>
      <c r="AA594" s="727"/>
      <c r="AB594" s="727"/>
      <c r="AC594" s="727"/>
      <c r="AD594" s="727"/>
      <c r="AE594" s="727"/>
      <c r="AF594" s="727"/>
      <c r="AG594" s="727"/>
      <c r="AH594" s="727"/>
      <c r="AI594" s="727"/>
      <c r="AJ594" s="727"/>
      <c r="AK594" s="727"/>
      <c r="AL594" s="727"/>
      <c r="AM594" s="727"/>
      <c r="AN594" s="727"/>
      <c r="AO594" s="727"/>
      <c r="AP594" s="727"/>
      <c r="AQ594" s="727"/>
      <c r="AR594" s="727"/>
      <c r="AS594" s="727"/>
      <c r="AT594" s="727"/>
      <c r="AU594" s="727"/>
      <c r="AV594" s="727"/>
      <c r="AW594" s="727"/>
      <c r="AX594" s="727"/>
      <c r="AY594" s="727"/>
      <c r="AZ594" s="727"/>
      <c r="BA594" s="727"/>
      <c r="BB594" s="727"/>
    </row>
    <row r="595" spans="1:54">
      <c r="A595" s="326"/>
      <c r="B595" s="791">
        <v>10</v>
      </c>
      <c r="C595" s="792">
        <v>800</v>
      </c>
      <c r="D595" s="779">
        <v>4.8628999999999999E-2</v>
      </c>
      <c r="E595" s="779">
        <v>3628.2</v>
      </c>
      <c r="F595" s="779">
        <v>4114.5</v>
      </c>
      <c r="G595" s="779">
        <v>7.4085000000000001</v>
      </c>
      <c r="H595" s="727"/>
      <c r="I595" s="727"/>
      <c r="J595" s="727"/>
      <c r="K595" s="727"/>
      <c r="L595" s="727"/>
      <c r="M595" s="727"/>
      <c r="N595" s="727"/>
      <c r="O595" s="727"/>
      <c r="P595" s="727"/>
      <c r="Q595" s="727"/>
      <c r="R595" s="727"/>
      <c r="S595" s="727"/>
      <c r="T595" s="727"/>
      <c r="U595" s="727"/>
      <c r="V595" s="727"/>
      <c r="W595" s="727"/>
      <c r="X595" s="727"/>
      <c r="Y595" s="727"/>
      <c r="Z595" s="727"/>
      <c r="AA595" s="727"/>
      <c r="AB595" s="727"/>
      <c r="AC595" s="727"/>
      <c r="AD595" s="727"/>
      <c r="AE595" s="727"/>
      <c r="AF595" s="727"/>
      <c r="AG595" s="727"/>
      <c r="AH595" s="727"/>
      <c r="AI595" s="727"/>
      <c r="AJ595" s="727"/>
      <c r="AK595" s="727"/>
      <c r="AL595" s="727"/>
      <c r="AM595" s="727"/>
      <c r="AN595" s="727"/>
      <c r="AO595" s="727"/>
      <c r="AP595" s="727"/>
      <c r="AQ595" s="727"/>
      <c r="AR595" s="727"/>
      <c r="AS595" s="727"/>
      <c r="AT595" s="727"/>
      <c r="AU595" s="727"/>
      <c r="AV595" s="727"/>
      <c r="AW595" s="727"/>
      <c r="AX595" s="727"/>
      <c r="AY595" s="727"/>
      <c r="AZ595" s="727"/>
      <c r="BA595" s="727"/>
      <c r="BB595" s="727"/>
    </row>
    <row r="596" spans="1:54">
      <c r="A596" s="326"/>
      <c r="B596" s="791">
        <v>10</v>
      </c>
      <c r="C596" s="792">
        <v>900</v>
      </c>
      <c r="D596" s="779">
        <v>5.3546999999999997E-2</v>
      </c>
      <c r="E596" s="779">
        <v>3826.5</v>
      </c>
      <c r="F596" s="779">
        <v>4362</v>
      </c>
      <c r="G596" s="779">
        <v>7.6289999999999996</v>
      </c>
      <c r="H596" s="727"/>
      <c r="I596" s="727"/>
      <c r="J596" s="727"/>
      <c r="K596" s="727"/>
      <c r="L596" s="727"/>
      <c r="M596" s="727"/>
      <c r="N596" s="727"/>
      <c r="O596" s="727"/>
      <c r="P596" s="727"/>
      <c r="Q596" s="727"/>
      <c r="R596" s="727"/>
      <c r="S596" s="727"/>
      <c r="T596" s="727"/>
      <c r="U596" s="727"/>
      <c r="V596" s="727"/>
      <c r="W596" s="727"/>
      <c r="X596" s="727"/>
      <c r="Y596" s="727"/>
      <c r="Z596" s="727"/>
      <c r="AA596" s="727"/>
      <c r="AB596" s="727"/>
      <c r="AC596" s="727"/>
      <c r="AD596" s="727"/>
      <c r="AE596" s="727"/>
      <c r="AF596" s="727"/>
      <c r="AG596" s="727"/>
      <c r="AH596" s="727"/>
      <c r="AI596" s="727"/>
      <c r="AJ596" s="727"/>
      <c r="AK596" s="727"/>
      <c r="AL596" s="727"/>
      <c r="AM596" s="727"/>
      <c r="AN596" s="727"/>
      <c r="AO596" s="727"/>
      <c r="AP596" s="727"/>
      <c r="AQ596" s="727"/>
      <c r="AR596" s="727"/>
      <c r="AS596" s="727"/>
      <c r="AT596" s="727"/>
      <c r="AU596" s="727"/>
      <c r="AV596" s="727"/>
      <c r="AW596" s="727"/>
      <c r="AX596" s="727"/>
      <c r="AY596" s="727"/>
      <c r="AZ596" s="727"/>
      <c r="BA596" s="727"/>
      <c r="BB596" s="727"/>
    </row>
    <row r="597" spans="1:54">
      <c r="A597" s="326"/>
      <c r="B597" s="791">
        <v>10</v>
      </c>
      <c r="C597" s="792">
        <v>1000</v>
      </c>
      <c r="D597" s="779">
        <v>5.8390999999999998E-2</v>
      </c>
      <c r="E597" s="779">
        <v>4029.9</v>
      </c>
      <c r="F597" s="779">
        <v>4613.8</v>
      </c>
      <c r="G597" s="779">
        <v>7.8349000000000002</v>
      </c>
      <c r="H597" s="727"/>
      <c r="I597" s="727"/>
      <c r="J597" s="727"/>
      <c r="K597" s="727"/>
      <c r="L597" s="727"/>
      <c r="M597" s="727"/>
      <c r="N597" s="727"/>
      <c r="O597" s="727"/>
      <c r="P597" s="727"/>
      <c r="Q597" s="727"/>
      <c r="R597" s="727"/>
      <c r="S597" s="727"/>
      <c r="T597" s="727"/>
      <c r="U597" s="727"/>
      <c r="V597" s="727"/>
      <c r="W597" s="727"/>
      <c r="X597" s="727"/>
      <c r="Y597" s="727"/>
      <c r="Z597" s="727"/>
      <c r="AA597" s="727"/>
      <c r="AB597" s="727"/>
      <c r="AC597" s="727"/>
      <c r="AD597" s="727"/>
      <c r="AE597" s="727"/>
      <c r="AF597" s="727"/>
      <c r="AG597" s="727"/>
      <c r="AH597" s="727"/>
      <c r="AI597" s="727"/>
      <c r="AJ597" s="727"/>
      <c r="AK597" s="727"/>
      <c r="AL597" s="727"/>
      <c r="AM597" s="727"/>
      <c r="AN597" s="727"/>
      <c r="AO597" s="727"/>
      <c r="AP597" s="727"/>
      <c r="AQ597" s="727"/>
      <c r="AR597" s="727"/>
      <c r="AS597" s="727"/>
      <c r="AT597" s="727"/>
      <c r="AU597" s="727"/>
      <c r="AV597" s="727"/>
      <c r="AW597" s="727"/>
      <c r="AX597" s="727"/>
      <c r="AY597" s="727"/>
      <c r="AZ597" s="727"/>
      <c r="BA597" s="727"/>
      <c r="BB597" s="727"/>
    </row>
    <row r="598" spans="1:54">
      <c r="A598" s="326"/>
      <c r="B598" s="791">
        <v>10</v>
      </c>
      <c r="C598" s="792">
        <v>1100</v>
      </c>
      <c r="D598" s="779">
        <v>6.3183000000000003E-2</v>
      </c>
      <c r="E598" s="779">
        <v>4238.5</v>
      </c>
      <c r="F598" s="779">
        <v>4870.3</v>
      </c>
      <c r="G598" s="779">
        <v>8.0289000000000001</v>
      </c>
      <c r="H598" s="727"/>
      <c r="I598" s="727"/>
      <c r="J598" s="727"/>
      <c r="K598" s="727"/>
      <c r="L598" s="727"/>
      <c r="M598" s="727"/>
      <c r="N598" s="727"/>
      <c r="O598" s="727"/>
      <c r="P598" s="727"/>
      <c r="Q598" s="727"/>
      <c r="R598" s="727"/>
      <c r="S598" s="727"/>
      <c r="T598" s="727"/>
      <c r="U598" s="727"/>
      <c r="V598" s="727"/>
      <c r="W598" s="727"/>
      <c r="X598" s="727"/>
      <c r="Y598" s="727"/>
      <c r="Z598" s="727"/>
      <c r="AA598" s="727"/>
      <c r="AB598" s="727"/>
      <c r="AC598" s="727"/>
      <c r="AD598" s="727"/>
      <c r="AE598" s="727"/>
      <c r="AF598" s="727"/>
      <c r="AG598" s="727"/>
      <c r="AH598" s="727"/>
      <c r="AI598" s="727"/>
      <c r="AJ598" s="727"/>
      <c r="AK598" s="727"/>
      <c r="AL598" s="727"/>
      <c r="AM598" s="727"/>
      <c r="AN598" s="727"/>
      <c r="AO598" s="727"/>
      <c r="AP598" s="727"/>
      <c r="AQ598" s="727"/>
      <c r="AR598" s="727"/>
      <c r="AS598" s="727"/>
      <c r="AT598" s="727"/>
      <c r="AU598" s="727"/>
      <c r="AV598" s="727"/>
      <c r="AW598" s="727"/>
      <c r="AX598" s="727"/>
      <c r="AY598" s="727"/>
      <c r="AZ598" s="727"/>
      <c r="BA598" s="727"/>
      <c r="BB598" s="727"/>
    </row>
    <row r="599" spans="1:54">
      <c r="A599" s="326"/>
      <c r="B599" s="791">
        <v>10</v>
      </c>
      <c r="C599" s="792">
        <v>1200</v>
      </c>
      <c r="D599" s="779">
        <v>6.7937999999999998E-2</v>
      </c>
      <c r="E599" s="779">
        <v>4452.3999999999996</v>
      </c>
      <c r="F599" s="779">
        <v>5131.7</v>
      </c>
      <c r="G599" s="779">
        <v>8.2126000000000001</v>
      </c>
      <c r="H599" s="727"/>
      <c r="I599" s="727"/>
      <c r="J599" s="727"/>
      <c r="K599" s="727"/>
      <c r="L599" s="727"/>
      <c r="M599" s="727"/>
      <c r="N599" s="727"/>
      <c r="O599" s="727"/>
      <c r="P599" s="727"/>
      <c r="Q599" s="727"/>
      <c r="R599" s="727"/>
      <c r="S599" s="727"/>
      <c r="T599" s="727"/>
      <c r="U599" s="727"/>
      <c r="V599" s="727"/>
      <c r="W599" s="727"/>
      <c r="X599" s="727"/>
      <c r="Y599" s="727"/>
      <c r="Z599" s="727"/>
      <c r="AA599" s="727"/>
      <c r="AB599" s="727"/>
      <c r="AC599" s="727"/>
      <c r="AD599" s="727"/>
      <c r="AE599" s="727"/>
      <c r="AF599" s="727"/>
      <c r="AG599" s="727"/>
      <c r="AH599" s="727"/>
      <c r="AI599" s="727"/>
      <c r="AJ599" s="727"/>
      <c r="AK599" s="727"/>
      <c r="AL599" s="727"/>
      <c r="AM599" s="727"/>
      <c r="AN599" s="727"/>
      <c r="AO599" s="727"/>
      <c r="AP599" s="727"/>
      <c r="AQ599" s="727"/>
      <c r="AR599" s="727"/>
      <c r="AS599" s="727"/>
      <c r="AT599" s="727"/>
      <c r="AU599" s="727"/>
      <c r="AV599" s="727"/>
      <c r="AW599" s="727"/>
      <c r="AX599" s="727"/>
      <c r="AY599" s="727"/>
      <c r="AZ599" s="727"/>
      <c r="BA599" s="727"/>
      <c r="BB599" s="727"/>
    </row>
    <row r="600" spans="1:54">
      <c r="A600" s="326"/>
      <c r="B600" s="791">
        <v>10</v>
      </c>
      <c r="C600" s="792">
        <v>1300</v>
      </c>
      <c r="D600" s="779">
        <v>7.2666999999999995E-2</v>
      </c>
      <c r="E600" s="779">
        <v>4671.3</v>
      </c>
      <c r="F600" s="779">
        <v>5398</v>
      </c>
      <c r="G600" s="779">
        <v>8.3873999999999995</v>
      </c>
      <c r="H600" s="727"/>
      <c r="I600" s="727"/>
      <c r="J600" s="727"/>
      <c r="K600" s="727"/>
      <c r="L600" s="727"/>
      <c r="M600" s="727"/>
      <c r="N600" s="727"/>
      <c r="O600" s="727"/>
      <c r="P600" s="727"/>
      <c r="Q600" s="727"/>
      <c r="R600" s="727"/>
      <c r="S600" s="727"/>
      <c r="T600" s="727"/>
      <c r="U600" s="727"/>
      <c r="V600" s="727"/>
      <c r="W600" s="727"/>
      <c r="X600" s="727"/>
      <c r="Y600" s="727"/>
      <c r="Z600" s="727"/>
      <c r="AA600" s="727"/>
      <c r="AB600" s="727"/>
      <c r="AC600" s="727"/>
      <c r="AD600" s="727"/>
      <c r="AE600" s="727"/>
      <c r="AF600" s="727"/>
      <c r="AG600" s="727"/>
      <c r="AH600" s="727"/>
      <c r="AI600" s="727"/>
      <c r="AJ600" s="727"/>
      <c r="AK600" s="727"/>
      <c r="AL600" s="727"/>
      <c r="AM600" s="727"/>
      <c r="AN600" s="727"/>
      <c r="AO600" s="727"/>
      <c r="AP600" s="727"/>
      <c r="AQ600" s="727"/>
      <c r="AR600" s="727"/>
      <c r="AS600" s="727"/>
      <c r="AT600" s="727"/>
      <c r="AU600" s="727"/>
      <c r="AV600" s="727"/>
      <c r="AW600" s="727"/>
      <c r="AX600" s="727"/>
      <c r="AY600" s="727"/>
      <c r="AZ600" s="727"/>
      <c r="BA600" s="727"/>
      <c r="BB600" s="727"/>
    </row>
    <row r="601" spans="1:54">
      <c r="A601" s="326"/>
      <c r="B601" s="791">
        <v>12.5</v>
      </c>
      <c r="C601" s="792">
        <v>327.81</v>
      </c>
      <c r="D601" s="779">
        <v>1.3495999999999999E-2</v>
      </c>
      <c r="E601" s="779">
        <v>2505.6</v>
      </c>
      <c r="F601" s="779">
        <v>2674.3</v>
      </c>
      <c r="G601" s="779">
        <v>5.4638</v>
      </c>
      <c r="H601" s="727"/>
      <c r="I601" s="727"/>
      <c r="J601" s="727"/>
      <c r="K601" s="727"/>
      <c r="L601" s="727"/>
      <c r="M601" s="727"/>
      <c r="N601" s="727"/>
      <c r="O601" s="727"/>
      <c r="P601" s="727"/>
      <c r="Q601" s="727"/>
      <c r="R601" s="727"/>
      <c r="S601" s="727"/>
      <c r="T601" s="727"/>
      <c r="U601" s="727"/>
      <c r="V601" s="727"/>
      <c r="W601" s="727"/>
      <c r="X601" s="727"/>
      <c r="Y601" s="727"/>
      <c r="Z601" s="727"/>
      <c r="AA601" s="727"/>
      <c r="AB601" s="727"/>
      <c r="AC601" s="727"/>
      <c r="AD601" s="727"/>
      <c r="AE601" s="727"/>
      <c r="AF601" s="727"/>
      <c r="AG601" s="727"/>
      <c r="AH601" s="727"/>
      <c r="AI601" s="727"/>
      <c r="AJ601" s="727"/>
      <c r="AK601" s="727"/>
      <c r="AL601" s="727"/>
      <c r="AM601" s="727"/>
      <c r="AN601" s="727"/>
      <c r="AO601" s="727"/>
      <c r="AP601" s="727"/>
      <c r="AQ601" s="727"/>
      <c r="AR601" s="727"/>
      <c r="AS601" s="727"/>
      <c r="AT601" s="727"/>
      <c r="AU601" s="727"/>
      <c r="AV601" s="727"/>
      <c r="AW601" s="727"/>
      <c r="AX601" s="727"/>
      <c r="AY601" s="727"/>
      <c r="AZ601" s="727"/>
      <c r="BA601" s="727"/>
      <c r="BB601" s="727"/>
    </row>
    <row r="602" spans="1:54">
      <c r="A602" s="326"/>
      <c r="B602" s="791">
        <v>12.5</v>
      </c>
      <c r="C602" s="792">
        <v>350</v>
      </c>
      <c r="D602" s="779">
        <v>1.6138E-2</v>
      </c>
      <c r="E602" s="779">
        <v>2624.9</v>
      </c>
      <c r="F602" s="779">
        <v>2826.6</v>
      </c>
      <c r="G602" s="779">
        <v>5.7130000000000001</v>
      </c>
      <c r="H602" s="727"/>
      <c r="I602" s="727"/>
      <c r="J602" s="727"/>
      <c r="K602" s="727"/>
      <c r="L602" s="727"/>
      <c r="M602" s="727"/>
      <c r="N602" s="727"/>
      <c r="O602" s="727"/>
      <c r="P602" s="727"/>
      <c r="Q602" s="727"/>
      <c r="R602" s="727"/>
      <c r="S602" s="727"/>
      <c r="T602" s="727"/>
      <c r="U602" s="727"/>
      <c r="V602" s="727"/>
      <c r="W602" s="727"/>
      <c r="X602" s="727"/>
      <c r="Y602" s="727"/>
      <c r="Z602" s="727"/>
      <c r="AA602" s="727"/>
      <c r="AB602" s="727"/>
      <c r="AC602" s="727"/>
      <c r="AD602" s="727"/>
      <c r="AE602" s="727"/>
      <c r="AF602" s="727"/>
      <c r="AG602" s="727"/>
      <c r="AH602" s="727"/>
      <c r="AI602" s="727"/>
      <c r="AJ602" s="727"/>
      <c r="AK602" s="727"/>
      <c r="AL602" s="727"/>
      <c r="AM602" s="727"/>
      <c r="AN602" s="727"/>
      <c r="AO602" s="727"/>
      <c r="AP602" s="727"/>
      <c r="AQ602" s="727"/>
      <c r="AR602" s="727"/>
      <c r="AS602" s="727"/>
      <c r="AT602" s="727"/>
      <c r="AU602" s="727"/>
      <c r="AV602" s="727"/>
      <c r="AW602" s="727"/>
      <c r="AX602" s="727"/>
      <c r="AY602" s="727"/>
      <c r="AZ602" s="727"/>
      <c r="BA602" s="727"/>
      <c r="BB602" s="727"/>
    </row>
    <row r="603" spans="1:54">
      <c r="A603" s="326"/>
      <c r="B603" s="791">
        <v>12.5</v>
      </c>
      <c r="C603" s="792">
        <v>400</v>
      </c>
      <c r="D603" s="779">
        <v>2.0029999999999999E-2</v>
      </c>
      <c r="E603" s="779">
        <v>2789.6</v>
      </c>
      <c r="F603" s="779">
        <v>3040</v>
      </c>
      <c r="G603" s="779">
        <v>6.0433000000000003</v>
      </c>
      <c r="H603" s="727"/>
      <c r="I603" s="727"/>
      <c r="J603" s="727"/>
      <c r="K603" s="727"/>
      <c r="L603" s="727"/>
      <c r="M603" s="727"/>
      <c r="N603" s="727"/>
      <c r="O603" s="727"/>
      <c r="P603" s="727"/>
      <c r="Q603" s="727"/>
      <c r="R603" s="727"/>
      <c r="S603" s="727"/>
      <c r="T603" s="727"/>
      <c r="U603" s="727"/>
      <c r="V603" s="727"/>
      <c r="W603" s="727"/>
      <c r="X603" s="727"/>
      <c r="Y603" s="727"/>
      <c r="Z603" s="727"/>
      <c r="AA603" s="727"/>
      <c r="AB603" s="727"/>
      <c r="AC603" s="727"/>
      <c r="AD603" s="727"/>
      <c r="AE603" s="727"/>
      <c r="AF603" s="727"/>
      <c r="AG603" s="727"/>
      <c r="AH603" s="727"/>
      <c r="AI603" s="727"/>
      <c r="AJ603" s="727"/>
      <c r="AK603" s="727"/>
      <c r="AL603" s="727"/>
      <c r="AM603" s="727"/>
      <c r="AN603" s="727"/>
      <c r="AO603" s="727"/>
      <c r="AP603" s="727"/>
      <c r="AQ603" s="727"/>
      <c r="AR603" s="727"/>
      <c r="AS603" s="727"/>
      <c r="AT603" s="727"/>
      <c r="AU603" s="727"/>
      <c r="AV603" s="727"/>
      <c r="AW603" s="727"/>
      <c r="AX603" s="727"/>
      <c r="AY603" s="727"/>
      <c r="AZ603" s="727"/>
      <c r="BA603" s="727"/>
      <c r="BB603" s="727"/>
    </row>
    <row r="604" spans="1:54">
      <c r="A604" s="326"/>
      <c r="B604" s="791">
        <v>12.5</v>
      </c>
      <c r="C604" s="792">
        <v>450</v>
      </c>
      <c r="D604" s="779">
        <v>2.3019000000000001E-2</v>
      </c>
      <c r="E604" s="779">
        <v>2913.7</v>
      </c>
      <c r="F604" s="779">
        <v>3201.5</v>
      </c>
      <c r="G604" s="779">
        <v>6.2748999999999997</v>
      </c>
      <c r="H604" s="727"/>
      <c r="I604" s="727"/>
      <c r="J604" s="727"/>
      <c r="K604" s="727"/>
      <c r="L604" s="727"/>
      <c r="M604" s="727"/>
      <c r="N604" s="727"/>
      <c r="O604" s="727"/>
      <c r="P604" s="727"/>
      <c r="Q604" s="727"/>
      <c r="R604" s="727"/>
      <c r="S604" s="727"/>
      <c r="T604" s="727"/>
      <c r="U604" s="727"/>
      <c r="V604" s="727"/>
      <c r="W604" s="727"/>
      <c r="X604" s="727"/>
      <c r="Y604" s="727"/>
      <c r="Z604" s="727"/>
      <c r="AA604" s="727"/>
      <c r="AB604" s="727"/>
      <c r="AC604" s="727"/>
      <c r="AD604" s="727"/>
      <c r="AE604" s="727"/>
      <c r="AF604" s="727"/>
      <c r="AG604" s="727"/>
      <c r="AH604" s="727"/>
      <c r="AI604" s="727"/>
      <c r="AJ604" s="727"/>
      <c r="AK604" s="727"/>
      <c r="AL604" s="727"/>
      <c r="AM604" s="727"/>
      <c r="AN604" s="727"/>
      <c r="AO604" s="727"/>
      <c r="AP604" s="727"/>
      <c r="AQ604" s="727"/>
      <c r="AR604" s="727"/>
      <c r="AS604" s="727"/>
      <c r="AT604" s="727"/>
      <c r="AU604" s="727"/>
      <c r="AV604" s="727"/>
      <c r="AW604" s="727"/>
      <c r="AX604" s="727"/>
      <c r="AY604" s="727"/>
      <c r="AZ604" s="727"/>
      <c r="BA604" s="727"/>
      <c r="BB604" s="727"/>
    </row>
    <row r="605" spans="1:54">
      <c r="A605" s="326"/>
      <c r="B605" s="791">
        <v>12.5</v>
      </c>
      <c r="C605" s="792">
        <v>500</v>
      </c>
      <c r="D605" s="779">
        <v>2.563E-2</v>
      </c>
      <c r="E605" s="779">
        <v>3023.2</v>
      </c>
      <c r="F605" s="779">
        <v>3343.6</v>
      </c>
      <c r="G605" s="779">
        <v>6.4650999999999996</v>
      </c>
      <c r="H605" s="727"/>
      <c r="I605" s="727"/>
      <c r="J605" s="727"/>
      <c r="K605" s="727"/>
      <c r="L605" s="727"/>
      <c r="M605" s="727"/>
      <c r="N605" s="727"/>
      <c r="O605" s="727"/>
      <c r="P605" s="727"/>
      <c r="Q605" s="727"/>
      <c r="R605" s="727"/>
      <c r="S605" s="727"/>
      <c r="T605" s="727"/>
      <c r="U605" s="727"/>
      <c r="V605" s="727"/>
      <c r="W605" s="727"/>
      <c r="X605" s="727"/>
      <c r="Y605" s="727"/>
      <c r="Z605" s="727"/>
      <c r="AA605" s="727"/>
      <c r="AB605" s="727"/>
      <c r="AC605" s="727"/>
      <c r="AD605" s="727"/>
      <c r="AE605" s="727"/>
      <c r="AF605" s="727"/>
      <c r="AG605" s="727"/>
      <c r="AH605" s="727"/>
      <c r="AI605" s="727"/>
      <c r="AJ605" s="727"/>
      <c r="AK605" s="727"/>
      <c r="AL605" s="727"/>
      <c r="AM605" s="727"/>
      <c r="AN605" s="727"/>
      <c r="AO605" s="727"/>
      <c r="AP605" s="727"/>
      <c r="AQ605" s="727"/>
      <c r="AR605" s="727"/>
      <c r="AS605" s="727"/>
      <c r="AT605" s="727"/>
      <c r="AU605" s="727"/>
      <c r="AV605" s="727"/>
      <c r="AW605" s="727"/>
      <c r="AX605" s="727"/>
      <c r="AY605" s="727"/>
      <c r="AZ605" s="727"/>
      <c r="BA605" s="727"/>
      <c r="BB605" s="727"/>
    </row>
    <row r="606" spans="1:54">
      <c r="A606" s="326"/>
      <c r="B606" s="791">
        <v>12.5</v>
      </c>
      <c r="C606" s="792">
        <v>550</v>
      </c>
      <c r="D606" s="779">
        <v>2.8032999999999999E-2</v>
      </c>
      <c r="E606" s="779">
        <v>3126.1</v>
      </c>
      <c r="F606" s="779">
        <v>3476.5</v>
      </c>
      <c r="G606" s="779">
        <v>6.6317000000000004</v>
      </c>
      <c r="H606" s="727"/>
      <c r="I606" s="727"/>
      <c r="J606" s="727"/>
      <c r="K606" s="727"/>
      <c r="L606" s="727"/>
      <c r="M606" s="727"/>
      <c r="N606" s="727"/>
      <c r="O606" s="727"/>
      <c r="P606" s="727"/>
      <c r="Q606" s="727"/>
      <c r="R606" s="727"/>
      <c r="S606" s="727"/>
      <c r="T606" s="727"/>
      <c r="U606" s="727"/>
      <c r="V606" s="727"/>
      <c r="W606" s="727"/>
      <c r="X606" s="727"/>
      <c r="Y606" s="727"/>
      <c r="Z606" s="727"/>
      <c r="AA606" s="727"/>
      <c r="AB606" s="727"/>
      <c r="AC606" s="727"/>
      <c r="AD606" s="727"/>
      <c r="AE606" s="727"/>
      <c r="AF606" s="727"/>
      <c r="AG606" s="727"/>
      <c r="AH606" s="727"/>
      <c r="AI606" s="727"/>
      <c r="AJ606" s="727"/>
      <c r="AK606" s="727"/>
      <c r="AL606" s="727"/>
      <c r="AM606" s="727"/>
      <c r="AN606" s="727"/>
      <c r="AO606" s="727"/>
      <c r="AP606" s="727"/>
      <c r="AQ606" s="727"/>
      <c r="AR606" s="727"/>
      <c r="AS606" s="727"/>
      <c r="AT606" s="727"/>
      <c r="AU606" s="727"/>
      <c r="AV606" s="727"/>
      <c r="AW606" s="727"/>
      <c r="AX606" s="727"/>
      <c r="AY606" s="727"/>
      <c r="AZ606" s="727"/>
      <c r="BA606" s="727"/>
      <c r="BB606" s="727"/>
    </row>
    <row r="607" spans="1:54">
      <c r="A607" s="326"/>
      <c r="B607" s="791">
        <v>12.5</v>
      </c>
      <c r="C607" s="792">
        <v>600</v>
      </c>
      <c r="D607" s="779">
        <v>3.0306E-2</v>
      </c>
      <c r="E607" s="779">
        <v>3225.8</v>
      </c>
      <c r="F607" s="779">
        <v>3604.6</v>
      </c>
      <c r="G607" s="779">
        <v>6.7827999999999999</v>
      </c>
      <c r="H607" s="727"/>
      <c r="I607" s="727"/>
      <c r="J607" s="727"/>
      <c r="K607" s="727"/>
      <c r="L607" s="727"/>
      <c r="M607" s="727"/>
      <c r="N607" s="727"/>
      <c r="O607" s="727"/>
      <c r="P607" s="727"/>
      <c r="Q607" s="727"/>
      <c r="R607" s="727"/>
      <c r="S607" s="727"/>
      <c r="T607" s="727"/>
      <c r="U607" s="727"/>
      <c r="V607" s="727"/>
      <c r="W607" s="727"/>
      <c r="X607" s="727"/>
      <c r="Y607" s="727"/>
      <c r="Z607" s="727"/>
      <c r="AA607" s="727"/>
      <c r="AB607" s="727"/>
      <c r="AC607" s="727"/>
      <c r="AD607" s="727"/>
      <c r="AE607" s="727"/>
      <c r="AF607" s="727"/>
      <c r="AG607" s="727"/>
      <c r="AH607" s="727"/>
      <c r="AI607" s="727"/>
      <c r="AJ607" s="727"/>
      <c r="AK607" s="727"/>
      <c r="AL607" s="727"/>
      <c r="AM607" s="727"/>
      <c r="AN607" s="727"/>
      <c r="AO607" s="727"/>
      <c r="AP607" s="727"/>
      <c r="AQ607" s="727"/>
      <c r="AR607" s="727"/>
      <c r="AS607" s="727"/>
      <c r="AT607" s="727"/>
      <c r="AU607" s="727"/>
      <c r="AV607" s="727"/>
      <c r="AW607" s="727"/>
      <c r="AX607" s="727"/>
      <c r="AY607" s="727"/>
      <c r="AZ607" s="727"/>
      <c r="BA607" s="727"/>
      <c r="BB607" s="727"/>
    </row>
    <row r="608" spans="1:54">
      <c r="A608" s="326"/>
      <c r="B608" s="791">
        <v>12.5</v>
      </c>
      <c r="C608" s="792">
        <v>650</v>
      </c>
      <c r="D608" s="779">
        <v>3.2490999999999999E-2</v>
      </c>
      <c r="E608" s="779">
        <v>3324.1</v>
      </c>
      <c r="F608" s="779">
        <v>3730.2</v>
      </c>
      <c r="G608" s="779">
        <v>6.9226999999999999</v>
      </c>
      <c r="H608" s="727"/>
      <c r="I608" s="727"/>
      <c r="J608" s="727"/>
      <c r="K608" s="727"/>
      <c r="L608" s="727"/>
      <c r="M608" s="727"/>
      <c r="N608" s="727"/>
      <c r="O608" s="727"/>
      <c r="P608" s="727"/>
      <c r="Q608" s="727"/>
      <c r="R608" s="727"/>
      <c r="S608" s="727"/>
      <c r="T608" s="727"/>
      <c r="U608" s="727"/>
      <c r="V608" s="727"/>
      <c r="W608" s="727"/>
      <c r="X608" s="727"/>
      <c r="Y608" s="727"/>
      <c r="Z608" s="727"/>
      <c r="AA608" s="727"/>
      <c r="AB608" s="727"/>
      <c r="AC608" s="727"/>
      <c r="AD608" s="727"/>
      <c r="AE608" s="727"/>
      <c r="AF608" s="727"/>
      <c r="AG608" s="727"/>
      <c r="AH608" s="727"/>
      <c r="AI608" s="727"/>
      <c r="AJ608" s="727"/>
      <c r="AK608" s="727"/>
      <c r="AL608" s="727"/>
      <c r="AM608" s="727"/>
      <c r="AN608" s="727"/>
      <c r="AO608" s="727"/>
      <c r="AP608" s="727"/>
      <c r="AQ608" s="727"/>
      <c r="AR608" s="727"/>
      <c r="AS608" s="727"/>
      <c r="AT608" s="727"/>
      <c r="AU608" s="727"/>
      <c r="AV608" s="727"/>
      <c r="AW608" s="727"/>
      <c r="AX608" s="727"/>
      <c r="AY608" s="727"/>
      <c r="AZ608" s="727"/>
      <c r="BA608" s="727"/>
      <c r="BB608" s="727"/>
    </row>
    <row r="609" spans="1:54">
      <c r="A609" s="326"/>
      <c r="B609" s="791">
        <v>12.5</v>
      </c>
      <c r="C609" s="792">
        <v>700</v>
      </c>
      <c r="D609" s="779">
        <v>3.4611999999999997E-2</v>
      </c>
      <c r="E609" s="779">
        <v>3422</v>
      </c>
      <c r="F609" s="779">
        <v>3854.6</v>
      </c>
      <c r="G609" s="779">
        <v>7.0540000000000003</v>
      </c>
      <c r="H609" s="727"/>
      <c r="I609" s="727"/>
      <c r="J609" s="727"/>
      <c r="K609" s="727"/>
      <c r="L609" s="727"/>
      <c r="M609" s="727"/>
      <c r="N609" s="727"/>
      <c r="O609" s="727"/>
      <c r="P609" s="727"/>
      <c r="Q609" s="727"/>
      <c r="R609" s="727"/>
      <c r="S609" s="727"/>
      <c r="T609" s="727"/>
      <c r="U609" s="727"/>
      <c r="V609" s="727"/>
      <c r="W609" s="727"/>
      <c r="X609" s="727"/>
      <c r="Y609" s="727"/>
      <c r="Z609" s="727"/>
      <c r="AA609" s="727"/>
      <c r="AB609" s="727"/>
      <c r="AC609" s="727"/>
      <c r="AD609" s="727"/>
      <c r="AE609" s="727"/>
      <c r="AF609" s="727"/>
      <c r="AG609" s="727"/>
      <c r="AH609" s="727"/>
      <c r="AI609" s="727"/>
      <c r="AJ609" s="727"/>
      <c r="AK609" s="727"/>
      <c r="AL609" s="727"/>
      <c r="AM609" s="727"/>
      <c r="AN609" s="727"/>
      <c r="AO609" s="727"/>
      <c r="AP609" s="727"/>
      <c r="AQ609" s="727"/>
      <c r="AR609" s="727"/>
      <c r="AS609" s="727"/>
      <c r="AT609" s="727"/>
      <c r="AU609" s="727"/>
      <c r="AV609" s="727"/>
      <c r="AW609" s="727"/>
      <c r="AX609" s="727"/>
      <c r="AY609" s="727"/>
      <c r="AZ609" s="727"/>
      <c r="BA609" s="727"/>
      <c r="BB609" s="727"/>
    </row>
    <row r="610" spans="1:54">
      <c r="A610" s="326"/>
      <c r="B610" s="791">
        <v>12.5</v>
      </c>
      <c r="C610" s="792">
        <v>800</v>
      </c>
      <c r="D610" s="779">
        <v>3.8724000000000001E-2</v>
      </c>
      <c r="E610" s="779">
        <v>3618.8</v>
      </c>
      <c r="F610" s="779">
        <v>4102.8</v>
      </c>
      <c r="G610" s="779">
        <v>7.2967000000000004</v>
      </c>
      <c r="H610" s="727"/>
      <c r="I610" s="727"/>
      <c r="J610" s="727"/>
      <c r="K610" s="727"/>
      <c r="L610" s="727"/>
      <c r="M610" s="727"/>
      <c r="N610" s="727"/>
      <c r="O610" s="727"/>
      <c r="P610" s="727"/>
      <c r="Q610" s="727"/>
      <c r="R610" s="727"/>
      <c r="S610" s="727"/>
      <c r="T610" s="727"/>
      <c r="U610" s="727"/>
      <c r="V610" s="727"/>
      <c r="W610" s="727"/>
      <c r="X610" s="727"/>
      <c r="Y610" s="727"/>
      <c r="Z610" s="727"/>
      <c r="AA610" s="727"/>
      <c r="AB610" s="727"/>
      <c r="AC610" s="727"/>
      <c r="AD610" s="727"/>
      <c r="AE610" s="727"/>
      <c r="AF610" s="727"/>
      <c r="AG610" s="727"/>
      <c r="AH610" s="727"/>
      <c r="AI610" s="727"/>
      <c r="AJ610" s="727"/>
      <c r="AK610" s="727"/>
      <c r="AL610" s="727"/>
      <c r="AM610" s="727"/>
      <c r="AN610" s="727"/>
      <c r="AO610" s="727"/>
      <c r="AP610" s="727"/>
      <c r="AQ610" s="727"/>
      <c r="AR610" s="727"/>
      <c r="AS610" s="727"/>
      <c r="AT610" s="727"/>
      <c r="AU610" s="727"/>
      <c r="AV610" s="727"/>
      <c r="AW610" s="727"/>
      <c r="AX610" s="727"/>
      <c r="AY610" s="727"/>
      <c r="AZ610" s="727"/>
      <c r="BA610" s="727"/>
      <c r="BB610" s="727"/>
    </row>
    <row r="611" spans="1:54">
      <c r="A611" s="326"/>
      <c r="B611" s="791">
        <v>12.5</v>
      </c>
      <c r="C611" s="792">
        <v>900</v>
      </c>
      <c r="D611" s="779">
        <v>4.2720000000000001E-2</v>
      </c>
      <c r="E611" s="779">
        <v>3818.9</v>
      </c>
      <c r="F611" s="779">
        <v>4352.8999999999996</v>
      </c>
      <c r="G611" s="779">
        <v>7.5194999999999999</v>
      </c>
      <c r="H611" s="727"/>
      <c r="I611" s="727"/>
      <c r="J611" s="727"/>
      <c r="K611" s="727"/>
      <c r="L611" s="727"/>
      <c r="M611" s="727"/>
      <c r="N611" s="727"/>
      <c r="O611" s="727"/>
      <c r="P611" s="727"/>
      <c r="Q611" s="727"/>
      <c r="R611" s="727"/>
      <c r="S611" s="727"/>
      <c r="T611" s="727"/>
      <c r="U611" s="727"/>
      <c r="V611" s="727"/>
      <c r="W611" s="727"/>
      <c r="X611" s="727"/>
      <c r="Y611" s="727"/>
      <c r="Z611" s="727"/>
      <c r="AA611" s="727"/>
      <c r="AB611" s="727"/>
      <c r="AC611" s="727"/>
      <c r="AD611" s="727"/>
      <c r="AE611" s="727"/>
      <c r="AF611" s="727"/>
      <c r="AG611" s="727"/>
      <c r="AH611" s="727"/>
      <c r="AI611" s="727"/>
      <c r="AJ611" s="727"/>
      <c r="AK611" s="727"/>
      <c r="AL611" s="727"/>
      <c r="AM611" s="727"/>
      <c r="AN611" s="727"/>
      <c r="AO611" s="727"/>
      <c r="AP611" s="727"/>
      <c r="AQ611" s="727"/>
      <c r="AR611" s="727"/>
      <c r="AS611" s="727"/>
      <c r="AT611" s="727"/>
      <c r="AU611" s="727"/>
      <c r="AV611" s="727"/>
      <c r="AW611" s="727"/>
      <c r="AX611" s="727"/>
      <c r="AY611" s="727"/>
      <c r="AZ611" s="727"/>
      <c r="BA611" s="727"/>
      <c r="BB611" s="727"/>
    </row>
    <row r="612" spans="1:54">
      <c r="A612" s="326"/>
      <c r="B612" s="791">
        <v>12.5</v>
      </c>
      <c r="C612" s="792">
        <v>1000</v>
      </c>
      <c r="D612" s="779">
        <v>4.6641000000000002E-2</v>
      </c>
      <c r="E612" s="779">
        <v>4023.5</v>
      </c>
      <c r="F612" s="779">
        <v>4606.5</v>
      </c>
      <c r="G612" s="779">
        <v>7.7268999999999997</v>
      </c>
      <c r="H612" s="727"/>
      <c r="I612" s="727"/>
      <c r="J612" s="727"/>
      <c r="K612" s="727"/>
      <c r="L612" s="727"/>
      <c r="M612" s="727"/>
      <c r="N612" s="727"/>
      <c r="O612" s="727"/>
      <c r="P612" s="727"/>
      <c r="Q612" s="727"/>
      <c r="R612" s="727"/>
      <c r="S612" s="727"/>
      <c r="T612" s="727"/>
      <c r="U612" s="727"/>
      <c r="V612" s="727"/>
      <c r="W612" s="727"/>
      <c r="X612" s="727"/>
      <c r="Y612" s="727"/>
      <c r="Z612" s="727"/>
      <c r="AA612" s="727"/>
      <c r="AB612" s="727"/>
      <c r="AC612" s="727"/>
      <c r="AD612" s="727"/>
      <c r="AE612" s="727"/>
      <c r="AF612" s="727"/>
      <c r="AG612" s="727"/>
      <c r="AH612" s="727"/>
      <c r="AI612" s="727"/>
      <c r="AJ612" s="727"/>
      <c r="AK612" s="727"/>
      <c r="AL612" s="727"/>
      <c r="AM612" s="727"/>
      <c r="AN612" s="727"/>
      <c r="AO612" s="727"/>
      <c r="AP612" s="727"/>
      <c r="AQ612" s="727"/>
      <c r="AR612" s="727"/>
      <c r="AS612" s="727"/>
      <c r="AT612" s="727"/>
      <c r="AU612" s="727"/>
      <c r="AV612" s="727"/>
      <c r="AW612" s="727"/>
      <c r="AX612" s="727"/>
      <c r="AY612" s="727"/>
      <c r="AZ612" s="727"/>
      <c r="BA612" s="727"/>
      <c r="BB612" s="727"/>
    </row>
    <row r="613" spans="1:54">
      <c r="A613" s="326"/>
      <c r="B613" s="791">
        <v>12.5</v>
      </c>
      <c r="C613" s="792">
        <v>1100</v>
      </c>
      <c r="D613" s="779">
        <v>5.0509999999999999E-2</v>
      </c>
      <c r="E613" s="779">
        <v>4233.1000000000004</v>
      </c>
      <c r="F613" s="779">
        <v>4864.5</v>
      </c>
      <c r="G613" s="779">
        <v>7.9219999999999997</v>
      </c>
      <c r="H613" s="727"/>
      <c r="I613" s="727"/>
      <c r="J613" s="727"/>
      <c r="K613" s="727"/>
      <c r="L613" s="727"/>
      <c r="M613" s="727"/>
      <c r="N613" s="727"/>
      <c r="O613" s="727"/>
      <c r="P613" s="727"/>
      <c r="Q613" s="727"/>
      <c r="R613" s="727"/>
      <c r="S613" s="727"/>
      <c r="T613" s="727"/>
      <c r="U613" s="727"/>
      <c r="V613" s="727"/>
      <c r="W613" s="727"/>
      <c r="X613" s="727"/>
      <c r="Y613" s="727"/>
      <c r="Z613" s="727"/>
      <c r="AA613" s="727"/>
      <c r="AB613" s="727"/>
      <c r="AC613" s="727"/>
      <c r="AD613" s="727"/>
      <c r="AE613" s="727"/>
      <c r="AF613" s="727"/>
      <c r="AG613" s="727"/>
      <c r="AH613" s="727"/>
      <c r="AI613" s="727"/>
      <c r="AJ613" s="727"/>
      <c r="AK613" s="727"/>
      <c r="AL613" s="727"/>
      <c r="AM613" s="727"/>
      <c r="AN613" s="727"/>
      <c r="AO613" s="727"/>
      <c r="AP613" s="727"/>
      <c r="AQ613" s="727"/>
      <c r="AR613" s="727"/>
      <c r="AS613" s="727"/>
      <c r="AT613" s="727"/>
      <c r="AU613" s="727"/>
      <c r="AV613" s="727"/>
      <c r="AW613" s="727"/>
      <c r="AX613" s="727"/>
      <c r="AY613" s="727"/>
      <c r="AZ613" s="727"/>
      <c r="BA613" s="727"/>
      <c r="BB613" s="727"/>
    </row>
    <row r="614" spans="1:54">
      <c r="A614" s="326"/>
      <c r="B614" s="791">
        <v>12.5</v>
      </c>
      <c r="C614" s="792">
        <v>1200</v>
      </c>
      <c r="D614" s="779">
        <v>5.4342000000000001E-2</v>
      </c>
      <c r="E614" s="779">
        <v>4447.7</v>
      </c>
      <c r="F614" s="779">
        <v>5127</v>
      </c>
      <c r="G614" s="779">
        <v>8.1065000000000005</v>
      </c>
      <c r="H614" s="727"/>
      <c r="I614" s="727"/>
      <c r="J614" s="727"/>
      <c r="K614" s="727"/>
      <c r="L614" s="727"/>
      <c r="M614" s="727"/>
      <c r="N614" s="727"/>
      <c r="O614" s="727"/>
      <c r="P614" s="727"/>
      <c r="Q614" s="727"/>
      <c r="R614" s="727"/>
      <c r="S614" s="727"/>
      <c r="T614" s="727"/>
      <c r="U614" s="727"/>
      <c r="V614" s="727"/>
      <c r="W614" s="727"/>
      <c r="X614" s="727"/>
      <c r="Y614" s="727"/>
      <c r="Z614" s="727"/>
      <c r="AA614" s="727"/>
      <c r="AB614" s="727"/>
      <c r="AC614" s="727"/>
      <c r="AD614" s="727"/>
      <c r="AE614" s="727"/>
      <c r="AF614" s="727"/>
      <c r="AG614" s="727"/>
      <c r="AH614" s="727"/>
      <c r="AI614" s="727"/>
      <c r="AJ614" s="727"/>
      <c r="AK614" s="727"/>
      <c r="AL614" s="727"/>
      <c r="AM614" s="727"/>
      <c r="AN614" s="727"/>
      <c r="AO614" s="727"/>
      <c r="AP614" s="727"/>
      <c r="AQ614" s="727"/>
      <c r="AR614" s="727"/>
      <c r="AS614" s="727"/>
      <c r="AT614" s="727"/>
      <c r="AU614" s="727"/>
      <c r="AV614" s="727"/>
      <c r="AW614" s="727"/>
      <c r="AX614" s="727"/>
      <c r="AY614" s="727"/>
      <c r="AZ614" s="727"/>
      <c r="BA614" s="727"/>
      <c r="BB614" s="727"/>
    </row>
    <row r="615" spans="1:54">
      <c r="A615" s="326"/>
      <c r="B615" s="791">
        <v>12.5</v>
      </c>
      <c r="C615" s="792">
        <v>1300</v>
      </c>
      <c r="D615" s="779">
        <v>5.8146999999999997E-2</v>
      </c>
      <c r="E615" s="779">
        <v>4667.3</v>
      </c>
      <c r="F615" s="779">
        <v>5394.1</v>
      </c>
      <c r="G615" s="779">
        <v>8.2819000000000003</v>
      </c>
      <c r="H615" s="727"/>
      <c r="I615" s="727"/>
      <c r="J615" s="727"/>
      <c r="K615" s="727"/>
      <c r="L615" s="727"/>
      <c r="M615" s="727"/>
      <c r="N615" s="727"/>
      <c r="O615" s="727"/>
      <c r="P615" s="727"/>
      <c r="Q615" s="727"/>
      <c r="R615" s="727"/>
      <c r="S615" s="727"/>
      <c r="T615" s="727"/>
      <c r="U615" s="727"/>
      <c r="V615" s="727"/>
      <c r="W615" s="727"/>
      <c r="X615" s="727"/>
      <c r="Y615" s="727"/>
      <c r="Z615" s="727"/>
      <c r="AA615" s="727"/>
      <c r="AB615" s="727"/>
      <c r="AC615" s="727"/>
      <c r="AD615" s="727"/>
      <c r="AE615" s="727"/>
      <c r="AF615" s="727"/>
      <c r="AG615" s="727"/>
      <c r="AH615" s="727"/>
      <c r="AI615" s="727"/>
      <c r="AJ615" s="727"/>
      <c r="AK615" s="727"/>
      <c r="AL615" s="727"/>
      <c r="AM615" s="727"/>
      <c r="AN615" s="727"/>
      <c r="AO615" s="727"/>
      <c r="AP615" s="727"/>
      <c r="AQ615" s="727"/>
      <c r="AR615" s="727"/>
      <c r="AS615" s="727"/>
      <c r="AT615" s="727"/>
      <c r="AU615" s="727"/>
      <c r="AV615" s="727"/>
      <c r="AW615" s="727"/>
      <c r="AX615" s="727"/>
      <c r="AY615" s="727"/>
      <c r="AZ615" s="727"/>
      <c r="BA615" s="727"/>
      <c r="BB615" s="727"/>
    </row>
    <row r="616" spans="1:54">
      <c r="A616" s="326"/>
      <c r="B616" s="791">
        <v>15</v>
      </c>
      <c r="C616" s="792">
        <v>342.16</v>
      </c>
      <c r="D616" s="779">
        <v>1.0340999999999999E-2</v>
      </c>
      <c r="E616" s="779">
        <v>2455.6999999999998</v>
      </c>
      <c r="F616" s="779">
        <v>2610.8000000000002</v>
      </c>
      <c r="G616" s="779">
        <v>5.3108000000000004</v>
      </c>
      <c r="H616" s="727"/>
      <c r="I616" s="727"/>
      <c r="J616" s="727"/>
      <c r="K616" s="727"/>
      <c r="L616" s="727"/>
      <c r="M616" s="727"/>
      <c r="N616" s="727"/>
      <c r="O616" s="727"/>
      <c r="P616" s="727"/>
      <c r="Q616" s="727"/>
      <c r="R616" s="727"/>
      <c r="S616" s="727"/>
      <c r="T616" s="727"/>
      <c r="U616" s="727"/>
      <c r="V616" s="727"/>
      <c r="W616" s="727"/>
      <c r="X616" s="727"/>
      <c r="Y616" s="727"/>
      <c r="Z616" s="727"/>
      <c r="AA616" s="727"/>
      <c r="AB616" s="727"/>
      <c r="AC616" s="727"/>
      <c r="AD616" s="727"/>
      <c r="AE616" s="727"/>
      <c r="AF616" s="727"/>
      <c r="AG616" s="727"/>
      <c r="AH616" s="727"/>
      <c r="AI616" s="727"/>
      <c r="AJ616" s="727"/>
      <c r="AK616" s="727"/>
      <c r="AL616" s="727"/>
      <c r="AM616" s="727"/>
      <c r="AN616" s="727"/>
      <c r="AO616" s="727"/>
      <c r="AP616" s="727"/>
      <c r="AQ616" s="727"/>
      <c r="AR616" s="727"/>
      <c r="AS616" s="727"/>
      <c r="AT616" s="727"/>
      <c r="AU616" s="727"/>
      <c r="AV616" s="727"/>
      <c r="AW616" s="727"/>
      <c r="AX616" s="727"/>
      <c r="AY616" s="727"/>
      <c r="AZ616" s="727"/>
      <c r="BA616" s="727"/>
      <c r="BB616" s="727"/>
    </row>
    <row r="617" spans="1:54">
      <c r="A617" s="326"/>
      <c r="B617" s="791">
        <v>15</v>
      </c>
      <c r="C617" s="792">
        <v>350</v>
      </c>
      <c r="D617" s="779">
        <v>1.1481E-2</v>
      </c>
      <c r="E617" s="779">
        <v>2520.9</v>
      </c>
      <c r="F617" s="779">
        <v>2693.1</v>
      </c>
      <c r="G617" s="779">
        <v>5.4438000000000004</v>
      </c>
      <c r="H617" s="727"/>
      <c r="I617" s="727"/>
      <c r="J617" s="727"/>
      <c r="K617" s="727"/>
      <c r="L617" s="727"/>
      <c r="M617" s="727"/>
      <c r="N617" s="727"/>
      <c r="O617" s="727"/>
      <c r="P617" s="727"/>
      <c r="Q617" s="727"/>
      <c r="R617" s="727"/>
      <c r="S617" s="727"/>
      <c r="T617" s="727"/>
      <c r="U617" s="727"/>
      <c r="V617" s="727"/>
      <c r="W617" s="727"/>
      <c r="X617" s="727"/>
      <c r="Y617" s="727"/>
      <c r="Z617" s="727"/>
      <c r="AA617" s="727"/>
      <c r="AB617" s="727"/>
      <c r="AC617" s="727"/>
      <c r="AD617" s="727"/>
      <c r="AE617" s="727"/>
      <c r="AF617" s="727"/>
      <c r="AG617" s="727"/>
      <c r="AH617" s="727"/>
      <c r="AI617" s="727"/>
      <c r="AJ617" s="727"/>
      <c r="AK617" s="727"/>
      <c r="AL617" s="727"/>
      <c r="AM617" s="727"/>
      <c r="AN617" s="727"/>
      <c r="AO617" s="727"/>
      <c r="AP617" s="727"/>
      <c r="AQ617" s="727"/>
      <c r="AR617" s="727"/>
      <c r="AS617" s="727"/>
      <c r="AT617" s="727"/>
      <c r="AU617" s="727"/>
      <c r="AV617" s="727"/>
      <c r="AW617" s="727"/>
      <c r="AX617" s="727"/>
      <c r="AY617" s="727"/>
      <c r="AZ617" s="727"/>
      <c r="BA617" s="727"/>
      <c r="BB617" s="727"/>
    </row>
    <row r="618" spans="1:54">
      <c r="A618" s="326"/>
      <c r="B618" s="791">
        <v>15</v>
      </c>
      <c r="C618" s="792">
        <v>400</v>
      </c>
      <c r="D618" s="779">
        <v>1.5671000000000001E-2</v>
      </c>
      <c r="E618" s="779">
        <v>2740.6</v>
      </c>
      <c r="F618" s="779">
        <v>2975.7</v>
      </c>
      <c r="G618" s="779">
        <v>5.8818999999999999</v>
      </c>
      <c r="H618" s="727"/>
      <c r="I618" s="727"/>
      <c r="J618" s="727"/>
      <c r="K618" s="727"/>
      <c r="L618" s="727"/>
      <c r="M618" s="727"/>
      <c r="N618" s="727"/>
      <c r="O618" s="727"/>
      <c r="P618" s="727"/>
      <c r="Q618" s="727"/>
      <c r="R618" s="727"/>
      <c r="S618" s="727"/>
      <c r="T618" s="727"/>
      <c r="U618" s="727"/>
      <c r="V618" s="727"/>
      <c r="W618" s="727"/>
      <c r="X618" s="727"/>
      <c r="Y618" s="727"/>
      <c r="Z618" s="727"/>
      <c r="AA618" s="727"/>
      <c r="AB618" s="727"/>
      <c r="AC618" s="727"/>
      <c r="AD618" s="727"/>
      <c r="AE618" s="727"/>
      <c r="AF618" s="727"/>
      <c r="AG618" s="727"/>
      <c r="AH618" s="727"/>
      <c r="AI618" s="727"/>
      <c r="AJ618" s="727"/>
      <c r="AK618" s="727"/>
      <c r="AL618" s="727"/>
      <c r="AM618" s="727"/>
      <c r="AN618" s="727"/>
      <c r="AO618" s="727"/>
      <c r="AP618" s="727"/>
      <c r="AQ618" s="727"/>
      <c r="AR618" s="727"/>
      <c r="AS618" s="727"/>
      <c r="AT618" s="727"/>
      <c r="AU618" s="727"/>
      <c r="AV618" s="727"/>
      <c r="AW618" s="727"/>
      <c r="AX618" s="727"/>
      <c r="AY618" s="727"/>
      <c r="AZ618" s="727"/>
      <c r="BA618" s="727"/>
      <c r="BB618" s="727"/>
    </row>
    <row r="619" spans="1:54">
      <c r="A619" s="326"/>
      <c r="B619" s="791">
        <v>15</v>
      </c>
      <c r="C619" s="792">
        <v>450</v>
      </c>
      <c r="D619" s="779">
        <v>1.8477E-2</v>
      </c>
      <c r="E619" s="779">
        <v>2880.8</v>
      </c>
      <c r="F619" s="779">
        <v>3157.9</v>
      </c>
      <c r="G619" s="779">
        <v>6.1433999999999997</v>
      </c>
      <c r="H619" s="727"/>
      <c r="I619" s="727"/>
      <c r="J619" s="727"/>
      <c r="K619" s="727"/>
      <c r="L619" s="727"/>
      <c r="M619" s="727"/>
      <c r="N619" s="727"/>
      <c r="O619" s="727"/>
      <c r="P619" s="727"/>
      <c r="Q619" s="727"/>
      <c r="R619" s="727"/>
      <c r="S619" s="727"/>
      <c r="T619" s="727"/>
      <c r="U619" s="727"/>
      <c r="V619" s="727"/>
      <c r="W619" s="727"/>
      <c r="X619" s="727"/>
      <c r="Y619" s="727"/>
      <c r="Z619" s="727"/>
      <c r="AA619" s="727"/>
      <c r="AB619" s="727"/>
      <c r="AC619" s="727"/>
      <c r="AD619" s="727"/>
      <c r="AE619" s="727"/>
      <c r="AF619" s="727"/>
      <c r="AG619" s="727"/>
      <c r="AH619" s="727"/>
      <c r="AI619" s="727"/>
      <c r="AJ619" s="727"/>
      <c r="AK619" s="727"/>
      <c r="AL619" s="727"/>
      <c r="AM619" s="727"/>
      <c r="AN619" s="727"/>
      <c r="AO619" s="727"/>
      <c r="AP619" s="727"/>
      <c r="AQ619" s="727"/>
      <c r="AR619" s="727"/>
      <c r="AS619" s="727"/>
      <c r="AT619" s="727"/>
      <c r="AU619" s="727"/>
      <c r="AV619" s="727"/>
      <c r="AW619" s="727"/>
      <c r="AX619" s="727"/>
      <c r="AY619" s="727"/>
      <c r="AZ619" s="727"/>
      <c r="BA619" s="727"/>
      <c r="BB619" s="727"/>
    </row>
    <row r="620" spans="1:54">
      <c r="A620" s="326"/>
      <c r="B620" s="791">
        <v>15</v>
      </c>
      <c r="C620" s="792">
        <v>500</v>
      </c>
      <c r="D620" s="779">
        <v>2.0827999999999999E-2</v>
      </c>
      <c r="E620" s="779">
        <v>2998.4</v>
      </c>
      <c r="F620" s="779">
        <v>3310.8</v>
      </c>
      <c r="G620" s="779">
        <v>6.3479999999999999</v>
      </c>
      <c r="H620" s="727"/>
      <c r="I620" s="727"/>
      <c r="J620" s="727"/>
      <c r="K620" s="727"/>
      <c r="L620" s="727"/>
      <c r="M620" s="727"/>
      <c r="N620" s="727"/>
      <c r="O620" s="727"/>
      <c r="P620" s="727"/>
      <c r="Q620" s="727"/>
      <c r="R620" s="727"/>
      <c r="S620" s="727"/>
      <c r="T620" s="727"/>
      <c r="U620" s="727"/>
      <c r="V620" s="727"/>
      <c r="W620" s="727"/>
      <c r="X620" s="727"/>
      <c r="Y620" s="727"/>
      <c r="Z620" s="727"/>
      <c r="AA620" s="727"/>
      <c r="AB620" s="727"/>
      <c r="AC620" s="727"/>
      <c r="AD620" s="727"/>
      <c r="AE620" s="727"/>
      <c r="AF620" s="727"/>
      <c r="AG620" s="727"/>
      <c r="AH620" s="727"/>
      <c r="AI620" s="727"/>
      <c r="AJ620" s="727"/>
      <c r="AK620" s="727"/>
      <c r="AL620" s="727"/>
      <c r="AM620" s="727"/>
      <c r="AN620" s="727"/>
      <c r="AO620" s="727"/>
      <c r="AP620" s="727"/>
      <c r="AQ620" s="727"/>
      <c r="AR620" s="727"/>
      <c r="AS620" s="727"/>
      <c r="AT620" s="727"/>
      <c r="AU620" s="727"/>
      <c r="AV620" s="727"/>
      <c r="AW620" s="727"/>
      <c r="AX620" s="727"/>
      <c r="AY620" s="727"/>
      <c r="AZ620" s="727"/>
      <c r="BA620" s="727"/>
      <c r="BB620" s="727"/>
    </row>
    <row r="621" spans="1:54">
      <c r="A621" s="326"/>
      <c r="B621" s="791">
        <v>15</v>
      </c>
      <c r="C621" s="792">
        <v>550</v>
      </c>
      <c r="D621" s="779">
        <v>2.2945E-2</v>
      </c>
      <c r="E621" s="779">
        <v>3106.2</v>
      </c>
      <c r="F621" s="779">
        <v>3450.4</v>
      </c>
      <c r="G621" s="779">
        <v>6.5229999999999997</v>
      </c>
      <c r="H621" s="727"/>
      <c r="I621" s="727"/>
      <c r="J621" s="727"/>
      <c r="K621" s="727"/>
      <c r="L621" s="727"/>
      <c r="M621" s="727"/>
      <c r="N621" s="727"/>
      <c r="O621" s="727"/>
      <c r="P621" s="727"/>
      <c r="Q621" s="727"/>
      <c r="R621" s="727"/>
      <c r="S621" s="727"/>
      <c r="T621" s="727"/>
      <c r="U621" s="727"/>
      <c r="V621" s="727"/>
      <c r="W621" s="727"/>
      <c r="X621" s="727"/>
      <c r="Y621" s="727"/>
      <c r="Z621" s="727"/>
      <c r="AA621" s="727"/>
      <c r="AB621" s="727"/>
      <c r="AC621" s="727"/>
      <c r="AD621" s="727"/>
      <c r="AE621" s="727"/>
      <c r="AF621" s="727"/>
      <c r="AG621" s="727"/>
      <c r="AH621" s="727"/>
      <c r="AI621" s="727"/>
      <c r="AJ621" s="727"/>
      <c r="AK621" s="727"/>
      <c r="AL621" s="727"/>
      <c r="AM621" s="727"/>
      <c r="AN621" s="727"/>
      <c r="AO621" s="727"/>
      <c r="AP621" s="727"/>
      <c r="AQ621" s="727"/>
      <c r="AR621" s="727"/>
      <c r="AS621" s="727"/>
      <c r="AT621" s="727"/>
      <c r="AU621" s="727"/>
      <c r="AV621" s="727"/>
      <c r="AW621" s="727"/>
      <c r="AX621" s="727"/>
      <c r="AY621" s="727"/>
      <c r="AZ621" s="727"/>
      <c r="BA621" s="727"/>
      <c r="BB621" s="727"/>
    </row>
    <row r="622" spans="1:54">
      <c r="A622" s="326"/>
      <c r="B622" s="791">
        <v>15</v>
      </c>
      <c r="C622" s="792">
        <v>600</v>
      </c>
      <c r="D622" s="779">
        <v>2.4920999999999999E-2</v>
      </c>
      <c r="E622" s="779">
        <v>3209.3</v>
      </c>
      <c r="F622" s="779">
        <v>3583.1</v>
      </c>
      <c r="G622" s="779">
        <v>6.6795999999999998</v>
      </c>
      <c r="H622" s="727"/>
      <c r="I622" s="727"/>
      <c r="J622" s="727"/>
      <c r="K622" s="727"/>
      <c r="L622" s="727"/>
      <c r="M622" s="727"/>
      <c r="N622" s="727"/>
      <c r="O622" s="727"/>
      <c r="P622" s="727"/>
      <c r="Q622" s="727"/>
      <c r="R622" s="727"/>
      <c r="S622" s="727"/>
      <c r="T622" s="727"/>
      <c r="U622" s="727"/>
      <c r="V622" s="727"/>
      <c r="W622" s="727"/>
      <c r="X622" s="727"/>
      <c r="Y622" s="727"/>
      <c r="Z622" s="727"/>
      <c r="AA622" s="727"/>
      <c r="AB622" s="727"/>
      <c r="AC622" s="727"/>
      <c r="AD622" s="727"/>
      <c r="AE622" s="727"/>
      <c r="AF622" s="727"/>
      <c r="AG622" s="727"/>
      <c r="AH622" s="727"/>
      <c r="AI622" s="727"/>
      <c r="AJ622" s="727"/>
      <c r="AK622" s="727"/>
      <c r="AL622" s="727"/>
      <c r="AM622" s="727"/>
      <c r="AN622" s="727"/>
      <c r="AO622" s="727"/>
      <c r="AP622" s="727"/>
      <c r="AQ622" s="727"/>
      <c r="AR622" s="727"/>
      <c r="AS622" s="727"/>
      <c r="AT622" s="727"/>
      <c r="AU622" s="727"/>
      <c r="AV622" s="727"/>
      <c r="AW622" s="727"/>
      <c r="AX622" s="727"/>
      <c r="AY622" s="727"/>
      <c r="AZ622" s="727"/>
      <c r="BA622" s="727"/>
      <c r="BB622" s="727"/>
    </row>
    <row r="623" spans="1:54">
      <c r="A623" s="326"/>
      <c r="B623" s="791">
        <v>15</v>
      </c>
      <c r="C623" s="792">
        <v>650</v>
      </c>
      <c r="D623" s="779">
        <v>2.6804000000000001E-2</v>
      </c>
      <c r="E623" s="779">
        <v>3310.1</v>
      </c>
      <c r="F623" s="779">
        <v>3712.1</v>
      </c>
      <c r="G623" s="779">
        <v>6.8232999999999997</v>
      </c>
      <c r="H623" s="727"/>
      <c r="I623" s="727"/>
      <c r="J623" s="727"/>
      <c r="K623" s="727"/>
      <c r="L623" s="727"/>
      <c r="M623" s="727"/>
      <c r="N623" s="727"/>
      <c r="O623" s="727"/>
      <c r="P623" s="727"/>
      <c r="Q623" s="727"/>
      <c r="R623" s="727"/>
      <c r="S623" s="727"/>
      <c r="T623" s="727"/>
      <c r="U623" s="727"/>
      <c r="V623" s="727"/>
      <c r="W623" s="727"/>
      <c r="X623" s="727"/>
      <c r="Y623" s="727"/>
      <c r="Z623" s="727"/>
      <c r="AA623" s="727"/>
      <c r="AB623" s="727"/>
      <c r="AC623" s="727"/>
      <c r="AD623" s="727"/>
      <c r="AE623" s="727"/>
      <c r="AF623" s="727"/>
      <c r="AG623" s="727"/>
      <c r="AH623" s="727"/>
      <c r="AI623" s="727"/>
      <c r="AJ623" s="727"/>
      <c r="AK623" s="727"/>
      <c r="AL623" s="727"/>
      <c r="AM623" s="727"/>
      <c r="AN623" s="727"/>
      <c r="AO623" s="727"/>
      <c r="AP623" s="727"/>
      <c r="AQ623" s="727"/>
      <c r="AR623" s="727"/>
      <c r="AS623" s="727"/>
      <c r="AT623" s="727"/>
      <c r="AU623" s="727"/>
      <c r="AV623" s="727"/>
      <c r="AW623" s="727"/>
      <c r="AX623" s="727"/>
      <c r="AY623" s="727"/>
      <c r="AZ623" s="727"/>
      <c r="BA623" s="727"/>
      <c r="BB623" s="727"/>
    </row>
    <row r="624" spans="1:54">
      <c r="A624" s="326"/>
      <c r="B624" s="791">
        <v>15</v>
      </c>
      <c r="C624" s="792">
        <v>700</v>
      </c>
      <c r="D624" s="779">
        <v>2.8621000000000001E-2</v>
      </c>
      <c r="E624" s="779">
        <v>3409.8</v>
      </c>
      <c r="F624" s="779">
        <v>3839.1</v>
      </c>
      <c r="G624" s="779">
        <v>6.9573</v>
      </c>
      <c r="H624" s="727"/>
      <c r="I624" s="727"/>
      <c r="J624" s="727"/>
      <c r="K624" s="727"/>
      <c r="L624" s="727"/>
      <c r="M624" s="727"/>
      <c r="N624" s="727"/>
      <c r="O624" s="727"/>
      <c r="P624" s="727"/>
      <c r="Q624" s="727"/>
      <c r="R624" s="727"/>
      <c r="S624" s="727"/>
      <c r="T624" s="727"/>
      <c r="U624" s="727"/>
      <c r="V624" s="727"/>
      <c r="W624" s="727"/>
      <c r="X624" s="727"/>
      <c r="Y624" s="727"/>
      <c r="Z624" s="727"/>
      <c r="AA624" s="727"/>
      <c r="AB624" s="727"/>
      <c r="AC624" s="727"/>
      <c r="AD624" s="727"/>
      <c r="AE624" s="727"/>
      <c r="AF624" s="727"/>
      <c r="AG624" s="727"/>
      <c r="AH624" s="727"/>
      <c r="AI624" s="727"/>
      <c r="AJ624" s="727"/>
      <c r="AK624" s="727"/>
      <c r="AL624" s="727"/>
      <c r="AM624" s="727"/>
      <c r="AN624" s="727"/>
      <c r="AO624" s="727"/>
      <c r="AP624" s="727"/>
      <c r="AQ624" s="727"/>
      <c r="AR624" s="727"/>
      <c r="AS624" s="727"/>
      <c r="AT624" s="727"/>
      <c r="AU624" s="727"/>
      <c r="AV624" s="727"/>
      <c r="AW624" s="727"/>
      <c r="AX624" s="727"/>
      <c r="AY624" s="727"/>
      <c r="AZ624" s="727"/>
      <c r="BA624" s="727"/>
      <c r="BB624" s="727"/>
    </row>
    <row r="625" spans="1:54">
      <c r="A625" s="326"/>
      <c r="B625" s="791">
        <v>15</v>
      </c>
      <c r="C625" s="792">
        <v>800</v>
      </c>
      <c r="D625" s="779">
        <v>3.2120999999999997E-2</v>
      </c>
      <c r="E625" s="779">
        <v>3609.3</v>
      </c>
      <c r="F625" s="779">
        <v>4091.1</v>
      </c>
      <c r="G625" s="779">
        <v>7.2037000000000004</v>
      </c>
      <c r="H625" s="727"/>
      <c r="I625" s="727"/>
      <c r="J625" s="727"/>
      <c r="K625" s="727"/>
      <c r="L625" s="727"/>
      <c r="M625" s="727"/>
      <c r="N625" s="727"/>
      <c r="O625" s="727"/>
      <c r="P625" s="727"/>
      <c r="Q625" s="727"/>
      <c r="R625" s="727"/>
      <c r="S625" s="727"/>
      <c r="T625" s="727"/>
      <c r="U625" s="727"/>
      <c r="V625" s="727"/>
      <c r="W625" s="727"/>
      <c r="X625" s="727"/>
      <c r="Y625" s="727"/>
      <c r="Z625" s="727"/>
      <c r="AA625" s="727"/>
      <c r="AB625" s="727"/>
      <c r="AC625" s="727"/>
      <c r="AD625" s="727"/>
      <c r="AE625" s="727"/>
      <c r="AF625" s="727"/>
      <c r="AG625" s="727"/>
      <c r="AH625" s="727"/>
      <c r="AI625" s="727"/>
      <c r="AJ625" s="727"/>
      <c r="AK625" s="727"/>
      <c r="AL625" s="727"/>
      <c r="AM625" s="727"/>
      <c r="AN625" s="727"/>
      <c r="AO625" s="727"/>
      <c r="AP625" s="727"/>
      <c r="AQ625" s="727"/>
      <c r="AR625" s="727"/>
      <c r="AS625" s="727"/>
      <c r="AT625" s="727"/>
      <c r="AU625" s="727"/>
      <c r="AV625" s="727"/>
      <c r="AW625" s="727"/>
      <c r="AX625" s="727"/>
      <c r="AY625" s="727"/>
      <c r="AZ625" s="727"/>
      <c r="BA625" s="727"/>
      <c r="BB625" s="727"/>
    </row>
    <row r="626" spans="1:54">
      <c r="A626" s="326"/>
      <c r="B626" s="791">
        <v>15</v>
      </c>
      <c r="C626" s="792">
        <v>900</v>
      </c>
      <c r="D626" s="779">
        <v>3.5503E-2</v>
      </c>
      <c r="E626" s="779">
        <v>3811.2</v>
      </c>
      <c r="F626" s="779">
        <v>4343.7</v>
      </c>
      <c r="G626" s="779">
        <v>7.4287999999999998</v>
      </c>
      <c r="H626" s="727"/>
      <c r="I626" s="727"/>
      <c r="J626" s="727"/>
      <c r="K626" s="727"/>
      <c r="L626" s="727"/>
      <c r="M626" s="727"/>
      <c r="N626" s="727"/>
      <c r="O626" s="727"/>
      <c r="P626" s="727"/>
      <c r="Q626" s="727"/>
      <c r="R626" s="727"/>
      <c r="S626" s="727"/>
      <c r="T626" s="727"/>
      <c r="U626" s="727"/>
      <c r="V626" s="727"/>
      <c r="W626" s="727"/>
      <c r="X626" s="727"/>
      <c r="Y626" s="727"/>
      <c r="Z626" s="727"/>
      <c r="AA626" s="727"/>
      <c r="AB626" s="727"/>
      <c r="AC626" s="727"/>
      <c r="AD626" s="727"/>
      <c r="AE626" s="727"/>
      <c r="AF626" s="727"/>
      <c r="AG626" s="727"/>
      <c r="AH626" s="727"/>
      <c r="AI626" s="727"/>
      <c r="AJ626" s="727"/>
      <c r="AK626" s="727"/>
      <c r="AL626" s="727"/>
      <c r="AM626" s="727"/>
      <c r="AN626" s="727"/>
      <c r="AO626" s="727"/>
      <c r="AP626" s="727"/>
      <c r="AQ626" s="727"/>
      <c r="AR626" s="727"/>
      <c r="AS626" s="727"/>
      <c r="AT626" s="727"/>
      <c r="AU626" s="727"/>
      <c r="AV626" s="727"/>
      <c r="AW626" s="727"/>
      <c r="AX626" s="727"/>
      <c r="AY626" s="727"/>
      <c r="AZ626" s="727"/>
      <c r="BA626" s="727"/>
      <c r="BB626" s="727"/>
    </row>
    <row r="627" spans="1:54">
      <c r="A627" s="326"/>
      <c r="B627" s="791">
        <v>15</v>
      </c>
      <c r="C627" s="792">
        <v>1000</v>
      </c>
      <c r="D627" s="779">
        <v>3.8808000000000002E-2</v>
      </c>
      <c r="E627" s="779">
        <v>4017.1</v>
      </c>
      <c r="F627" s="779">
        <v>4599.2</v>
      </c>
      <c r="G627" s="779">
        <v>7.6378000000000004</v>
      </c>
      <c r="H627" s="727"/>
      <c r="I627" s="727"/>
      <c r="J627" s="727"/>
      <c r="K627" s="727"/>
      <c r="L627" s="727"/>
      <c r="M627" s="727"/>
      <c r="N627" s="727"/>
      <c r="O627" s="727"/>
      <c r="P627" s="727"/>
      <c r="Q627" s="727"/>
      <c r="R627" s="727"/>
      <c r="S627" s="727"/>
      <c r="T627" s="727"/>
      <c r="U627" s="727"/>
      <c r="V627" s="727"/>
      <c r="W627" s="727"/>
      <c r="X627" s="727"/>
      <c r="Y627" s="727"/>
      <c r="Z627" s="727"/>
      <c r="AA627" s="727"/>
      <c r="AB627" s="727"/>
      <c r="AC627" s="727"/>
      <c r="AD627" s="727"/>
      <c r="AE627" s="727"/>
      <c r="AF627" s="727"/>
      <c r="AG627" s="727"/>
      <c r="AH627" s="727"/>
      <c r="AI627" s="727"/>
      <c r="AJ627" s="727"/>
      <c r="AK627" s="727"/>
      <c r="AL627" s="727"/>
      <c r="AM627" s="727"/>
      <c r="AN627" s="727"/>
      <c r="AO627" s="727"/>
      <c r="AP627" s="727"/>
      <c r="AQ627" s="727"/>
      <c r="AR627" s="727"/>
      <c r="AS627" s="727"/>
      <c r="AT627" s="727"/>
      <c r="AU627" s="727"/>
      <c r="AV627" s="727"/>
      <c r="AW627" s="727"/>
      <c r="AX627" s="727"/>
      <c r="AY627" s="727"/>
      <c r="AZ627" s="727"/>
      <c r="BA627" s="727"/>
      <c r="BB627" s="727"/>
    </row>
    <row r="628" spans="1:54">
      <c r="A628" s="326"/>
      <c r="B628" s="791">
        <v>15</v>
      </c>
      <c r="C628" s="792">
        <v>1100</v>
      </c>
      <c r="D628" s="779">
        <v>4.2062000000000002E-2</v>
      </c>
      <c r="E628" s="779">
        <v>4227.7</v>
      </c>
      <c r="F628" s="779">
        <v>4858.6000000000004</v>
      </c>
      <c r="G628" s="779">
        <v>7.8338999999999999</v>
      </c>
      <c r="H628" s="727"/>
      <c r="I628" s="727"/>
      <c r="J628" s="727"/>
      <c r="K628" s="727"/>
      <c r="L628" s="727"/>
      <c r="M628" s="727"/>
      <c r="N628" s="727"/>
      <c r="O628" s="727"/>
      <c r="P628" s="727"/>
      <c r="Q628" s="727"/>
      <c r="R628" s="727"/>
      <c r="S628" s="727"/>
      <c r="T628" s="727"/>
      <c r="U628" s="727"/>
      <c r="V628" s="727"/>
      <c r="W628" s="727"/>
      <c r="X628" s="727"/>
      <c r="Y628" s="727"/>
      <c r="Z628" s="727"/>
      <c r="AA628" s="727"/>
      <c r="AB628" s="727"/>
      <c r="AC628" s="727"/>
      <c r="AD628" s="727"/>
      <c r="AE628" s="727"/>
      <c r="AF628" s="727"/>
      <c r="AG628" s="727"/>
      <c r="AH628" s="727"/>
      <c r="AI628" s="727"/>
      <c r="AJ628" s="727"/>
      <c r="AK628" s="727"/>
      <c r="AL628" s="727"/>
      <c r="AM628" s="727"/>
      <c r="AN628" s="727"/>
      <c r="AO628" s="727"/>
      <c r="AP628" s="727"/>
      <c r="AQ628" s="727"/>
      <c r="AR628" s="727"/>
      <c r="AS628" s="727"/>
      <c r="AT628" s="727"/>
      <c r="AU628" s="727"/>
      <c r="AV628" s="727"/>
      <c r="AW628" s="727"/>
      <c r="AX628" s="727"/>
      <c r="AY628" s="727"/>
      <c r="AZ628" s="727"/>
      <c r="BA628" s="727"/>
      <c r="BB628" s="727"/>
    </row>
    <row r="629" spans="1:54">
      <c r="A629" s="326"/>
      <c r="B629" s="791">
        <v>15</v>
      </c>
      <c r="C629" s="792">
        <v>1200</v>
      </c>
      <c r="D629" s="779">
        <v>4.5279E-2</v>
      </c>
      <c r="E629" s="779">
        <v>4443.1000000000004</v>
      </c>
      <c r="F629" s="779">
        <v>5122.3</v>
      </c>
      <c r="G629" s="779">
        <v>8.0191999999999997</v>
      </c>
      <c r="H629" s="727"/>
      <c r="I629" s="727"/>
      <c r="J629" s="727"/>
      <c r="K629" s="727"/>
      <c r="L629" s="727"/>
      <c r="M629" s="727"/>
      <c r="N629" s="727"/>
      <c r="O629" s="727"/>
      <c r="P629" s="727"/>
      <c r="Q629" s="727"/>
      <c r="R629" s="727"/>
      <c r="S629" s="727"/>
      <c r="T629" s="727"/>
      <c r="U629" s="727"/>
      <c r="V629" s="727"/>
      <c r="W629" s="727"/>
      <c r="X629" s="727"/>
      <c r="Y629" s="727"/>
      <c r="Z629" s="727"/>
      <c r="AA629" s="727"/>
      <c r="AB629" s="727"/>
      <c r="AC629" s="727"/>
      <c r="AD629" s="727"/>
      <c r="AE629" s="727"/>
      <c r="AF629" s="727"/>
      <c r="AG629" s="727"/>
      <c r="AH629" s="727"/>
      <c r="AI629" s="727"/>
      <c r="AJ629" s="727"/>
      <c r="AK629" s="727"/>
      <c r="AL629" s="727"/>
      <c r="AM629" s="727"/>
      <c r="AN629" s="727"/>
      <c r="AO629" s="727"/>
      <c r="AP629" s="727"/>
      <c r="AQ629" s="727"/>
      <c r="AR629" s="727"/>
      <c r="AS629" s="727"/>
      <c r="AT629" s="727"/>
      <c r="AU629" s="727"/>
      <c r="AV629" s="727"/>
      <c r="AW629" s="727"/>
      <c r="AX629" s="727"/>
      <c r="AY629" s="727"/>
      <c r="AZ629" s="727"/>
      <c r="BA629" s="727"/>
      <c r="BB629" s="727"/>
    </row>
    <row r="630" spans="1:54">
      <c r="A630" s="326"/>
      <c r="B630" s="791">
        <v>15</v>
      </c>
      <c r="C630" s="792">
        <v>1300</v>
      </c>
      <c r="D630" s="779">
        <v>4.8468999999999998E-2</v>
      </c>
      <c r="E630" s="779">
        <v>4663.3</v>
      </c>
      <c r="F630" s="779">
        <v>5390.3</v>
      </c>
      <c r="G630" s="779">
        <v>8.1951999999999998</v>
      </c>
      <c r="H630" s="727"/>
      <c r="I630" s="727"/>
      <c r="J630" s="727"/>
      <c r="K630" s="727"/>
      <c r="L630" s="727"/>
      <c r="M630" s="727"/>
      <c r="N630" s="727"/>
      <c r="O630" s="727"/>
      <c r="P630" s="727"/>
      <c r="Q630" s="727"/>
      <c r="R630" s="727"/>
      <c r="S630" s="727"/>
      <c r="T630" s="727"/>
      <c r="U630" s="727"/>
      <c r="V630" s="727"/>
      <c r="W630" s="727"/>
      <c r="X630" s="727"/>
      <c r="Y630" s="727"/>
      <c r="Z630" s="727"/>
      <c r="AA630" s="727"/>
      <c r="AB630" s="727"/>
      <c r="AC630" s="727"/>
      <c r="AD630" s="727"/>
      <c r="AE630" s="727"/>
      <c r="AF630" s="727"/>
      <c r="AG630" s="727"/>
      <c r="AH630" s="727"/>
      <c r="AI630" s="727"/>
      <c r="AJ630" s="727"/>
      <c r="AK630" s="727"/>
      <c r="AL630" s="727"/>
      <c r="AM630" s="727"/>
      <c r="AN630" s="727"/>
      <c r="AO630" s="727"/>
      <c r="AP630" s="727"/>
      <c r="AQ630" s="727"/>
      <c r="AR630" s="727"/>
      <c r="AS630" s="727"/>
      <c r="AT630" s="727"/>
      <c r="AU630" s="727"/>
      <c r="AV630" s="727"/>
      <c r="AW630" s="727"/>
      <c r="AX630" s="727"/>
      <c r="AY630" s="727"/>
      <c r="AZ630" s="727"/>
      <c r="BA630" s="727"/>
      <c r="BB630" s="727"/>
    </row>
    <row r="631" spans="1:54">
      <c r="A631" s="326"/>
      <c r="B631" s="791">
        <v>17.5</v>
      </c>
      <c r="C631" s="792">
        <v>354.67</v>
      </c>
      <c r="D631" s="779">
        <v>7.9319999999999998E-3</v>
      </c>
      <c r="E631" s="779">
        <v>2390.6999999999998</v>
      </c>
      <c r="F631" s="779">
        <v>2529.5</v>
      </c>
      <c r="G631" s="779">
        <v>5.1435000000000004</v>
      </c>
      <c r="H631" s="727"/>
      <c r="I631" s="727"/>
      <c r="J631" s="727"/>
      <c r="K631" s="727"/>
      <c r="L631" s="727"/>
      <c r="M631" s="727"/>
      <c r="N631" s="727"/>
      <c r="O631" s="727"/>
      <c r="P631" s="727"/>
      <c r="Q631" s="727"/>
      <c r="R631" s="727"/>
      <c r="S631" s="727"/>
      <c r="T631" s="727"/>
      <c r="U631" s="727"/>
      <c r="V631" s="727"/>
      <c r="W631" s="727"/>
      <c r="X631" s="727"/>
      <c r="Y631" s="727"/>
      <c r="Z631" s="727"/>
      <c r="AA631" s="727"/>
      <c r="AB631" s="727"/>
      <c r="AC631" s="727"/>
      <c r="AD631" s="727"/>
      <c r="AE631" s="727"/>
      <c r="AF631" s="727"/>
      <c r="AG631" s="727"/>
      <c r="AH631" s="727"/>
      <c r="AI631" s="727"/>
      <c r="AJ631" s="727"/>
      <c r="AK631" s="727"/>
      <c r="AL631" s="727"/>
      <c r="AM631" s="727"/>
      <c r="AN631" s="727"/>
      <c r="AO631" s="727"/>
      <c r="AP631" s="727"/>
      <c r="AQ631" s="727"/>
      <c r="AR631" s="727"/>
      <c r="AS631" s="727"/>
      <c r="AT631" s="727"/>
      <c r="AU631" s="727"/>
      <c r="AV631" s="727"/>
      <c r="AW631" s="727"/>
      <c r="AX631" s="727"/>
      <c r="AY631" s="727"/>
      <c r="AZ631" s="727"/>
      <c r="BA631" s="727"/>
      <c r="BB631" s="727"/>
    </row>
    <row r="632" spans="1:54">
      <c r="A632" s="326"/>
      <c r="B632" s="791">
        <v>17.5</v>
      </c>
      <c r="C632" s="792">
        <v>400</v>
      </c>
      <c r="D632" s="779">
        <v>1.2463E-2</v>
      </c>
      <c r="E632" s="779">
        <v>2684.3</v>
      </c>
      <c r="F632" s="779">
        <v>2902.4</v>
      </c>
      <c r="G632" s="779">
        <v>5.7210999999999999</v>
      </c>
      <c r="H632" s="727"/>
      <c r="I632" s="727"/>
      <c r="J632" s="727"/>
      <c r="K632" s="727"/>
      <c r="L632" s="727"/>
      <c r="M632" s="727"/>
      <c r="N632" s="727"/>
      <c r="O632" s="727"/>
      <c r="P632" s="727"/>
      <c r="Q632" s="727"/>
      <c r="R632" s="727"/>
      <c r="S632" s="727"/>
      <c r="T632" s="727"/>
      <c r="U632" s="727"/>
      <c r="V632" s="727"/>
      <c r="W632" s="727"/>
      <c r="X632" s="727"/>
      <c r="Y632" s="727"/>
      <c r="Z632" s="727"/>
      <c r="AA632" s="727"/>
      <c r="AB632" s="727"/>
      <c r="AC632" s="727"/>
      <c r="AD632" s="727"/>
      <c r="AE632" s="727"/>
      <c r="AF632" s="727"/>
      <c r="AG632" s="727"/>
      <c r="AH632" s="727"/>
      <c r="AI632" s="727"/>
      <c r="AJ632" s="727"/>
      <c r="AK632" s="727"/>
      <c r="AL632" s="727"/>
      <c r="AM632" s="727"/>
      <c r="AN632" s="727"/>
      <c r="AO632" s="727"/>
      <c r="AP632" s="727"/>
      <c r="AQ632" s="727"/>
      <c r="AR632" s="727"/>
      <c r="AS632" s="727"/>
      <c r="AT632" s="727"/>
      <c r="AU632" s="727"/>
      <c r="AV632" s="727"/>
      <c r="AW632" s="727"/>
      <c r="AX632" s="727"/>
      <c r="AY632" s="727"/>
      <c r="AZ632" s="727"/>
      <c r="BA632" s="727"/>
      <c r="BB632" s="727"/>
    </row>
    <row r="633" spans="1:54">
      <c r="A633" s="326"/>
      <c r="B633" s="791">
        <v>17.5</v>
      </c>
      <c r="C633" s="792">
        <v>450</v>
      </c>
      <c r="D633" s="779">
        <v>1.5204000000000001E-2</v>
      </c>
      <c r="E633" s="779">
        <v>2845.4</v>
      </c>
      <c r="F633" s="779">
        <v>3111.4</v>
      </c>
      <c r="G633" s="779">
        <v>6.0212000000000003</v>
      </c>
      <c r="H633" s="727"/>
      <c r="I633" s="727"/>
      <c r="J633" s="727"/>
      <c r="K633" s="727"/>
      <c r="L633" s="727"/>
      <c r="M633" s="727"/>
      <c r="N633" s="727"/>
      <c r="O633" s="727"/>
      <c r="P633" s="727"/>
      <c r="Q633" s="727"/>
      <c r="R633" s="727"/>
      <c r="S633" s="727"/>
      <c r="T633" s="727"/>
      <c r="U633" s="727"/>
      <c r="V633" s="727"/>
      <c r="W633" s="727"/>
      <c r="X633" s="727"/>
      <c r="Y633" s="727"/>
      <c r="Z633" s="727"/>
      <c r="AA633" s="727"/>
      <c r="AB633" s="727"/>
      <c r="AC633" s="727"/>
      <c r="AD633" s="727"/>
      <c r="AE633" s="727"/>
      <c r="AF633" s="727"/>
      <c r="AG633" s="727"/>
      <c r="AH633" s="727"/>
      <c r="AI633" s="727"/>
      <c r="AJ633" s="727"/>
      <c r="AK633" s="727"/>
      <c r="AL633" s="727"/>
      <c r="AM633" s="727"/>
      <c r="AN633" s="727"/>
      <c r="AO633" s="727"/>
      <c r="AP633" s="727"/>
      <c r="AQ633" s="727"/>
      <c r="AR633" s="727"/>
      <c r="AS633" s="727"/>
      <c r="AT633" s="727"/>
      <c r="AU633" s="727"/>
      <c r="AV633" s="727"/>
      <c r="AW633" s="727"/>
      <c r="AX633" s="727"/>
      <c r="AY633" s="727"/>
      <c r="AZ633" s="727"/>
      <c r="BA633" s="727"/>
      <c r="BB633" s="727"/>
    </row>
    <row r="634" spans="1:54">
      <c r="A634" s="326"/>
      <c r="B634" s="791">
        <v>17.5</v>
      </c>
      <c r="C634" s="792">
        <v>500</v>
      </c>
      <c r="D634" s="779">
        <v>1.7385000000000001E-2</v>
      </c>
      <c r="E634" s="779">
        <v>2972.4</v>
      </c>
      <c r="F634" s="779">
        <v>3276.7</v>
      </c>
      <c r="G634" s="779">
        <v>6.2423999999999999</v>
      </c>
      <c r="H634" s="727"/>
      <c r="I634" s="727"/>
      <c r="J634" s="727"/>
      <c r="K634" s="727"/>
      <c r="L634" s="727"/>
      <c r="M634" s="727"/>
      <c r="N634" s="727"/>
      <c r="O634" s="727"/>
      <c r="P634" s="727"/>
      <c r="Q634" s="727"/>
      <c r="R634" s="727"/>
      <c r="S634" s="727"/>
      <c r="T634" s="727"/>
      <c r="U634" s="727"/>
      <c r="V634" s="727"/>
      <c r="W634" s="727"/>
      <c r="X634" s="727"/>
      <c r="Y634" s="727"/>
      <c r="Z634" s="727"/>
      <c r="AA634" s="727"/>
      <c r="AB634" s="727"/>
      <c r="AC634" s="727"/>
      <c r="AD634" s="727"/>
      <c r="AE634" s="727"/>
      <c r="AF634" s="727"/>
      <c r="AG634" s="727"/>
      <c r="AH634" s="727"/>
      <c r="AI634" s="727"/>
      <c r="AJ634" s="727"/>
      <c r="AK634" s="727"/>
      <c r="AL634" s="727"/>
      <c r="AM634" s="727"/>
      <c r="AN634" s="727"/>
      <c r="AO634" s="727"/>
      <c r="AP634" s="727"/>
      <c r="AQ634" s="727"/>
      <c r="AR634" s="727"/>
      <c r="AS634" s="727"/>
      <c r="AT634" s="727"/>
      <c r="AU634" s="727"/>
      <c r="AV634" s="727"/>
      <c r="AW634" s="727"/>
      <c r="AX634" s="727"/>
      <c r="AY634" s="727"/>
      <c r="AZ634" s="727"/>
      <c r="BA634" s="727"/>
      <c r="BB634" s="727"/>
    </row>
    <row r="635" spans="1:54">
      <c r="A635" s="326"/>
      <c r="B635" s="791">
        <v>17.5</v>
      </c>
      <c r="C635" s="792">
        <v>550</v>
      </c>
      <c r="D635" s="779">
        <v>1.9304999999999999E-2</v>
      </c>
      <c r="E635" s="779">
        <v>3085.8</v>
      </c>
      <c r="F635" s="779">
        <v>3423.6</v>
      </c>
      <c r="G635" s="779">
        <v>6.4265999999999996</v>
      </c>
      <c r="H635" s="727"/>
      <c r="I635" s="727"/>
      <c r="J635" s="727"/>
      <c r="K635" s="727"/>
      <c r="L635" s="727"/>
      <c r="M635" s="727"/>
      <c r="N635" s="727"/>
      <c r="O635" s="727"/>
      <c r="P635" s="727"/>
      <c r="Q635" s="727"/>
      <c r="R635" s="727"/>
      <c r="S635" s="727"/>
      <c r="T635" s="727"/>
      <c r="U635" s="727"/>
      <c r="V635" s="727"/>
      <c r="W635" s="727"/>
      <c r="X635" s="727"/>
      <c r="Y635" s="727"/>
      <c r="Z635" s="727"/>
      <c r="AA635" s="727"/>
      <c r="AB635" s="727"/>
      <c r="AC635" s="727"/>
      <c r="AD635" s="727"/>
      <c r="AE635" s="727"/>
      <c r="AF635" s="727"/>
      <c r="AG635" s="727"/>
      <c r="AH635" s="727"/>
      <c r="AI635" s="727"/>
      <c r="AJ635" s="727"/>
      <c r="AK635" s="727"/>
      <c r="AL635" s="727"/>
      <c r="AM635" s="727"/>
      <c r="AN635" s="727"/>
      <c r="AO635" s="727"/>
      <c r="AP635" s="727"/>
      <c r="AQ635" s="727"/>
      <c r="AR635" s="727"/>
      <c r="AS635" s="727"/>
      <c r="AT635" s="727"/>
      <c r="AU635" s="727"/>
      <c r="AV635" s="727"/>
      <c r="AW635" s="727"/>
      <c r="AX635" s="727"/>
      <c r="AY635" s="727"/>
      <c r="AZ635" s="727"/>
      <c r="BA635" s="727"/>
      <c r="BB635" s="727"/>
    </row>
    <row r="636" spans="1:54">
      <c r="A636" s="326"/>
      <c r="B636" s="791">
        <v>17.5</v>
      </c>
      <c r="C636" s="792">
        <v>600</v>
      </c>
      <c r="D636" s="779">
        <v>2.1073000000000001E-2</v>
      </c>
      <c r="E636" s="779">
        <v>3192.5</v>
      </c>
      <c r="F636" s="779">
        <v>3561.3</v>
      </c>
      <c r="G636" s="779">
        <v>6.5890000000000004</v>
      </c>
      <c r="H636" s="727"/>
      <c r="I636" s="727"/>
      <c r="J636" s="727"/>
      <c r="K636" s="727"/>
      <c r="L636" s="727"/>
      <c r="M636" s="727"/>
      <c r="N636" s="727"/>
      <c r="O636" s="727"/>
      <c r="P636" s="727"/>
      <c r="Q636" s="727"/>
      <c r="R636" s="727"/>
      <c r="S636" s="727"/>
      <c r="T636" s="727"/>
      <c r="U636" s="727"/>
      <c r="V636" s="727"/>
      <c r="W636" s="727"/>
      <c r="X636" s="727"/>
      <c r="Y636" s="727"/>
      <c r="Z636" s="727"/>
      <c r="AA636" s="727"/>
      <c r="AB636" s="727"/>
      <c r="AC636" s="727"/>
      <c r="AD636" s="727"/>
      <c r="AE636" s="727"/>
      <c r="AF636" s="727"/>
      <c r="AG636" s="727"/>
      <c r="AH636" s="727"/>
      <c r="AI636" s="727"/>
      <c r="AJ636" s="727"/>
      <c r="AK636" s="727"/>
      <c r="AL636" s="727"/>
      <c r="AM636" s="727"/>
      <c r="AN636" s="727"/>
      <c r="AO636" s="727"/>
      <c r="AP636" s="727"/>
      <c r="AQ636" s="727"/>
      <c r="AR636" s="727"/>
      <c r="AS636" s="727"/>
      <c r="AT636" s="727"/>
      <c r="AU636" s="727"/>
      <c r="AV636" s="727"/>
      <c r="AW636" s="727"/>
      <c r="AX636" s="727"/>
      <c r="AY636" s="727"/>
      <c r="AZ636" s="727"/>
      <c r="BA636" s="727"/>
      <c r="BB636" s="727"/>
    </row>
    <row r="637" spans="1:54">
      <c r="A637" s="326"/>
      <c r="B637" s="791">
        <v>17.5</v>
      </c>
      <c r="C637" s="792">
        <v>650</v>
      </c>
      <c r="D637" s="779">
        <v>2.2741999999999998E-2</v>
      </c>
      <c r="E637" s="779">
        <v>3295.8</v>
      </c>
      <c r="F637" s="779">
        <v>3693.8</v>
      </c>
      <c r="G637" s="779">
        <v>6.7366000000000001</v>
      </c>
      <c r="H637" s="727"/>
      <c r="I637" s="727"/>
      <c r="J637" s="727"/>
      <c r="K637" s="727"/>
      <c r="L637" s="727"/>
      <c r="M637" s="727"/>
      <c r="N637" s="727"/>
      <c r="O637" s="727"/>
      <c r="P637" s="727"/>
      <c r="Q637" s="727"/>
      <c r="R637" s="727"/>
      <c r="S637" s="727"/>
      <c r="T637" s="727"/>
      <c r="U637" s="727"/>
      <c r="V637" s="727"/>
      <c r="W637" s="727"/>
      <c r="X637" s="727"/>
      <c r="Y637" s="727"/>
      <c r="Z637" s="727"/>
      <c r="AA637" s="727"/>
      <c r="AB637" s="727"/>
      <c r="AC637" s="727"/>
      <c r="AD637" s="727"/>
      <c r="AE637" s="727"/>
      <c r="AF637" s="727"/>
      <c r="AG637" s="727"/>
      <c r="AH637" s="727"/>
      <c r="AI637" s="727"/>
      <c r="AJ637" s="727"/>
      <c r="AK637" s="727"/>
      <c r="AL637" s="727"/>
      <c r="AM637" s="727"/>
      <c r="AN637" s="727"/>
      <c r="AO637" s="727"/>
      <c r="AP637" s="727"/>
      <c r="AQ637" s="727"/>
      <c r="AR637" s="727"/>
      <c r="AS637" s="727"/>
      <c r="AT637" s="727"/>
      <c r="AU637" s="727"/>
      <c r="AV637" s="727"/>
      <c r="AW637" s="727"/>
      <c r="AX637" s="727"/>
      <c r="AY637" s="727"/>
      <c r="AZ637" s="727"/>
      <c r="BA637" s="727"/>
      <c r="BB637" s="727"/>
    </row>
    <row r="638" spans="1:54">
      <c r="A638" s="326"/>
      <c r="B638" s="791">
        <v>17.5</v>
      </c>
      <c r="C638" s="792">
        <v>700</v>
      </c>
      <c r="D638" s="779">
        <v>2.4341999999999999E-2</v>
      </c>
      <c r="E638" s="779">
        <v>3397.5</v>
      </c>
      <c r="F638" s="779">
        <v>3823.5</v>
      </c>
      <c r="G638" s="779">
        <v>6.8734999999999999</v>
      </c>
      <c r="H638" s="727"/>
      <c r="I638" s="727"/>
      <c r="J638" s="727"/>
      <c r="K638" s="727"/>
      <c r="L638" s="727"/>
      <c r="M638" s="727"/>
      <c r="N638" s="727"/>
      <c r="O638" s="727"/>
      <c r="P638" s="727"/>
      <c r="Q638" s="727"/>
      <c r="R638" s="727"/>
      <c r="S638" s="727"/>
      <c r="T638" s="727"/>
      <c r="U638" s="727"/>
      <c r="V638" s="727"/>
      <c r="W638" s="727"/>
      <c r="X638" s="727"/>
      <c r="Y638" s="727"/>
      <c r="Z638" s="727"/>
      <c r="AA638" s="727"/>
      <c r="AB638" s="727"/>
      <c r="AC638" s="727"/>
      <c r="AD638" s="727"/>
      <c r="AE638" s="727"/>
      <c r="AF638" s="727"/>
      <c r="AG638" s="727"/>
      <c r="AH638" s="727"/>
      <c r="AI638" s="727"/>
      <c r="AJ638" s="727"/>
      <c r="AK638" s="727"/>
      <c r="AL638" s="727"/>
      <c r="AM638" s="727"/>
      <c r="AN638" s="727"/>
      <c r="AO638" s="727"/>
      <c r="AP638" s="727"/>
      <c r="AQ638" s="727"/>
      <c r="AR638" s="727"/>
      <c r="AS638" s="727"/>
      <c r="AT638" s="727"/>
      <c r="AU638" s="727"/>
      <c r="AV638" s="727"/>
      <c r="AW638" s="727"/>
      <c r="AX638" s="727"/>
      <c r="AY638" s="727"/>
      <c r="AZ638" s="727"/>
      <c r="BA638" s="727"/>
      <c r="BB638" s="727"/>
    </row>
    <row r="639" spans="1:54">
      <c r="A639" s="326"/>
      <c r="B639" s="791">
        <v>17.5</v>
      </c>
      <c r="C639" s="792">
        <v>800</v>
      </c>
      <c r="D639" s="779">
        <v>2.7404999999999999E-2</v>
      </c>
      <c r="E639" s="779">
        <v>3599.7</v>
      </c>
      <c r="F639" s="779">
        <v>4079.3</v>
      </c>
      <c r="G639" s="779">
        <v>7.1237000000000004</v>
      </c>
      <c r="H639" s="727"/>
      <c r="I639" s="727"/>
      <c r="J639" s="727"/>
      <c r="K639" s="727"/>
      <c r="L639" s="727"/>
      <c r="M639" s="727"/>
      <c r="N639" s="727"/>
      <c r="O639" s="727"/>
      <c r="P639" s="727"/>
      <c r="Q639" s="727"/>
      <c r="R639" s="727"/>
      <c r="S639" s="727"/>
      <c r="T639" s="727"/>
      <c r="U639" s="727"/>
      <c r="V639" s="727"/>
      <c r="W639" s="727"/>
      <c r="X639" s="727"/>
      <c r="Y639" s="727"/>
      <c r="Z639" s="727"/>
      <c r="AA639" s="727"/>
      <c r="AB639" s="727"/>
      <c r="AC639" s="727"/>
      <c r="AD639" s="727"/>
      <c r="AE639" s="727"/>
      <c r="AF639" s="727"/>
      <c r="AG639" s="727"/>
      <c r="AH639" s="727"/>
      <c r="AI639" s="727"/>
      <c r="AJ639" s="727"/>
      <c r="AK639" s="727"/>
      <c r="AL639" s="727"/>
      <c r="AM639" s="727"/>
      <c r="AN639" s="727"/>
      <c r="AO639" s="727"/>
      <c r="AP639" s="727"/>
      <c r="AQ639" s="727"/>
      <c r="AR639" s="727"/>
      <c r="AS639" s="727"/>
      <c r="AT639" s="727"/>
      <c r="AU639" s="727"/>
      <c r="AV639" s="727"/>
      <c r="AW639" s="727"/>
      <c r="AX639" s="727"/>
      <c r="AY639" s="727"/>
      <c r="AZ639" s="727"/>
      <c r="BA639" s="727"/>
      <c r="BB639" s="727"/>
    </row>
    <row r="640" spans="1:54">
      <c r="A640" s="326"/>
      <c r="B640" s="791">
        <v>17.5</v>
      </c>
      <c r="C640" s="792">
        <v>900</v>
      </c>
      <c r="D640" s="779">
        <v>3.0348E-2</v>
      </c>
      <c r="E640" s="779">
        <v>3803.5</v>
      </c>
      <c r="F640" s="779">
        <v>4334.6000000000004</v>
      </c>
      <c r="G640" s="779">
        <v>7.3510999999999997</v>
      </c>
      <c r="H640" s="727"/>
      <c r="I640" s="727"/>
      <c r="J640" s="727"/>
      <c r="K640" s="727"/>
      <c r="L640" s="727"/>
      <c r="M640" s="727"/>
      <c r="N640" s="727"/>
      <c r="O640" s="727"/>
      <c r="P640" s="727"/>
      <c r="Q640" s="727"/>
      <c r="R640" s="727"/>
      <c r="S640" s="727"/>
      <c r="T640" s="727"/>
      <c r="U640" s="727"/>
      <c r="V640" s="727"/>
      <c r="W640" s="727"/>
      <c r="X640" s="727"/>
      <c r="Y640" s="727"/>
      <c r="Z640" s="727"/>
      <c r="AA640" s="727"/>
      <c r="AB640" s="727"/>
      <c r="AC640" s="727"/>
      <c r="AD640" s="727"/>
      <c r="AE640" s="727"/>
      <c r="AF640" s="727"/>
      <c r="AG640" s="727"/>
      <c r="AH640" s="727"/>
      <c r="AI640" s="727"/>
      <c r="AJ640" s="727"/>
      <c r="AK640" s="727"/>
      <c r="AL640" s="727"/>
      <c r="AM640" s="727"/>
      <c r="AN640" s="727"/>
      <c r="AO640" s="727"/>
      <c r="AP640" s="727"/>
      <c r="AQ640" s="727"/>
      <c r="AR640" s="727"/>
      <c r="AS640" s="727"/>
      <c r="AT640" s="727"/>
      <c r="AU640" s="727"/>
      <c r="AV640" s="727"/>
      <c r="AW640" s="727"/>
      <c r="AX640" s="727"/>
      <c r="AY640" s="727"/>
      <c r="AZ640" s="727"/>
      <c r="BA640" s="727"/>
      <c r="BB640" s="727"/>
    </row>
    <row r="641" spans="1:54">
      <c r="A641" s="326"/>
      <c r="B641" s="791">
        <v>17.5</v>
      </c>
      <c r="C641" s="792">
        <v>1000</v>
      </c>
      <c r="D641" s="779">
        <v>3.3215000000000001E-2</v>
      </c>
      <c r="E641" s="779">
        <v>4010.7</v>
      </c>
      <c r="F641" s="779">
        <v>4592</v>
      </c>
      <c r="G641" s="779">
        <v>7.5616000000000003</v>
      </c>
      <c r="H641" s="727"/>
      <c r="I641" s="727"/>
      <c r="J641" s="727"/>
      <c r="K641" s="727"/>
      <c r="L641" s="727"/>
      <c r="M641" s="727"/>
      <c r="N641" s="727"/>
      <c r="O641" s="727"/>
      <c r="P641" s="727"/>
      <c r="Q641" s="727"/>
      <c r="R641" s="727"/>
      <c r="S641" s="727"/>
      <c r="T641" s="727"/>
      <c r="U641" s="727"/>
      <c r="V641" s="727"/>
      <c r="W641" s="727"/>
      <c r="X641" s="727"/>
      <c r="Y641" s="727"/>
      <c r="Z641" s="727"/>
      <c r="AA641" s="727"/>
      <c r="AB641" s="727"/>
      <c r="AC641" s="727"/>
      <c r="AD641" s="727"/>
      <c r="AE641" s="727"/>
      <c r="AF641" s="727"/>
      <c r="AG641" s="727"/>
      <c r="AH641" s="727"/>
      <c r="AI641" s="727"/>
      <c r="AJ641" s="727"/>
      <c r="AK641" s="727"/>
      <c r="AL641" s="727"/>
      <c r="AM641" s="727"/>
      <c r="AN641" s="727"/>
      <c r="AO641" s="727"/>
      <c r="AP641" s="727"/>
      <c r="AQ641" s="727"/>
      <c r="AR641" s="727"/>
      <c r="AS641" s="727"/>
      <c r="AT641" s="727"/>
      <c r="AU641" s="727"/>
      <c r="AV641" s="727"/>
      <c r="AW641" s="727"/>
      <c r="AX641" s="727"/>
      <c r="AY641" s="727"/>
      <c r="AZ641" s="727"/>
      <c r="BA641" s="727"/>
      <c r="BB641" s="727"/>
    </row>
    <row r="642" spans="1:54">
      <c r="A642" s="326"/>
      <c r="B642" s="791">
        <v>17.5</v>
      </c>
      <c r="C642" s="792">
        <v>1100</v>
      </c>
      <c r="D642" s="779">
        <v>3.6028999999999999E-2</v>
      </c>
      <c r="E642" s="779">
        <v>4222.3</v>
      </c>
      <c r="F642" s="779">
        <v>4852.8</v>
      </c>
      <c r="G642" s="779">
        <v>7.7587999999999999</v>
      </c>
      <c r="H642" s="727"/>
      <c r="I642" s="727"/>
      <c r="J642" s="727"/>
      <c r="K642" s="727"/>
      <c r="L642" s="727"/>
      <c r="M642" s="727"/>
      <c r="N642" s="727"/>
      <c r="O642" s="727"/>
      <c r="P642" s="727"/>
      <c r="Q642" s="727"/>
      <c r="R642" s="727"/>
      <c r="S642" s="727"/>
      <c r="T642" s="727"/>
      <c r="U642" s="727"/>
      <c r="V642" s="727"/>
      <c r="W642" s="727"/>
      <c r="X642" s="727"/>
      <c r="Y642" s="727"/>
      <c r="Z642" s="727"/>
      <c r="AA642" s="727"/>
      <c r="AB642" s="727"/>
      <c r="AC642" s="727"/>
      <c r="AD642" s="727"/>
      <c r="AE642" s="727"/>
      <c r="AF642" s="727"/>
      <c r="AG642" s="727"/>
      <c r="AH642" s="727"/>
      <c r="AI642" s="727"/>
      <c r="AJ642" s="727"/>
      <c r="AK642" s="727"/>
      <c r="AL642" s="727"/>
      <c r="AM642" s="727"/>
      <c r="AN642" s="727"/>
      <c r="AO642" s="727"/>
      <c r="AP642" s="727"/>
      <c r="AQ642" s="727"/>
      <c r="AR642" s="727"/>
      <c r="AS642" s="727"/>
      <c r="AT642" s="727"/>
      <c r="AU642" s="727"/>
      <c r="AV642" s="727"/>
      <c r="AW642" s="727"/>
      <c r="AX642" s="727"/>
      <c r="AY642" s="727"/>
      <c r="AZ642" s="727"/>
      <c r="BA642" s="727"/>
      <c r="BB642" s="727"/>
    </row>
    <row r="643" spans="1:54">
      <c r="A643" s="326"/>
      <c r="B643" s="791">
        <v>17.5</v>
      </c>
      <c r="C643" s="792">
        <v>1200</v>
      </c>
      <c r="D643" s="779">
        <v>3.8806E-2</v>
      </c>
      <c r="E643" s="779">
        <v>4438.5</v>
      </c>
      <c r="F643" s="779">
        <v>5117.6000000000004</v>
      </c>
      <c r="G643" s="779">
        <v>7.9448999999999996</v>
      </c>
      <c r="H643" s="727"/>
      <c r="I643" s="727"/>
      <c r="J643" s="727"/>
      <c r="K643" s="727"/>
      <c r="L643" s="727"/>
      <c r="M643" s="727"/>
      <c r="N643" s="727"/>
      <c r="O643" s="727"/>
      <c r="P643" s="727"/>
      <c r="Q643" s="727"/>
      <c r="R643" s="727"/>
      <c r="S643" s="727"/>
      <c r="T643" s="727"/>
      <c r="U643" s="727"/>
      <c r="V643" s="727"/>
      <c r="W643" s="727"/>
      <c r="X643" s="727"/>
      <c r="Y643" s="727"/>
      <c r="Z643" s="727"/>
      <c r="AA643" s="727"/>
      <c r="AB643" s="727"/>
      <c r="AC643" s="727"/>
      <c r="AD643" s="727"/>
      <c r="AE643" s="727"/>
      <c r="AF643" s="727"/>
      <c r="AG643" s="727"/>
      <c r="AH643" s="727"/>
      <c r="AI643" s="727"/>
      <c r="AJ643" s="727"/>
      <c r="AK643" s="727"/>
      <c r="AL643" s="727"/>
      <c r="AM643" s="727"/>
      <c r="AN643" s="727"/>
      <c r="AO643" s="727"/>
      <c r="AP643" s="727"/>
      <c r="AQ643" s="727"/>
      <c r="AR643" s="727"/>
      <c r="AS643" s="727"/>
      <c r="AT643" s="727"/>
      <c r="AU643" s="727"/>
      <c r="AV643" s="727"/>
      <c r="AW643" s="727"/>
      <c r="AX643" s="727"/>
      <c r="AY643" s="727"/>
      <c r="AZ643" s="727"/>
      <c r="BA643" s="727"/>
      <c r="BB643" s="727"/>
    </row>
    <row r="644" spans="1:54">
      <c r="A644" s="326"/>
      <c r="B644" s="791">
        <v>17.5</v>
      </c>
      <c r="C644" s="792">
        <v>1300</v>
      </c>
      <c r="D644" s="779">
        <v>4.1556000000000003E-2</v>
      </c>
      <c r="E644" s="779">
        <v>4659.2</v>
      </c>
      <c r="F644" s="779">
        <v>5386.5</v>
      </c>
      <c r="G644" s="779">
        <v>8.1214999999999993</v>
      </c>
      <c r="H644" s="727"/>
      <c r="I644" s="727"/>
      <c r="J644" s="727"/>
      <c r="K644" s="727"/>
      <c r="L644" s="727"/>
      <c r="M644" s="727"/>
      <c r="N644" s="727"/>
      <c r="O644" s="727"/>
      <c r="P644" s="727"/>
      <c r="Q644" s="727"/>
      <c r="R644" s="727"/>
      <c r="S644" s="727"/>
      <c r="T644" s="727"/>
      <c r="U644" s="727"/>
      <c r="V644" s="727"/>
      <c r="W644" s="727"/>
      <c r="X644" s="727"/>
      <c r="Y644" s="727"/>
      <c r="Z644" s="727"/>
      <c r="AA644" s="727"/>
      <c r="AB644" s="727"/>
      <c r="AC644" s="727"/>
      <c r="AD644" s="727"/>
      <c r="AE644" s="727"/>
      <c r="AF644" s="727"/>
      <c r="AG644" s="727"/>
      <c r="AH644" s="727"/>
      <c r="AI644" s="727"/>
      <c r="AJ644" s="727"/>
      <c r="AK644" s="727"/>
      <c r="AL644" s="727"/>
      <c r="AM644" s="727"/>
      <c r="AN644" s="727"/>
      <c r="AO644" s="727"/>
      <c r="AP644" s="727"/>
      <c r="AQ644" s="727"/>
      <c r="AR644" s="727"/>
      <c r="AS644" s="727"/>
      <c r="AT644" s="727"/>
      <c r="AU644" s="727"/>
      <c r="AV644" s="727"/>
      <c r="AW644" s="727"/>
      <c r="AX644" s="727"/>
      <c r="AY644" s="727"/>
      <c r="AZ644" s="727"/>
      <c r="BA644" s="727"/>
      <c r="BB644" s="727"/>
    </row>
    <row r="645" spans="1:54">
      <c r="A645" s="326"/>
      <c r="B645" s="791">
        <v>20</v>
      </c>
      <c r="C645" s="792">
        <v>365.75</v>
      </c>
      <c r="D645" s="779">
        <v>5.862E-3</v>
      </c>
      <c r="E645" s="779">
        <v>2294.8000000000002</v>
      </c>
      <c r="F645" s="779">
        <v>2412.1</v>
      </c>
      <c r="G645" s="779">
        <v>4.931</v>
      </c>
      <c r="H645" s="727"/>
      <c r="I645" s="727"/>
      <c r="J645" s="727"/>
      <c r="K645" s="727"/>
      <c r="L645" s="727"/>
      <c r="M645" s="727"/>
      <c r="N645" s="727"/>
      <c r="O645" s="727"/>
      <c r="P645" s="727"/>
      <c r="Q645" s="727"/>
      <c r="R645" s="727"/>
      <c r="S645" s="727"/>
      <c r="T645" s="727"/>
      <c r="U645" s="727"/>
      <c r="V645" s="727"/>
      <c r="W645" s="727"/>
      <c r="X645" s="727"/>
      <c r="Y645" s="727"/>
      <c r="Z645" s="727"/>
      <c r="AA645" s="727"/>
      <c r="AB645" s="727"/>
      <c r="AC645" s="727"/>
      <c r="AD645" s="727"/>
      <c r="AE645" s="727"/>
      <c r="AF645" s="727"/>
      <c r="AG645" s="727"/>
      <c r="AH645" s="727"/>
      <c r="AI645" s="727"/>
      <c r="AJ645" s="727"/>
      <c r="AK645" s="727"/>
      <c r="AL645" s="727"/>
      <c r="AM645" s="727"/>
      <c r="AN645" s="727"/>
      <c r="AO645" s="727"/>
      <c r="AP645" s="727"/>
      <c r="AQ645" s="727"/>
      <c r="AR645" s="727"/>
      <c r="AS645" s="727"/>
      <c r="AT645" s="727"/>
      <c r="AU645" s="727"/>
      <c r="AV645" s="727"/>
      <c r="AW645" s="727"/>
      <c r="AX645" s="727"/>
      <c r="AY645" s="727"/>
      <c r="AZ645" s="727"/>
      <c r="BA645" s="727"/>
      <c r="BB645" s="727"/>
    </row>
    <row r="646" spans="1:54">
      <c r="A646" s="326"/>
      <c r="B646" s="791">
        <v>20</v>
      </c>
      <c r="C646" s="792">
        <v>400</v>
      </c>
      <c r="D646" s="779">
        <v>9.9500000000000005E-3</v>
      </c>
      <c r="E646" s="779">
        <v>2617.9</v>
      </c>
      <c r="F646" s="779">
        <v>2816.9</v>
      </c>
      <c r="G646" s="779">
        <v>5.5526</v>
      </c>
      <c r="H646" s="727"/>
      <c r="I646" s="727"/>
      <c r="J646" s="727"/>
      <c r="K646" s="727"/>
      <c r="L646" s="727"/>
      <c r="M646" s="727"/>
      <c r="N646" s="727"/>
      <c r="O646" s="727"/>
      <c r="P646" s="727"/>
      <c r="Q646" s="727"/>
      <c r="R646" s="727"/>
      <c r="S646" s="727"/>
      <c r="T646" s="727"/>
      <c r="U646" s="727"/>
      <c r="V646" s="727"/>
      <c r="W646" s="727"/>
      <c r="X646" s="727"/>
      <c r="Y646" s="727"/>
      <c r="Z646" s="727"/>
      <c r="AA646" s="727"/>
      <c r="AB646" s="727"/>
      <c r="AC646" s="727"/>
      <c r="AD646" s="727"/>
      <c r="AE646" s="727"/>
      <c r="AF646" s="727"/>
      <c r="AG646" s="727"/>
      <c r="AH646" s="727"/>
      <c r="AI646" s="727"/>
      <c r="AJ646" s="727"/>
      <c r="AK646" s="727"/>
      <c r="AL646" s="727"/>
      <c r="AM646" s="727"/>
      <c r="AN646" s="727"/>
      <c r="AO646" s="727"/>
      <c r="AP646" s="727"/>
      <c r="AQ646" s="727"/>
      <c r="AR646" s="727"/>
      <c r="AS646" s="727"/>
      <c r="AT646" s="727"/>
      <c r="AU646" s="727"/>
      <c r="AV646" s="727"/>
      <c r="AW646" s="727"/>
      <c r="AX646" s="727"/>
      <c r="AY646" s="727"/>
      <c r="AZ646" s="727"/>
      <c r="BA646" s="727"/>
      <c r="BB646" s="727"/>
    </row>
    <row r="647" spans="1:54">
      <c r="A647" s="326"/>
      <c r="B647" s="791">
        <v>20</v>
      </c>
      <c r="C647" s="792">
        <v>450</v>
      </c>
      <c r="D647" s="779">
        <v>1.2721E-2</v>
      </c>
      <c r="E647" s="779">
        <v>2807.3</v>
      </c>
      <c r="F647" s="779">
        <v>3061.7</v>
      </c>
      <c r="G647" s="779">
        <v>5.9043000000000001</v>
      </c>
      <c r="H647" s="727"/>
      <c r="I647" s="727"/>
      <c r="J647" s="727"/>
      <c r="K647" s="727"/>
      <c r="L647" s="727"/>
      <c r="M647" s="727"/>
      <c r="N647" s="727"/>
      <c r="O647" s="727"/>
      <c r="P647" s="727"/>
      <c r="Q647" s="727"/>
      <c r="R647" s="727"/>
      <c r="S647" s="727"/>
      <c r="T647" s="727"/>
      <c r="U647" s="727"/>
      <c r="V647" s="727"/>
      <c r="W647" s="727"/>
      <c r="X647" s="727"/>
      <c r="Y647" s="727"/>
      <c r="Z647" s="727"/>
      <c r="AA647" s="727"/>
      <c r="AB647" s="727"/>
      <c r="AC647" s="727"/>
      <c r="AD647" s="727"/>
      <c r="AE647" s="727"/>
      <c r="AF647" s="727"/>
      <c r="AG647" s="727"/>
      <c r="AH647" s="727"/>
      <c r="AI647" s="727"/>
      <c r="AJ647" s="727"/>
      <c r="AK647" s="727"/>
      <c r="AL647" s="727"/>
      <c r="AM647" s="727"/>
      <c r="AN647" s="727"/>
      <c r="AO647" s="727"/>
      <c r="AP647" s="727"/>
      <c r="AQ647" s="727"/>
      <c r="AR647" s="727"/>
      <c r="AS647" s="727"/>
      <c r="AT647" s="727"/>
      <c r="AU647" s="727"/>
      <c r="AV647" s="727"/>
      <c r="AW647" s="727"/>
      <c r="AX647" s="727"/>
      <c r="AY647" s="727"/>
      <c r="AZ647" s="727"/>
      <c r="BA647" s="727"/>
      <c r="BB647" s="727"/>
    </row>
    <row r="648" spans="1:54">
      <c r="A648" s="326"/>
      <c r="B648" s="791">
        <v>20</v>
      </c>
      <c r="C648" s="792">
        <v>500</v>
      </c>
      <c r="D648" s="779">
        <v>1.4793000000000001E-2</v>
      </c>
      <c r="E648" s="779">
        <v>2945.3</v>
      </c>
      <c r="F648" s="779">
        <v>3241.2</v>
      </c>
      <c r="G648" s="779">
        <v>6.1445999999999996</v>
      </c>
      <c r="H648" s="727"/>
      <c r="I648" s="727"/>
      <c r="J648" s="727"/>
      <c r="K648" s="727"/>
      <c r="L648" s="727"/>
      <c r="M648" s="727"/>
      <c r="N648" s="727"/>
      <c r="O648" s="727"/>
      <c r="P648" s="727"/>
      <c r="Q648" s="727"/>
      <c r="R648" s="727"/>
      <c r="S648" s="727"/>
      <c r="T648" s="727"/>
      <c r="U648" s="727"/>
      <c r="V648" s="727"/>
      <c r="W648" s="727"/>
      <c r="X648" s="727"/>
      <c r="Y648" s="727"/>
      <c r="Z648" s="727"/>
      <c r="AA648" s="727"/>
      <c r="AB648" s="727"/>
      <c r="AC648" s="727"/>
      <c r="AD648" s="727"/>
      <c r="AE648" s="727"/>
      <c r="AF648" s="727"/>
      <c r="AG648" s="727"/>
      <c r="AH648" s="727"/>
      <c r="AI648" s="727"/>
      <c r="AJ648" s="727"/>
      <c r="AK648" s="727"/>
      <c r="AL648" s="727"/>
      <c r="AM648" s="727"/>
      <c r="AN648" s="727"/>
      <c r="AO648" s="727"/>
      <c r="AP648" s="727"/>
      <c r="AQ648" s="727"/>
      <c r="AR648" s="727"/>
      <c r="AS648" s="727"/>
      <c r="AT648" s="727"/>
      <c r="AU648" s="727"/>
      <c r="AV648" s="727"/>
      <c r="AW648" s="727"/>
      <c r="AX648" s="727"/>
      <c r="AY648" s="727"/>
      <c r="AZ648" s="727"/>
      <c r="BA648" s="727"/>
      <c r="BB648" s="727"/>
    </row>
    <row r="649" spans="1:54">
      <c r="A649" s="326"/>
      <c r="B649" s="791">
        <v>20</v>
      </c>
      <c r="C649" s="792">
        <v>550</v>
      </c>
      <c r="D649" s="779">
        <v>1.6570999999999999E-2</v>
      </c>
      <c r="E649" s="779">
        <v>3064.7</v>
      </c>
      <c r="F649" s="779">
        <v>3396.2</v>
      </c>
      <c r="G649" s="779">
        <v>6.3390000000000004</v>
      </c>
      <c r="H649" s="727"/>
      <c r="I649" s="727"/>
      <c r="J649" s="727"/>
      <c r="K649" s="727"/>
      <c r="L649" s="727"/>
      <c r="M649" s="727"/>
      <c r="N649" s="727"/>
      <c r="O649" s="727"/>
      <c r="P649" s="727"/>
      <c r="Q649" s="727"/>
      <c r="R649" s="727"/>
      <c r="S649" s="727"/>
      <c r="T649" s="727"/>
      <c r="U649" s="727"/>
      <c r="V649" s="727"/>
      <c r="W649" s="727"/>
      <c r="X649" s="727"/>
      <c r="Y649" s="727"/>
      <c r="Z649" s="727"/>
      <c r="AA649" s="727"/>
      <c r="AB649" s="727"/>
      <c r="AC649" s="727"/>
      <c r="AD649" s="727"/>
      <c r="AE649" s="727"/>
      <c r="AF649" s="727"/>
      <c r="AG649" s="727"/>
      <c r="AH649" s="727"/>
      <c r="AI649" s="727"/>
      <c r="AJ649" s="727"/>
      <c r="AK649" s="727"/>
      <c r="AL649" s="727"/>
      <c r="AM649" s="727"/>
      <c r="AN649" s="727"/>
      <c r="AO649" s="727"/>
      <c r="AP649" s="727"/>
      <c r="AQ649" s="727"/>
      <c r="AR649" s="727"/>
      <c r="AS649" s="727"/>
      <c r="AT649" s="727"/>
      <c r="AU649" s="727"/>
      <c r="AV649" s="727"/>
      <c r="AW649" s="727"/>
      <c r="AX649" s="727"/>
      <c r="AY649" s="727"/>
      <c r="AZ649" s="727"/>
      <c r="BA649" s="727"/>
      <c r="BB649" s="727"/>
    </row>
    <row r="650" spans="1:54">
      <c r="A650" s="326"/>
      <c r="B650" s="791">
        <v>20</v>
      </c>
      <c r="C650" s="792">
        <v>600</v>
      </c>
      <c r="D650" s="779">
        <v>1.8185E-2</v>
      </c>
      <c r="E650" s="779">
        <v>3175.3</v>
      </c>
      <c r="F650" s="779">
        <v>3539</v>
      </c>
      <c r="G650" s="779">
        <v>6.5075000000000003</v>
      </c>
      <c r="H650" s="727"/>
      <c r="I650" s="727"/>
      <c r="J650" s="727"/>
      <c r="K650" s="727"/>
      <c r="L650" s="727"/>
      <c r="M650" s="727"/>
      <c r="N650" s="727"/>
      <c r="O650" s="727"/>
      <c r="P650" s="727"/>
      <c r="Q650" s="727"/>
      <c r="R650" s="727"/>
      <c r="S650" s="727"/>
      <c r="T650" s="727"/>
      <c r="U650" s="727"/>
      <c r="V650" s="727"/>
      <c r="W650" s="727"/>
      <c r="X650" s="727"/>
      <c r="Y650" s="727"/>
      <c r="Z650" s="727"/>
      <c r="AA650" s="727"/>
      <c r="AB650" s="727"/>
      <c r="AC650" s="727"/>
      <c r="AD650" s="727"/>
      <c r="AE650" s="727"/>
      <c r="AF650" s="727"/>
      <c r="AG650" s="727"/>
      <c r="AH650" s="727"/>
      <c r="AI650" s="727"/>
      <c r="AJ650" s="727"/>
      <c r="AK650" s="727"/>
      <c r="AL650" s="727"/>
      <c r="AM650" s="727"/>
      <c r="AN650" s="727"/>
      <c r="AO650" s="727"/>
      <c r="AP650" s="727"/>
      <c r="AQ650" s="727"/>
      <c r="AR650" s="727"/>
      <c r="AS650" s="727"/>
      <c r="AT650" s="727"/>
      <c r="AU650" s="727"/>
      <c r="AV650" s="727"/>
      <c r="AW650" s="727"/>
      <c r="AX650" s="727"/>
      <c r="AY650" s="727"/>
      <c r="AZ650" s="727"/>
      <c r="BA650" s="727"/>
      <c r="BB650" s="727"/>
    </row>
    <row r="651" spans="1:54">
      <c r="A651" s="326"/>
      <c r="B651" s="791">
        <v>20</v>
      </c>
      <c r="C651" s="792">
        <v>650</v>
      </c>
      <c r="D651" s="779">
        <v>1.9695000000000001E-2</v>
      </c>
      <c r="E651" s="779">
        <v>3281.4</v>
      </c>
      <c r="F651" s="779">
        <v>3675.3</v>
      </c>
      <c r="G651" s="779">
        <v>6.6593</v>
      </c>
      <c r="H651" s="727"/>
      <c r="I651" s="727"/>
      <c r="J651" s="727"/>
      <c r="K651" s="727"/>
      <c r="L651" s="727"/>
      <c r="M651" s="727"/>
      <c r="N651" s="727"/>
      <c r="O651" s="727"/>
      <c r="P651" s="727"/>
      <c r="Q651" s="727"/>
      <c r="R651" s="727"/>
      <c r="S651" s="727"/>
      <c r="T651" s="727"/>
      <c r="U651" s="727"/>
      <c r="V651" s="727"/>
      <c r="W651" s="727"/>
      <c r="X651" s="727"/>
      <c r="Y651" s="727"/>
      <c r="Z651" s="727"/>
      <c r="AA651" s="727"/>
      <c r="AB651" s="727"/>
      <c r="AC651" s="727"/>
      <c r="AD651" s="727"/>
      <c r="AE651" s="727"/>
      <c r="AF651" s="727"/>
      <c r="AG651" s="727"/>
      <c r="AH651" s="727"/>
      <c r="AI651" s="727"/>
      <c r="AJ651" s="727"/>
      <c r="AK651" s="727"/>
      <c r="AL651" s="727"/>
      <c r="AM651" s="727"/>
      <c r="AN651" s="727"/>
      <c r="AO651" s="727"/>
      <c r="AP651" s="727"/>
      <c r="AQ651" s="727"/>
      <c r="AR651" s="727"/>
      <c r="AS651" s="727"/>
      <c r="AT651" s="727"/>
      <c r="AU651" s="727"/>
      <c r="AV651" s="727"/>
      <c r="AW651" s="727"/>
      <c r="AX651" s="727"/>
      <c r="AY651" s="727"/>
      <c r="AZ651" s="727"/>
      <c r="BA651" s="727"/>
      <c r="BB651" s="727"/>
    </row>
    <row r="652" spans="1:54">
      <c r="A652" s="326"/>
      <c r="B652" s="791">
        <v>20</v>
      </c>
      <c r="C652" s="792">
        <v>700</v>
      </c>
      <c r="D652" s="779">
        <v>2.1134E-2</v>
      </c>
      <c r="E652" s="779">
        <v>3385.1</v>
      </c>
      <c r="F652" s="779">
        <v>3807.8</v>
      </c>
      <c r="G652" s="779">
        <v>6.7991000000000001</v>
      </c>
      <c r="H652" s="727"/>
      <c r="I652" s="727"/>
      <c r="J652" s="727"/>
      <c r="K652" s="727"/>
      <c r="L652" s="727"/>
      <c r="M652" s="727"/>
      <c r="N652" s="727"/>
      <c r="O652" s="727"/>
      <c r="P652" s="727"/>
      <c r="Q652" s="727"/>
      <c r="R652" s="727"/>
      <c r="S652" s="727"/>
      <c r="T652" s="727"/>
      <c r="U652" s="727"/>
      <c r="V652" s="727"/>
      <c r="W652" s="727"/>
      <c r="X652" s="727"/>
      <c r="Y652" s="727"/>
      <c r="Z652" s="727"/>
      <c r="AA652" s="727"/>
      <c r="AB652" s="727"/>
      <c r="AC652" s="727"/>
      <c r="AD652" s="727"/>
      <c r="AE652" s="727"/>
      <c r="AF652" s="727"/>
      <c r="AG652" s="727"/>
      <c r="AH652" s="727"/>
      <c r="AI652" s="727"/>
      <c r="AJ652" s="727"/>
      <c r="AK652" s="727"/>
      <c r="AL652" s="727"/>
      <c r="AM652" s="727"/>
      <c r="AN652" s="727"/>
      <c r="AO652" s="727"/>
      <c r="AP652" s="727"/>
      <c r="AQ652" s="727"/>
      <c r="AR652" s="727"/>
      <c r="AS652" s="727"/>
      <c r="AT652" s="727"/>
      <c r="AU652" s="727"/>
      <c r="AV652" s="727"/>
      <c r="AW652" s="727"/>
      <c r="AX652" s="727"/>
      <c r="AY652" s="727"/>
      <c r="AZ652" s="727"/>
      <c r="BA652" s="727"/>
      <c r="BB652" s="727"/>
    </row>
    <row r="653" spans="1:54">
      <c r="A653" s="326"/>
      <c r="B653" s="791">
        <v>20</v>
      </c>
      <c r="C653" s="792">
        <v>800</v>
      </c>
      <c r="D653" s="779">
        <v>2.3869999999999999E-2</v>
      </c>
      <c r="E653" s="779">
        <v>3590.1</v>
      </c>
      <c r="F653" s="779">
        <v>4067.5</v>
      </c>
      <c r="G653" s="779">
        <v>7.0530999999999997</v>
      </c>
      <c r="H653" s="727"/>
      <c r="I653" s="727"/>
      <c r="J653" s="727"/>
      <c r="K653" s="727"/>
      <c r="L653" s="727"/>
      <c r="M653" s="727"/>
      <c r="N653" s="727"/>
      <c r="O653" s="727"/>
      <c r="P653" s="727"/>
      <c r="Q653" s="727"/>
      <c r="R653" s="727"/>
      <c r="S653" s="727"/>
      <c r="T653" s="727"/>
      <c r="U653" s="727"/>
      <c r="V653" s="727"/>
      <c r="W653" s="727"/>
      <c r="X653" s="727"/>
      <c r="Y653" s="727"/>
      <c r="Z653" s="727"/>
      <c r="AA653" s="727"/>
      <c r="AB653" s="727"/>
      <c r="AC653" s="727"/>
      <c r="AD653" s="727"/>
      <c r="AE653" s="727"/>
      <c r="AF653" s="727"/>
      <c r="AG653" s="727"/>
      <c r="AH653" s="727"/>
      <c r="AI653" s="727"/>
      <c r="AJ653" s="727"/>
      <c r="AK653" s="727"/>
      <c r="AL653" s="727"/>
      <c r="AM653" s="727"/>
      <c r="AN653" s="727"/>
      <c r="AO653" s="727"/>
      <c r="AP653" s="727"/>
      <c r="AQ653" s="727"/>
      <c r="AR653" s="727"/>
      <c r="AS653" s="727"/>
      <c r="AT653" s="727"/>
      <c r="AU653" s="727"/>
      <c r="AV653" s="727"/>
      <c r="AW653" s="727"/>
      <c r="AX653" s="727"/>
      <c r="AY653" s="727"/>
      <c r="AZ653" s="727"/>
      <c r="BA653" s="727"/>
      <c r="BB653" s="727"/>
    </row>
    <row r="654" spans="1:54">
      <c r="A654" s="326"/>
      <c r="B654" s="791">
        <v>20</v>
      </c>
      <c r="C654" s="792">
        <v>900</v>
      </c>
      <c r="D654" s="779">
        <v>2.6484000000000001E-2</v>
      </c>
      <c r="E654" s="779">
        <v>3795.7</v>
      </c>
      <c r="F654" s="779">
        <v>4325.3999999999996</v>
      </c>
      <c r="G654" s="779">
        <v>7.2828999999999997</v>
      </c>
      <c r="H654" s="727"/>
      <c r="I654" s="727"/>
      <c r="J654" s="727"/>
      <c r="K654" s="727"/>
      <c r="L654" s="727"/>
      <c r="M654" s="727"/>
      <c r="N654" s="727"/>
      <c r="O654" s="727"/>
      <c r="P654" s="727"/>
      <c r="Q654" s="727"/>
      <c r="R654" s="727"/>
      <c r="S654" s="727"/>
      <c r="T654" s="727"/>
      <c r="U654" s="727"/>
      <c r="V654" s="727"/>
      <c r="W654" s="727"/>
      <c r="X654" s="727"/>
      <c r="Y654" s="727"/>
      <c r="Z654" s="727"/>
      <c r="AA654" s="727"/>
      <c r="AB654" s="727"/>
      <c r="AC654" s="727"/>
      <c r="AD654" s="727"/>
      <c r="AE654" s="727"/>
      <c r="AF654" s="727"/>
      <c r="AG654" s="727"/>
      <c r="AH654" s="727"/>
      <c r="AI654" s="727"/>
      <c r="AJ654" s="727"/>
      <c r="AK654" s="727"/>
      <c r="AL654" s="727"/>
      <c r="AM654" s="727"/>
      <c r="AN654" s="727"/>
      <c r="AO654" s="727"/>
      <c r="AP654" s="727"/>
      <c r="AQ654" s="727"/>
      <c r="AR654" s="727"/>
      <c r="AS654" s="727"/>
      <c r="AT654" s="727"/>
      <c r="AU654" s="727"/>
      <c r="AV654" s="727"/>
      <c r="AW654" s="727"/>
      <c r="AX654" s="727"/>
      <c r="AY654" s="727"/>
      <c r="AZ654" s="727"/>
      <c r="BA654" s="727"/>
      <c r="BB654" s="727"/>
    </row>
    <row r="655" spans="1:54">
      <c r="A655" s="326"/>
      <c r="B655" s="791">
        <v>20</v>
      </c>
      <c r="C655" s="792">
        <v>1000</v>
      </c>
      <c r="D655" s="779">
        <v>2.9020000000000001E-2</v>
      </c>
      <c r="E655" s="779">
        <v>4004.3</v>
      </c>
      <c r="F655" s="779">
        <v>4584.7</v>
      </c>
      <c r="G655" s="779">
        <v>7.4950000000000001</v>
      </c>
      <c r="H655" s="727"/>
      <c r="I655" s="727"/>
      <c r="J655" s="727"/>
      <c r="K655" s="727"/>
      <c r="L655" s="727"/>
      <c r="M655" s="727"/>
      <c r="N655" s="727"/>
      <c r="O655" s="727"/>
      <c r="P655" s="727"/>
      <c r="Q655" s="727"/>
      <c r="R655" s="727"/>
      <c r="S655" s="727"/>
      <c r="T655" s="727"/>
      <c r="U655" s="727"/>
      <c r="V655" s="727"/>
      <c r="W655" s="727"/>
      <c r="X655" s="727"/>
      <c r="Y655" s="727"/>
      <c r="Z655" s="727"/>
      <c r="AA655" s="727"/>
      <c r="AB655" s="727"/>
      <c r="AC655" s="727"/>
      <c r="AD655" s="727"/>
      <c r="AE655" s="727"/>
      <c r="AF655" s="727"/>
      <c r="AG655" s="727"/>
      <c r="AH655" s="727"/>
      <c r="AI655" s="727"/>
      <c r="AJ655" s="727"/>
      <c r="AK655" s="727"/>
      <c r="AL655" s="727"/>
      <c r="AM655" s="727"/>
      <c r="AN655" s="727"/>
      <c r="AO655" s="727"/>
      <c r="AP655" s="727"/>
      <c r="AQ655" s="727"/>
      <c r="AR655" s="727"/>
      <c r="AS655" s="727"/>
      <c r="AT655" s="727"/>
      <c r="AU655" s="727"/>
      <c r="AV655" s="727"/>
      <c r="AW655" s="727"/>
      <c r="AX655" s="727"/>
      <c r="AY655" s="727"/>
      <c r="AZ655" s="727"/>
      <c r="BA655" s="727"/>
      <c r="BB655" s="727"/>
    </row>
    <row r="656" spans="1:54">
      <c r="A656" s="326"/>
      <c r="B656" s="791">
        <v>20</v>
      </c>
      <c r="C656" s="792">
        <v>1100</v>
      </c>
      <c r="D656" s="779">
        <v>3.1503999999999997E-2</v>
      </c>
      <c r="E656" s="779">
        <v>4216.8999999999996</v>
      </c>
      <c r="F656" s="779">
        <v>4847</v>
      </c>
      <c r="G656" s="779">
        <v>7.6932999999999998</v>
      </c>
      <c r="H656" s="727"/>
      <c r="I656" s="727"/>
      <c r="J656" s="727"/>
      <c r="K656" s="727"/>
      <c r="L656" s="727"/>
      <c r="M656" s="727"/>
      <c r="N656" s="727"/>
      <c r="O656" s="727"/>
      <c r="P656" s="727"/>
      <c r="Q656" s="727"/>
      <c r="R656" s="727"/>
      <c r="S656" s="727"/>
      <c r="T656" s="727"/>
      <c r="U656" s="727"/>
      <c r="V656" s="727"/>
      <c r="W656" s="727"/>
      <c r="X656" s="727"/>
      <c r="Y656" s="727"/>
      <c r="Z656" s="727"/>
      <c r="AA656" s="727"/>
      <c r="AB656" s="727"/>
      <c r="AC656" s="727"/>
      <c r="AD656" s="727"/>
      <c r="AE656" s="727"/>
      <c r="AF656" s="727"/>
      <c r="AG656" s="727"/>
      <c r="AH656" s="727"/>
      <c r="AI656" s="727"/>
      <c r="AJ656" s="727"/>
      <c r="AK656" s="727"/>
      <c r="AL656" s="727"/>
      <c r="AM656" s="727"/>
      <c r="AN656" s="727"/>
      <c r="AO656" s="727"/>
      <c r="AP656" s="727"/>
      <c r="AQ656" s="727"/>
      <c r="AR656" s="727"/>
      <c r="AS656" s="727"/>
      <c r="AT656" s="727"/>
      <c r="AU656" s="727"/>
      <c r="AV656" s="727"/>
      <c r="AW656" s="727"/>
      <c r="AX656" s="727"/>
      <c r="AY656" s="727"/>
      <c r="AZ656" s="727"/>
      <c r="BA656" s="727"/>
      <c r="BB656" s="727"/>
    </row>
    <row r="657" spans="1:54">
      <c r="A657" s="326"/>
      <c r="B657" s="791">
        <v>20</v>
      </c>
      <c r="C657" s="792">
        <v>1200</v>
      </c>
      <c r="D657" s="779">
        <v>3.3952000000000003E-2</v>
      </c>
      <c r="E657" s="779">
        <v>4433.8</v>
      </c>
      <c r="F657" s="779">
        <v>5112.8999999999996</v>
      </c>
      <c r="G657" s="779">
        <v>7.8802000000000003</v>
      </c>
      <c r="H657" s="727"/>
      <c r="I657" s="727"/>
      <c r="J657" s="727"/>
      <c r="K657" s="727"/>
      <c r="L657" s="727"/>
      <c r="M657" s="727"/>
      <c r="N657" s="727"/>
      <c r="O657" s="727"/>
      <c r="P657" s="727"/>
      <c r="Q657" s="727"/>
      <c r="R657" s="727"/>
      <c r="S657" s="727"/>
      <c r="T657" s="727"/>
      <c r="U657" s="727"/>
      <c r="V657" s="727"/>
      <c r="W657" s="727"/>
      <c r="X657" s="727"/>
      <c r="Y657" s="727"/>
      <c r="Z657" s="727"/>
      <c r="AA657" s="727"/>
      <c r="AB657" s="727"/>
      <c r="AC657" s="727"/>
      <c r="AD657" s="727"/>
      <c r="AE657" s="727"/>
      <c r="AF657" s="727"/>
      <c r="AG657" s="727"/>
      <c r="AH657" s="727"/>
      <c r="AI657" s="727"/>
      <c r="AJ657" s="727"/>
      <c r="AK657" s="727"/>
      <c r="AL657" s="727"/>
      <c r="AM657" s="727"/>
      <c r="AN657" s="727"/>
      <c r="AO657" s="727"/>
      <c r="AP657" s="727"/>
      <c r="AQ657" s="727"/>
      <c r="AR657" s="727"/>
      <c r="AS657" s="727"/>
      <c r="AT657" s="727"/>
      <c r="AU657" s="727"/>
      <c r="AV657" s="727"/>
      <c r="AW657" s="727"/>
      <c r="AX657" s="727"/>
      <c r="AY657" s="727"/>
      <c r="AZ657" s="727"/>
      <c r="BA657" s="727"/>
      <c r="BB657" s="727"/>
    </row>
    <row r="658" spans="1:54">
      <c r="A658" s="326"/>
      <c r="B658" s="791">
        <v>20</v>
      </c>
      <c r="C658" s="792">
        <v>1300</v>
      </c>
      <c r="D658" s="779">
        <v>3.6371000000000001E-2</v>
      </c>
      <c r="E658" s="779">
        <v>4655.2</v>
      </c>
      <c r="F658" s="779">
        <v>5382.7</v>
      </c>
      <c r="G658" s="779">
        <v>8.0573999999999995</v>
      </c>
      <c r="H658" s="727"/>
      <c r="I658" s="727"/>
      <c r="J658" s="727"/>
      <c r="K658" s="727"/>
      <c r="L658" s="727"/>
      <c r="M658" s="727"/>
      <c r="N658" s="727"/>
      <c r="O658" s="727"/>
      <c r="P658" s="727"/>
      <c r="Q658" s="727"/>
      <c r="R658" s="727"/>
      <c r="S658" s="727"/>
      <c r="T658" s="727"/>
      <c r="U658" s="727"/>
      <c r="V658" s="727"/>
      <c r="W658" s="727"/>
      <c r="X658" s="727"/>
      <c r="Y658" s="727"/>
      <c r="Z658" s="727"/>
      <c r="AA658" s="727"/>
      <c r="AB658" s="727"/>
      <c r="AC658" s="727"/>
      <c r="AD658" s="727"/>
      <c r="AE658" s="727"/>
      <c r="AF658" s="727"/>
      <c r="AG658" s="727"/>
      <c r="AH658" s="727"/>
      <c r="AI658" s="727"/>
      <c r="AJ658" s="727"/>
      <c r="AK658" s="727"/>
      <c r="AL658" s="727"/>
      <c r="AM658" s="727"/>
      <c r="AN658" s="727"/>
      <c r="AO658" s="727"/>
      <c r="AP658" s="727"/>
      <c r="AQ658" s="727"/>
      <c r="AR658" s="727"/>
      <c r="AS658" s="727"/>
      <c r="AT658" s="727"/>
      <c r="AU658" s="727"/>
      <c r="AV658" s="727"/>
      <c r="AW658" s="727"/>
      <c r="AX658" s="727"/>
      <c r="AY658" s="727"/>
      <c r="AZ658" s="727"/>
      <c r="BA658" s="727"/>
      <c r="BB658" s="727"/>
    </row>
    <row r="659" spans="1:54">
      <c r="A659" s="326"/>
      <c r="B659" s="791">
        <v>25</v>
      </c>
      <c r="C659" s="792">
        <v>375</v>
      </c>
      <c r="D659" s="779">
        <v>1.9780000000000002E-3</v>
      </c>
      <c r="E659" s="779">
        <v>1799.9</v>
      </c>
      <c r="F659" s="779">
        <v>1849.4</v>
      </c>
      <c r="G659" s="779">
        <v>4.0345000000000004</v>
      </c>
      <c r="H659" s="727"/>
      <c r="I659" s="727"/>
      <c r="J659" s="727"/>
      <c r="K659" s="727"/>
      <c r="L659" s="727"/>
      <c r="M659" s="727"/>
      <c r="N659" s="727"/>
      <c r="O659" s="727"/>
      <c r="P659" s="727"/>
      <c r="Q659" s="727"/>
      <c r="R659" s="727"/>
      <c r="S659" s="727"/>
      <c r="T659" s="727"/>
      <c r="U659" s="727"/>
      <c r="V659" s="727"/>
      <c r="W659" s="727"/>
      <c r="X659" s="727"/>
      <c r="Y659" s="727"/>
      <c r="Z659" s="727"/>
      <c r="AA659" s="727"/>
      <c r="AB659" s="727"/>
      <c r="AC659" s="727"/>
      <c r="AD659" s="727"/>
      <c r="AE659" s="727"/>
      <c r="AF659" s="727"/>
      <c r="AG659" s="727"/>
      <c r="AH659" s="727"/>
      <c r="AI659" s="727"/>
      <c r="AJ659" s="727"/>
      <c r="AK659" s="727"/>
      <c r="AL659" s="727"/>
      <c r="AM659" s="727"/>
      <c r="AN659" s="727"/>
      <c r="AO659" s="727"/>
      <c r="AP659" s="727"/>
      <c r="AQ659" s="727"/>
      <c r="AR659" s="727"/>
      <c r="AS659" s="727"/>
      <c r="AT659" s="727"/>
      <c r="AU659" s="727"/>
      <c r="AV659" s="727"/>
      <c r="AW659" s="727"/>
      <c r="AX659" s="727"/>
      <c r="AY659" s="727"/>
      <c r="AZ659" s="727"/>
      <c r="BA659" s="727"/>
      <c r="BB659" s="727"/>
    </row>
    <row r="660" spans="1:54">
      <c r="A660" s="326"/>
      <c r="B660" s="791">
        <v>25</v>
      </c>
      <c r="C660" s="792">
        <v>400</v>
      </c>
      <c r="D660" s="779">
        <v>6.0049999999999999E-3</v>
      </c>
      <c r="E660" s="779">
        <v>2428.5</v>
      </c>
      <c r="F660" s="779">
        <v>2578.6999999999998</v>
      </c>
      <c r="G660" s="779">
        <v>5.14</v>
      </c>
      <c r="H660" s="727"/>
      <c r="I660" s="727"/>
      <c r="J660" s="727"/>
      <c r="K660" s="727"/>
      <c r="L660" s="727"/>
      <c r="M660" s="727"/>
      <c r="N660" s="727"/>
      <c r="O660" s="727"/>
      <c r="P660" s="727"/>
      <c r="Q660" s="727"/>
      <c r="R660" s="727"/>
      <c r="S660" s="727"/>
      <c r="T660" s="727"/>
      <c r="U660" s="727"/>
      <c r="V660" s="727"/>
      <c r="W660" s="727"/>
      <c r="X660" s="727"/>
      <c r="Y660" s="727"/>
      <c r="Z660" s="727"/>
      <c r="AA660" s="727"/>
      <c r="AB660" s="727"/>
      <c r="AC660" s="727"/>
      <c r="AD660" s="727"/>
      <c r="AE660" s="727"/>
      <c r="AF660" s="727"/>
      <c r="AG660" s="727"/>
      <c r="AH660" s="727"/>
      <c r="AI660" s="727"/>
      <c r="AJ660" s="727"/>
      <c r="AK660" s="727"/>
      <c r="AL660" s="727"/>
      <c r="AM660" s="727"/>
      <c r="AN660" s="727"/>
      <c r="AO660" s="727"/>
      <c r="AP660" s="727"/>
      <c r="AQ660" s="727"/>
      <c r="AR660" s="727"/>
      <c r="AS660" s="727"/>
      <c r="AT660" s="727"/>
      <c r="AU660" s="727"/>
      <c r="AV660" s="727"/>
      <c r="AW660" s="727"/>
      <c r="AX660" s="727"/>
      <c r="AY660" s="727"/>
      <c r="AZ660" s="727"/>
      <c r="BA660" s="727"/>
      <c r="BB660" s="727"/>
    </row>
    <row r="661" spans="1:54">
      <c r="A661" s="326"/>
      <c r="B661" s="791">
        <v>25</v>
      </c>
      <c r="C661" s="792">
        <v>425</v>
      </c>
      <c r="D661" s="779">
        <v>7.8860000000000006E-3</v>
      </c>
      <c r="E661" s="779">
        <v>2607.8000000000002</v>
      </c>
      <c r="F661" s="779">
        <v>2805</v>
      </c>
      <c r="G661" s="779">
        <v>5.4707999999999997</v>
      </c>
      <c r="H661" s="727"/>
      <c r="I661" s="727"/>
      <c r="J661" s="727"/>
      <c r="K661" s="727"/>
      <c r="L661" s="727"/>
      <c r="M661" s="727"/>
      <c r="N661" s="727"/>
      <c r="O661" s="727"/>
      <c r="P661" s="727"/>
      <c r="Q661" s="727"/>
      <c r="R661" s="727"/>
      <c r="S661" s="727"/>
      <c r="T661" s="727"/>
      <c r="U661" s="727"/>
      <c r="V661" s="727"/>
      <c r="W661" s="727"/>
      <c r="X661" s="727"/>
      <c r="Y661" s="727"/>
      <c r="Z661" s="727"/>
      <c r="AA661" s="727"/>
      <c r="AB661" s="727"/>
      <c r="AC661" s="727"/>
      <c r="AD661" s="727"/>
      <c r="AE661" s="727"/>
      <c r="AF661" s="727"/>
      <c r="AG661" s="727"/>
      <c r="AH661" s="727"/>
      <c r="AI661" s="727"/>
      <c r="AJ661" s="727"/>
      <c r="AK661" s="727"/>
      <c r="AL661" s="727"/>
      <c r="AM661" s="727"/>
      <c r="AN661" s="727"/>
      <c r="AO661" s="727"/>
      <c r="AP661" s="727"/>
      <c r="AQ661" s="727"/>
      <c r="AR661" s="727"/>
      <c r="AS661" s="727"/>
      <c r="AT661" s="727"/>
      <c r="AU661" s="727"/>
      <c r="AV661" s="727"/>
      <c r="AW661" s="727"/>
      <c r="AX661" s="727"/>
      <c r="AY661" s="727"/>
      <c r="AZ661" s="727"/>
      <c r="BA661" s="727"/>
      <c r="BB661" s="727"/>
    </row>
    <row r="662" spans="1:54">
      <c r="A662" s="326"/>
      <c r="B662" s="791">
        <v>25</v>
      </c>
      <c r="C662" s="792">
        <v>450</v>
      </c>
      <c r="D662" s="779">
        <v>9.1760000000000001E-3</v>
      </c>
      <c r="E662" s="779">
        <v>2721.2</v>
      </c>
      <c r="F662" s="779">
        <v>2950.6</v>
      </c>
      <c r="G662" s="779">
        <v>5.6759000000000004</v>
      </c>
      <c r="H662" s="727"/>
      <c r="I662" s="727"/>
      <c r="J662" s="727"/>
      <c r="K662" s="727"/>
      <c r="L662" s="727"/>
      <c r="M662" s="727"/>
      <c r="N662" s="727"/>
      <c r="O662" s="727"/>
      <c r="P662" s="727"/>
      <c r="Q662" s="727"/>
      <c r="R662" s="727"/>
      <c r="S662" s="727"/>
      <c r="T662" s="727"/>
      <c r="U662" s="727"/>
      <c r="V662" s="727"/>
      <c r="W662" s="727"/>
      <c r="X662" s="727"/>
      <c r="Y662" s="727"/>
      <c r="Z662" s="727"/>
      <c r="AA662" s="727"/>
      <c r="AB662" s="727"/>
      <c r="AC662" s="727"/>
      <c r="AD662" s="727"/>
      <c r="AE662" s="727"/>
      <c r="AF662" s="727"/>
      <c r="AG662" s="727"/>
      <c r="AH662" s="727"/>
      <c r="AI662" s="727"/>
      <c r="AJ662" s="727"/>
      <c r="AK662" s="727"/>
      <c r="AL662" s="727"/>
      <c r="AM662" s="727"/>
      <c r="AN662" s="727"/>
      <c r="AO662" s="727"/>
      <c r="AP662" s="727"/>
      <c r="AQ662" s="727"/>
      <c r="AR662" s="727"/>
      <c r="AS662" s="727"/>
      <c r="AT662" s="727"/>
      <c r="AU662" s="727"/>
      <c r="AV662" s="727"/>
      <c r="AW662" s="727"/>
      <c r="AX662" s="727"/>
      <c r="AY662" s="727"/>
      <c r="AZ662" s="727"/>
      <c r="BA662" s="727"/>
      <c r="BB662" s="727"/>
    </row>
    <row r="663" spans="1:54">
      <c r="A663" s="326"/>
      <c r="B663" s="791">
        <v>25</v>
      </c>
      <c r="C663" s="792">
        <v>500</v>
      </c>
      <c r="D663" s="779">
        <v>1.1143E-2</v>
      </c>
      <c r="E663" s="779">
        <v>2887.3</v>
      </c>
      <c r="F663" s="779">
        <v>3165.9</v>
      </c>
      <c r="G663" s="779">
        <v>5.9642999999999997</v>
      </c>
      <c r="H663" s="727"/>
      <c r="I663" s="727"/>
      <c r="J663" s="727"/>
      <c r="K663" s="727"/>
      <c r="L663" s="727"/>
      <c r="M663" s="727"/>
      <c r="N663" s="727"/>
      <c r="O663" s="727"/>
      <c r="P663" s="727"/>
      <c r="Q663" s="727"/>
      <c r="R663" s="727"/>
      <c r="S663" s="727"/>
      <c r="T663" s="727"/>
      <c r="U663" s="727"/>
      <c r="V663" s="727"/>
      <c r="W663" s="727"/>
      <c r="X663" s="727"/>
      <c r="Y663" s="727"/>
      <c r="Z663" s="727"/>
      <c r="AA663" s="727"/>
      <c r="AB663" s="727"/>
      <c r="AC663" s="727"/>
      <c r="AD663" s="727"/>
      <c r="AE663" s="727"/>
      <c r="AF663" s="727"/>
      <c r="AG663" s="727"/>
      <c r="AH663" s="727"/>
      <c r="AI663" s="727"/>
      <c r="AJ663" s="727"/>
      <c r="AK663" s="727"/>
      <c r="AL663" s="727"/>
      <c r="AM663" s="727"/>
      <c r="AN663" s="727"/>
      <c r="AO663" s="727"/>
      <c r="AP663" s="727"/>
      <c r="AQ663" s="727"/>
      <c r="AR663" s="727"/>
      <c r="AS663" s="727"/>
      <c r="AT663" s="727"/>
      <c r="AU663" s="727"/>
      <c r="AV663" s="727"/>
      <c r="AW663" s="727"/>
      <c r="AX663" s="727"/>
      <c r="AY663" s="727"/>
      <c r="AZ663" s="727"/>
      <c r="BA663" s="727"/>
      <c r="BB663" s="727"/>
    </row>
    <row r="664" spans="1:54">
      <c r="A664" s="326"/>
      <c r="B664" s="791">
        <v>25</v>
      </c>
      <c r="C664" s="792">
        <v>550</v>
      </c>
      <c r="D664" s="779">
        <v>1.2736000000000001E-2</v>
      </c>
      <c r="E664" s="779">
        <v>3020.8</v>
      </c>
      <c r="F664" s="779">
        <v>3339.2</v>
      </c>
      <c r="G664" s="779">
        <v>6.1816000000000004</v>
      </c>
      <c r="H664" s="727"/>
      <c r="I664" s="727"/>
      <c r="J664" s="727"/>
      <c r="K664" s="727"/>
      <c r="L664" s="727"/>
      <c r="M664" s="727"/>
      <c r="N664" s="727"/>
      <c r="O664" s="727"/>
      <c r="P664" s="727"/>
      <c r="Q664" s="727"/>
      <c r="R664" s="727"/>
      <c r="S664" s="727"/>
      <c r="T664" s="727"/>
      <c r="U664" s="727"/>
      <c r="V664" s="727"/>
      <c r="W664" s="727"/>
      <c r="X664" s="727"/>
      <c r="Y664" s="727"/>
      <c r="Z664" s="727"/>
      <c r="AA664" s="727"/>
      <c r="AB664" s="727"/>
      <c r="AC664" s="727"/>
      <c r="AD664" s="727"/>
      <c r="AE664" s="727"/>
      <c r="AF664" s="727"/>
      <c r="AG664" s="727"/>
      <c r="AH664" s="727"/>
      <c r="AI664" s="727"/>
      <c r="AJ664" s="727"/>
      <c r="AK664" s="727"/>
      <c r="AL664" s="727"/>
      <c r="AM664" s="727"/>
      <c r="AN664" s="727"/>
      <c r="AO664" s="727"/>
      <c r="AP664" s="727"/>
      <c r="AQ664" s="727"/>
      <c r="AR664" s="727"/>
      <c r="AS664" s="727"/>
      <c r="AT664" s="727"/>
      <c r="AU664" s="727"/>
      <c r="AV664" s="727"/>
      <c r="AW664" s="727"/>
      <c r="AX664" s="727"/>
      <c r="AY664" s="727"/>
      <c r="AZ664" s="727"/>
      <c r="BA664" s="727"/>
      <c r="BB664" s="727"/>
    </row>
    <row r="665" spans="1:54">
      <c r="A665" s="326"/>
      <c r="B665" s="791">
        <v>25</v>
      </c>
      <c r="C665" s="792">
        <v>600</v>
      </c>
      <c r="D665" s="779">
        <v>1.414E-2</v>
      </c>
      <c r="E665" s="779">
        <v>3140</v>
      </c>
      <c r="F665" s="779">
        <v>3493.5</v>
      </c>
      <c r="G665" s="779">
        <v>6.3636999999999997</v>
      </c>
      <c r="H665" s="727"/>
      <c r="I665" s="727"/>
      <c r="J665" s="727"/>
      <c r="K665" s="727"/>
      <c r="L665" s="727"/>
      <c r="M665" s="727"/>
      <c r="N665" s="727"/>
      <c r="O665" s="727"/>
      <c r="P665" s="727"/>
      <c r="Q665" s="727"/>
      <c r="R665" s="727"/>
      <c r="S665" s="727"/>
      <c r="T665" s="727"/>
      <c r="U665" s="727"/>
      <c r="V665" s="727"/>
      <c r="W665" s="727"/>
      <c r="X665" s="727"/>
      <c r="Y665" s="727"/>
      <c r="Z665" s="727"/>
      <c r="AA665" s="727"/>
      <c r="AB665" s="727"/>
      <c r="AC665" s="727"/>
      <c r="AD665" s="727"/>
      <c r="AE665" s="727"/>
      <c r="AF665" s="727"/>
      <c r="AG665" s="727"/>
      <c r="AH665" s="727"/>
      <c r="AI665" s="727"/>
      <c r="AJ665" s="727"/>
      <c r="AK665" s="727"/>
      <c r="AL665" s="727"/>
      <c r="AM665" s="727"/>
      <c r="AN665" s="727"/>
      <c r="AO665" s="727"/>
      <c r="AP665" s="727"/>
      <c r="AQ665" s="727"/>
      <c r="AR665" s="727"/>
      <c r="AS665" s="727"/>
      <c r="AT665" s="727"/>
      <c r="AU665" s="727"/>
      <c r="AV665" s="727"/>
      <c r="AW665" s="727"/>
      <c r="AX665" s="727"/>
      <c r="AY665" s="727"/>
      <c r="AZ665" s="727"/>
      <c r="BA665" s="727"/>
      <c r="BB665" s="727"/>
    </row>
    <row r="666" spans="1:54">
      <c r="A666" s="326"/>
      <c r="B666" s="791">
        <v>25</v>
      </c>
      <c r="C666" s="792">
        <v>650</v>
      </c>
      <c r="D666" s="779">
        <v>1.5429999999999999E-2</v>
      </c>
      <c r="E666" s="779">
        <v>3251.9</v>
      </c>
      <c r="F666" s="779">
        <v>3637.7</v>
      </c>
      <c r="G666" s="779">
        <v>6.5243000000000002</v>
      </c>
      <c r="H666" s="727"/>
      <c r="I666" s="727"/>
      <c r="J666" s="727"/>
      <c r="K666" s="727"/>
      <c r="L666" s="727"/>
      <c r="M666" s="727"/>
      <c r="N666" s="727"/>
      <c r="O666" s="727"/>
      <c r="P666" s="727"/>
      <c r="Q666" s="727"/>
      <c r="R666" s="727"/>
      <c r="S666" s="727"/>
      <c r="T666" s="727"/>
      <c r="U666" s="727"/>
      <c r="V666" s="727"/>
      <c r="W666" s="727"/>
      <c r="X666" s="727"/>
      <c r="Y666" s="727"/>
      <c r="Z666" s="727"/>
      <c r="AA666" s="727"/>
      <c r="AB666" s="727"/>
      <c r="AC666" s="727"/>
      <c r="AD666" s="727"/>
      <c r="AE666" s="727"/>
      <c r="AF666" s="727"/>
      <c r="AG666" s="727"/>
      <c r="AH666" s="727"/>
      <c r="AI666" s="727"/>
      <c r="AJ666" s="727"/>
      <c r="AK666" s="727"/>
      <c r="AL666" s="727"/>
      <c r="AM666" s="727"/>
      <c r="AN666" s="727"/>
      <c r="AO666" s="727"/>
      <c r="AP666" s="727"/>
      <c r="AQ666" s="727"/>
      <c r="AR666" s="727"/>
      <c r="AS666" s="727"/>
      <c r="AT666" s="727"/>
      <c r="AU666" s="727"/>
      <c r="AV666" s="727"/>
      <c r="AW666" s="727"/>
      <c r="AX666" s="727"/>
      <c r="AY666" s="727"/>
      <c r="AZ666" s="727"/>
      <c r="BA666" s="727"/>
      <c r="BB666" s="727"/>
    </row>
    <row r="667" spans="1:54">
      <c r="A667" s="326"/>
      <c r="B667" s="791">
        <v>25</v>
      </c>
      <c r="C667" s="792">
        <v>700</v>
      </c>
      <c r="D667" s="779">
        <v>1.6643000000000002E-2</v>
      </c>
      <c r="E667" s="779">
        <v>3359.9</v>
      </c>
      <c r="F667" s="779">
        <v>3776</v>
      </c>
      <c r="G667" s="779">
        <v>6.6702000000000004</v>
      </c>
      <c r="H667" s="727"/>
      <c r="I667" s="727"/>
      <c r="J667" s="727"/>
      <c r="K667" s="727"/>
      <c r="L667" s="727"/>
      <c r="M667" s="727"/>
      <c r="N667" s="727"/>
      <c r="O667" s="727"/>
      <c r="P667" s="727"/>
      <c r="Q667" s="727"/>
      <c r="R667" s="727"/>
      <c r="S667" s="727"/>
      <c r="T667" s="727"/>
      <c r="U667" s="727"/>
      <c r="V667" s="727"/>
      <c r="W667" s="727"/>
      <c r="X667" s="727"/>
      <c r="Y667" s="727"/>
      <c r="Z667" s="727"/>
      <c r="AA667" s="727"/>
      <c r="AB667" s="727"/>
      <c r="AC667" s="727"/>
      <c r="AD667" s="727"/>
      <c r="AE667" s="727"/>
      <c r="AF667" s="727"/>
      <c r="AG667" s="727"/>
      <c r="AH667" s="727"/>
      <c r="AI667" s="727"/>
      <c r="AJ667" s="727"/>
      <c r="AK667" s="727"/>
      <c r="AL667" s="727"/>
      <c r="AM667" s="727"/>
      <c r="AN667" s="727"/>
      <c r="AO667" s="727"/>
      <c r="AP667" s="727"/>
      <c r="AQ667" s="727"/>
      <c r="AR667" s="727"/>
      <c r="AS667" s="727"/>
      <c r="AT667" s="727"/>
      <c r="AU667" s="727"/>
      <c r="AV667" s="727"/>
      <c r="AW667" s="727"/>
      <c r="AX667" s="727"/>
      <c r="AY667" s="727"/>
      <c r="AZ667" s="727"/>
      <c r="BA667" s="727"/>
      <c r="BB667" s="727"/>
    </row>
    <row r="668" spans="1:54">
      <c r="A668" s="326"/>
      <c r="B668" s="791">
        <v>25</v>
      </c>
      <c r="C668" s="792">
        <v>800</v>
      </c>
      <c r="D668" s="779">
        <v>1.8922000000000001E-2</v>
      </c>
      <c r="E668" s="779">
        <v>3570.7</v>
      </c>
      <c r="F668" s="779">
        <v>4043.8</v>
      </c>
      <c r="G668" s="779">
        <v>6.9321999999999999</v>
      </c>
      <c r="H668" s="727"/>
      <c r="I668" s="727"/>
      <c r="J668" s="727"/>
      <c r="K668" s="727"/>
      <c r="L668" s="727"/>
      <c r="M668" s="727"/>
      <c r="N668" s="727"/>
      <c r="O668" s="727"/>
      <c r="P668" s="727"/>
      <c r="Q668" s="727"/>
      <c r="R668" s="727"/>
      <c r="S668" s="727"/>
      <c r="T668" s="727"/>
      <c r="U668" s="727"/>
      <c r="V668" s="727"/>
      <c r="W668" s="727"/>
      <c r="X668" s="727"/>
      <c r="Y668" s="727"/>
      <c r="Z668" s="727"/>
      <c r="AA668" s="727"/>
      <c r="AB668" s="727"/>
      <c r="AC668" s="727"/>
      <c r="AD668" s="727"/>
      <c r="AE668" s="727"/>
      <c r="AF668" s="727"/>
      <c r="AG668" s="727"/>
      <c r="AH668" s="727"/>
      <c r="AI668" s="727"/>
      <c r="AJ668" s="727"/>
      <c r="AK668" s="727"/>
      <c r="AL668" s="727"/>
      <c r="AM668" s="727"/>
      <c r="AN668" s="727"/>
      <c r="AO668" s="727"/>
      <c r="AP668" s="727"/>
      <c r="AQ668" s="727"/>
      <c r="AR668" s="727"/>
      <c r="AS668" s="727"/>
      <c r="AT668" s="727"/>
      <c r="AU668" s="727"/>
      <c r="AV668" s="727"/>
      <c r="AW668" s="727"/>
      <c r="AX668" s="727"/>
      <c r="AY668" s="727"/>
      <c r="AZ668" s="727"/>
      <c r="BA668" s="727"/>
      <c r="BB668" s="727"/>
    </row>
    <row r="669" spans="1:54">
      <c r="A669" s="326"/>
      <c r="B669" s="791">
        <v>25</v>
      </c>
      <c r="C669" s="792">
        <v>900</v>
      </c>
      <c r="D669" s="779">
        <v>2.1075E-2</v>
      </c>
      <c r="E669" s="779">
        <v>3780.2</v>
      </c>
      <c r="F669" s="779">
        <v>4307.1000000000004</v>
      </c>
      <c r="G669" s="779">
        <v>7.1668000000000003</v>
      </c>
      <c r="H669" s="727"/>
      <c r="I669" s="727"/>
      <c r="J669" s="727"/>
      <c r="K669" s="727"/>
      <c r="L669" s="727"/>
      <c r="M669" s="727"/>
      <c r="N669" s="727"/>
      <c r="O669" s="727"/>
      <c r="P669" s="727"/>
      <c r="Q669" s="727"/>
      <c r="R669" s="727"/>
      <c r="S669" s="727"/>
      <c r="T669" s="727"/>
      <c r="U669" s="727"/>
      <c r="V669" s="727"/>
      <c r="W669" s="727"/>
      <c r="X669" s="727"/>
      <c r="Y669" s="727"/>
      <c r="Z669" s="727"/>
      <c r="AA669" s="727"/>
      <c r="AB669" s="727"/>
      <c r="AC669" s="727"/>
      <c r="AD669" s="727"/>
      <c r="AE669" s="727"/>
      <c r="AF669" s="727"/>
      <c r="AG669" s="727"/>
      <c r="AH669" s="727"/>
      <c r="AI669" s="727"/>
      <c r="AJ669" s="727"/>
      <c r="AK669" s="727"/>
      <c r="AL669" s="727"/>
      <c r="AM669" s="727"/>
      <c r="AN669" s="727"/>
      <c r="AO669" s="727"/>
      <c r="AP669" s="727"/>
      <c r="AQ669" s="727"/>
      <c r="AR669" s="727"/>
      <c r="AS669" s="727"/>
      <c r="AT669" s="727"/>
      <c r="AU669" s="727"/>
      <c r="AV669" s="727"/>
      <c r="AW669" s="727"/>
      <c r="AX669" s="727"/>
      <c r="AY669" s="727"/>
      <c r="AZ669" s="727"/>
      <c r="BA669" s="727"/>
      <c r="BB669" s="727"/>
    </row>
    <row r="670" spans="1:54">
      <c r="A670" s="326"/>
      <c r="B670" s="791">
        <v>25</v>
      </c>
      <c r="C670" s="792">
        <v>1000</v>
      </c>
      <c r="D670" s="779">
        <v>2.315E-2</v>
      </c>
      <c r="E670" s="779">
        <v>3991.5</v>
      </c>
      <c r="F670" s="779">
        <v>4570.2</v>
      </c>
      <c r="G670" s="779">
        <v>7.3821000000000003</v>
      </c>
      <c r="H670" s="727"/>
      <c r="I670" s="727"/>
      <c r="J670" s="727"/>
      <c r="K670" s="727"/>
      <c r="L670" s="727"/>
      <c r="M670" s="727"/>
      <c r="N670" s="727"/>
      <c r="O670" s="727"/>
      <c r="P670" s="727"/>
      <c r="Q670" s="727"/>
      <c r="R670" s="727"/>
      <c r="S670" s="727"/>
      <c r="T670" s="727"/>
      <c r="U670" s="727"/>
      <c r="V670" s="727"/>
      <c r="W670" s="727"/>
      <c r="X670" s="727"/>
      <c r="Y670" s="727"/>
      <c r="Z670" s="727"/>
      <c r="AA670" s="727"/>
      <c r="AB670" s="727"/>
      <c r="AC670" s="727"/>
      <c r="AD670" s="727"/>
      <c r="AE670" s="727"/>
      <c r="AF670" s="727"/>
      <c r="AG670" s="727"/>
      <c r="AH670" s="727"/>
      <c r="AI670" s="727"/>
      <c r="AJ670" s="727"/>
      <c r="AK670" s="727"/>
      <c r="AL670" s="727"/>
      <c r="AM670" s="727"/>
      <c r="AN670" s="727"/>
      <c r="AO670" s="727"/>
      <c r="AP670" s="727"/>
      <c r="AQ670" s="727"/>
      <c r="AR670" s="727"/>
      <c r="AS670" s="727"/>
      <c r="AT670" s="727"/>
      <c r="AU670" s="727"/>
      <c r="AV670" s="727"/>
      <c r="AW670" s="727"/>
      <c r="AX670" s="727"/>
      <c r="AY670" s="727"/>
      <c r="AZ670" s="727"/>
      <c r="BA670" s="727"/>
      <c r="BB670" s="727"/>
    </row>
    <row r="671" spans="1:54">
      <c r="A671" s="326"/>
      <c r="B671" s="791">
        <v>25</v>
      </c>
      <c r="C671" s="792">
        <v>1100</v>
      </c>
      <c r="D671" s="779">
        <v>2.5172E-2</v>
      </c>
      <c r="E671" s="779">
        <v>4206.1000000000004</v>
      </c>
      <c r="F671" s="779">
        <v>4835.3999999999996</v>
      </c>
      <c r="G671" s="779">
        <v>7.5824999999999996</v>
      </c>
      <c r="H671" s="727"/>
      <c r="I671" s="727"/>
      <c r="J671" s="727"/>
      <c r="K671" s="727"/>
      <c r="L671" s="727"/>
      <c r="M671" s="727"/>
      <c r="N671" s="727"/>
      <c r="O671" s="727"/>
      <c r="P671" s="727"/>
      <c r="Q671" s="727"/>
      <c r="R671" s="727"/>
      <c r="S671" s="727"/>
      <c r="T671" s="727"/>
      <c r="U671" s="727"/>
      <c r="V671" s="727"/>
      <c r="W671" s="727"/>
      <c r="X671" s="727"/>
      <c r="Y671" s="727"/>
      <c r="Z671" s="727"/>
      <c r="AA671" s="727"/>
      <c r="AB671" s="727"/>
      <c r="AC671" s="727"/>
      <c r="AD671" s="727"/>
      <c r="AE671" s="727"/>
      <c r="AF671" s="727"/>
      <c r="AG671" s="727"/>
      <c r="AH671" s="727"/>
      <c r="AI671" s="727"/>
      <c r="AJ671" s="727"/>
      <c r="AK671" s="727"/>
      <c r="AL671" s="727"/>
      <c r="AM671" s="727"/>
      <c r="AN671" s="727"/>
      <c r="AO671" s="727"/>
      <c r="AP671" s="727"/>
      <c r="AQ671" s="727"/>
      <c r="AR671" s="727"/>
      <c r="AS671" s="727"/>
      <c r="AT671" s="727"/>
      <c r="AU671" s="727"/>
      <c r="AV671" s="727"/>
      <c r="AW671" s="727"/>
      <c r="AX671" s="727"/>
      <c r="AY671" s="727"/>
      <c r="AZ671" s="727"/>
      <c r="BA671" s="727"/>
      <c r="BB671" s="727"/>
    </row>
    <row r="672" spans="1:54">
      <c r="A672" s="326"/>
      <c r="B672" s="791">
        <v>25</v>
      </c>
      <c r="C672" s="792">
        <v>1200</v>
      </c>
      <c r="D672" s="779">
        <v>2.7157000000000001E-2</v>
      </c>
      <c r="E672" s="779">
        <v>4424.6000000000004</v>
      </c>
      <c r="F672" s="779">
        <v>5103.5</v>
      </c>
      <c r="G672" s="779">
        <v>7.7709999999999999</v>
      </c>
      <c r="H672" s="727"/>
      <c r="I672" s="727"/>
      <c r="J672" s="727"/>
      <c r="K672" s="727"/>
      <c r="L672" s="727"/>
      <c r="M672" s="727"/>
      <c r="N672" s="727"/>
      <c r="O672" s="727"/>
      <c r="P672" s="727"/>
      <c r="Q672" s="727"/>
      <c r="R672" s="727"/>
      <c r="S672" s="727"/>
      <c r="T672" s="727"/>
      <c r="U672" s="727"/>
      <c r="V672" s="727"/>
      <c r="W672" s="727"/>
      <c r="X672" s="727"/>
      <c r="Y672" s="727"/>
      <c r="Z672" s="727"/>
      <c r="AA672" s="727"/>
      <c r="AB672" s="727"/>
      <c r="AC672" s="727"/>
      <c r="AD672" s="727"/>
      <c r="AE672" s="727"/>
      <c r="AF672" s="727"/>
      <c r="AG672" s="727"/>
      <c r="AH672" s="727"/>
      <c r="AI672" s="727"/>
      <c r="AJ672" s="727"/>
      <c r="AK672" s="727"/>
      <c r="AL672" s="727"/>
      <c r="AM672" s="727"/>
      <c r="AN672" s="727"/>
      <c r="AO672" s="727"/>
      <c r="AP672" s="727"/>
      <c r="AQ672" s="727"/>
      <c r="AR672" s="727"/>
      <c r="AS672" s="727"/>
      <c r="AT672" s="727"/>
      <c r="AU672" s="727"/>
      <c r="AV672" s="727"/>
      <c r="AW672" s="727"/>
      <c r="AX672" s="727"/>
      <c r="AY672" s="727"/>
      <c r="AZ672" s="727"/>
      <c r="BA672" s="727"/>
      <c r="BB672" s="727"/>
    </row>
    <row r="673" spans="1:54">
      <c r="A673" s="326"/>
      <c r="B673" s="791">
        <v>25</v>
      </c>
      <c r="C673" s="792">
        <v>1300</v>
      </c>
      <c r="D673" s="779">
        <v>2.9114999999999999E-2</v>
      </c>
      <c r="E673" s="779">
        <v>4647.2</v>
      </c>
      <c r="F673" s="779">
        <v>5375.1</v>
      </c>
      <c r="G673" s="779">
        <v>7.9493999999999998</v>
      </c>
      <c r="H673" s="727"/>
      <c r="I673" s="727"/>
      <c r="J673" s="727"/>
      <c r="K673" s="727"/>
      <c r="L673" s="727"/>
      <c r="M673" s="727"/>
      <c r="N673" s="727"/>
      <c r="O673" s="727"/>
      <c r="P673" s="727"/>
      <c r="Q673" s="727"/>
      <c r="R673" s="727"/>
      <c r="S673" s="727"/>
      <c r="T673" s="727"/>
      <c r="U673" s="727"/>
      <c r="V673" s="727"/>
      <c r="W673" s="727"/>
      <c r="X673" s="727"/>
      <c r="Y673" s="727"/>
      <c r="Z673" s="727"/>
      <c r="AA673" s="727"/>
      <c r="AB673" s="727"/>
      <c r="AC673" s="727"/>
      <c r="AD673" s="727"/>
      <c r="AE673" s="727"/>
      <c r="AF673" s="727"/>
      <c r="AG673" s="727"/>
      <c r="AH673" s="727"/>
      <c r="AI673" s="727"/>
      <c r="AJ673" s="727"/>
      <c r="AK673" s="727"/>
      <c r="AL673" s="727"/>
      <c r="AM673" s="727"/>
      <c r="AN673" s="727"/>
      <c r="AO673" s="727"/>
      <c r="AP673" s="727"/>
      <c r="AQ673" s="727"/>
      <c r="AR673" s="727"/>
      <c r="AS673" s="727"/>
      <c r="AT673" s="727"/>
      <c r="AU673" s="727"/>
      <c r="AV673" s="727"/>
      <c r="AW673" s="727"/>
      <c r="AX673" s="727"/>
      <c r="AY673" s="727"/>
      <c r="AZ673" s="727"/>
      <c r="BA673" s="727"/>
      <c r="BB673" s="727"/>
    </row>
    <row r="674" spans="1:54">
      <c r="A674" s="326"/>
      <c r="B674" s="791">
        <v>30</v>
      </c>
      <c r="C674" s="792">
        <v>375</v>
      </c>
      <c r="D674" s="779">
        <v>1.792E-3</v>
      </c>
      <c r="E674" s="779">
        <v>1738.1</v>
      </c>
      <c r="F674" s="779">
        <v>1791.9</v>
      </c>
      <c r="G674" s="779">
        <v>3.9312999999999998</v>
      </c>
      <c r="H674" s="727"/>
      <c r="I674" s="727"/>
      <c r="J674" s="727"/>
      <c r="K674" s="727"/>
      <c r="L674" s="727"/>
      <c r="M674" s="727"/>
      <c r="N674" s="727"/>
      <c r="O674" s="727"/>
      <c r="P674" s="727"/>
      <c r="Q674" s="727"/>
      <c r="R674" s="727"/>
      <c r="S674" s="727"/>
      <c r="T674" s="727"/>
      <c r="U674" s="727"/>
      <c r="V674" s="727"/>
      <c r="W674" s="727"/>
      <c r="X674" s="727"/>
      <c r="Y674" s="727"/>
      <c r="Z674" s="727"/>
      <c r="AA674" s="727"/>
      <c r="AB674" s="727"/>
      <c r="AC674" s="727"/>
      <c r="AD674" s="727"/>
      <c r="AE674" s="727"/>
      <c r="AF674" s="727"/>
      <c r="AG674" s="727"/>
      <c r="AH674" s="727"/>
      <c r="AI674" s="727"/>
      <c r="AJ674" s="727"/>
      <c r="AK674" s="727"/>
      <c r="AL674" s="727"/>
      <c r="AM674" s="727"/>
      <c r="AN674" s="727"/>
      <c r="AO674" s="727"/>
      <c r="AP674" s="727"/>
      <c r="AQ674" s="727"/>
      <c r="AR674" s="727"/>
      <c r="AS674" s="727"/>
      <c r="AT674" s="727"/>
      <c r="AU674" s="727"/>
      <c r="AV674" s="727"/>
      <c r="AW674" s="727"/>
      <c r="AX674" s="727"/>
      <c r="AY674" s="727"/>
      <c r="AZ674" s="727"/>
      <c r="BA674" s="727"/>
      <c r="BB674" s="727"/>
    </row>
    <row r="675" spans="1:54">
      <c r="A675" s="326"/>
      <c r="B675" s="791">
        <v>30</v>
      </c>
      <c r="C675" s="792">
        <v>400</v>
      </c>
      <c r="D675" s="779">
        <v>2.7980000000000001E-3</v>
      </c>
      <c r="E675" s="779">
        <v>2068.9</v>
      </c>
      <c r="F675" s="779">
        <v>2152.8000000000002</v>
      </c>
      <c r="G675" s="779">
        <v>4.4757999999999996</v>
      </c>
      <c r="H675" s="727"/>
      <c r="I675" s="727"/>
      <c r="J675" s="727"/>
      <c r="K675" s="727"/>
      <c r="L675" s="727"/>
      <c r="M675" s="727"/>
      <c r="N675" s="727"/>
      <c r="O675" s="727"/>
      <c r="P675" s="727"/>
      <c r="Q675" s="727"/>
      <c r="R675" s="727"/>
      <c r="S675" s="727"/>
      <c r="T675" s="727"/>
      <c r="U675" s="727"/>
      <c r="V675" s="727"/>
      <c r="W675" s="727"/>
      <c r="X675" s="727"/>
      <c r="Y675" s="727"/>
      <c r="Z675" s="727"/>
      <c r="AA675" s="727"/>
      <c r="AB675" s="727"/>
      <c r="AC675" s="727"/>
      <c r="AD675" s="727"/>
      <c r="AE675" s="727"/>
      <c r="AF675" s="727"/>
      <c r="AG675" s="727"/>
      <c r="AH675" s="727"/>
      <c r="AI675" s="727"/>
      <c r="AJ675" s="727"/>
      <c r="AK675" s="727"/>
      <c r="AL675" s="727"/>
      <c r="AM675" s="727"/>
      <c r="AN675" s="727"/>
      <c r="AO675" s="727"/>
      <c r="AP675" s="727"/>
      <c r="AQ675" s="727"/>
      <c r="AR675" s="727"/>
      <c r="AS675" s="727"/>
      <c r="AT675" s="727"/>
      <c r="AU675" s="727"/>
      <c r="AV675" s="727"/>
      <c r="AW675" s="727"/>
      <c r="AX675" s="727"/>
      <c r="AY675" s="727"/>
      <c r="AZ675" s="727"/>
      <c r="BA675" s="727"/>
      <c r="BB675" s="727"/>
    </row>
    <row r="676" spans="1:54">
      <c r="A676" s="326"/>
      <c r="B676" s="791">
        <v>30</v>
      </c>
      <c r="C676" s="792">
        <v>425</v>
      </c>
      <c r="D676" s="779">
        <v>5.2989999999999999E-3</v>
      </c>
      <c r="E676" s="779">
        <v>2452.9</v>
      </c>
      <c r="F676" s="779">
        <v>2611.8000000000002</v>
      </c>
      <c r="G676" s="779">
        <v>5.1473000000000004</v>
      </c>
      <c r="H676" s="727"/>
      <c r="I676" s="727"/>
      <c r="J676" s="727"/>
      <c r="K676" s="727"/>
      <c r="L676" s="727"/>
      <c r="M676" s="727"/>
      <c r="N676" s="727"/>
      <c r="O676" s="727"/>
      <c r="P676" s="727"/>
      <c r="Q676" s="727"/>
      <c r="R676" s="727"/>
      <c r="S676" s="727"/>
      <c r="T676" s="727"/>
      <c r="U676" s="727"/>
      <c r="V676" s="727"/>
      <c r="W676" s="727"/>
      <c r="X676" s="727"/>
      <c r="Y676" s="727"/>
      <c r="Z676" s="727"/>
      <c r="AA676" s="727"/>
      <c r="AB676" s="727"/>
      <c r="AC676" s="727"/>
      <c r="AD676" s="727"/>
      <c r="AE676" s="727"/>
      <c r="AF676" s="727"/>
      <c r="AG676" s="727"/>
      <c r="AH676" s="727"/>
      <c r="AI676" s="727"/>
      <c r="AJ676" s="727"/>
      <c r="AK676" s="727"/>
      <c r="AL676" s="727"/>
      <c r="AM676" s="727"/>
      <c r="AN676" s="727"/>
      <c r="AO676" s="727"/>
      <c r="AP676" s="727"/>
      <c r="AQ676" s="727"/>
      <c r="AR676" s="727"/>
      <c r="AS676" s="727"/>
      <c r="AT676" s="727"/>
      <c r="AU676" s="727"/>
      <c r="AV676" s="727"/>
      <c r="AW676" s="727"/>
      <c r="AX676" s="727"/>
      <c r="AY676" s="727"/>
      <c r="AZ676" s="727"/>
      <c r="BA676" s="727"/>
      <c r="BB676" s="727"/>
    </row>
    <row r="677" spans="1:54">
      <c r="A677" s="326"/>
      <c r="B677" s="791">
        <v>30</v>
      </c>
      <c r="C677" s="792">
        <v>450</v>
      </c>
      <c r="D677" s="779">
        <v>6.7369999999999999E-3</v>
      </c>
      <c r="E677" s="779">
        <v>2618.9</v>
      </c>
      <c r="F677" s="779">
        <v>2821</v>
      </c>
      <c r="G677" s="779">
        <v>5.4421999999999997</v>
      </c>
      <c r="H677" s="727"/>
      <c r="I677" s="727"/>
      <c r="J677" s="727"/>
      <c r="K677" s="727"/>
      <c r="L677" s="727"/>
      <c r="M677" s="727"/>
      <c r="N677" s="727"/>
      <c r="O677" s="727"/>
      <c r="P677" s="727"/>
      <c r="Q677" s="727"/>
      <c r="R677" s="727"/>
      <c r="S677" s="727"/>
      <c r="T677" s="727"/>
      <c r="U677" s="727"/>
      <c r="V677" s="727"/>
      <c r="W677" s="727"/>
      <c r="X677" s="727"/>
      <c r="Y677" s="727"/>
      <c r="Z677" s="727"/>
      <c r="AA677" s="727"/>
      <c r="AB677" s="727"/>
      <c r="AC677" s="727"/>
      <c r="AD677" s="727"/>
      <c r="AE677" s="727"/>
      <c r="AF677" s="727"/>
      <c r="AG677" s="727"/>
      <c r="AH677" s="727"/>
      <c r="AI677" s="727"/>
      <c r="AJ677" s="727"/>
      <c r="AK677" s="727"/>
      <c r="AL677" s="727"/>
      <c r="AM677" s="727"/>
      <c r="AN677" s="727"/>
      <c r="AO677" s="727"/>
      <c r="AP677" s="727"/>
      <c r="AQ677" s="727"/>
      <c r="AR677" s="727"/>
      <c r="AS677" s="727"/>
      <c r="AT677" s="727"/>
      <c r="AU677" s="727"/>
      <c r="AV677" s="727"/>
      <c r="AW677" s="727"/>
      <c r="AX677" s="727"/>
      <c r="AY677" s="727"/>
      <c r="AZ677" s="727"/>
      <c r="BA677" s="727"/>
      <c r="BB677" s="727"/>
    </row>
    <row r="678" spans="1:54">
      <c r="A678" s="326"/>
      <c r="B678" s="791">
        <v>30</v>
      </c>
      <c r="C678" s="792">
        <v>500</v>
      </c>
      <c r="D678" s="779">
        <v>8.6910000000000008E-3</v>
      </c>
      <c r="E678" s="779">
        <v>2824</v>
      </c>
      <c r="F678" s="779">
        <v>3084.8</v>
      </c>
      <c r="G678" s="779">
        <v>5.7956000000000003</v>
      </c>
      <c r="H678" s="727"/>
      <c r="I678" s="727"/>
      <c r="J678" s="727"/>
      <c r="K678" s="727"/>
      <c r="L678" s="727"/>
      <c r="M678" s="727"/>
      <c r="N678" s="727"/>
      <c r="O678" s="727"/>
      <c r="P678" s="727"/>
      <c r="Q678" s="727"/>
      <c r="R678" s="727"/>
      <c r="S678" s="727"/>
      <c r="T678" s="727"/>
      <c r="U678" s="727"/>
      <c r="V678" s="727"/>
      <c r="W678" s="727"/>
      <c r="X678" s="727"/>
      <c r="Y678" s="727"/>
      <c r="Z678" s="727"/>
      <c r="AA678" s="727"/>
      <c r="AB678" s="727"/>
      <c r="AC678" s="727"/>
      <c r="AD678" s="727"/>
      <c r="AE678" s="727"/>
      <c r="AF678" s="727"/>
      <c r="AG678" s="727"/>
      <c r="AH678" s="727"/>
      <c r="AI678" s="727"/>
      <c r="AJ678" s="727"/>
      <c r="AK678" s="727"/>
      <c r="AL678" s="727"/>
      <c r="AM678" s="727"/>
      <c r="AN678" s="727"/>
      <c r="AO678" s="727"/>
      <c r="AP678" s="727"/>
      <c r="AQ678" s="727"/>
      <c r="AR678" s="727"/>
      <c r="AS678" s="727"/>
      <c r="AT678" s="727"/>
      <c r="AU678" s="727"/>
      <c r="AV678" s="727"/>
      <c r="AW678" s="727"/>
      <c r="AX678" s="727"/>
      <c r="AY678" s="727"/>
      <c r="AZ678" s="727"/>
      <c r="BA678" s="727"/>
      <c r="BB678" s="727"/>
    </row>
    <row r="679" spans="1:54">
      <c r="A679" s="326"/>
      <c r="B679" s="791">
        <v>30</v>
      </c>
      <c r="C679" s="792">
        <v>550</v>
      </c>
      <c r="D679" s="779">
        <v>1.0175E-2</v>
      </c>
      <c r="E679" s="779">
        <v>2974.5</v>
      </c>
      <c r="F679" s="779">
        <v>3279.7</v>
      </c>
      <c r="G679" s="779">
        <v>6.0403000000000002</v>
      </c>
      <c r="H679" s="727"/>
      <c r="I679" s="727"/>
      <c r="J679" s="727"/>
      <c r="K679" s="727"/>
      <c r="L679" s="727"/>
      <c r="M679" s="727"/>
      <c r="N679" s="727"/>
      <c r="O679" s="727"/>
      <c r="P679" s="727"/>
      <c r="Q679" s="727"/>
      <c r="R679" s="727"/>
      <c r="S679" s="727"/>
      <c r="T679" s="727"/>
      <c r="U679" s="727"/>
      <c r="V679" s="727"/>
      <c r="W679" s="727"/>
      <c r="X679" s="727"/>
      <c r="Y679" s="727"/>
      <c r="Z679" s="727"/>
      <c r="AA679" s="727"/>
      <c r="AB679" s="727"/>
      <c r="AC679" s="727"/>
      <c r="AD679" s="727"/>
      <c r="AE679" s="727"/>
      <c r="AF679" s="727"/>
      <c r="AG679" s="727"/>
      <c r="AH679" s="727"/>
      <c r="AI679" s="727"/>
      <c r="AJ679" s="727"/>
      <c r="AK679" s="727"/>
      <c r="AL679" s="727"/>
      <c r="AM679" s="727"/>
      <c r="AN679" s="727"/>
      <c r="AO679" s="727"/>
      <c r="AP679" s="727"/>
      <c r="AQ679" s="727"/>
      <c r="AR679" s="727"/>
      <c r="AS679" s="727"/>
      <c r="AT679" s="727"/>
      <c r="AU679" s="727"/>
      <c r="AV679" s="727"/>
      <c r="AW679" s="727"/>
      <c r="AX679" s="727"/>
      <c r="AY679" s="727"/>
      <c r="AZ679" s="727"/>
      <c r="BA679" s="727"/>
      <c r="BB679" s="727"/>
    </row>
    <row r="680" spans="1:54">
      <c r="A680" s="326"/>
      <c r="B680" s="791">
        <v>30</v>
      </c>
      <c r="C680" s="792">
        <v>600</v>
      </c>
      <c r="D680" s="779">
        <v>1.1445E-2</v>
      </c>
      <c r="E680" s="779">
        <v>3103.4</v>
      </c>
      <c r="F680" s="779">
        <v>3446.8</v>
      </c>
      <c r="G680" s="779">
        <v>6.2373000000000003</v>
      </c>
      <c r="H680" s="727"/>
      <c r="I680" s="727"/>
      <c r="J680" s="727"/>
      <c r="K680" s="727"/>
      <c r="L680" s="727"/>
      <c r="M680" s="727"/>
      <c r="N680" s="727"/>
      <c r="O680" s="727"/>
      <c r="P680" s="727"/>
      <c r="Q680" s="727"/>
      <c r="R680" s="727"/>
      <c r="S680" s="727"/>
      <c r="T680" s="727"/>
      <c r="U680" s="727"/>
      <c r="V680" s="727"/>
      <c r="W680" s="727"/>
      <c r="X680" s="727"/>
      <c r="Y680" s="727"/>
      <c r="Z680" s="727"/>
      <c r="AA680" s="727"/>
      <c r="AB680" s="727"/>
      <c r="AC680" s="727"/>
      <c r="AD680" s="727"/>
      <c r="AE680" s="727"/>
      <c r="AF680" s="727"/>
      <c r="AG680" s="727"/>
      <c r="AH680" s="727"/>
      <c r="AI680" s="727"/>
      <c r="AJ680" s="727"/>
      <c r="AK680" s="727"/>
      <c r="AL680" s="727"/>
      <c r="AM680" s="727"/>
      <c r="AN680" s="727"/>
      <c r="AO680" s="727"/>
      <c r="AP680" s="727"/>
      <c r="AQ680" s="727"/>
      <c r="AR680" s="727"/>
      <c r="AS680" s="727"/>
      <c r="AT680" s="727"/>
      <c r="AU680" s="727"/>
      <c r="AV680" s="727"/>
      <c r="AW680" s="727"/>
      <c r="AX680" s="727"/>
      <c r="AY680" s="727"/>
      <c r="AZ680" s="727"/>
      <c r="BA680" s="727"/>
      <c r="BB680" s="727"/>
    </row>
    <row r="681" spans="1:54">
      <c r="A681" s="326"/>
      <c r="B681" s="791">
        <v>30</v>
      </c>
      <c r="C681" s="792">
        <v>650</v>
      </c>
      <c r="D681" s="779">
        <v>1.259E-2</v>
      </c>
      <c r="E681" s="779">
        <v>3221.7</v>
      </c>
      <c r="F681" s="779">
        <v>3599.4</v>
      </c>
      <c r="G681" s="779">
        <v>6.4074</v>
      </c>
      <c r="H681" s="727"/>
      <c r="I681" s="727"/>
      <c r="J681" s="727"/>
      <c r="K681" s="727"/>
      <c r="L681" s="727"/>
      <c r="M681" s="727"/>
      <c r="N681" s="727"/>
      <c r="O681" s="727"/>
      <c r="P681" s="727"/>
      <c r="Q681" s="727"/>
      <c r="R681" s="727"/>
      <c r="S681" s="727"/>
      <c r="T681" s="727"/>
      <c r="U681" s="727"/>
      <c r="V681" s="727"/>
      <c r="W681" s="727"/>
      <c r="X681" s="727"/>
      <c r="Y681" s="727"/>
      <c r="Z681" s="727"/>
      <c r="AA681" s="727"/>
      <c r="AB681" s="727"/>
      <c r="AC681" s="727"/>
      <c r="AD681" s="727"/>
      <c r="AE681" s="727"/>
      <c r="AF681" s="727"/>
      <c r="AG681" s="727"/>
      <c r="AH681" s="727"/>
      <c r="AI681" s="727"/>
      <c r="AJ681" s="727"/>
      <c r="AK681" s="727"/>
      <c r="AL681" s="727"/>
      <c r="AM681" s="727"/>
      <c r="AN681" s="727"/>
      <c r="AO681" s="727"/>
      <c r="AP681" s="727"/>
      <c r="AQ681" s="727"/>
      <c r="AR681" s="727"/>
      <c r="AS681" s="727"/>
      <c r="AT681" s="727"/>
      <c r="AU681" s="727"/>
      <c r="AV681" s="727"/>
      <c r="AW681" s="727"/>
      <c r="AX681" s="727"/>
      <c r="AY681" s="727"/>
      <c r="AZ681" s="727"/>
      <c r="BA681" s="727"/>
      <c r="BB681" s="727"/>
    </row>
    <row r="682" spans="1:54">
      <c r="A682" s="326"/>
      <c r="B682" s="791">
        <v>30</v>
      </c>
      <c r="C682" s="792">
        <v>700</v>
      </c>
      <c r="D682" s="779">
        <v>1.3653999999999999E-2</v>
      </c>
      <c r="E682" s="779">
        <v>3334.3</v>
      </c>
      <c r="F682" s="779">
        <v>3743.9</v>
      </c>
      <c r="G682" s="779">
        <v>6.5598999999999998</v>
      </c>
      <c r="H682" s="727"/>
      <c r="I682" s="727"/>
      <c r="J682" s="727"/>
      <c r="K682" s="727"/>
      <c r="L682" s="727"/>
      <c r="M682" s="727"/>
      <c r="N682" s="727"/>
      <c r="O682" s="727"/>
      <c r="P682" s="727"/>
      <c r="Q682" s="727"/>
      <c r="R682" s="727"/>
      <c r="S682" s="727"/>
      <c r="T682" s="727"/>
      <c r="U682" s="727"/>
      <c r="V682" s="727"/>
      <c r="W682" s="727"/>
      <c r="X682" s="727"/>
      <c r="Y682" s="727"/>
      <c r="Z682" s="727"/>
      <c r="AA682" s="727"/>
      <c r="AB682" s="727"/>
      <c r="AC682" s="727"/>
      <c r="AD682" s="727"/>
      <c r="AE682" s="727"/>
      <c r="AF682" s="727"/>
      <c r="AG682" s="727"/>
      <c r="AH682" s="727"/>
      <c r="AI682" s="727"/>
      <c r="AJ682" s="727"/>
      <c r="AK682" s="727"/>
      <c r="AL682" s="727"/>
      <c r="AM682" s="727"/>
      <c r="AN682" s="727"/>
      <c r="AO682" s="727"/>
      <c r="AP682" s="727"/>
      <c r="AQ682" s="727"/>
      <c r="AR682" s="727"/>
      <c r="AS682" s="727"/>
      <c r="AT682" s="727"/>
      <c r="AU682" s="727"/>
      <c r="AV682" s="727"/>
      <c r="AW682" s="727"/>
      <c r="AX682" s="727"/>
      <c r="AY682" s="727"/>
      <c r="AZ682" s="727"/>
      <c r="BA682" s="727"/>
      <c r="BB682" s="727"/>
    </row>
    <row r="683" spans="1:54">
      <c r="A683" s="326"/>
      <c r="B683" s="791">
        <v>30</v>
      </c>
      <c r="C683" s="792">
        <v>800</v>
      </c>
      <c r="D683" s="779">
        <v>1.5628E-2</v>
      </c>
      <c r="E683" s="779">
        <v>3551.2</v>
      </c>
      <c r="F683" s="779">
        <v>4020</v>
      </c>
      <c r="G683" s="779">
        <v>6.8300999999999998</v>
      </c>
      <c r="H683" s="727"/>
      <c r="I683" s="727"/>
      <c r="J683" s="727"/>
      <c r="K683" s="727"/>
      <c r="L683" s="727"/>
      <c r="M683" s="727"/>
      <c r="N683" s="727"/>
      <c r="O683" s="727"/>
      <c r="P683" s="727"/>
      <c r="Q683" s="727"/>
      <c r="R683" s="727"/>
      <c r="S683" s="727"/>
      <c r="T683" s="727"/>
      <c r="U683" s="727"/>
      <c r="V683" s="727"/>
      <c r="W683" s="727"/>
      <c r="X683" s="727"/>
      <c r="Y683" s="727"/>
      <c r="Z683" s="727"/>
      <c r="AA683" s="727"/>
      <c r="AB683" s="727"/>
      <c r="AC683" s="727"/>
      <c r="AD683" s="727"/>
      <c r="AE683" s="727"/>
      <c r="AF683" s="727"/>
      <c r="AG683" s="727"/>
      <c r="AH683" s="727"/>
      <c r="AI683" s="727"/>
      <c r="AJ683" s="727"/>
      <c r="AK683" s="727"/>
      <c r="AL683" s="727"/>
      <c r="AM683" s="727"/>
      <c r="AN683" s="727"/>
      <c r="AO683" s="727"/>
      <c r="AP683" s="727"/>
      <c r="AQ683" s="727"/>
      <c r="AR683" s="727"/>
      <c r="AS683" s="727"/>
      <c r="AT683" s="727"/>
      <c r="AU683" s="727"/>
      <c r="AV683" s="727"/>
      <c r="AW683" s="727"/>
      <c r="AX683" s="727"/>
      <c r="AY683" s="727"/>
      <c r="AZ683" s="727"/>
      <c r="BA683" s="727"/>
      <c r="BB683" s="727"/>
    </row>
    <row r="684" spans="1:54">
      <c r="A684" s="326"/>
      <c r="B684" s="791">
        <v>30</v>
      </c>
      <c r="C684" s="792">
        <v>900</v>
      </c>
      <c r="D684" s="779">
        <v>1.7472999999999999E-2</v>
      </c>
      <c r="E684" s="779">
        <v>3764.6</v>
      </c>
      <c r="F684" s="779">
        <v>4288.8</v>
      </c>
      <c r="G684" s="779">
        <v>7.0694999999999997</v>
      </c>
      <c r="H684" s="727"/>
      <c r="I684" s="727"/>
      <c r="J684" s="727"/>
      <c r="K684" s="727"/>
      <c r="L684" s="727"/>
      <c r="M684" s="727"/>
      <c r="N684" s="727"/>
      <c r="O684" s="727"/>
      <c r="P684" s="727"/>
      <c r="Q684" s="727"/>
      <c r="R684" s="727"/>
      <c r="S684" s="727"/>
      <c r="T684" s="727"/>
      <c r="U684" s="727"/>
      <c r="V684" s="727"/>
      <c r="W684" s="727"/>
      <c r="X684" s="727"/>
      <c r="Y684" s="727"/>
      <c r="Z684" s="727"/>
      <c r="AA684" s="727"/>
      <c r="AB684" s="727"/>
      <c r="AC684" s="727"/>
      <c r="AD684" s="727"/>
      <c r="AE684" s="727"/>
      <c r="AF684" s="727"/>
      <c r="AG684" s="727"/>
      <c r="AH684" s="727"/>
      <c r="AI684" s="727"/>
      <c r="AJ684" s="727"/>
      <c r="AK684" s="727"/>
      <c r="AL684" s="727"/>
      <c r="AM684" s="727"/>
      <c r="AN684" s="727"/>
      <c r="AO684" s="727"/>
      <c r="AP684" s="727"/>
      <c r="AQ684" s="727"/>
      <c r="AR684" s="727"/>
      <c r="AS684" s="727"/>
      <c r="AT684" s="727"/>
      <c r="AU684" s="727"/>
      <c r="AV684" s="727"/>
      <c r="AW684" s="727"/>
      <c r="AX684" s="727"/>
      <c r="AY684" s="727"/>
      <c r="AZ684" s="727"/>
      <c r="BA684" s="727"/>
      <c r="BB684" s="727"/>
    </row>
    <row r="685" spans="1:54">
      <c r="A685" s="326"/>
      <c r="B685" s="791">
        <v>30</v>
      </c>
      <c r="C685" s="792">
        <v>1000</v>
      </c>
      <c r="D685" s="779">
        <v>1.924E-2</v>
      </c>
      <c r="E685" s="779">
        <v>3978.6</v>
      </c>
      <c r="F685" s="779">
        <v>4555.8</v>
      </c>
      <c r="G685" s="779">
        <v>7.2880000000000003</v>
      </c>
      <c r="H685" s="727"/>
      <c r="I685" s="727"/>
      <c r="J685" s="727"/>
      <c r="K685" s="727"/>
      <c r="L685" s="727"/>
      <c r="M685" s="727"/>
      <c r="N685" s="727"/>
      <c r="O685" s="727"/>
      <c r="P685" s="727"/>
      <c r="Q685" s="727"/>
      <c r="R685" s="727"/>
      <c r="S685" s="727"/>
      <c r="T685" s="727"/>
      <c r="U685" s="727"/>
      <c r="V685" s="727"/>
      <c r="W685" s="727"/>
      <c r="X685" s="727"/>
      <c r="Y685" s="727"/>
      <c r="Z685" s="727"/>
      <c r="AA685" s="727"/>
      <c r="AB685" s="727"/>
      <c r="AC685" s="727"/>
      <c r="AD685" s="727"/>
      <c r="AE685" s="727"/>
      <c r="AF685" s="727"/>
      <c r="AG685" s="727"/>
      <c r="AH685" s="727"/>
      <c r="AI685" s="727"/>
      <c r="AJ685" s="727"/>
      <c r="AK685" s="727"/>
      <c r="AL685" s="727"/>
      <c r="AM685" s="727"/>
      <c r="AN685" s="727"/>
      <c r="AO685" s="727"/>
      <c r="AP685" s="727"/>
      <c r="AQ685" s="727"/>
      <c r="AR685" s="727"/>
      <c r="AS685" s="727"/>
      <c r="AT685" s="727"/>
      <c r="AU685" s="727"/>
      <c r="AV685" s="727"/>
      <c r="AW685" s="727"/>
      <c r="AX685" s="727"/>
      <c r="AY685" s="727"/>
      <c r="AZ685" s="727"/>
      <c r="BA685" s="727"/>
      <c r="BB685" s="727"/>
    </row>
    <row r="686" spans="1:54">
      <c r="A686" s="326"/>
      <c r="B686" s="791">
        <v>30</v>
      </c>
      <c r="C686" s="792">
        <v>1100</v>
      </c>
      <c r="D686" s="779">
        <v>2.0954E-2</v>
      </c>
      <c r="E686" s="779">
        <v>4195.2</v>
      </c>
      <c r="F686" s="779">
        <v>4823.8999999999996</v>
      </c>
      <c r="G686" s="779">
        <v>7.4905999999999997</v>
      </c>
      <c r="H686" s="727"/>
      <c r="I686" s="727"/>
      <c r="J686" s="727"/>
      <c r="K686" s="727"/>
      <c r="L686" s="727"/>
      <c r="M686" s="727"/>
      <c r="N686" s="727"/>
      <c r="O686" s="727"/>
      <c r="P686" s="727"/>
      <c r="Q686" s="727"/>
      <c r="R686" s="727"/>
      <c r="S686" s="727"/>
      <c r="T686" s="727"/>
      <c r="U686" s="727"/>
      <c r="V686" s="727"/>
      <c r="W686" s="727"/>
      <c r="X686" s="727"/>
      <c r="Y686" s="727"/>
      <c r="Z686" s="727"/>
      <c r="AA686" s="727"/>
      <c r="AB686" s="727"/>
      <c r="AC686" s="727"/>
      <c r="AD686" s="727"/>
      <c r="AE686" s="727"/>
      <c r="AF686" s="727"/>
      <c r="AG686" s="727"/>
      <c r="AH686" s="727"/>
      <c r="AI686" s="727"/>
      <c r="AJ686" s="727"/>
      <c r="AK686" s="727"/>
      <c r="AL686" s="727"/>
      <c r="AM686" s="727"/>
      <c r="AN686" s="727"/>
      <c r="AO686" s="727"/>
      <c r="AP686" s="727"/>
      <c r="AQ686" s="727"/>
      <c r="AR686" s="727"/>
      <c r="AS686" s="727"/>
      <c r="AT686" s="727"/>
      <c r="AU686" s="727"/>
      <c r="AV686" s="727"/>
      <c r="AW686" s="727"/>
      <c r="AX686" s="727"/>
      <c r="AY686" s="727"/>
      <c r="AZ686" s="727"/>
      <c r="BA686" s="727"/>
      <c r="BB686" s="727"/>
    </row>
    <row r="687" spans="1:54">
      <c r="A687" s="326"/>
      <c r="B687" s="791">
        <v>30</v>
      </c>
      <c r="C687" s="792">
        <v>1200</v>
      </c>
      <c r="D687" s="779">
        <v>2.2630000000000001E-2</v>
      </c>
      <c r="E687" s="779">
        <v>4415.3</v>
      </c>
      <c r="F687" s="779">
        <v>5094.2</v>
      </c>
      <c r="G687" s="779">
        <v>7.6806999999999999</v>
      </c>
      <c r="H687" s="727"/>
      <c r="I687" s="727"/>
      <c r="J687" s="727"/>
      <c r="K687" s="727"/>
      <c r="L687" s="727"/>
      <c r="M687" s="727"/>
      <c r="N687" s="727"/>
      <c r="O687" s="727"/>
      <c r="P687" s="727"/>
      <c r="Q687" s="727"/>
      <c r="R687" s="727"/>
      <c r="S687" s="727"/>
      <c r="T687" s="727"/>
      <c r="U687" s="727"/>
      <c r="V687" s="727"/>
      <c r="W687" s="727"/>
      <c r="X687" s="727"/>
      <c r="Y687" s="727"/>
      <c r="Z687" s="727"/>
      <c r="AA687" s="727"/>
      <c r="AB687" s="727"/>
      <c r="AC687" s="727"/>
      <c r="AD687" s="727"/>
      <c r="AE687" s="727"/>
      <c r="AF687" s="727"/>
      <c r="AG687" s="727"/>
      <c r="AH687" s="727"/>
      <c r="AI687" s="727"/>
      <c r="AJ687" s="727"/>
      <c r="AK687" s="727"/>
      <c r="AL687" s="727"/>
      <c r="AM687" s="727"/>
      <c r="AN687" s="727"/>
      <c r="AO687" s="727"/>
      <c r="AP687" s="727"/>
      <c r="AQ687" s="727"/>
      <c r="AR687" s="727"/>
      <c r="AS687" s="727"/>
      <c r="AT687" s="727"/>
      <c r="AU687" s="727"/>
      <c r="AV687" s="727"/>
      <c r="AW687" s="727"/>
      <c r="AX687" s="727"/>
      <c r="AY687" s="727"/>
      <c r="AZ687" s="727"/>
      <c r="BA687" s="727"/>
      <c r="BB687" s="727"/>
    </row>
    <row r="688" spans="1:54">
      <c r="A688" s="326"/>
      <c r="B688" s="791">
        <v>30</v>
      </c>
      <c r="C688" s="792">
        <v>1300</v>
      </c>
      <c r="D688" s="779">
        <v>2.4278999999999998E-2</v>
      </c>
      <c r="E688" s="779">
        <v>4639.2</v>
      </c>
      <c r="F688" s="779">
        <v>5367.6</v>
      </c>
      <c r="G688" s="779">
        <v>7.8601999999999999</v>
      </c>
      <c r="H688" s="727"/>
      <c r="I688" s="727"/>
      <c r="J688" s="727"/>
      <c r="K688" s="727"/>
      <c r="L688" s="727"/>
      <c r="M688" s="727"/>
      <c r="N688" s="727"/>
      <c r="O688" s="727"/>
      <c r="P688" s="727"/>
      <c r="Q688" s="727"/>
      <c r="R688" s="727"/>
      <c r="S688" s="727"/>
      <c r="T688" s="727"/>
      <c r="U688" s="727"/>
      <c r="V688" s="727"/>
      <c r="W688" s="727"/>
      <c r="X688" s="727"/>
      <c r="Y688" s="727"/>
      <c r="Z688" s="727"/>
      <c r="AA688" s="727"/>
      <c r="AB688" s="727"/>
      <c r="AC688" s="727"/>
      <c r="AD688" s="727"/>
      <c r="AE688" s="727"/>
      <c r="AF688" s="727"/>
      <c r="AG688" s="727"/>
      <c r="AH688" s="727"/>
      <c r="AI688" s="727"/>
      <c r="AJ688" s="727"/>
      <c r="AK688" s="727"/>
      <c r="AL688" s="727"/>
      <c r="AM688" s="727"/>
      <c r="AN688" s="727"/>
      <c r="AO688" s="727"/>
      <c r="AP688" s="727"/>
      <c r="AQ688" s="727"/>
      <c r="AR688" s="727"/>
      <c r="AS688" s="727"/>
      <c r="AT688" s="727"/>
      <c r="AU688" s="727"/>
      <c r="AV688" s="727"/>
      <c r="AW688" s="727"/>
      <c r="AX688" s="727"/>
      <c r="AY688" s="727"/>
      <c r="AZ688" s="727"/>
      <c r="BA688" s="727"/>
      <c r="BB688" s="727"/>
    </row>
    <row r="689" spans="1:54">
      <c r="A689" s="326"/>
      <c r="B689" s="791">
        <v>35</v>
      </c>
      <c r="C689" s="792">
        <v>375</v>
      </c>
      <c r="D689" s="779">
        <v>1.701E-3</v>
      </c>
      <c r="E689" s="779">
        <v>1702.8</v>
      </c>
      <c r="F689" s="779">
        <v>1762.4</v>
      </c>
      <c r="G689" s="779">
        <v>3.8723999999999998</v>
      </c>
      <c r="H689" s="727"/>
      <c r="I689" s="727"/>
      <c r="J689" s="727"/>
      <c r="K689" s="727"/>
      <c r="L689" s="727"/>
      <c r="M689" s="727"/>
      <c r="N689" s="727"/>
      <c r="O689" s="727"/>
      <c r="P689" s="727"/>
      <c r="Q689" s="727"/>
      <c r="R689" s="727"/>
      <c r="S689" s="727"/>
      <c r="T689" s="727"/>
      <c r="U689" s="727"/>
      <c r="V689" s="727"/>
      <c r="W689" s="727"/>
      <c r="X689" s="727"/>
      <c r="Y689" s="727"/>
      <c r="Z689" s="727"/>
      <c r="AA689" s="727"/>
      <c r="AB689" s="727"/>
      <c r="AC689" s="727"/>
      <c r="AD689" s="727"/>
      <c r="AE689" s="727"/>
      <c r="AF689" s="727"/>
      <c r="AG689" s="727"/>
      <c r="AH689" s="727"/>
      <c r="AI689" s="727"/>
      <c r="AJ689" s="727"/>
      <c r="AK689" s="727"/>
      <c r="AL689" s="727"/>
      <c r="AM689" s="727"/>
      <c r="AN689" s="727"/>
      <c r="AO689" s="727"/>
      <c r="AP689" s="727"/>
      <c r="AQ689" s="727"/>
      <c r="AR689" s="727"/>
      <c r="AS689" s="727"/>
      <c r="AT689" s="727"/>
      <c r="AU689" s="727"/>
      <c r="AV689" s="727"/>
      <c r="AW689" s="727"/>
      <c r="AX689" s="727"/>
      <c r="AY689" s="727"/>
      <c r="AZ689" s="727"/>
      <c r="BA689" s="727"/>
      <c r="BB689" s="727"/>
    </row>
    <row r="690" spans="1:54">
      <c r="A690" s="326"/>
      <c r="B690" s="791">
        <v>35</v>
      </c>
      <c r="C690" s="792">
        <v>400</v>
      </c>
      <c r="D690" s="779">
        <v>2.1050000000000001E-3</v>
      </c>
      <c r="E690" s="779">
        <v>1914.9</v>
      </c>
      <c r="F690" s="779">
        <v>1988.6</v>
      </c>
      <c r="G690" s="779">
        <v>4.2144000000000004</v>
      </c>
      <c r="H690" s="727"/>
      <c r="I690" s="727"/>
      <c r="J690" s="727"/>
      <c r="K690" s="727"/>
      <c r="L690" s="727"/>
      <c r="M690" s="727"/>
      <c r="N690" s="727"/>
      <c r="O690" s="727"/>
      <c r="P690" s="727"/>
      <c r="Q690" s="727"/>
      <c r="R690" s="727"/>
      <c r="S690" s="727"/>
      <c r="T690" s="727"/>
      <c r="U690" s="727"/>
      <c r="V690" s="727"/>
      <c r="W690" s="727"/>
      <c r="X690" s="727"/>
      <c r="Y690" s="727"/>
      <c r="Z690" s="727"/>
      <c r="AA690" s="727"/>
      <c r="AB690" s="727"/>
      <c r="AC690" s="727"/>
      <c r="AD690" s="727"/>
      <c r="AE690" s="727"/>
      <c r="AF690" s="727"/>
      <c r="AG690" s="727"/>
      <c r="AH690" s="727"/>
      <c r="AI690" s="727"/>
      <c r="AJ690" s="727"/>
      <c r="AK690" s="727"/>
      <c r="AL690" s="727"/>
      <c r="AM690" s="727"/>
      <c r="AN690" s="727"/>
      <c r="AO690" s="727"/>
      <c r="AP690" s="727"/>
      <c r="AQ690" s="727"/>
      <c r="AR690" s="727"/>
      <c r="AS690" s="727"/>
      <c r="AT690" s="727"/>
      <c r="AU690" s="727"/>
      <c r="AV690" s="727"/>
      <c r="AW690" s="727"/>
      <c r="AX690" s="727"/>
      <c r="AY690" s="727"/>
      <c r="AZ690" s="727"/>
      <c r="BA690" s="727"/>
      <c r="BB690" s="727"/>
    </row>
    <row r="691" spans="1:54">
      <c r="A691" s="326"/>
      <c r="B691" s="791">
        <v>35</v>
      </c>
      <c r="C691" s="792">
        <v>425</v>
      </c>
      <c r="D691" s="779">
        <v>3.434E-3</v>
      </c>
      <c r="E691" s="779">
        <v>2253.3000000000002</v>
      </c>
      <c r="F691" s="779">
        <v>2373.5</v>
      </c>
      <c r="G691" s="779">
        <v>4.7751000000000001</v>
      </c>
      <c r="H691" s="727"/>
      <c r="I691" s="727"/>
      <c r="J691" s="727"/>
      <c r="K691" s="727"/>
      <c r="L691" s="727"/>
      <c r="M691" s="727"/>
      <c r="N691" s="727"/>
      <c r="O691" s="727"/>
      <c r="P691" s="727"/>
      <c r="Q691" s="727"/>
      <c r="R691" s="727"/>
      <c r="S691" s="727"/>
      <c r="T691" s="727"/>
      <c r="U691" s="727"/>
      <c r="V691" s="727"/>
      <c r="W691" s="727"/>
      <c r="X691" s="727"/>
      <c r="Y691" s="727"/>
      <c r="Z691" s="727"/>
      <c r="AA691" s="727"/>
      <c r="AB691" s="727"/>
      <c r="AC691" s="727"/>
      <c r="AD691" s="727"/>
      <c r="AE691" s="727"/>
      <c r="AF691" s="727"/>
      <c r="AG691" s="727"/>
      <c r="AH691" s="727"/>
      <c r="AI691" s="727"/>
      <c r="AJ691" s="727"/>
      <c r="AK691" s="727"/>
      <c r="AL691" s="727"/>
      <c r="AM691" s="727"/>
      <c r="AN691" s="727"/>
      <c r="AO691" s="727"/>
      <c r="AP691" s="727"/>
      <c r="AQ691" s="727"/>
      <c r="AR691" s="727"/>
      <c r="AS691" s="727"/>
      <c r="AT691" s="727"/>
      <c r="AU691" s="727"/>
      <c r="AV691" s="727"/>
      <c r="AW691" s="727"/>
      <c r="AX691" s="727"/>
      <c r="AY691" s="727"/>
      <c r="AZ691" s="727"/>
      <c r="BA691" s="727"/>
      <c r="BB691" s="727"/>
    </row>
    <row r="692" spans="1:54">
      <c r="A692" s="326"/>
      <c r="B692" s="791">
        <v>35</v>
      </c>
      <c r="C692" s="792">
        <v>450</v>
      </c>
      <c r="D692" s="779">
        <v>4.9569999999999996E-3</v>
      </c>
      <c r="E692" s="779">
        <v>2497.5</v>
      </c>
      <c r="F692" s="779">
        <v>2671</v>
      </c>
      <c r="G692" s="779">
        <v>5.1946000000000003</v>
      </c>
      <c r="H692" s="727"/>
      <c r="I692" s="727"/>
      <c r="J692" s="727"/>
      <c r="K692" s="727"/>
      <c r="L692" s="727"/>
      <c r="M692" s="727"/>
      <c r="N692" s="727"/>
      <c r="O692" s="727"/>
      <c r="P692" s="727"/>
      <c r="Q692" s="727"/>
      <c r="R692" s="727"/>
      <c r="S692" s="727"/>
      <c r="T692" s="727"/>
      <c r="U692" s="727"/>
      <c r="V692" s="727"/>
      <c r="W692" s="727"/>
      <c r="X692" s="727"/>
      <c r="Y692" s="727"/>
      <c r="Z692" s="727"/>
      <c r="AA692" s="727"/>
      <c r="AB692" s="727"/>
      <c r="AC692" s="727"/>
      <c r="AD692" s="727"/>
      <c r="AE692" s="727"/>
      <c r="AF692" s="727"/>
      <c r="AG692" s="727"/>
      <c r="AH692" s="727"/>
      <c r="AI692" s="727"/>
      <c r="AJ692" s="727"/>
      <c r="AK692" s="727"/>
      <c r="AL692" s="727"/>
      <c r="AM692" s="727"/>
      <c r="AN692" s="727"/>
      <c r="AO692" s="727"/>
      <c r="AP692" s="727"/>
      <c r="AQ692" s="727"/>
      <c r="AR692" s="727"/>
      <c r="AS692" s="727"/>
      <c r="AT692" s="727"/>
      <c r="AU692" s="727"/>
      <c r="AV692" s="727"/>
      <c r="AW692" s="727"/>
      <c r="AX692" s="727"/>
      <c r="AY692" s="727"/>
      <c r="AZ692" s="727"/>
      <c r="BA692" s="727"/>
      <c r="BB692" s="727"/>
    </row>
    <row r="693" spans="1:54">
      <c r="A693" s="326"/>
      <c r="B693" s="791">
        <v>35</v>
      </c>
      <c r="C693" s="792">
        <v>500</v>
      </c>
      <c r="D693" s="779">
        <v>6.9329999999999999E-3</v>
      </c>
      <c r="E693" s="779">
        <v>2755.3</v>
      </c>
      <c r="F693" s="779">
        <v>2997.9</v>
      </c>
      <c r="G693" s="779">
        <v>5.6330999999999998</v>
      </c>
      <c r="H693" s="727"/>
      <c r="I693" s="727"/>
      <c r="J693" s="727"/>
      <c r="K693" s="727"/>
      <c r="L693" s="727"/>
      <c r="M693" s="727"/>
      <c r="N693" s="727"/>
      <c r="O693" s="727"/>
      <c r="P693" s="727"/>
      <c r="Q693" s="727"/>
      <c r="R693" s="727"/>
      <c r="S693" s="727"/>
      <c r="T693" s="727"/>
      <c r="U693" s="727"/>
      <c r="V693" s="727"/>
      <c r="W693" s="727"/>
      <c r="X693" s="727"/>
      <c r="Y693" s="727"/>
      <c r="Z693" s="727"/>
      <c r="AA693" s="727"/>
      <c r="AB693" s="727"/>
      <c r="AC693" s="727"/>
      <c r="AD693" s="727"/>
      <c r="AE693" s="727"/>
      <c r="AF693" s="727"/>
      <c r="AG693" s="727"/>
      <c r="AH693" s="727"/>
      <c r="AI693" s="727"/>
      <c r="AJ693" s="727"/>
      <c r="AK693" s="727"/>
      <c r="AL693" s="727"/>
      <c r="AM693" s="727"/>
      <c r="AN693" s="727"/>
      <c r="AO693" s="727"/>
      <c r="AP693" s="727"/>
      <c r="AQ693" s="727"/>
      <c r="AR693" s="727"/>
      <c r="AS693" s="727"/>
      <c r="AT693" s="727"/>
      <c r="AU693" s="727"/>
      <c r="AV693" s="727"/>
      <c r="AW693" s="727"/>
      <c r="AX693" s="727"/>
      <c r="AY693" s="727"/>
      <c r="AZ693" s="727"/>
      <c r="BA693" s="727"/>
      <c r="BB693" s="727"/>
    </row>
    <row r="694" spans="1:54">
      <c r="A694" s="326"/>
      <c r="B694" s="791">
        <v>35</v>
      </c>
      <c r="C694" s="792">
        <v>550</v>
      </c>
      <c r="D694" s="779">
        <v>8.3479999999999995E-3</v>
      </c>
      <c r="E694" s="779">
        <v>2925.8</v>
      </c>
      <c r="F694" s="779">
        <v>3218</v>
      </c>
      <c r="G694" s="779">
        <v>5.9093</v>
      </c>
      <c r="H694" s="727"/>
      <c r="I694" s="727"/>
      <c r="J694" s="727"/>
      <c r="K694" s="727"/>
      <c r="L694" s="727"/>
      <c r="M694" s="727"/>
      <c r="N694" s="727"/>
      <c r="O694" s="727"/>
      <c r="P694" s="727"/>
      <c r="Q694" s="727"/>
      <c r="R694" s="727"/>
      <c r="S694" s="727"/>
      <c r="T694" s="727"/>
      <c r="U694" s="727"/>
      <c r="V694" s="727"/>
      <c r="W694" s="727"/>
      <c r="X694" s="727"/>
      <c r="Y694" s="727"/>
      <c r="Z694" s="727"/>
      <c r="AA694" s="727"/>
      <c r="AB694" s="727"/>
      <c r="AC694" s="727"/>
      <c r="AD694" s="727"/>
      <c r="AE694" s="727"/>
      <c r="AF694" s="727"/>
      <c r="AG694" s="727"/>
      <c r="AH694" s="727"/>
      <c r="AI694" s="727"/>
      <c r="AJ694" s="727"/>
      <c r="AK694" s="727"/>
      <c r="AL694" s="727"/>
      <c r="AM694" s="727"/>
      <c r="AN694" s="727"/>
      <c r="AO694" s="727"/>
      <c r="AP694" s="727"/>
      <c r="AQ694" s="727"/>
      <c r="AR694" s="727"/>
      <c r="AS694" s="727"/>
      <c r="AT694" s="727"/>
      <c r="AU694" s="727"/>
      <c r="AV694" s="727"/>
      <c r="AW694" s="727"/>
      <c r="AX694" s="727"/>
      <c r="AY694" s="727"/>
      <c r="AZ694" s="727"/>
      <c r="BA694" s="727"/>
      <c r="BB694" s="727"/>
    </row>
    <row r="695" spans="1:54">
      <c r="A695" s="326"/>
      <c r="B695" s="791">
        <v>35</v>
      </c>
      <c r="C695" s="792">
        <v>600</v>
      </c>
      <c r="D695" s="779">
        <v>9.5230000000000002E-3</v>
      </c>
      <c r="E695" s="779">
        <v>3065.6</v>
      </c>
      <c r="F695" s="779">
        <v>3399</v>
      </c>
      <c r="G695" s="779">
        <v>6.1228999999999996</v>
      </c>
      <c r="H695" s="727"/>
      <c r="I695" s="727"/>
      <c r="J695" s="727"/>
      <c r="K695" s="727"/>
      <c r="L695" s="727"/>
      <c r="M695" s="727"/>
      <c r="N695" s="727"/>
      <c r="O695" s="727"/>
      <c r="P695" s="727"/>
      <c r="Q695" s="727"/>
      <c r="R695" s="727"/>
      <c r="S695" s="727"/>
      <c r="T695" s="727"/>
      <c r="U695" s="727"/>
      <c r="V695" s="727"/>
      <c r="W695" s="727"/>
      <c r="X695" s="727"/>
      <c r="Y695" s="727"/>
      <c r="Z695" s="727"/>
      <c r="AA695" s="727"/>
      <c r="AB695" s="727"/>
      <c r="AC695" s="727"/>
      <c r="AD695" s="727"/>
      <c r="AE695" s="727"/>
      <c r="AF695" s="727"/>
      <c r="AG695" s="727"/>
      <c r="AH695" s="727"/>
      <c r="AI695" s="727"/>
      <c r="AJ695" s="727"/>
      <c r="AK695" s="727"/>
      <c r="AL695" s="727"/>
      <c r="AM695" s="727"/>
      <c r="AN695" s="727"/>
      <c r="AO695" s="727"/>
      <c r="AP695" s="727"/>
      <c r="AQ695" s="727"/>
      <c r="AR695" s="727"/>
      <c r="AS695" s="727"/>
      <c r="AT695" s="727"/>
      <c r="AU695" s="727"/>
      <c r="AV695" s="727"/>
      <c r="AW695" s="727"/>
      <c r="AX695" s="727"/>
      <c r="AY695" s="727"/>
      <c r="AZ695" s="727"/>
      <c r="BA695" s="727"/>
      <c r="BB695" s="727"/>
    </row>
    <row r="696" spans="1:54">
      <c r="A696" s="326"/>
      <c r="B696" s="791">
        <v>35</v>
      </c>
      <c r="C696" s="792">
        <v>650</v>
      </c>
      <c r="D696" s="779">
        <v>1.0565E-2</v>
      </c>
      <c r="E696" s="779">
        <v>3190.9</v>
      </c>
      <c r="F696" s="779">
        <v>3560.7</v>
      </c>
      <c r="G696" s="779">
        <v>6.3029999999999999</v>
      </c>
      <c r="H696" s="727"/>
      <c r="I696" s="727"/>
      <c r="J696" s="727"/>
      <c r="K696" s="727"/>
      <c r="L696" s="727"/>
      <c r="M696" s="727"/>
      <c r="N696" s="727"/>
      <c r="O696" s="727"/>
      <c r="P696" s="727"/>
      <c r="Q696" s="727"/>
      <c r="R696" s="727"/>
      <c r="S696" s="727"/>
      <c r="T696" s="727"/>
      <c r="U696" s="727"/>
      <c r="V696" s="727"/>
      <c r="W696" s="727"/>
      <c r="X696" s="727"/>
      <c r="Y696" s="727"/>
      <c r="Z696" s="727"/>
      <c r="AA696" s="727"/>
      <c r="AB696" s="727"/>
      <c r="AC696" s="727"/>
      <c r="AD696" s="727"/>
      <c r="AE696" s="727"/>
      <c r="AF696" s="727"/>
      <c r="AG696" s="727"/>
      <c r="AH696" s="727"/>
      <c r="AI696" s="727"/>
      <c r="AJ696" s="727"/>
      <c r="AK696" s="727"/>
      <c r="AL696" s="727"/>
      <c r="AM696" s="727"/>
      <c r="AN696" s="727"/>
      <c r="AO696" s="727"/>
      <c r="AP696" s="727"/>
      <c r="AQ696" s="727"/>
      <c r="AR696" s="727"/>
      <c r="AS696" s="727"/>
      <c r="AT696" s="727"/>
      <c r="AU696" s="727"/>
      <c r="AV696" s="727"/>
      <c r="AW696" s="727"/>
      <c r="AX696" s="727"/>
      <c r="AY696" s="727"/>
      <c r="AZ696" s="727"/>
      <c r="BA696" s="727"/>
      <c r="BB696" s="727"/>
    </row>
    <row r="697" spans="1:54">
      <c r="A697" s="326"/>
      <c r="B697" s="791">
        <v>35</v>
      </c>
      <c r="C697" s="792">
        <v>700</v>
      </c>
      <c r="D697" s="779">
        <v>1.1523E-2</v>
      </c>
      <c r="E697" s="779">
        <v>3308.3</v>
      </c>
      <c r="F697" s="779">
        <v>3711.6</v>
      </c>
      <c r="G697" s="779">
        <v>6.4622999999999999</v>
      </c>
      <c r="H697" s="727"/>
      <c r="I697" s="727"/>
      <c r="J697" s="727"/>
      <c r="K697" s="727"/>
      <c r="L697" s="727"/>
      <c r="M697" s="727"/>
      <c r="N697" s="727"/>
      <c r="O697" s="727"/>
      <c r="P697" s="727"/>
      <c r="Q697" s="727"/>
      <c r="R697" s="727"/>
      <c r="S697" s="727"/>
      <c r="T697" s="727"/>
      <c r="U697" s="727"/>
      <c r="V697" s="727"/>
      <c r="W697" s="727"/>
      <c r="X697" s="727"/>
      <c r="Y697" s="727"/>
      <c r="Z697" s="727"/>
      <c r="AA697" s="727"/>
      <c r="AB697" s="727"/>
      <c r="AC697" s="727"/>
      <c r="AD697" s="727"/>
      <c r="AE697" s="727"/>
      <c r="AF697" s="727"/>
      <c r="AG697" s="727"/>
      <c r="AH697" s="727"/>
      <c r="AI697" s="727"/>
      <c r="AJ697" s="727"/>
      <c r="AK697" s="727"/>
      <c r="AL697" s="727"/>
      <c r="AM697" s="727"/>
      <c r="AN697" s="727"/>
      <c r="AO697" s="727"/>
      <c r="AP697" s="727"/>
      <c r="AQ697" s="727"/>
      <c r="AR697" s="727"/>
      <c r="AS697" s="727"/>
      <c r="AT697" s="727"/>
      <c r="AU697" s="727"/>
      <c r="AV697" s="727"/>
      <c r="AW697" s="727"/>
      <c r="AX697" s="727"/>
      <c r="AY697" s="727"/>
      <c r="AZ697" s="727"/>
      <c r="BA697" s="727"/>
      <c r="BB697" s="727"/>
    </row>
    <row r="698" spans="1:54">
      <c r="A698" s="326"/>
      <c r="B698" s="791">
        <v>35</v>
      </c>
      <c r="C698" s="792">
        <v>800</v>
      </c>
      <c r="D698" s="779">
        <v>1.3278E-2</v>
      </c>
      <c r="E698" s="779">
        <v>3531.6</v>
      </c>
      <c r="F698" s="779">
        <v>3996.3</v>
      </c>
      <c r="G698" s="779">
        <v>6.7408999999999999</v>
      </c>
      <c r="H698" s="727"/>
      <c r="I698" s="727"/>
      <c r="J698" s="727"/>
      <c r="K698" s="727"/>
      <c r="L698" s="727"/>
      <c r="M698" s="727"/>
      <c r="N698" s="727"/>
      <c r="O698" s="727"/>
      <c r="P698" s="727"/>
      <c r="Q698" s="727"/>
      <c r="R698" s="727"/>
      <c r="S698" s="727"/>
      <c r="T698" s="727"/>
      <c r="U698" s="727"/>
      <c r="V698" s="727"/>
      <c r="W698" s="727"/>
      <c r="X698" s="727"/>
      <c r="Y698" s="727"/>
      <c r="Z698" s="727"/>
      <c r="AA698" s="727"/>
      <c r="AB698" s="727"/>
      <c r="AC698" s="727"/>
      <c r="AD698" s="727"/>
      <c r="AE698" s="727"/>
      <c r="AF698" s="727"/>
      <c r="AG698" s="727"/>
      <c r="AH698" s="727"/>
      <c r="AI698" s="727"/>
      <c r="AJ698" s="727"/>
      <c r="AK698" s="727"/>
      <c r="AL698" s="727"/>
      <c r="AM698" s="727"/>
      <c r="AN698" s="727"/>
      <c r="AO698" s="727"/>
      <c r="AP698" s="727"/>
      <c r="AQ698" s="727"/>
      <c r="AR698" s="727"/>
      <c r="AS698" s="727"/>
      <c r="AT698" s="727"/>
      <c r="AU698" s="727"/>
      <c r="AV698" s="727"/>
      <c r="AW698" s="727"/>
      <c r="AX698" s="727"/>
      <c r="AY698" s="727"/>
      <c r="AZ698" s="727"/>
      <c r="BA698" s="727"/>
      <c r="BB698" s="727"/>
    </row>
    <row r="699" spans="1:54">
      <c r="A699" s="326"/>
      <c r="B699" s="791">
        <v>35</v>
      </c>
      <c r="C699" s="792">
        <v>900</v>
      </c>
      <c r="D699" s="779">
        <v>1.4904000000000001E-2</v>
      </c>
      <c r="E699" s="779">
        <v>3749</v>
      </c>
      <c r="F699" s="779">
        <v>4270.6000000000004</v>
      </c>
      <c r="G699" s="779">
        <v>6.9852999999999996</v>
      </c>
      <c r="H699" s="727"/>
      <c r="I699" s="727"/>
      <c r="J699" s="727"/>
      <c r="K699" s="727"/>
      <c r="L699" s="727"/>
      <c r="M699" s="727"/>
      <c r="N699" s="727"/>
      <c r="O699" s="727"/>
      <c r="P699" s="727"/>
      <c r="Q699" s="727"/>
      <c r="R699" s="727"/>
      <c r="S699" s="727"/>
      <c r="T699" s="727"/>
      <c r="U699" s="727"/>
      <c r="V699" s="727"/>
      <c r="W699" s="727"/>
      <c r="X699" s="727"/>
      <c r="Y699" s="727"/>
      <c r="Z699" s="727"/>
      <c r="AA699" s="727"/>
      <c r="AB699" s="727"/>
      <c r="AC699" s="727"/>
      <c r="AD699" s="727"/>
      <c r="AE699" s="727"/>
      <c r="AF699" s="727"/>
      <c r="AG699" s="727"/>
      <c r="AH699" s="727"/>
      <c r="AI699" s="727"/>
      <c r="AJ699" s="727"/>
      <c r="AK699" s="727"/>
      <c r="AL699" s="727"/>
      <c r="AM699" s="727"/>
      <c r="AN699" s="727"/>
      <c r="AO699" s="727"/>
      <c r="AP699" s="727"/>
      <c r="AQ699" s="727"/>
      <c r="AR699" s="727"/>
      <c r="AS699" s="727"/>
      <c r="AT699" s="727"/>
      <c r="AU699" s="727"/>
      <c r="AV699" s="727"/>
      <c r="AW699" s="727"/>
      <c r="AX699" s="727"/>
      <c r="AY699" s="727"/>
      <c r="AZ699" s="727"/>
      <c r="BA699" s="727"/>
      <c r="BB699" s="727"/>
    </row>
    <row r="700" spans="1:54">
      <c r="A700" s="326"/>
      <c r="B700" s="791">
        <v>35</v>
      </c>
      <c r="C700" s="792">
        <v>1000</v>
      </c>
      <c r="D700" s="779">
        <v>1.6449999999999999E-2</v>
      </c>
      <c r="E700" s="779">
        <v>3965.8</v>
      </c>
      <c r="F700" s="779">
        <v>4541.5</v>
      </c>
      <c r="G700" s="779">
        <v>7.2069000000000001</v>
      </c>
      <c r="H700" s="727"/>
      <c r="I700" s="727"/>
      <c r="J700" s="727"/>
      <c r="K700" s="727"/>
      <c r="L700" s="727"/>
      <c r="M700" s="727"/>
      <c r="N700" s="727"/>
      <c r="O700" s="727"/>
      <c r="P700" s="727"/>
      <c r="Q700" s="727"/>
      <c r="R700" s="727"/>
      <c r="S700" s="727"/>
      <c r="T700" s="727"/>
      <c r="U700" s="727"/>
      <c r="V700" s="727"/>
      <c r="W700" s="727"/>
      <c r="X700" s="727"/>
      <c r="Y700" s="727"/>
      <c r="Z700" s="727"/>
      <c r="AA700" s="727"/>
      <c r="AB700" s="727"/>
      <c r="AC700" s="727"/>
      <c r="AD700" s="727"/>
      <c r="AE700" s="727"/>
      <c r="AF700" s="727"/>
      <c r="AG700" s="727"/>
      <c r="AH700" s="727"/>
      <c r="AI700" s="727"/>
      <c r="AJ700" s="727"/>
      <c r="AK700" s="727"/>
      <c r="AL700" s="727"/>
      <c r="AM700" s="727"/>
      <c r="AN700" s="727"/>
      <c r="AO700" s="727"/>
      <c r="AP700" s="727"/>
      <c r="AQ700" s="727"/>
      <c r="AR700" s="727"/>
      <c r="AS700" s="727"/>
      <c r="AT700" s="727"/>
      <c r="AU700" s="727"/>
      <c r="AV700" s="727"/>
      <c r="AW700" s="727"/>
      <c r="AX700" s="727"/>
      <c r="AY700" s="727"/>
      <c r="AZ700" s="727"/>
      <c r="BA700" s="727"/>
      <c r="BB700" s="727"/>
    </row>
    <row r="701" spans="1:54">
      <c r="A701" s="326"/>
      <c r="B701" s="791">
        <v>35</v>
      </c>
      <c r="C701" s="792">
        <v>1100</v>
      </c>
      <c r="D701" s="779">
        <v>1.7942E-2</v>
      </c>
      <c r="E701" s="779">
        <v>4184.3999999999996</v>
      </c>
      <c r="F701" s="779">
        <v>4812.3999999999996</v>
      </c>
      <c r="G701" s="779">
        <v>7.4118000000000004</v>
      </c>
      <c r="H701" s="727"/>
      <c r="I701" s="727"/>
      <c r="J701" s="727"/>
      <c r="K701" s="727"/>
      <c r="L701" s="727"/>
      <c r="M701" s="727"/>
      <c r="N701" s="727"/>
      <c r="O701" s="727"/>
      <c r="P701" s="727"/>
      <c r="Q701" s="727"/>
      <c r="R701" s="727"/>
      <c r="S701" s="727"/>
      <c r="T701" s="727"/>
      <c r="U701" s="727"/>
      <c r="V701" s="727"/>
      <c r="W701" s="727"/>
      <c r="X701" s="727"/>
      <c r="Y701" s="727"/>
      <c r="Z701" s="727"/>
      <c r="AA701" s="727"/>
      <c r="AB701" s="727"/>
      <c r="AC701" s="727"/>
      <c r="AD701" s="727"/>
      <c r="AE701" s="727"/>
      <c r="AF701" s="727"/>
      <c r="AG701" s="727"/>
      <c r="AH701" s="727"/>
      <c r="AI701" s="727"/>
      <c r="AJ701" s="727"/>
      <c r="AK701" s="727"/>
      <c r="AL701" s="727"/>
      <c r="AM701" s="727"/>
      <c r="AN701" s="727"/>
      <c r="AO701" s="727"/>
      <c r="AP701" s="727"/>
      <c r="AQ701" s="727"/>
      <c r="AR701" s="727"/>
      <c r="AS701" s="727"/>
      <c r="AT701" s="727"/>
      <c r="AU701" s="727"/>
      <c r="AV701" s="727"/>
      <c r="AW701" s="727"/>
      <c r="AX701" s="727"/>
      <c r="AY701" s="727"/>
      <c r="AZ701" s="727"/>
      <c r="BA701" s="727"/>
      <c r="BB701" s="727"/>
    </row>
    <row r="702" spans="1:54">
      <c r="A702" s="326"/>
      <c r="B702" s="791">
        <v>35</v>
      </c>
      <c r="C702" s="792">
        <v>1200</v>
      </c>
      <c r="D702" s="779">
        <v>1.9397999999999999E-2</v>
      </c>
      <c r="E702" s="779">
        <v>4406.1000000000004</v>
      </c>
      <c r="F702" s="779">
        <v>5085</v>
      </c>
      <c r="G702" s="779">
        <v>7.6033999999999997</v>
      </c>
      <c r="H702" s="727"/>
      <c r="I702" s="727"/>
      <c r="J702" s="727"/>
      <c r="K702" s="727"/>
      <c r="L702" s="727"/>
      <c r="M702" s="727"/>
      <c r="N702" s="727"/>
      <c r="O702" s="727"/>
      <c r="P702" s="727"/>
      <c r="Q702" s="727"/>
      <c r="R702" s="727"/>
      <c r="S702" s="727"/>
      <c r="T702" s="727"/>
      <c r="U702" s="727"/>
      <c r="V702" s="727"/>
      <c r="W702" s="727"/>
      <c r="X702" s="727"/>
      <c r="Y702" s="727"/>
      <c r="Z702" s="727"/>
      <c r="AA702" s="727"/>
      <c r="AB702" s="727"/>
      <c r="AC702" s="727"/>
      <c r="AD702" s="727"/>
      <c r="AE702" s="727"/>
      <c r="AF702" s="727"/>
      <c r="AG702" s="727"/>
      <c r="AH702" s="727"/>
      <c r="AI702" s="727"/>
      <c r="AJ702" s="727"/>
      <c r="AK702" s="727"/>
      <c r="AL702" s="727"/>
      <c r="AM702" s="727"/>
      <c r="AN702" s="727"/>
      <c r="AO702" s="727"/>
      <c r="AP702" s="727"/>
      <c r="AQ702" s="727"/>
      <c r="AR702" s="727"/>
      <c r="AS702" s="727"/>
      <c r="AT702" s="727"/>
      <c r="AU702" s="727"/>
      <c r="AV702" s="727"/>
      <c r="AW702" s="727"/>
      <c r="AX702" s="727"/>
      <c r="AY702" s="727"/>
      <c r="AZ702" s="727"/>
      <c r="BA702" s="727"/>
      <c r="BB702" s="727"/>
    </row>
    <row r="703" spans="1:54">
      <c r="A703" s="326"/>
      <c r="B703" s="791">
        <v>35</v>
      </c>
      <c r="C703" s="792">
        <v>1300</v>
      </c>
      <c r="D703" s="779">
        <v>2.0826999999999998E-2</v>
      </c>
      <c r="E703" s="779">
        <v>4631.2</v>
      </c>
      <c r="F703" s="779">
        <v>5360.2</v>
      </c>
      <c r="G703" s="779">
        <v>7.7840999999999996</v>
      </c>
      <c r="H703" s="727"/>
      <c r="I703" s="727"/>
      <c r="J703" s="727"/>
      <c r="K703" s="727"/>
      <c r="L703" s="727"/>
      <c r="M703" s="727"/>
      <c r="N703" s="727"/>
      <c r="O703" s="727"/>
      <c r="P703" s="727"/>
      <c r="Q703" s="727"/>
      <c r="R703" s="727"/>
      <c r="S703" s="727"/>
      <c r="T703" s="727"/>
      <c r="U703" s="727"/>
      <c r="V703" s="727"/>
      <c r="W703" s="727"/>
      <c r="X703" s="727"/>
      <c r="Y703" s="727"/>
      <c r="Z703" s="727"/>
      <c r="AA703" s="727"/>
      <c r="AB703" s="727"/>
      <c r="AC703" s="727"/>
      <c r="AD703" s="727"/>
      <c r="AE703" s="727"/>
      <c r="AF703" s="727"/>
      <c r="AG703" s="727"/>
      <c r="AH703" s="727"/>
      <c r="AI703" s="727"/>
      <c r="AJ703" s="727"/>
      <c r="AK703" s="727"/>
      <c r="AL703" s="727"/>
      <c r="AM703" s="727"/>
      <c r="AN703" s="727"/>
      <c r="AO703" s="727"/>
      <c r="AP703" s="727"/>
      <c r="AQ703" s="727"/>
      <c r="AR703" s="727"/>
      <c r="AS703" s="727"/>
      <c r="AT703" s="727"/>
      <c r="AU703" s="727"/>
      <c r="AV703" s="727"/>
      <c r="AW703" s="727"/>
      <c r="AX703" s="727"/>
      <c r="AY703" s="727"/>
      <c r="AZ703" s="727"/>
      <c r="BA703" s="727"/>
      <c r="BB703" s="727"/>
    </row>
    <row r="704" spans="1:54">
      <c r="A704" s="326"/>
      <c r="B704" s="791">
        <v>40</v>
      </c>
      <c r="C704" s="792">
        <v>375</v>
      </c>
      <c r="D704" s="779">
        <v>1.6410000000000001E-3</v>
      </c>
      <c r="E704" s="779">
        <v>1677</v>
      </c>
      <c r="F704" s="779">
        <v>1742.6</v>
      </c>
      <c r="G704" s="779">
        <v>3.8290000000000002</v>
      </c>
      <c r="H704" s="727"/>
      <c r="I704" s="727"/>
      <c r="J704" s="727"/>
      <c r="K704" s="727"/>
      <c r="L704" s="727"/>
      <c r="M704" s="727"/>
      <c r="N704" s="727"/>
      <c r="O704" s="727"/>
      <c r="P704" s="727"/>
      <c r="Q704" s="727"/>
      <c r="R704" s="727"/>
      <c r="S704" s="727"/>
      <c r="T704" s="727"/>
      <c r="U704" s="727"/>
      <c r="V704" s="727"/>
      <c r="W704" s="727"/>
      <c r="X704" s="727"/>
      <c r="Y704" s="727"/>
      <c r="Z704" s="727"/>
      <c r="AA704" s="727"/>
      <c r="AB704" s="727"/>
      <c r="AC704" s="727"/>
      <c r="AD704" s="727"/>
      <c r="AE704" s="727"/>
      <c r="AF704" s="727"/>
      <c r="AG704" s="727"/>
      <c r="AH704" s="727"/>
      <c r="AI704" s="727"/>
      <c r="AJ704" s="727"/>
      <c r="AK704" s="727"/>
      <c r="AL704" s="727"/>
      <c r="AM704" s="727"/>
      <c r="AN704" s="727"/>
      <c r="AO704" s="727"/>
      <c r="AP704" s="727"/>
      <c r="AQ704" s="727"/>
      <c r="AR704" s="727"/>
      <c r="AS704" s="727"/>
      <c r="AT704" s="727"/>
      <c r="AU704" s="727"/>
      <c r="AV704" s="727"/>
      <c r="AW704" s="727"/>
      <c r="AX704" s="727"/>
      <c r="AY704" s="727"/>
      <c r="AZ704" s="727"/>
      <c r="BA704" s="727"/>
      <c r="BB704" s="727"/>
    </row>
    <row r="705" spans="1:54">
      <c r="A705" s="326"/>
      <c r="B705" s="791">
        <v>40</v>
      </c>
      <c r="C705" s="792">
        <v>400</v>
      </c>
      <c r="D705" s="779">
        <v>1.9109999999999999E-3</v>
      </c>
      <c r="E705" s="779">
        <v>1855</v>
      </c>
      <c r="F705" s="779">
        <v>1931.4</v>
      </c>
      <c r="G705" s="779">
        <v>4.1144999999999996</v>
      </c>
      <c r="H705" s="727"/>
      <c r="I705" s="727"/>
      <c r="J705" s="727"/>
      <c r="K705" s="727"/>
      <c r="L705" s="727"/>
      <c r="M705" s="727"/>
      <c r="N705" s="727"/>
      <c r="O705" s="727"/>
      <c r="P705" s="727"/>
      <c r="Q705" s="727"/>
      <c r="R705" s="727"/>
      <c r="S705" s="727"/>
      <c r="T705" s="727"/>
      <c r="U705" s="727"/>
      <c r="V705" s="727"/>
      <c r="W705" s="727"/>
      <c r="X705" s="727"/>
      <c r="Y705" s="727"/>
      <c r="Z705" s="727"/>
      <c r="AA705" s="727"/>
      <c r="AB705" s="727"/>
      <c r="AC705" s="727"/>
      <c r="AD705" s="727"/>
      <c r="AE705" s="727"/>
      <c r="AF705" s="727"/>
      <c r="AG705" s="727"/>
      <c r="AH705" s="727"/>
      <c r="AI705" s="727"/>
      <c r="AJ705" s="727"/>
      <c r="AK705" s="727"/>
      <c r="AL705" s="727"/>
      <c r="AM705" s="727"/>
      <c r="AN705" s="727"/>
      <c r="AO705" s="727"/>
      <c r="AP705" s="727"/>
      <c r="AQ705" s="727"/>
      <c r="AR705" s="727"/>
      <c r="AS705" s="727"/>
      <c r="AT705" s="727"/>
      <c r="AU705" s="727"/>
      <c r="AV705" s="727"/>
      <c r="AW705" s="727"/>
      <c r="AX705" s="727"/>
      <c r="AY705" s="727"/>
      <c r="AZ705" s="727"/>
      <c r="BA705" s="727"/>
      <c r="BB705" s="727"/>
    </row>
    <row r="706" spans="1:54">
      <c r="A706" s="326"/>
      <c r="B706" s="791">
        <v>40</v>
      </c>
      <c r="C706" s="792">
        <v>425</v>
      </c>
      <c r="D706" s="779">
        <v>2.5379999999999999E-3</v>
      </c>
      <c r="E706" s="779">
        <v>2097.5</v>
      </c>
      <c r="F706" s="779">
        <v>2199</v>
      </c>
      <c r="G706" s="779">
        <v>4.5044000000000004</v>
      </c>
      <c r="H706" s="727"/>
      <c r="I706" s="727"/>
      <c r="J706" s="727"/>
      <c r="K706" s="727"/>
      <c r="L706" s="727"/>
      <c r="M706" s="727"/>
      <c r="N706" s="727"/>
      <c r="O706" s="727"/>
      <c r="P706" s="727"/>
      <c r="Q706" s="727"/>
      <c r="R706" s="727"/>
      <c r="S706" s="727"/>
      <c r="T706" s="727"/>
      <c r="U706" s="727"/>
      <c r="V706" s="727"/>
      <c r="W706" s="727"/>
      <c r="X706" s="727"/>
      <c r="Y706" s="727"/>
      <c r="Z706" s="727"/>
      <c r="AA706" s="727"/>
      <c r="AB706" s="727"/>
      <c r="AC706" s="727"/>
      <c r="AD706" s="727"/>
      <c r="AE706" s="727"/>
      <c r="AF706" s="727"/>
      <c r="AG706" s="727"/>
      <c r="AH706" s="727"/>
      <c r="AI706" s="727"/>
      <c r="AJ706" s="727"/>
      <c r="AK706" s="727"/>
      <c r="AL706" s="727"/>
      <c r="AM706" s="727"/>
      <c r="AN706" s="727"/>
      <c r="AO706" s="727"/>
      <c r="AP706" s="727"/>
      <c r="AQ706" s="727"/>
      <c r="AR706" s="727"/>
      <c r="AS706" s="727"/>
      <c r="AT706" s="727"/>
      <c r="AU706" s="727"/>
      <c r="AV706" s="727"/>
      <c r="AW706" s="727"/>
      <c r="AX706" s="727"/>
      <c r="AY706" s="727"/>
      <c r="AZ706" s="727"/>
      <c r="BA706" s="727"/>
      <c r="BB706" s="727"/>
    </row>
    <row r="707" spans="1:54">
      <c r="A707" s="326"/>
      <c r="B707" s="791">
        <v>40</v>
      </c>
      <c r="C707" s="792">
        <v>450</v>
      </c>
      <c r="D707" s="779">
        <v>3.692E-3</v>
      </c>
      <c r="E707" s="779">
        <v>2364.1999999999998</v>
      </c>
      <c r="F707" s="779">
        <v>2511.8000000000002</v>
      </c>
      <c r="G707" s="779">
        <v>4.9448999999999996</v>
      </c>
      <c r="H707" s="727"/>
      <c r="I707" s="727"/>
      <c r="J707" s="727"/>
      <c r="K707" s="727"/>
      <c r="L707" s="727"/>
      <c r="M707" s="727"/>
      <c r="N707" s="727"/>
      <c r="O707" s="727"/>
      <c r="P707" s="727"/>
      <c r="Q707" s="727"/>
      <c r="R707" s="727"/>
      <c r="S707" s="727"/>
      <c r="T707" s="727"/>
      <c r="U707" s="727"/>
      <c r="V707" s="727"/>
      <c r="W707" s="727"/>
      <c r="X707" s="727"/>
      <c r="Y707" s="727"/>
      <c r="Z707" s="727"/>
      <c r="AA707" s="727"/>
      <c r="AB707" s="727"/>
      <c r="AC707" s="727"/>
      <c r="AD707" s="727"/>
      <c r="AE707" s="727"/>
      <c r="AF707" s="727"/>
      <c r="AG707" s="727"/>
      <c r="AH707" s="727"/>
      <c r="AI707" s="727"/>
      <c r="AJ707" s="727"/>
      <c r="AK707" s="727"/>
      <c r="AL707" s="727"/>
      <c r="AM707" s="727"/>
      <c r="AN707" s="727"/>
      <c r="AO707" s="727"/>
      <c r="AP707" s="727"/>
      <c r="AQ707" s="727"/>
      <c r="AR707" s="727"/>
      <c r="AS707" s="727"/>
      <c r="AT707" s="727"/>
      <c r="AU707" s="727"/>
      <c r="AV707" s="727"/>
      <c r="AW707" s="727"/>
      <c r="AX707" s="727"/>
      <c r="AY707" s="727"/>
      <c r="AZ707" s="727"/>
      <c r="BA707" s="727"/>
      <c r="BB707" s="727"/>
    </row>
    <row r="708" spans="1:54">
      <c r="A708" s="326"/>
      <c r="B708" s="791">
        <v>40</v>
      </c>
      <c r="C708" s="792">
        <v>500</v>
      </c>
      <c r="D708" s="779">
        <v>5.6230000000000004E-3</v>
      </c>
      <c r="E708" s="779">
        <v>2681.6</v>
      </c>
      <c r="F708" s="779">
        <v>2906.5</v>
      </c>
      <c r="G708" s="779">
        <v>5.4744000000000002</v>
      </c>
      <c r="H708" s="727"/>
      <c r="I708" s="727"/>
      <c r="J708" s="727"/>
      <c r="K708" s="727"/>
      <c r="L708" s="727"/>
      <c r="M708" s="727"/>
      <c r="N708" s="727"/>
      <c r="O708" s="727"/>
      <c r="P708" s="727"/>
      <c r="Q708" s="727"/>
      <c r="R708" s="727"/>
      <c r="S708" s="727"/>
      <c r="T708" s="727"/>
      <c r="U708" s="727"/>
      <c r="V708" s="727"/>
      <c r="W708" s="727"/>
      <c r="X708" s="727"/>
      <c r="Y708" s="727"/>
      <c r="Z708" s="727"/>
      <c r="AA708" s="727"/>
      <c r="AB708" s="727"/>
      <c r="AC708" s="727"/>
      <c r="AD708" s="727"/>
      <c r="AE708" s="727"/>
      <c r="AF708" s="727"/>
      <c r="AG708" s="727"/>
      <c r="AH708" s="727"/>
      <c r="AI708" s="727"/>
      <c r="AJ708" s="727"/>
      <c r="AK708" s="727"/>
      <c r="AL708" s="727"/>
      <c r="AM708" s="727"/>
      <c r="AN708" s="727"/>
      <c r="AO708" s="727"/>
      <c r="AP708" s="727"/>
      <c r="AQ708" s="727"/>
      <c r="AR708" s="727"/>
      <c r="AS708" s="727"/>
      <c r="AT708" s="727"/>
      <c r="AU708" s="727"/>
      <c r="AV708" s="727"/>
      <c r="AW708" s="727"/>
      <c r="AX708" s="727"/>
      <c r="AY708" s="727"/>
      <c r="AZ708" s="727"/>
      <c r="BA708" s="727"/>
      <c r="BB708" s="727"/>
    </row>
    <row r="709" spans="1:54">
      <c r="A709" s="326"/>
      <c r="B709" s="791">
        <v>40</v>
      </c>
      <c r="C709" s="792">
        <v>550</v>
      </c>
      <c r="D709" s="779">
        <v>6.9849999999999999E-3</v>
      </c>
      <c r="E709" s="779">
        <v>2875.1</v>
      </c>
      <c r="F709" s="779">
        <v>3154.4</v>
      </c>
      <c r="G709" s="779">
        <v>5.7857000000000003</v>
      </c>
      <c r="H709" s="727"/>
      <c r="I709" s="727"/>
      <c r="J709" s="727"/>
      <c r="K709" s="727"/>
      <c r="L709" s="727"/>
      <c r="M709" s="727"/>
      <c r="N709" s="727"/>
      <c r="O709" s="727"/>
      <c r="P709" s="727"/>
      <c r="Q709" s="727"/>
      <c r="R709" s="727"/>
      <c r="S709" s="727"/>
      <c r="T709" s="727"/>
      <c r="U709" s="727"/>
      <c r="V709" s="727"/>
      <c r="W709" s="727"/>
      <c r="X709" s="727"/>
      <c r="Y709" s="727"/>
      <c r="Z709" s="727"/>
      <c r="AA709" s="727"/>
      <c r="AB709" s="727"/>
      <c r="AC709" s="727"/>
      <c r="AD709" s="727"/>
      <c r="AE709" s="727"/>
      <c r="AF709" s="727"/>
      <c r="AG709" s="727"/>
      <c r="AH709" s="727"/>
      <c r="AI709" s="727"/>
      <c r="AJ709" s="727"/>
      <c r="AK709" s="727"/>
      <c r="AL709" s="727"/>
      <c r="AM709" s="727"/>
      <c r="AN709" s="727"/>
      <c r="AO709" s="727"/>
      <c r="AP709" s="727"/>
      <c r="AQ709" s="727"/>
      <c r="AR709" s="727"/>
      <c r="AS709" s="727"/>
      <c r="AT709" s="727"/>
      <c r="AU709" s="727"/>
      <c r="AV709" s="727"/>
      <c r="AW709" s="727"/>
      <c r="AX709" s="727"/>
      <c r="AY709" s="727"/>
      <c r="AZ709" s="727"/>
      <c r="BA709" s="727"/>
      <c r="BB709" s="727"/>
    </row>
    <row r="710" spans="1:54">
      <c r="A710" s="326"/>
      <c r="B710" s="791">
        <v>40</v>
      </c>
      <c r="C710" s="792">
        <v>600</v>
      </c>
      <c r="D710" s="779">
        <v>8.0890000000000007E-3</v>
      </c>
      <c r="E710" s="779">
        <v>3026.8</v>
      </c>
      <c r="F710" s="779">
        <v>3350.4</v>
      </c>
      <c r="G710" s="779">
        <v>6.0170000000000003</v>
      </c>
      <c r="H710" s="727"/>
      <c r="I710" s="727"/>
      <c r="J710" s="727"/>
      <c r="K710" s="727"/>
      <c r="L710" s="727"/>
      <c r="M710" s="727"/>
      <c r="N710" s="727"/>
      <c r="O710" s="727"/>
      <c r="P710" s="727"/>
      <c r="Q710" s="727"/>
      <c r="R710" s="727"/>
      <c r="S710" s="727"/>
      <c r="T710" s="727"/>
      <c r="U710" s="727"/>
      <c r="V710" s="727"/>
      <c r="W710" s="727"/>
      <c r="X710" s="727"/>
      <c r="Y710" s="727"/>
      <c r="Z710" s="727"/>
      <c r="AA710" s="727"/>
      <c r="AB710" s="727"/>
      <c r="AC710" s="727"/>
      <c r="AD710" s="727"/>
      <c r="AE710" s="727"/>
      <c r="AF710" s="727"/>
      <c r="AG710" s="727"/>
      <c r="AH710" s="727"/>
      <c r="AI710" s="727"/>
      <c r="AJ710" s="727"/>
      <c r="AK710" s="727"/>
      <c r="AL710" s="727"/>
      <c r="AM710" s="727"/>
      <c r="AN710" s="727"/>
      <c r="AO710" s="727"/>
      <c r="AP710" s="727"/>
      <c r="AQ710" s="727"/>
      <c r="AR710" s="727"/>
      <c r="AS710" s="727"/>
      <c r="AT710" s="727"/>
      <c r="AU710" s="727"/>
      <c r="AV710" s="727"/>
      <c r="AW710" s="727"/>
      <c r="AX710" s="727"/>
      <c r="AY710" s="727"/>
      <c r="AZ710" s="727"/>
      <c r="BA710" s="727"/>
      <c r="BB710" s="727"/>
    </row>
    <row r="711" spans="1:54">
      <c r="A711" s="326"/>
      <c r="B711" s="791">
        <v>40</v>
      </c>
      <c r="C711" s="792">
        <v>650</v>
      </c>
      <c r="D711" s="779">
        <v>9.0530000000000003E-3</v>
      </c>
      <c r="E711" s="779">
        <v>3159.5</v>
      </c>
      <c r="F711" s="779">
        <v>3521.6</v>
      </c>
      <c r="G711" s="779">
        <v>6.2077999999999998</v>
      </c>
      <c r="H711" s="727"/>
      <c r="I711" s="727"/>
      <c r="J711" s="727"/>
      <c r="K711" s="727"/>
      <c r="L711" s="727"/>
      <c r="M711" s="727"/>
      <c r="N711" s="727"/>
      <c r="O711" s="727"/>
      <c r="P711" s="727"/>
      <c r="Q711" s="727"/>
      <c r="R711" s="727"/>
      <c r="S711" s="727"/>
      <c r="T711" s="727"/>
      <c r="U711" s="727"/>
      <c r="V711" s="727"/>
      <c r="W711" s="727"/>
      <c r="X711" s="727"/>
      <c r="Y711" s="727"/>
      <c r="Z711" s="727"/>
      <c r="AA711" s="727"/>
      <c r="AB711" s="727"/>
      <c r="AC711" s="727"/>
      <c r="AD711" s="727"/>
      <c r="AE711" s="727"/>
      <c r="AF711" s="727"/>
      <c r="AG711" s="727"/>
      <c r="AH711" s="727"/>
      <c r="AI711" s="727"/>
      <c r="AJ711" s="727"/>
      <c r="AK711" s="727"/>
      <c r="AL711" s="727"/>
      <c r="AM711" s="727"/>
      <c r="AN711" s="727"/>
      <c r="AO711" s="727"/>
      <c r="AP711" s="727"/>
      <c r="AQ711" s="727"/>
      <c r="AR711" s="727"/>
      <c r="AS711" s="727"/>
      <c r="AT711" s="727"/>
      <c r="AU711" s="727"/>
      <c r="AV711" s="727"/>
      <c r="AW711" s="727"/>
      <c r="AX711" s="727"/>
      <c r="AY711" s="727"/>
      <c r="AZ711" s="727"/>
      <c r="BA711" s="727"/>
      <c r="BB711" s="727"/>
    </row>
    <row r="712" spans="1:54">
      <c r="A712" s="326"/>
      <c r="B712" s="791">
        <v>40</v>
      </c>
      <c r="C712" s="792">
        <v>700</v>
      </c>
      <c r="D712" s="779">
        <v>9.9299999999999996E-3</v>
      </c>
      <c r="E712" s="779">
        <v>3282</v>
      </c>
      <c r="F712" s="779">
        <v>3679.2</v>
      </c>
      <c r="G712" s="779">
        <v>6.3739999999999997</v>
      </c>
      <c r="H712" s="727"/>
      <c r="I712" s="727"/>
      <c r="J712" s="727"/>
      <c r="K712" s="727"/>
      <c r="L712" s="727"/>
      <c r="M712" s="727"/>
      <c r="N712" s="727"/>
      <c r="O712" s="727"/>
      <c r="P712" s="727"/>
      <c r="Q712" s="727"/>
      <c r="R712" s="727"/>
      <c r="S712" s="727"/>
      <c r="T712" s="727"/>
      <c r="U712" s="727"/>
      <c r="V712" s="727"/>
      <c r="W712" s="727"/>
      <c r="X712" s="727"/>
      <c r="Y712" s="727"/>
      <c r="Z712" s="727"/>
      <c r="AA712" s="727"/>
      <c r="AB712" s="727"/>
      <c r="AC712" s="727"/>
      <c r="AD712" s="727"/>
      <c r="AE712" s="727"/>
      <c r="AF712" s="727"/>
      <c r="AG712" s="727"/>
      <c r="AH712" s="727"/>
      <c r="AI712" s="727"/>
      <c r="AJ712" s="727"/>
      <c r="AK712" s="727"/>
      <c r="AL712" s="727"/>
      <c r="AM712" s="727"/>
      <c r="AN712" s="727"/>
      <c r="AO712" s="727"/>
      <c r="AP712" s="727"/>
      <c r="AQ712" s="727"/>
      <c r="AR712" s="727"/>
      <c r="AS712" s="727"/>
      <c r="AT712" s="727"/>
      <c r="AU712" s="727"/>
      <c r="AV712" s="727"/>
      <c r="AW712" s="727"/>
      <c r="AX712" s="727"/>
      <c r="AY712" s="727"/>
      <c r="AZ712" s="727"/>
      <c r="BA712" s="727"/>
      <c r="BB712" s="727"/>
    </row>
    <row r="713" spans="1:54">
      <c r="A713" s="326"/>
      <c r="B713" s="791">
        <v>40</v>
      </c>
      <c r="C713" s="792">
        <v>800</v>
      </c>
      <c r="D713" s="779">
        <v>1.1521E-2</v>
      </c>
      <c r="E713" s="779">
        <v>3511.8</v>
      </c>
      <c r="F713" s="779">
        <v>3972.6</v>
      </c>
      <c r="G713" s="779">
        <v>6.6612999999999998</v>
      </c>
      <c r="H713" s="727"/>
      <c r="I713" s="727"/>
      <c r="J713" s="727"/>
      <c r="K713" s="727"/>
      <c r="L713" s="727"/>
      <c r="M713" s="727"/>
      <c r="N713" s="727"/>
      <c r="O713" s="727"/>
      <c r="P713" s="727"/>
      <c r="Q713" s="727"/>
      <c r="R713" s="727"/>
      <c r="S713" s="727"/>
      <c r="T713" s="727"/>
      <c r="U713" s="727"/>
      <c r="V713" s="727"/>
      <c r="W713" s="727"/>
      <c r="X713" s="727"/>
      <c r="Y713" s="727"/>
      <c r="Z713" s="727"/>
      <c r="AA713" s="727"/>
      <c r="AB713" s="727"/>
      <c r="AC713" s="727"/>
      <c r="AD713" s="727"/>
      <c r="AE713" s="727"/>
      <c r="AF713" s="727"/>
      <c r="AG713" s="727"/>
      <c r="AH713" s="727"/>
      <c r="AI713" s="727"/>
      <c r="AJ713" s="727"/>
      <c r="AK713" s="727"/>
      <c r="AL713" s="727"/>
      <c r="AM713" s="727"/>
      <c r="AN713" s="727"/>
      <c r="AO713" s="727"/>
      <c r="AP713" s="727"/>
      <c r="AQ713" s="727"/>
      <c r="AR713" s="727"/>
      <c r="AS713" s="727"/>
      <c r="AT713" s="727"/>
      <c r="AU713" s="727"/>
      <c r="AV713" s="727"/>
      <c r="AW713" s="727"/>
      <c r="AX713" s="727"/>
      <c r="AY713" s="727"/>
      <c r="AZ713" s="727"/>
      <c r="BA713" s="727"/>
      <c r="BB713" s="727"/>
    </row>
    <row r="714" spans="1:54">
      <c r="A714" s="326"/>
      <c r="B714" s="791">
        <v>40</v>
      </c>
      <c r="C714" s="792">
        <v>900</v>
      </c>
      <c r="D714" s="779">
        <v>1.298E-2</v>
      </c>
      <c r="E714" s="779">
        <v>3733.3</v>
      </c>
      <c r="F714" s="779">
        <v>4252.5</v>
      </c>
      <c r="G714" s="779">
        <v>6.9107000000000003</v>
      </c>
      <c r="H714" s="727"/>
      <c r="I714" s="727"/>
      <c r="J714" s="727"/>
      <c r="K714" s="727"/>
      <c r="L714" s="727"/>
      <c r="M714" s="727"/>
      <c r="N714" s="727"/>
      <c r="O714" s="727"/>
      <c r="P714" s="727"/>
      <c r="Q714" s="727"/>
      <c r="R714" s="727"/>
      <c r="S714" s="727"/>
      <c r="T714" s="727"/>
      <c r="U714" s="727"/>
      <c r="V714" s="727"/>
      <c r="W714" s="727"/>
      <c r="X714" s="727"/>
      <c r="Y714" s="727"/>
      <c r="Z714" s="727"/>
      <c r="AA714" s="727"/>
      <c r="AB714" s="727"/>
      <c r="AC714" s="727"/>
      <c r="AD714" s="727"/>
      <c r="AE714" s="727"/>
      <c r="AF714" s="727"/>
      <c r="AG714" s="727"/>
      <c r="AH714" s="727"/>
      <c r="AI714" s="727"/>
      <c r="AJ714" s="727"/>
      <c r="AK714" s="727"/>
      <c r="AL714" s="727"/>
      <c r="AM714" s="727"/>
      <c r="AN714" s="727"/>
      <c r="AO714" s="727"/>
      <c r="AP714" s="727"/>
      <c r="AQ714" s="727"/>
      <c r="AR714" s="727"/>
      <c r="AS714" s="727"/>
      <c r="AT714" s="727"/>
      <c r="AU714" s="727"/>
      <c r="AV714" s="727"/>
      <c r="AW714" s="727"/>
      <c r="AX714" s="727"/>
      <c r="AY714" s="727"/>
      <c r="AZ714" s="727"/>
      <c r="BA714" s="727"/>
      <c r="BB714" s="727"/>
    </row>
    <row r="715" spans="1:54">
      <c r="A715" s="326"/>
      <c r="B715" s="791">
        <v>40</v>
      </c>
      <c r="C715" s="792">
        <v>1000</v>
      </c>
      <c r="D715" s="779">
        <v>1.436E-2</v>
      </c>
      <c r="E715" s="779">
        <v>3952.9</v>
      </c>
      <c r="F715" s="779">
        <v>4527.3</v>
      </c>
      <c r="G715" s="779">
        <v>7.1355000000000004</v>
      </c>
      <c r="H715" s="727"/>
      <c r="I715" s="727"/>
      <c r="J715" s="727"/>
      <c r="K715" s="727"/>
      <c r="L715" s="727"/>
      <c r="M715" s="727"/>
      <c r="N715" s="727"/>
      <c r="O715" s="727"/>
      <c r="P715" s="727"/>
      <c r="Q715" s="727"/>
      <c r="R715" s="727"/>
      <c r="S715" s="727"/>
      <c r="T715" s="727"/>
      <c r="U715" s="727"/>
      <c r="V715" s="727"/>
      <c r="W715" s="727"/>
      <c r="X715" s="727"/>
      <c r="Y715" s="727"/>
      <c r="Z715" s="727"/>
      <c r="AA715" s="727"/>
      <c r="AB715" s="727"/>
      <c r="AC715" s="727"/>
      <c r="AD715" s="727"/>
      <c r="AE715" s="727"/>
      <c r="AF715" s="727"/>
      <c r="AG715" s="727"/>
      <c r="AH715" s="727"/>
      <c r="AI715" s="727"/>
      <c r="AJ715" s="727"/>
      <c r="AK715" s="727"/>
      <c r="AL715" s="727"/>
      <c r="AM715" s="727"/>
      <c r="AN715" s="727"/>
      <c r="AO715" s="727"/>
      <c r="AP715" s="727"/>
      <c r="AQ715" s="727"/>
      <c r="AR715" s="727"/>
      <c r="AS715" s="727"/>
      <c r="AT715" s="727"/>
      <c r="AU715" s="727"/>
      <c r="AV715" s="727"/>
      <c r="AW715" s="727"/>
      <c r="AX715" s="727"/>
      <c r="AY715" s="727"/>
      <c r="AZ715" s="727"/>
      <c r="BA715" s="727"/>
      <c r="BB715" s="727"/>
    </row>
    <row r="716" spans="1:54">
      <c r="A716" s="326"/>
      <c r="B716" s="791">
        <v>40</v>
      </c>
      <c r="C716" s="792">
        <v>1100</v>
      </c>
      <c r="D716" s="779">
        <v>1.5685999999999999E-2</v>
      </c>
      <c r="E716" s="779">
        <v>4173.7</v>
      </c>
      <c r="F716" s="779">
        <v>4801.1000000000004</v>
      </c>
      <c r="G716" s="779">
        <v>7.3425000000000002</v>
      </c>
      <c r="H716" s="727"/>
      <c r="I716" s="727"/>
      <c r="J716" s="727"/>
      <c r="K716" s="727"/>
      <c r="L716" s="727"/>
      <c r="M716" s="727"/>
      <c r="N716" s="727"/>
      <c r="O716" s="727"/>
      <c r="P716" s="727"/>
      <c r="Q716" s="727"/>
      <c r="R716" s="727"/>
      <c r="S716" s="727"/>
      <c r="T716" s="727"/>
      <c r="U716" s="727"/>
      <c r="V716" s="727"/>
      <c r="W716" s="727"/>
      <c r="X716" s="727"/>
      <c r="Y716" s="727"/>
      <c r="Z716" s="727"/>
      <c r="AA716" s="727"/>
      <c r="AB716" s="727"/>
      <c r="AC716" s="727"/>
      <c r="AD716" s="727"/>
      <c r="AE716" s="727"/>
      <c r="AF716" s="727"/>
      <c r="AG716" s="727"/>
      <c r="AH716" s="727"/>
      <c r="AI716" s="727"/>
      <c r="AJ716" s="727"/>
      <c r="AK716" s="727"/>
      <c r="AL716" s="727"/>
      <c r="AM716" s="727"/>
      <c r="AN716" s="727"/>
      <c r="AO716" s="727"/>
      <c r="AP716" s="727"/>
      <c r="AQ716" s="727"/>
      <c r="AR716" s="727"/>
      <c r="AS716" s="727"/>
      <c r="AT716" s="727"/>
      <c r="AU716" s="727"/>
      <c r="AV716" s="727"/>
      <c r="AW716" s="727"/>
      <c r="AX716" s="727"/>
      <c r="AY716" s="727"/>
      <c r="AZ716" s="727"/>
      <c r="BA716" s="727"/>
      <c r="BB716" s="727"/>
    </row>
    <row r="717" spans="1:54">
      <c r="A717" s="326"/>
      <c r="B717" s="791">
        <v>40</v>
      </c>
      <c r="C717" s="792">
        <v>1200</v>
      </c>
      <c r="D717" s="779">
        <v>1.6976000000000002E-2</v>
      </c>
      <c r="E717" s="779">
        <v>4396.8999999999996</v>
      </c>
      <c r="F717" s="779">
        <v>5075.8999999999996</v>
      </c>
      <c r="G717" s="779">
        <v>7.5357000000000003</v>
      </c>
      <c r="H717" s="727"/>
      <c r="I717" s="727"/>
      <c r="J717" s="727"/>
      <c r="K717" s="727"/>
      <c r="L717" s="727"/>
      <c r="M717" s="727"/>
      <c r="N717" s="727"/>
      <c r="O717" s="727"/>
      <c r="P717" s="727"/>
      <c r="Q717" s="727"/>
      <c r="R717" s="727"/>
      <c r="S717" s="727"/>
      <c r="T717" s="727"/>
      <c r="U717" s="727"/>
      <c r="V717" s="727"/>
      <c r="W717" s="727"/>
      <c r="X717" s="727"/>
      <c r="Y717" s="727"/>
      <c r="Z717" s="727"/>
      <c r="AA717" s="727"/>
      <c r="AB717" s="727"/>
      <c r="AC717" s="727"/>
      <c r="AD717" s="727"/>
      <c r="AE717" s="727"/>
      <c r="AF717" s="727"/>
      <c r="AG717" s="727"/>
      <c r="AH717" s="727"/>
      <c r="AI717" s="727"/>
      <c r="AJ717" s="727"/>
      <c r="AK717" s="727"/>
      <c r="AL717" s="727"/>
      <c r="AM717" s="727"/>
      <c r="AN717" s="727"/>
      <c r="AO717" s="727"/>
      <c r="AP717" s="727"/>
      <c r="AQ717" s="727"/>
      <c r="AR717" s="727"/>
      <c r="AS717" s="727"/>
      <c r="AT717" s="727"/>
      <c r="AU717" s="727"/>
      <c r="AV717" s="727"/>
      <c r="AW717" s="727"/>
      <c r="AX717" s="727"/>
      <c r="AY717" s="727"/>
      <c r="AZ717" s="727"/>
      <c r="BA717" s="727"/>
      <c r="BB717" s="727"/>
    </row>
    <row r="718" spans="1:54">
      <c r="A718" s="326"/>
      <c r="B718" s="791">
        <v>40</v>
      </c>
      <c r="C718" s="792">
        <v>1300</v>
      </c>
      <c r="D718" s="779">
        <v>1.8238999999999998E-2</v>
      </c>
      <c r="E718" s="779">
        <v>4623.3</v>
      </c>
      <c r="F718" s="779">
        <v>5352.8</v>
      </c>
      <c r="G718" s="779">
        <v>7.7175000000000002</v>
      </c>
      <c r="H718" s="727"/>
      <c r="I718" s="727"/>
      <c r="J718" s="727"/>
      <c r="K718" s="727"/>
      <c r="L718" s="727"/>
      <c r="M718" s="727"/>
      <c r="N718" s="727"/>
      <c r="O718" s="727"/>
      <c r="P718" s="727"/>
      <c r="Q718" s="727"/>
      <c r="R718" s="727"/>
      <c r="S718" s="727"/>
      <c r="T718" s="727"/>
      <c r="U718" s="727"/>
      <c r="V718" s="727"/>
      <c r="W718" s="727"/>
      <c r="X718" s="727"/>
      <c r="Y718" s="727"/>
      <c r="Z718" s="727"/>
      <c r="AA718" s="727"/>
      <c r="AB718" s="727"/>
      <c r="AC718" s="727"/>
      <c r="AD718" s="727"/>
      <c r="AE718" s="727"/>
      <c r="AF718" s="727"/>
      <c r="AG718" s="727"/>
      <c r="AH718" s="727"/>
      <c r="AI718" s="727"/>
      <c r="AJ718" s="727"/>
      <c r="AK718" s="727"/>
      <c r="AL718" s="727"/>
      <c r="AM718" s="727"/>
      <c r="AN718" s="727"/>
      <c r="AO718" s="727"/>
      <c r="AP718" s="727"/>
      <c r="AQ718" s="727"/>
      <c r="AR718" s="727"/>
      <c r="AS718" s="727"/>
      <c r="AT718" s="727"/>
      <c r="AU718" s="727"/>
      <c r="AV718" s="727"/>
      <c r="AW718" s="727"/>
      <c r="AX718" s="727"/>
      <c r="AY718" s="727"/>
      <c r="AZ718" s="727"/>
      <c r="BA718" s="727"/>
      <c r="BB718" s="727"/>
    </row>
    <row r="719" spans="1:54">
      <c r="A719" s="326"/>
      <c r="B719" s="791">
        <v>50</v>
      </c>
      <c r="C719" s="792">
        <v>375</v>
      </c>
      <c r="D719" s="779">
        <v>1.56E-3</v>
      </c>
      <c r="E719" s="779">
        <v>1638.6</v>
      </c>
      <c r="F719" s="779">
        <v>1716.6</v>
      </c>
      <c r="G719" s="779">
        <v>3.7642000000000002</v>
      </c>
      <c r="H719" s="727"/>
      <c r="I719" s="727"/>
      <c r="J719" s="727"/>
      <c r="K719" s="727"/>
      <c r="L719" s="727"/>
      <c r="M719" s="727"/>
      <c r="N719" s="727"/>
      <c r="O719" s="727"/>
      <c r="P719" s="727"/>
      <c r="Q719" s="727"/>
      <c r="R719" s="727"/>
      <c r="S719" s="727"/>
      <c r="T719" s="727"/>
      <c r="U719" s="727"/>
      <c r="V719" s="727"/>
      <c r="W719" s="727"/>
      <c r="X719" s="727"/>
      <c r="Y719" s="727"/>
      <c r="Z719" s="727"/>
      <c r="AA719" s="727"/>
      <c r="AB719" s="727"/>
      <c r="AC719" s="727"/>
      <c r="AD719" s="727"/>
      <c r="AE719" s="727"/>
      <c r="AF719" s="727"/>
      <c r="AG719" s="727"/>
      <c r="AH719" s="727"/>
      <c r="AI719" s="727"/>
      <c r="AJ719" s="727"/>
      <c r="AK719" s="727"/>
      <c r="AL719" s="727"/>
      <c r="AM719" s="727"/>
      <c r="AN719" s="727"/>
      <c r="AO719" s="727"/>
      <c r="AP719" s="727"/>
      <c r="AQ719" s="727"/>
      <c r="AR719" s="727"/>
      <c r="AS719" s="727"/>
      <c r="AT719" s="727"/>
      <c r="AU719" s="727"/>
      <c r="AV719" s="727"/>
      <c r="AW719" s="727"/>
      <c r="AX719" s="727"/>
      <c r="AY719" s="727"/>
      <c r="AZ719" s="727"/>
      <c r="BA719" s="727"/>
      <c r="BB719" s="727"/>
    </row>
    <row r="720" spans="1:54">
      <c r="A720" s="326"/>
      <c r="B720" s="791">
        <v>50</v>
      </c>
      <c r="C720" s="792">
        <v>400</v>
      </c>
      <c r="D720" s="779">
        <v>1.7309999999999999E-3</v>
      </c>
      <c r="E720" s="779">
        <v>1787.8</v>
      </c>
      <c r="F720" s="779">
        <v>1874.4</v>
      </c>
      <c r="G720" s="779">
        <v>4.0029000000000003</v>
      </c>
      <c r="H720" s="727"/>
      <c r="I720" s="727"/>
      <c r="J720" s="727"/>
      <c r="K720" s="727"/>
      <c r="L720" s="727"/>
      <c r="M720" s="727"/>
      <c r="N720" s="727"/>
      <c r="O720" s="727"/>
      <c r="P720" s="727"/>
      <c r="Q720" s="727"/>
      <c r="R720" s="727"/>
      <c r="S720" s="727"/>
      <c r="T720" s="727"/>
      <c r="U720" s="727"/>
      <c r="V720" s="727"/>
      <c r="W720" s="727"/>
      <c r="X720" s="727"/>
      <c r="Y720" s="727"/>
      <c r="Z720" s="727"/>
      <c r="AA720" s="727"/>
      <c r="AB720" s="727"/>
      <c r="AC720" s="727"/>
      <c r="AD720" s="727"/>
      <c r="AE720" s="727"/>
      <c r="AF720" s="727"/>
      <c r="AG720" s="727"/>
      <c r="AH720" s="727"/>
      <c r="AI720" s="727"/>
      <c r="AJ720" s="727"/>
      <c r="AK720" s="727"/>
      <c r="AL720" s="727"/>
      <c r="AM720" s="727"/>
      <c r="AN720" s="727"/>
      <c r="AO720" s="727"/>
      <c r="AP720" s="727"/>
      <c r="AQ720" s="727"/>
      <c r="AR720" s="727"/>
      <c r="AS720" s="727"/>
      <c r="AT720" s="727"/>
      <c r="AU720" s="727"/>
      <c r="AV720" s="727"/>
      <c r="AW720" s="727"/>
      <c r="AX720" s="727"/>
      <c r="AY720" s="727"/>
      <c r="AZ720" s="727"/>
      <c r="BA720" s="727"/>
      <c r="BB720" s="727"/>
    </row>
    <row r="721" spans="1:54">
      <c r="A721" s="326"/>
      <c r="B721" s="791">
        <v>50</v>
      </c>
      <c r="C721" s="792">
        <v>425</v>
      </c>
      <c r="D721" s="779">
        <v>2.0089999999999999E-3</v>
      </c>
      <c r="E721" s="779">
        <v>1960.3</v>
      </c>
      <c r="F721" s="779">
        <v>2060.6999999999998</v>
      </c>
      <c r="G721" s="779">
        <v>4.2746000000000004</v>
      </c>
      <c r="H721" s="727"/>
      <c r="I721" s="727"/>
      <c r="J721" s="727"/>
      <c r="K721" s="727"/>
      <c r="L721" s="727"/>
      <c r="M721" s="727"/>
      <c r="N721" s="727"/>
      <c r="O721" s="727"/>
      <c r="P721" s="727"/>
      <c r="Q721" s="727"/>
      <c r="R721" s="727"/>
      <c r="S721" s="727"/>
      <c r="T721" s="727"/>
      <c r="U721" s="727"/>
      <c r="V721" s="727"/>
      <c r="W721" s="727"/>
      <c r="X721" s="727"/>
      <c r="Y721" s="727"/>
      <c r="Z721" s="727"/>
      <c r="AA721" s="727"/>
      <c r="AB721" s="727"/>
      <c r="AC721" s="727"/>
      <c r="AD721" s="727"/>
      <c r="AE721" s="727"/>
      <c r="AF721" s="727"/>
      <c r="AG721" s="727"/>
      <c r="AH721" s="727"/>
      <c r="AI721" s="727"/>
      <c r="AJ721" s="727"/>
      <c r="AK721" s="727"/>
      <c r="AL721" s="727"/>
      <c r="AM721" s="727"/>
      <c r="AN721" s="727"/>
      <c r="AO721" s="727"/>
      <c r="AP721" s="727"/>
      <c r="AQ721" s="727"/>
      <c r="AR721" s="727"/>
      <c r="AS721" s="727"/>
      <c r="AT721" s="727"/>
      <c r="AU721" s="727"/>
      <c r="AV721" s="727"/>
      <c r="AW721" s="727"/>
      <c r="AX721" s="727"/>
      <c r="AY721" s="727"/>
      <c r="AZ721" s="727"/>
      <c r="BA721" s="727"/>
      <c r="BB721" s="727"/>
    </row>
    <row r="722" spans="1:54">
      <c r="A722" s="326"/>
      <c r="B722" s="791">
        <v>50</v>
      </c>
      <c r="C722" s="792">
        <v>450</v>
      </c>
      <c r="D722" s="779">
        <v>2.4870000000000001E-3</v>
      </c>
      <c r="E722" s="779">
        <v>2160.3000000000002</v>
      </c>
      <c r="F722" s="779">
        <v>2284.6999999999998</v>
      </c>
      <c r="G722" s="779">
        <v>4.5895999999999999</v>
      </c>
      <c r="H722" s="727"/>
      <c r="I722" s="727"/>
      <c r="J722" s="727"/>
      <c r="K722" s="727"/>
      <c r="L722" s="727"/>
      <c r="M722" s="727"/>
      <c r="N722" s="727"/>
      <c r="O722" s="727"/>
      <c r="P722" s="727"/>
      <c r="Q722" s="727"/>
      <c r="R722" s="727"/>
      <c r="S722" s="727"/>
      <c r="T722" s="727"/>
      <c r="U722" s="727"/>
      <c r="V722" s="727"/>
      <c r="W722" s="727"/>
      <c r="X722" s="727"/>
      <c r="Y722" s="727"/>
      <c r="Z722" s="727"/>
      <c r="AA722" s="727"/>
      <c r="AB722" s="727"/>
      <c r="AC722" s="727"/>
      <c r="AD722" s="727"/>
      <c r="AE722" s="727"/>
      <c r="AF722" s="727"/>
      <c r="AG722" s="727"/>
      <c r="AH722" s="727"/>
      <c r="AI722" s="727"/>
      <c r="AJ722" s="727"/>
      <c r="AK722" s="727"/>
      <c r="AL722" s="727"/>
      <c r="AM722" s="727"/>
      <c r="AN722" s="727"/>
      <c r="AO722" s="727"/>
      <c r="AP722" s="727"/>
      <c r="AQ722" s="727"/>
      <c r="AR722" s="727"/>
      <c r="AS722" s="727"/>
      <c r="AT722" s="727"/>
      <c r="AU722" s="727"/>
      <c r="AV722" s="727"/>
      <c r="AW722" s="727"/>
      <c r="AX722" s="727"/>
      <c r="AY722" s="727"/>
      <c r="AZ722" s="727"/>
      <c r="BA722" s="727"/>
      <c r="BB722" s="727"/>
    </row>
    <row r="723" spans="1:54">
      <c r="A723" s="326"/>
      <c r="B723" s="791">
        <v>50</v>
      </c>
      <c r="C723" s="792">
        <v>500</v>
      </c>
      <c r="D723" s="779">
        <v>3.8899999999999998E-3</v>
      </c>
      <c r="E723" s="779">
        <v>2528.1</v>
      </c>
      <c r="F723" s="779">
        <v>2722.6</v>
      </c>
      <c r="G723" s="779">
        <v>5.1761999999999997</v>
      </c>
      <c r="H723" s="727"/>
      <c r="I723" s="727"/>
      <c r="J723" s="727"/>
      <c r="K723" s="727"/>
      <c r="L723" s="727"/>
      <c r="M723" s="727"/>
      <c r="N723" s="727"/>
      <c r="O723" s="727"/>
      <c r="P723" s="727"/>
      <c r="Q723" s="727"/>
      <c r="R723" s="727"/>
      <c r="S723" s="727"/>
      <c r="T723" s="727"/>
      <c r="U723" s="727"/>
      <c r="V723" s="727"/>
      <c r="W723" s="727"/>
      <c r="X723" s="727"/>
      <c r="Y723" s="727"/>
      <c r="Z723" s="727"/>
      <c r="AA723" s="727"/>
      <c r="AB723" s="727"/>
      <c r="AC723" s="727"/>
      <c r="AD723" s="727"/>
      <c r="AE723" s="727"/>
      <c r="AF723" s="727"/>
      <c r="AG723" s="727"/>
      <c r="AH723" s="727"/>
      <c r="AI723" s="727"/>
      <c r="AJ723" s="727"/>
      <c r="AK723" s="727"/>
      <c r="AL723" s="727"/>
      <c r="AM723" s="727"/>
      <c r="AN723" s="727"/>
      <c r="AO723" s="727"/>
      <c r="AP723" s="727"/>
      <c r="AQ723" s="727"/>
      <c r="AR723" s="727"/>
      <c r="AS723" s="727"/>
      <c r="AT723" s="727"/>
      <c r="AU723" s="727"/>
      <c r="AV723" s="727"/>
      <c r="AW723" s="727"/>
      <c r="AX723" s="727"/>
      <c r="AY723" s="727"/>
      <c r="AZ723" s="727"/>
      <c r="BA723" s="727"/>
      <c r="BB723" s="727"/>
    </row>
    <row r="724" spans="1:54">
      <c r="A724" s="326"/>
      <c r="B724" s="791">
        <v>50</v>
      </c>
      <c r="C724" s="792">
        <v>550</v>
      </c>
      <c r="D724" s="779">
        <v>5.1180000000000002E-3</v>
      </c>
      <c r="E724" s="779">
        <v>2769.5</v>
      </c>
      <c r="F724" s="779">
        <v>3025.4</v>
      </c>
      <c r="G724" s="779">
        <v>5.5563000000000002</v>
      </c>
      <c r="H724" s="727"/>
      <c r="I724" s="727"/>
      <c r="J724" s="727"/>
      <c r="K724" s="727"/>
      <c r="L724" s="727"/>
      <c r="M724" s="727"/>
      <c r="N724" s="727"/>
      <c r="O724" s="727"/>
      <c r="P724" s="727"/>
      <c r="Q724" s="727"/>
      <c r="R724" s="727"/>
      <c r="S724" s="727"/>
      <c r="T724" s="727"/>
      <c r="U724" s="727"/>
      <c r="V724" s="727"/>
      <c r="W724" s="727"/>
      <c r="X724" s="727"/>
      <c r="Y724" s="727"/>
      <c r="Z724" s="727"/>
      <c r="AA724" s="727"/>
      <c r="AB724" s="727"/>
      <c r="AC724" s="727"/>
      <c r="AD724" s="727"/>
      <c r="AE724" s="727"/>
      <c r="AF724" s="727"/>
      <c r="AG724" s="727"/>
      <c r="AH724" s="727"/>
      <c r="AI724" s="727"/>
      <c r="AJ724" s="727"/>
      <c r="AK724" s="727"/>
      <c r="AL724" s="727"/>
      <c r="AM724" s="727"/>
      <c r="AN724" s="727"/>
      <c r="AO724" s="727"/>
      <c r="AP724" s="727"/>
      <c r="AQ724" s="727"/>
      <c r="AR724" s="727"/>
      <c r="AS724" s="727"/>
      <c r="AT724" s="727"/>
      <c r="AU724" s="727"/>
      <c r="AV724" s="727"/>
      <c r="AW724" s="727"/>
      <c r="AX724" s="727"/>
      <c r="AY724" s="727"/>
      <c r="AZ724" s="727"/>
      <c r="BA724" s="727"/>
      <c r="BB724" s="727"/>
    </row>
    <row r="725" spans="1:54">
      <c r="A725" s="326"/>
      <c r="B725" s="791">
        <v>50</v>
      </c>
      <c r="C725" s="792">
        <v>600</v>
      </c>
      <c r="D725" s="779">
        <v>6.1079999999999997E-3</v>
      </c>
      <c r="E725" s="779">
        <v>2947.1</v>
      </c>
      <c r="F725" s="779">
        <v>3252.6</v>
      </c>
      <c r="G725" s="779">
        <v>5.8244999999999996</v>
      </c>
      <c r="H725" s="727"/>
      <c r="I725" s="727"/>
      <c r="J725" s="727"/>
      <c r="K725" s="727"/>
      <c r="L725" s="727"/>
      <c r="M725" s="727"/>
      <c r="N725" s="727"/>
      <c r="O725" s="727"/>
      <c r="P725" s="727"/>
      <c r="Q725" s="727"/>
      <c r="R725" s="727"/>
      <c r="S725" s="727"/>
      <c r="T725" s="727"/>
      <c r="U725" s="727"/>
      <c r="V725" s="727"/>
      <c r="W725" s="727"/>
      <c r="X725" s="727"/>
      <c r="Y725" s="727"/>
      <c r="Z725" s="727"/>
      <c r="AA725" s="727"/>
      <c r="AB725" s="727"/>
      <c r="AC725" s="727"/>
      <c r="AD725" s="727"/>
      <c r="AE725" s="727"/>
      <c r="AF725" s="727"/>
      <c r="AG725" s="727"/>
      <c r="AH725" s="727"/>
      <c r="AI725" s="727"/>
      <c r="AJ725" s="727"/>
      <c r="AK725" s="727"/>
      <c r="AL725" s="727"/>
      <c r="AM725" s="727"/>
      <c r="AN725" s="727"/>
      <c r="AO725" s="727"/>
      <c r="AP725" s="727"/>
      <c r="AQ725" s="727"/>
      <c r="AR725" s="727"/>
      <c r="AS725" s="727"/>
      <c r="AT725" s="727"/>
      <c r="AU725" s="727"/>
      <c r="AV725" s="727"/>
      <c r="AW725" s="727"/>
      <c r="AX725" s="727"/>
      <c r="AY725" s="727"/>
      <c r="AZ725" s="727"/>
      <c r="BA725" s="727"/>
      <c r="BB725" s="727"/>
    </row>
    <row r="726" spans="1:54">
      <c r="A726" s="326"/>
      <c r="B726" s="791">
        <v>50</v>
      </c>
      <c r="C726" s="792">
        <v>650</v>
      </c>
      <c r="D726" s="779">
        <v>6.9569999999999996E-3</v>
      </c>
      <c r="E726" s="779">
        <v>3095.6</v>
      </c>
      <c r="F726" s="779">
        <v>3443.5</v>
      </c>
      <c r="G726" s="779">
        <v>6.0373000000000001</v>
      </c>
      <c r="H726" s="727"/>
      <c r="I726" s="727"/>
      <c r="J726" s="727"/>
      <c r="K726" s="727"/>
      <c r="L726" s="727"/>
      <c r="M726" s="727"/>
      <c r="N726" s="727"/>
      <c r="O726" s="727"/>
      <c r="P726" s="727"/>
      <c r="Q726" s="727"/>
      <c r="R726" s="727"/>
      <c r="S726" s="727"/>
      <c r="T726" s="727"/>
      <c r="U726" s="727"/>
      <c r="V726" s="727"/>
      <c r="W726" s="727"/>
      <c r="X726" s="727"/>
      <c r="Y726" s="727"/>
      <c r="Z726" s="727"/>
      <c r="AA726" s="727"/>
      <c r="AB726" s="727"/>
      <c r="AC726" s="727"/>
      <c r="AD726" s="727"/>
      <c r="AE726" s="727"/>
      <c r="AF726" s="727"/>
      <c r="AG726" s="727"/>
      <c r="AH726" s="727"/>
      <c r="AI726" s="727"/>
      <c r="AJ726" s="727"/>
      <c r="AK726" s="727"/>
      <c r="AL726" s="727"/>
      <c r="AM726" s="727"/>
      <c r="AN726" s="727"/>
      <c r="AO726" s="727"/>
      <c r="AP726" s="727"/>
      <c r="AQ726" s="727"/>
      <c r="AR726" s="727"/>
      <c r="AS726" s="727"/>
      <c r="AT726" s="727"/>
      <c r="AU726" s="727"/>
      <c r="AV726" s="727"/>
      <c r="AW726" s="727"/>
      <c r="AX726" s="727"/>
      <c r="AY726" s="727"/>
      <c r="AZ726" s="727"/>
      <c r="BA726" s="727"/>
      <c r="BB726" s="727"/>
    </row>
    <row r="727" spans="1:54">
      <c r="A727" s="326"/>
      <c r="B727" s="791">
        <v>50</v>
      </c>
      <c r="C727" s="792">
        <v>700</v>
      </c>
      <c r="D727" s="779">
        <v>7.7169999999999999E-3</v>
      </c>
      <c r="E727" s="779">
        <v>3228.7</v>
      </c>
      <c r="F727" s="779">
        <v>3614.6</v>
      </c>
      <c r="G727" s="779">
        <v>6.2179000000000002</v>
      </c>
      <c r="H727" s="727"/>
      <c r="I727" s="727"/>
      <c r="J727" s="727"/>
      <c r="K727" s="727"/>
      <c r="L727" s="727"/>
      <c r="M727" s="727"/>
      <c r="N727" s="727"/>
      <c r="O727" s="727"/>
      <c r="P727" s="727"/>
      <c r="Q727" s="727"/>
      <c r="R727" s="727"/>
      <c r="S727" s="727"/>
      <c r="T727" s="727"/>
      <c r="U727" s="727"/>
      <c r="V727" s="727"/>
      <c r="W727" s="727"/>
      <c r="X727" s="727"/>
      <c r="Y727" s="727"/>
      <c r="Z727" s="727"/>
      <c r="AA727" s="727"/>
      <c r="AB727" s="727"/>
      <c r="AC727" s="727"/>
      <c r="AD727" s="727"/>
      <c r="AE727" s="727"/>
      <c r="AF727" s="727"/>
      <c r="AG727" s="727"/>
      <c r="AH727" s="727"/>
      <c r="AI727" s="727"/>
      <c r="AJ727" s="727"/>
      <c r="AK727" s="727"/>
      <c r="AL727" s="727"/>
      <c r="AM727" s="727"/>
      <c r="AN727" s="727"/>
      <c r="AO727" s="727"/>
      <c r="AP727" s="727"/>
      <c r="AQ727" s="727"/>
      <c r="AR727" s="727"/>
      <c r="AS727" s="727"/>
      <c r="AT727" s="727"/>
      <c r="AU727" s="727"/>
      <c r="AV727" s="727"/>
      <c r="AW727" s="727"/>
      <c r="AX727" s="727"/>
      <c r="AY727" s="727"/>
      <c r="AZ727" s="727"/>
      <c r="BA727" s="727"/>
      <c r="BB727" s="727"/>
    </row>
    <row r="728" spans="1:54">
      <c r="A728" s="326"/>
      <c r="B728" s="791">
        <v>50</v>
      </c>
      <c r="C728" s="792">
        <v>800</v>
      </c>
      <c r="D728" s="779">
        <v>9.0729999999999995E-3</v>
      </c>
      <c r="E728" s="779">
        <v>3472.2</v>
      </c>
      <c r="F728" s="779">
        <v>3925.8</v>
      </c>
      <c r="G728" s="779">
        <v>6.5225</v>
      </c>
      <c r="H728" s="727"/>
      <c r="I728" s="727"/>
      <c r="J728" s="727"/>
      <c r="K728" s="727"/>
      <c r="L728" s="727"/>
      <c r="M728" s="727"/>
      <c r="N728" s="727"/>
      <c r="O728" s="727"/>
      <c r="P728" s="727"/>
      <c r="Q728" s="727"/>
      <c r="R728" s="727"/>
      <c r="S728" s="727"/>
      <c r="T728" s="727"/>
      <c r="U728" s="727"/>
      <c r="V728" s="727"/>
      <c r="W728" s="727"/>
      <c r="X728" s="727"/>
      <c r="Y728" s="727"/>
      <c r="Z728" s="727"/>
      <c r="AA728" s="727"/>
      <c r="AB728" s="727"/>
      <c r="AC728" s="727"/>
      <c r="AD728" s="727"/>
      <c r="AE728" s="727"/>
      <c r="AF728" s="727"/>
      <c r="AG728" s="727"/>
      <c r="AH728" s="727"/>
      <c r="AI728" s="727"/>
      <c r="AJ728" s="727"/>
      <c r="AK728" s="727"/>
      <c r="AL728" s="727"/>
      <c r="AM728" s="727"/>
      <c r="AN728" s="727"/>
      <c r="AO728" s="727"/>
      <c r="AP728" s="727"/>
      <c r="AQ728" s="727"/>
      <c r="AR728" s="727"/>
      <c r="AS728" s="727"/>
      <c r="AT728" s="727"/>
      <c r="AU728" s="727"/>
      <c r="AV728" s="727"/>
      <c r="AW728" s="727"/>
      <c r="AX728" s="727"/>
      <c r="AY728" s="727"/>
      <c r="AZ728" s="727"/>
      <c r="BA728" s="727"/>
      <c r="BB728" s="727"/>
    </row>
    <row r="729" spans="1:54">
      <c r="A729" s="326"/>
      <c r="B729" s="791">
        <v>50</v>
      </c>
      <c r="C729" s="792">
        <v>900</v>
      </c>
      <c r="D729" s="779">
        <v>1.0296E-2</v>
      </c>
      <c r="E729" s="779">
        <v>3702</v>
      </c>
      <c r="F729" s="779">
        <v>4216.8</v>
      </c>
      <c r="G729" s="779">
        <v>6.7819000000000003</v>
      </c>
      <c r="H729" s="727"/>
      <c r="I729" s="727"/>
      <c r="J729" s="727"/>
      <c r="K729" s="727"/>
      <c r="L729" s="727"/>
      <c r="M729" s="727"/>
      <c r="N729" s="727"/>
      <c r="O729" s="727"/>
      <c r="P729" s="727"/>
      <c r="Q729" s="727"/>
      <c r="R729" s="727"/>
      <c r="S729" s="727"/>
      <c r="T729" s="727"/>
      <c r="U729" s="727"/>
      <c r="V729" s="727"/>
      <c r="W729" s="727"/>
      <c r="X729" s="727"/>
      <c r="Y729" s="727"/>
      <c r="Z729" s="727"/>
      <c r="AA729" s="727"/>
      <c r="AB729" s="727"/>
      <c r="AC729" s="727"/>
      <c r="AD729" s="727"/>
      <c r="AE729" s="727"/>
      <c r="AF729" s="727"/>
      <c r="AG729" s="727"/>
      <c r="AH729" s="727"/>
      <c r="AI729" s="727"/>
      <c r="AJ729" s="727"/>
      <c r="AK729" s="727"/>
      <c r="AL729" s="727"/>
      <c r="AM729" s="727"/>
      <c r="AN729" s="727"/>
      <c r="AO729" s="727"/>
      <c r="AP729" s="727"/>
      <c r="AQ729" s="727"/>
      <c r="AR729" s="727"/>
      <c r="AS729" s="727"/>
      <c r="AT729" s="727"/>
      <c r="AU729" s="727"/>
      <c r="AV729" s="727"/>
      <c r="AW729" s="727"/>
      <c r="AX729" s="727"/>
      <c r="AY729" s="727"/>
      <c r="AZ729" s="727"/>
      <c r="BA729" s="727"/>
      <c r="BB729" s="727"/>
    </row>
    <row r="730" spans="1:54">
      <c r="A730" s="326"/>
      <c r="B730" s="791">
        <v>50</v>
      </c>
      <c r="C730" s="792">
        <v>1000</v>
      </c>
      <c r="D730" s="779">
        <v>1.1441E-2</v>
      </c>
      <c r="E730" s="779">
        <v>3927.4</v>
      </c>
      <c r="F730" s="779">
        <v>4499.3999999999996</v>
      </c>
      <c r="G730" s="779">
        <v>7.0130999999999997</v>
      </c>
      <c r="H730" s="727"/>
      <c r="I730" s="727"/>
      <c r="J730" s="727"/>
      <c r="K730" s="727"/>
      <c r="L730" s="727"/>
      <c r="M730" s="727"/>
      <c r="N730" s="727"/>
      <c r="O730" s="797" t="s">
        <v>1049</v>
      </c>
      <c r="P730" s="727"/>
      <c r="Q730" s="727"/>
      <c r="R730" s="727"/>
      <c r="S730" s="727"/>
      <c r="T730" s="727"/>
      <c r="U730" s="727"/>
      <c r="V730" s="727"/>
      <c r="W730" s="727"/>
      <c r="X730" s="727"/>
      <c r="Y730" s="727"/>
      <c r="Z730" s="727"/>
      <c r="AA730" s="727"/>
      <c r="AB730" s="727"/>
      <c r="AC730" s="727"/>
      <c r="AD730" s="727"/>
      <c r="AE730" s="727"/>
      <c r="AF730" s="727"/>
      <c r="AG730" s="727"/>
      <c r="AH730" s="727"/>
      <c r="AI730" s="727"/>
      <c r="AJ730" s="727"/>
      <c r="AK730" s="727"/>
      <c r="AL730" s="727"/>
      <c r="AM730" s="727"/>
      <c r="AN730" s="727"/>
      <c r="AO730" s="727"/>
      <c r="AP730" s="727"/>
      <c r="AQ730" s="727"/>
      <c r="AR730" s="727"/>
      <c r="AS730" s="727"/>
      <c r="AT730" s="727"/>
      <c r="AU730" s="727"/>
      <c r="AV730" s="727"/>
      <c r="AW730" s="727"/>
      <c r="AX730" s="727"/>
      <c r="AY730" s="727"/>
      <c r="AZ730" s="727"/>
      <c r="BA730" s="727"/>
      <c r="BB730" s="727"/>
    </row>
    <row r="731" spans="1:54">
      <c r="A731" s="326"/>
      <c r="B731" s="791">
        <v>50</v>
      </c>
      <c r="C731" s="792">
        <v>1100</v>
      </c>
      <c r="D731" s="779">
        <v>1.2534E-2</v>
      </c>
      <c r="E731" s="779">
        <v>4152.2</v>
      </c>
      <c r="F731" s="779">
        <v>4778.8999999999996</v>
      </c>
      <c r="G731" s="779">
        <v>7.2244000000000002</v>
      </c>
      <c r="H731" s="727"/>
      <c r="I731" s="727"/>
      <c r="J731" s="727"/>
      <c r="K731" s="727"/>
      <c r="L731" s="727"/>
      <c r="M731" s="727"/>
      <c r="N731" s="727"/>
      <c r="O731" s="727"/>
      <c r="P731" s="727"/>
      <c r="Q731" s="757" t="s">
        <v>1040</v>
      </c>
      <c r="R731" s="731" t="s">
        <v>1039</v>
      </c>
      <c r="S731" s="727"/>
      <c r="T731" s="727"/>
      <c r="U731" s="727"/>
      <c r="V731" s="727"/>
      <c r="W731" s="727"/>
      <c r="X731" s="727"/>
      <c r="Y731" s="727"/>
      <c r="Z731" s="727"/>
      <c r="AA731" s="727"/>
      <c r="AB731" s="727"/>
      <c r="AC731" s="727"/>
      <c r="AD731" s="727"/>
      <c r="AE731" s="727"/>
      <c r="AF731" s="727"/>
      <c r="AG731" s="727"/>
      <c r="AH731" s="727"/>
      <c r="AI731" s="727"/>
      <c r="AJ731" s="727"/>
      <c r="AK731" s="727"/>
      <c r="AL731" s="727"/>
      <c r="AM731" s="727"/>
      <c r="AN731" s="727"/>
      <c r="AO731" s="727"/>
      <c r="AP731" s="727"/>
      <c r="AQ731" s="727"/>
      <c r="AR731" s="727"/>
      <c r="AS731" s="727"/>
      <c r="AT731" s="727"/>
      <c r="AU731" s="727"/>
      <c r="AV731" s="727"/>
      <c r="AW731" s="727"/>
      <c r="AX731" s="727"/>
      <c r="AY731" s="727"/>
      <c r="AZ731" s="727"/>
      <c r="BA731" s="727"/>
      <c r="BB731" s="727"/>
    </row>
    <row r="732" spans="1:54">
      <c r="A732" s="326"/>
      <c r="B732" s="791">
        <v>50</v>
      </c>
      <c r="C732" s="792">
        <v>1200</v>
      </c>
      <c r="D732" s="779">
        <v>1.359E-2</v>
      </c>
      <c r="E732" s="779">
        <v>4378.6000000000004</v>
      </c>
      <c r="F732" s="779">
        <v>5058.1000000000004</v>
      </c>
      <c r="G732" s="779">
        <v>7.4207000000000001</v>
      </c>
      <c r="H732" s="727"/>
      <c r="I732" s="727"/>
      <c r="J732" s="727"/>
      <c r="K732" s="727"/>
      <c r="L732" s="727"/>
      <c r="M732" s="727"/>
      <c r="N732" s="727"/>
      <c r="O732" s="727"/>
      <c r="P732" s="758" t="s">
        <v>952</v>
      </c>
      <c r="Q732" s="785">
        <f>INDEX($B$204:$B$748,MATCH($Q733,$B$204:$B$748,1))</f>
        <v>3.5</v>
      </c>
      <c r="R732" s="727"/>
      <c r="S732" s="727"/>
      <c r="T732" s="727"/>
      <c r="U732" s="727"/>
      <c r="V732" s="727"/>
      <c r="W732" s="727"/>
      <c r="X732" s="727"/>
      <c r="Y732" s="727"/>
      <c r="Z732" s="727"/>
      <c r="AA732" s="727"/>
      <c r="AB732" s="727"/>
      <c r="AC732" s="727"/>
      <c r="AD732" s="727"/>
      <c r="AE732" s="727"/>
      <c r="AF732" s="727"/>
      <c r="AG732" s="727"/>
      <c r="AH732" s="727"/>
      <c r="AI732" s="727"/>
      <c r="AJ732" s="727"/>
      <c r="AK732" s="727"/>
      <c r="AL732" s="727"/>
      <c r="AM732" s="727"/>
      <c r="AN732" s="727"/>
      <c r="AO732" s="727"/>
      <c r="AP732" s="727"/>
      <c r="AQ732" s="727"/>
      <c r="AR732" s="727"/>
      <c r="AS732" s="727"/>
      <c r="AT732" s="727"/>
      <c r="AU732" s="727"/>
      <c r="AV732" s="727"/>
      <c r="AW732" s="727"/>
      <c r="AX732" s="727"/>
      <c r="AY732" s="727"/>
      <c r="AZ732" s="727"/>
      <c r="BA732" s="727"/>
      <c r="BB732" s="727"/>
    </row>
    <row r="733" spans="1:54">
      <c r="A733" s="326"/>
      <c r="B733" s="791">
        <v>50</v>
      </c>
      <c r="C733" s="792">
        <v>1300</v>
      </c>
      <c r="D733" s="779">
        <v>1.4619999999999999E-2</v>
      </c>
      <c r="E733" s="779">
        <v>4607.5</v>
      </c>
      <c r="F733" s="779">
        <v>5338.5</v>
      </c>
      <c r="G733" s="779">
        <v>7.6048</v>
      </c>
      <c r="H733" s="727"/>
      <c r="I733" s="727"/>
      <c r="J733" s="727"/>
      <c r="K733" s="727"/>
      <c r="L733" s="727"/>
      <c r="M733" s="727"/>
      <c r="N733" s="727"/>
      <c r="O733" s="727"/>
      <c r="P733" s="758" t="s">
        <v>951</v>
      </c>
      <c r="Q733" s="762">
        <f>$N$4/1000000</f>
        <v>3.5</v>
      </c>
      <c r="R733" s="798">
        <f>IF(Q733&lt;MIN($B$204:$B$748),MIN($B$204:$B$748),IF(Q733&gt;MAX($B$204:$B$748),MAX($B$204:$B$748),IF(ABS(Q733-Q732)&gt;=ABS(Q734-Q733),Q734,Q732)))</f>
        <v>3.5</v>
      </c>
      <c r="S733" s="763" t="s">
        <v>1044</v>
      </c>
      <c r="T733" s="727"/>
      <c r="U733" s="727"/>
      <c r="V733" s="727"/>
      <c r="W733" s="727"/>
      <c r="X733" s="727"/>
      <c r="Y733" s="727"/>
      <c r="Z733" s="727"/>
      <c r="AA733" s="727"/>
      <c r="AB733" s="727"/>
      <c r="AC733" s="727"/>
      <c r="AD733" s="727"/>
      <c r="AE733" s="727"/>
      <c r="AF733" s="727"/>
      <c r="AG733" s="727"/>
      <c r="AH733" s="727"/>
      <c r="AI733" s="727"/>
      <c r="AJ733" s="727"/>
      <c r="AK733" s="727"/>
      <c r="AL733" s="727"/>
      <c r="AM733" s="727"/>
      <c r="AN733" s="727"/>
      <c r="AO733" s="727"/>
      <c r="AP733" s="727"/>
      <c r="AQ733" s="727"/>
      <c r="AR733" s="727"/>
      <c r="AS733" s="727"/>
      <c r="AT733" s="727"/>
      <c r="AU733" s="727"/>
      <c r="AV733" s="727"/>
      <c r="AW733" s="727"/>
      <c r="AX733" s="727"/>
      <c r="AY733" s="727"/>
      <c r="AZ733" s="727"/>
      <c r="BA733" s="727"/>
      <c r="BB733" s="727"/>
    </row>
    <row r="734" spans="1:54">
      <c r="A734" s="326"/>
      <c r="B734" s="791">
        <v>60</v>
      </c>
      <c r="C734" s="792">
        <v>375</v>
      </c>
      <c r="D734" s="779">
        <v>1.503E-3</v>
      </c>
      <c r="E734" s="779">
        <v>1609.7</v>
      </c>
      <c r="F734" s="779">
        <v>1699.9</v>
      </c>
      <c r="G734" s="779">
        <v>3.7149000000000001</v>
      </c>
      <c r="H734" s="727"/>
      <c r="I734" s="727"/>
      <c r="J734" s="727"/>
      <c r="K734" s="727"/>
      <c r="L734" s="727"/>
      <c r="M734" s="727"/>
      <c r="N734" s="727"/>
      <c r="O734" s="727"/>
      <c r="P734" s="758" t="s">
        <v>952</v>
      </c>
      <c r="Q734" s="785">
        <f>INDEX($B$204:$B$748,MATCH($Q733,$B$204:$B$748,1)+1)</f>
        <v>4</v>
      </c>
      <c r="R734" s="727"/>
      <c r="S734" s="727"/>
      <c r="T734" s="727"/>
      <c r="U734" s="727"/>
      <c r="V734" s="727"/>
      <c r="W734" s="727"/>
      <c r="X734" s="727"/>
      <c r="Y734" s="727"/>
      <c r="Z734" s="727"/>
      <c r="AA734" s="727"/>
      <c r="AB734" s="727"/>
      <c r="AC734" s="727"/>
      <c r="AD734" s="727"/>
      <c r="AE734" s="727"/>
      <c r="AF734" s="727"/>
      <c r="AG734" s="727"/>
      <c r="AH734" s="727"/>
      <c r="AI734" s="727"/>
      <c r="AJ734" s="727"/>
      <c r="AK734" s="727"/>
      <c r="AL734" s="727"/>
      <c r="AM734" s="727"/>
      <c r="AN734" s="727"/>
      <c r="AO734" s="727"/>
      <c r="AP734" s="727"/>
      <c r="AQ734" s="727"/>
      <c r="AR734" s="727"/>
      <c r="AS734" s="727"/>
      <c r="AT734" s="727"/>
      <c r="AU734" s="727"/>
      <c r="AV734" s="727"/>
      <c r="AW734" s="727"/>
      <c r="AX734" s="727"/>
      <c r="AY734" s="727"/>
      <c r="AZ734" s="727"/>
      <c r="BA734" s="727"/>
      <c r="BB734" s="727"/>
    </row>
    <row r="735" spans="1:54">
      <c r="A735" s="326"/>
      <c r="B735" s="791">
        <v>60</v>
      </c>
      <c r="C735" s="792">
        <v>400</v>
      </c>
      <c r="D735" s="779">
        <v>1.6329999999999999E-3</v>
      </c>
      <c r="E735" s="779">
        <v>1745.2</v>
      </c>
      <c r="F735" s="779">
        <v>1843.2</v>
      </c>
      <c r="G735" s="779">
        <v>3.9317000000000002</v>
      </c>
      <c r="H735" s="727"/>
      <c r="I735" s="727"/>
      <c r="J735" s="727"/>
      <c r="K735" s="727"/>
      <c r="L735" s="727"/>
      <c r="M735" s="727"/>
      <c r="N735" s="727"/>
      <c r="O735" s="797" t="s">
        <v>1050</v>
      </c>
      <c r="P735" s="727"/>
      <c r="Q735" s="727"/>
      <c r="R735" s="727"/>
      <c r="S735" s="727"/>
      <c r="T735" s="727"/>
      <c r="U735" s="727"/>
      <c r="V735" s="727"/>
      <c r="W735" s="727"/>
      <c r="X735" s="727"/>
      <c r="Y735" s="727"/>
      <c r="Z735" s="727"/>
      <c r="AA735" s="727"/>
      <c r="AB735" s="727"/>
      <c r="AC735" s="727"/>
      <c r="AD735" s="727"/>
      <c r="AE735" s="727"/>
      <c r="AF735" s="727"/>
      <c r="AG735" s="727"/>
      <c r="AH735" s="727"/>
      <c r="AI735" s="727"/>
      <c r="AJ735" s="727"/>
      <c r="AK735" s="727"/>
      <c r="AL735" s="727"/>
      <c r="AM735" s="727"/>
      <c r="AN735" s="727"/>
      <c r="AO735" s="727"/>
      <c r="AP735" s="727"/>
      <c r="AQ735" s="727"/>
      <c r="AR735" s="727"/>
      <c r="AS735" s="727"/>
      <c r="AT735" s="727"/>
      <c r="AU735" s="727"/>
      <c r="AV735" s="727"/>
      <c r="AW735" s="727"/>
      <c r="AX735" s="727"/>
      <c r="AY735" s="727"/>
      <c r="AZ735" s="727"/>
      <c r="BA735" s="727"/>
      <c r="BB735" s="727"/>
    </row>
    <row r="736" spans="1:54">
      <c r="A736" s="326"/>
      <c r="B736" s="791">
        <v>60</v>
      </c>
      <c r="C736" s="792">
        <v>425</v>
      </c>
      <c r="D736" s="779">
        <v>1.8159999999999999E-3</v>
      </c>
      <c r="E736" s="779">
        <v>1892.9</v>
      </c>
      <c r="F736" s="779">
        <v>2001.8</v>
      </c>
      <c r="G736" s="779">
        <v>4.1630000000000003</v>
      </c>
      <c r="H736" s="727"/>
      <c r="I736" s="727"/>
      <c r="J736" s="727"/>
      <c r="K736" s="727"/>
      <c r="L736" s="727"/>
      <c r="M736" s="727"/>
      <c r="N736" s="727"/>
      <c r="O736" s="727"/>
      <c r="P736" s="727"/>
      <c r="Q736" s="757" t="s">
        <v>1105</v>
      </c>
      <c r="R736" s="731" t="s">
        <v>898</v>
      </c>
      <c r="S736" s="727"/>
      <c r="T736" s="727"/>
      <c r="U736" s="727"/>
      <c r="V736" s="727"/>
      <c r="W736" s="727"/>
      <c r="X736" s="727"/>
      <c r="Y736" s="727"/>
      <c r="Z736" s="727"/>
      <c r="AA736" s="727"/>
      <c r="AB736" s="727"/>
      <c r="AC736" s="727"/>
      <c r="AD736" s="727"/>
      <c r="AE736" s="727"/>
      <c r="AF736" s="727"/>
      <c r="AG736" s="727"/>
      <c r="AH736" s="727"/>
      <c r="AI736" s="727"/>
      <c r="AJ736" s="727"/>
      <c r="AK736" s="727"/>
      <c r="AL736" s="727"/>
      <c r="AM736" s="727"/>
      <c r="AN736" s="727"/>
      <c r="AO736" s="727"/>
      <c r="AP736" s="727"/>
      <c r="AQ736" s="727"/>
      <c r="AR736" s="727"/>
      <c r="AS736" s="727"/>
      <c r="AT736" s="727"/>
      <c r="AU736" s="727"/>
      <c r="AV736" s="727"/>
      <c r="AW736" s="727"/>
      <c r="AX736" s="727"/>
      <c r="AY736" s="727"/>
      <c r="AZ736" s="727"/>
      <c r="BA736" s="727"/>
      <c r="BB736" s="727"/>
    </row>
    <row r="737" spans="1:54">
      <c r="A737" s="326"/>
      <c r="B737" s="791">
        <v>60</v>
      </c>
      <c r="C737" s="792">
        <v>450</v>
      </c>
      <c r="D737" s="779">
        <v>2.0860000000000002E-3</v>
      </c>
      <c r="E737" s="779">
        <v>2055.1</v>
      </c>
      <c r="F737" s="779">
        <v>2180.1999999999998</v>
      </c>
      <c r="G737" s="779">
        <v>4.4139999999999997</v>
      </c>
      <c r="H737" s="727"/>
      <c r="I737" s="727"/>
      <c r="J737" s="727"/>
      <c r="K737" s="727"/>
      <c r="L737" s="727"/>
      <c r="M737" s="727"/>
      <c r="N737" s="727"/>
      <c r="O737" s="727"/>
      <c r="P737" s="758" t="s">
        <v>952</v>
      </c>
      <c r="Q737" s="785">
        <f ca="1">INDEX(INDIRECT(CONCATENATE("$C$",$M$208)):INDIRECT(CONCATENATE("$C$",$M$209)),MATCH($Q738,INDIRECT(CONCATENATE("$C$",$M$208)):INDIRECT(CONCATENATE("$C$",$M$209)),1))</f>
        <v>250</v>
      </c>
      <c r="R737" s="803">
        <f ca="1">VLOOKUP(Q737,INDIRECT(CONCATENATE("$C$",$M$208)):INDIRECT(CONCATENATE("$G$",$M$209)),4,FALSE)</f>
        <v>2829.7</v>
      </c>
      <c r="S737" s="727"/>
      <c r="T737" s="727"/>
      <c r="U737" s="727"/>
      <c r="V737" s="727"/>
      <c r="W737" s="727"/>
      <c r="X737" s="727"/>
      <c r="Y737" s="727"/>
      <c r="Z737" s="727"/>
      <c r="AA737" s="727"/>
      <c r="AB737" s="727"/>
      <c r="AC737" s="727"/>
      <c r="AD737" s="727"/>
      <c r="AE737" s="727"/>
      <c r="AF737" s="727"/>
      <c r="AG737" s="727"/>
      <c r="AH737" s="727"/>
      <c r="AI737" s="727"/>
      <c r="AJ737" s="727"/>
      <c r="AK737" s="727"/>
      <c r="AL737" s="727"/>
      <c r="AM737" s="727"/>
      <c r="AN737" s="727"/>
      <c r="AO737" s="727"/>
      <c r="AP737" s="727"/>
      <c r="AQ737" s="727"/>
      <c r="AR737" s="727"/>
      <c r="AS737" s="727"/>
      <c r="AT737" s="727"/>
      <c r="AU737" s="727"/>
      <c r="AV737" s="727"/>
      <c r="AW737" s="727"/>
      <c r="AX737" s="727"/>
      <c r="AY737" s="727"/>
      <c r="AZ737" s="727"/>
      <c r="BA737" s="727"/>
      <c r="BB737" s="727"/>
    </row>
    <row r="738" spans="1:54">
      <c r="A738" s="326"/>
      <c r="B738" s="791">
        <v>60</v>
      </c>
      <c r="C738" s="792">
        <v>500</v>
      </c>
      <c r="D738" s="779">
        <v>2.9520000000000002E-3</v>
      </c>
      <c r="E738" s="779">
        <v>2393.1999999999998</v>
      </c>
      <c r="F738" s="779">
        <v>2570.3000000000002</v>
      </c>
      <c r="G738" s="779">
        <v>4.9356</v>
      </c>
      <c r="H738" s="727"/>
      <c r="I738" s="727"/>
      <c r="J738" s="727"/>
      <c r="K738" s="727"/>
      <c r="L738" s="727"/>
      <c r="M738" s="727"/>
      <c r="N738" s="727"/>
      <c r="O738" s="727"/>
      <c r="P738" s="758" t="s">
        <v>951</v>
      </c>
      <c r="Q738" s="762">
        <f>$I$4</f>
        <v>295</v>
      </c>
      <c r="R738" s="800">
        <f ca="1">IF(Q738&gt;MAX(INDIRECT(CONCATENATE("$C$",$M$208)):INDIRECT(CONCATENATE("$C$",$M$209))),R737,IF(Q738&lt;MIN(INDIRECT(CONCATENATE("$C$",$M$208)):INDIRECT(CONCATENATE("$C$",$M$209))),INDIRECT(CONCATENATE("$F$",$M$208)),R737+(Q738-Q737)*(R739-R737)/(Q739-Q737)))</f>
        <v>2963.53</v>
      </c>
      <c r="S738" s="763" t="s">
        <v>869</v>
      </c>
      <c r="T738" s="727"/>
      <c r="U738" s="727"/>
      <c r="V738" s="727"/>
      <c r="W738" s="727"/>
      <c r="X738" s="727"/>
      <c r="Y738" s="727"/>
      <c r="Z738" s="727"/>
      <c r="AA738" s="727"/>
      <c r="AB738" s="727"/>
      <c r="AC738" s="727"/>
      <c r="AD738" s="727"/>
      <c r="AE738" s="727"/>
      <c r="AF738" s="727"/>
      <c r="AG738" s="727"/>
      <c r="AH738" s="727"/>
      <c r="AI738" s="727"/>
      <c r="AJ738" s="727"/>
      <c r="AK738" s="727"/>
      <c r="AL738" s="727"/>
      <c r="AM738" s="727"/>
      <c r="AN738" s="727"/>
      <c r="AO738" s="727"/>
      <c r="AP738" s="727"/>
      <c r="AQ738" s="727"/>
      <c r="AR738" s="727"/>
      <c r="AS738" s="727"/>
      <c r="AT738" s="727"/>
      <c r="AU738" s="727"/>
      <c r="AV738" s="727"/>
      <c r="AW738" s="727"/>
      <c r="AX738" s="727"/>
      <c r="AY738" s="727"/>
      <c r="AZ738" s="727"/>
      <c r="BA738" s="727"/>
      <c r="BB738" s="727"/>
    </row>
    <row r="739" spans="1:54">
      <c r="A739" s="326"/>
      <c r="B739" s="791">
        <v>60</v>
      </c>
      <c r="C739" s="792">
        <v>550</v>
      </c>
      <c r="D739" s="779">
        <v>3.9550000000000002E-3</v>
      </c>
      <c r="E739" s="779">
        <v>2664.6</v>
      </c>
      <c r="F739" s="779">
        <v>2901.9</v>
      </c>
      <c r="G739" s="779">
        <v>5.3517000000000001</v>
      </c>
      <c r="H739" s="727"/>
      <c r="I739" s="727"/>
      <c r="J739" s="727"/>
      <c r="K739" s="727"/>
      <c r="L739" s="727"/>
      <c r="M739" s="727"/>
      <c r="N739" s="727"/>
      <c r="O739" s="727"/>
      <c r="P739" s="758" t="s">
        <v>952</v>
      </c>
      <c r="Q739" s="785">
        <f ca="1">INDEX(INDIRECT(CONCATENATE("$C$",$M$208)):INDIRECT(CONCATENATE("$C$",$M$209)),MATCH($Q738,INDIRECT(CONCATENATE("$C$",$M$208)):INDIRECT(CONCATENATE("$C$",$M$209)),1)+1)</f>
        <v>300</v>
      </c>
      <c r="R739" s="803">
        <f ca="1">VLOOKUP(Q739,INDIRECT(CONCATENATE("$C$",$M$208)):INDIRECT(CONCATENATE("$G$",$M$209)),4,FALSE)</f>
        <v>2978.4</v>
      </c>
      <c r="S739" s="727"/>
      <c r="T739" s="727"/>
      <c r="U739" s="727"/>
      <c r="V739" s="727"/>
      <c r="W739" s="727"/>
      <c r="X739" s="727"/>
      <c r="Y739" s="727"/>
      <c r="Z739" s="727"/>
      <c r="AA739" s="727"/>
      <c r="AB739" s="727"/>
      <c r="AC739" s="727"/>
      <c r="AD739" s="727"/>
      <c r="AE739" s="727"/>
      <c r="AF739" s="727"/>
      <c r="AG739" s="727"/>
      <c r="AH739" s="727"/>
      <c r="AI739" s="727"/>
      <c r="AJ739" s="727"/>
      <c r="AK739" s="727"/>
      <c r="AL739" s="727"/>
      <c r="AM739" s="727"/>
      <c r="AN739" s="727"/>
      <c r="AO739" s="727"/>
      <c r="AP739" s="727"/>
      <c r="AQ739" s="727"/>
      <c r="AR739" s="727"/>
      <c r="AS739" s="727"/>
      <c r="AT739" s="727"/>
      <c r="AU739" s="727"/>
      <c r="AV739" s="727"/>
      <c r="AW739" s="727"/>
      <c r="AX739" s="727"/>
      <c r="AY739" s="727"/>
      <c r="AZ739" s="727"/>
      <c r="BA739" s="727"/>
      <c r="BB739" s="727"/>
    </row>
    <row r="740" spans="1:54">
      <c r="A740" s="326"/>
      <c r="B740" s="791">
        <v>60</v>
      </c>
      <c r="C740" s="792">
        <v>600</v>
      </c>
      <c r="D740" s="779">
        <v>4.8329999999999996E-3</v>
      </c>
      <c r="E740" s="779">
        <v>2866.8</v>
      </c>
      <c r="F740" s="779">
        <v>3156.8</v>
      </c>
      <c r="G740" s="779">
        <v>5.6527000000000003</v>
      </c>
      <c r="H740" s="727"/>
      <c r="I740" s="727"/>
      <c r="J740" s="727"/>
      <c r="K740" s="727"/>
      <c r="L740" s="727"/>
      <c r="M740" s="727"/>
      <c r="N740" s="727"/>
      <c r="O740" s="797" t="s">
        <v>1051</v>
      </c>
      <c r="P740" s="727"/>
      <c r="Q740" s="727"/>
      <c r="R740" s="727"/>
      <c r="S740" s="727"/>
      <c r="T740" s="727"/>
      <c r="U740" s="727"/>
      <c r="V740" s="727"/>
      <c r="W740" s="727"/>
      <c r="X740" s="727"/>
      <c r="Y740" s="727"/>
      <c r="Z740" s="727"/>
      <c r="AA740" s="727"/>
      <c r="AB740" s="727"/>
      <c r="AC740" s="727"/>
      <c r="AD740" s="727"/>
      <c r="AE740" s="727"/>
      <c r="AF740" s="727"/>
      <c r="AG740" s="727"/>
      <c r="AH740" s="727"/>
      <c r="AI740" s="727"/>
      <c r="AJ740" s="727"/>
      <c r="AK740" s="727"/>
      <c r="AL740" s="727"/>
      <c r="AM740" s="727"/>
      <c r="AN740" s="727"/>
      <c r="AO740" s="727"/>
      <c r="AP740" s="727"/>
      <c r="AQ740" s="727"/>
      <c r="AR740" s="727"/>
      <c r="AS740" s="727"/>
      <c r="AT740" s="727"/>
      <c r="AU740" s="727"/>
      <c r="AV740" s="727"/>
      <c r="AW740" s="727"/>
      <c r="AX740" s="727"/>
      <c r="AY740" s="727"/>
      <c r="AZ740" s="727"/>
      <c r="BA740" s="727"/>
      <c r="BB740" s="727"/>
    </row>
    <row r="741" spans="1:54">
      <c r="A741" s="326"/>
      <c r="B741" s="791">
        <v>60</v>
      </c>
      <c r="C741" s="792">
        <v>650</v>
      </c>
      <c r="D741" s="779">
        <v>5.5909999999999996E-3</v>
      </c>
      <c r="E741" s="779">
        <v>3031.3</v>
      </c>
      <c r="F741" s="779">
        <v>3366.8</v>
      </c>
      <c r="G741" s="779">
        <v>5.8867000000000003</v>
      </c>
      <c r="H741" s="727"/>
      <c r="I741" s="727"/>
      <c r="J741" s="727"/>
      <c r="K741" s="727"/>
      <c r="L741" s="727"/>
      <c r="M741" s="727"/>
      <c r="N741" s="727"/>
      <c r="O741" s="727"/>
      <c r="P741" s="727"/>
      <c r="Q741" s="757" t="s">
        <v>1105</v>
      </c>
      <c r="R741" s="731" t="s">
        <v>1048</v>
      </c>
      <c r="S741" s="727"/>
      <c r="T741" s="727"/>
      <c r="U741" s="727"/>
      <c r="V741" s="727"/>
      <c r="W741" s="727"/>
      <c r="X741" s="727"/>
      <c r="Y741" s="727"/>
      <c r="Z741" s="727"/>
      <c r="AA741" s="727"/>
      <c r="AB741" s="727"/>
      <c r="AC741" s="727"/>
      <c r="AD741" s="727"/>
      <c r="AE741" s="727"/>
      <c r="AF741" s="727"/>
      <c r="AG741" s="727"/>
      <c r="AH741" s="727"/>
      <c r="AI741" s="727"/>
      <c r="AJ741" s="727"/>
      <c r="AK741" s="727"/>
      <c r="AL741" s="727"/>
      <c r="AM741" s="727"/>
      <c r="AN741" s="727"/>
      <c r="AO741" s="727"/>
      <c r="AP741" s="727"/>
      <c r="AQ741" s="727"/>
      <c r="AR741" s="727"/>
      <c r="AS741" s="727"/>
      <c r="AT741" s="727"/>
      <c r="AU741" s="727"/>
      <c r="AV741" s="727"/>
      <c r="AW741" s="727"/>
      <c r="AX741" s="727"/>
      <c r="AY741" s="727"/>
      <c r="AZ741" s="727"/>
      <c r="BA741" s="727"/>
      <c r="BB741" s="727"/>
    </row>
    <row r="742" spans="1:54">
      <c r="A742" s="326"/>
      <c r="B742" s="791">
        <v>60</v>
      </c>
      <c r="C742" s="792">
        <v>700</v>
      </c>
      <c r="D742" s="779">
        <v>6.2649999999999997E-3</v>
      </c>
      <c r="E742" s="779">
        <v>3175.4</v>
      </c>
      <c r="F742" s="779">
        <v>3551.3</v>
      </c>
      <c r="G742" s="779">
        <v>6.0814000000000004</v>
      </c>
      <c r="H742" s="727"/>
      <c r="I742" s="727"/>
      <c r="J742" s="727"/>
      <c r="K742" s="727"/>
      <c r="L742" s="727"/>
      <c r="M742" s="727"/>
      <c r="N742" s="727"/>
      <c r="O742" s="727"/>
      <c r="P742" s="758" t="s">
        <v>952</v>
      </c>
      <c r="Q742" s="785">
        <f ca="1">INDEX(INDIRECT(CONCATENATE("$C$",$M$208)):INDIRECT(CONCATENATE("$C$",$M$209)),MATCH($Q743,INDIRECT(CONCATENATE("$C$",$M$208)):INDIRECT(CONCATENATE("$C$",$M$209)),1))</f>
        <v>250</v>
      </c>
      <c r="R742" s="804">
        <f ca="1">VLOOKUP(Q742,INDIRECT(CONCATENATE("$C$",$M$208)):INDIRECT(CONCATENATE("$G$",$M$209)),5,FALSE)</f>
        <v>6.1764000000000001</v>
      </c>
      <c r="S742" s="727"/>
      <c r="T742" s="727"/>
      <c r="U742" s="727"/>
      <c r="V742" s="727"/>
      <c r="W742" s="727"/>
      <c r="X742" s="727"/>
      <c r="Y742" s="727"/>
      <c r="Z742" s="727"/>
      <c r="AA742" s="727"/>
      <c r="AB742" s="727"/>
      <c r="AC742" s="727"/>
      <c r="AD742" s="727"/>
      <c r="AE742" s="727"/>
      <c r="AF742" s="727"/>
      <c r="AG742" s="727"/>
      <c r="AH742" s="727"/>
      <c r="AI742" s="727"/>
      <c r="AJ742" s="727"/>
      <c r="AK742" s="727"/>
      <c r="AL742" s="727"/>
      <c r="AM742" s="727"/>
      <c r="AN742" s="727"/>
      <c r="AO742" s="727"/>
      <c r="AP742" s="727"/>
      <c r="AQ742" s="727"/>
      <c r="AR742" s="727"/>
      <c r="AS742" s="727"/>
      <c r="AT742" s="727"/>
      <c r="AU742" s="727"/>
      <c r="AV742" s="727"/>
      <c r="AW742" s="727"/>
      <c r="AX742" s="727"/>
      <c r="AY742" s="727"/>
      <c r="AZ742" s="727"/>
      <c r="BA742" s="727"/>
      <c r="BB742" s="727"/>
    </row>
    <row r="743" spans="1:54">
      <c r="A743" s="326"/>
      <c r="B743" s="791">
        <v>60</v>
      </c>
      <c r="C743" s="792">
        <v>800</v>
      </c>
      <c r="D743" s="779">
        <v>7.456E-3</v>
      </c>
      <c r="E743" s="779">
        <v>3432.6</v>
      </c>
      <c r="F743" s="779">
        <v>3880</v>
      </c>
      <c r="G743" s="779">
        <v>6.4032999999999998</v>
      </c>
      <c r="H743" s="727"/>
      <c r="I743" s="727"/>
      <c r="J743" s="727"/>
      <c r="K743" s="727"/>
      <c r="L743" s="727"/>
      <c r="M743" s="727"/>
      <c r="N743" s="727"/>
      <c r="O743" s="727"/>
      <c r="P743" s="758" t="s">
        <v>951</v>
      </c>
      <c r="Q743" s="762">
        <f>$I$4</f>
        <v>295</v>
      </c>
      <c r="R743" s="802">
        <f ca="1">IF(Q743&gt;MAX(INDIRECT(CONCATENATE("$C$",$M$208)):INDIRECT(CONCATENATE("$C$",$M$209))),R742,IF(Q743&lt;MIN(INDIRECT(CONCATENATE("$C$",$M$208)):INDIRECT(CONCATENATE("$C$",$M$209))),INDIRECT(CONCATENATE("$G$",$M$208)),R742+(Q743-Q742)*(R744-R742)/(Q744-Q742)))</f>
        <v>6.4212000000000007</v>
      </c>
      <c r="S743" s="763" t="s">
        <v>869</v>
      </c>
      <c r="T743" s="727"/>
      <c r="U743" s="727"/>
      <c r="V743" s="727"/>
      <c r="W743" s="727"/>
      <c r="X743" s="727"/>
      <c r="Y743" s="727"/>
      <c r="Z743" s="727"/>
      <c r="AA743" s="727"/>
      <c r="AB743" s="727"/>
      <c r="AC743" s="727"/>
      <c r="AD743" s="727"/>
      <c r="AE743" s="727"/>
      <c r="AF743" s="727"/>
      <c r="AG743" s="727"/>
      <c r="AH743" s="727"/>
      <c r="AI743" s="727"/>
      <c r="AJ743" s="727"/>
      <c r="AK743" s="727"/>
      <c r="AL743" s="727"/>
      <c r="AM743" s="727"/>
      <c r="AN743" s="727"/>
      <c r="AO743" s="727"/>
      <c r="AP743" s="727"/>
      <c r="AQ743" s="727"/>
      <c r="AR743" s="727"/>
      <c r="AS743" s="727"/>
      <c r="AT743" s="727"/>
      <c r="AU743" s="727"/>
      <c r="AV743" s="727"/>
      <c r="AW743" s="727"/>
      <c r="AX743" s="727"/>
      <c r="AY743" s="727"/>
      <c r="AZ743" s="727"/>
      <c r="BA743" s="727"/>
      <c r="BB743" s="727"/>
    </row>
    <row r="744" spans="1:54">
      <c r="A744" s="326"/>
      <c r="B744" s="791">
        <v>60</v>
      </c>
      <c r="C744" s="792">
        <v>900</v>
      </c>
      <c r="D744" s="779">
        <v>8.5190000000000005E-3</v>
      </c>
      <c r="E744" s="779">
        <v>3670.9</v>
      </c>
      <c r="F744" s="779">
        <v>4182.1000000000004</v>
      </c>
      <c r="G744" s="779">
        <v>6.6725000000000003</v>
      </c>
      <c r="H744" s="727"/>
      <c r="I744" s="727"/>
      <c r="J744" s="727"/>
      <c r="K744" s="727"/>
      <c r="L744" s="727"/>
      <c r="M744" s="727"/>
      <c r="N744" s="727"/>
      <c r="O744" s="727"/>
      <c r="P744" s="758" t="s">
        <v>952</v>
      </c>
      <c r="Q744" s="785">
        <f ca="1">INDEX(INDIRECT(CONCATENATE("$C$",$M$208)):INDIRECT(CONCATENATE("$C$",$M$209)),MATCH($Q743,INDIRECT(CONCATENATE("$C$",$M$208)):INDIRECT(CONCATENATE("$C$",$M$209)),1)+1)</f>
        <v>300</v>
      </c>
      <c r="R744" s="804">
        <f ca="1">VLOOKUP(Q744,INDIRECT(CONCATENATE("$C$",$M$208)):INDIRECT(CONCATENATE("$G$",$M$209)),5,FALSE)</f>
        <v>6.4484000000000004</v>
      </c>
      <c r="S744" s="727"/>
      <c r="T744" s="727"/>
      <c r="U744" s="727"/>
      <c r="V744" s="727"/>
      <c r="W744" s="727"/>
      <c r="X744" s="727"/>
      <c r="Y744" s="727"/>
      <c r="Z744" s="727"/>
      <c r="AA744" s="727"/>
      <c r="AB744" s="727"/>
      <c r="AC744" s="727"/>
      <c r="AD744" s="727"/>
      <c r="AE744" s="727"/>
      <c r="AF744" s="727"/>
      <c r="AG744" s="727"/>
      <c r="AH744" s="727"/>
      <c r="AI744" s="727"/>
      <c r="AJ744" s="727"/>
      <c r="AK744" s="727"/>
      <c r="AL744" s="727"/>
      <c r="AM744" s="727"/>
      <c r="AN744" s="727"/>
      <c r="AO744" s="727"/>
      <c r="AP744" s="727"/>
      <c r="AQ744" s="727"/>
      <c r="AR744" s="727"/>
      <c r="AS744" s="727"/>
      <c r="AT744" s="727"/>
      <c r="AU744" s="727"/>
      <c r="AV744" s="727"/>
      <c r="AW744" s="727"/>
      <c r="AX744" s="727"/>
      <c r="AY744" s="727"/>
      <c r="AZ744" s="727"/>
      <c r="BA744" s="727"/>
      <c r="BB744" s="727"/>
    </row>
    <row r="745" spans="1:54">
      <c r="A745" s="326"/>
      <c r="B745" s="791">
        <v>60</v>
      </c>
      <c r="C745" s="792">
        <v>1000</v>
      </c>
      <c r="D745" s="779">
        <v>9.5040000000000003E-3</v>
      </c>
      <c r="E745" s="779">
        <v>3902</v>
      </c>
      <c r="F745" s="779">
        <v>4472.2</v>
      </c>
      <c r="G745" s="779">
        <v>6.9099000000000004</v>
      </c>
      <c r="H745" s="727"/>
      <c r="I745" s="727"/>
      <c r="J745" s="727"/>
      <c r="K745" s="727"/>
      <c r="L745" s="727"/>
      <c r="M745" s="727"/>
      <c r="N745" s="727"/>
      <c r="O745" s="727"/>
      <c r="P745" s="727"/>
      <c r="Q745" s="727"/>
      <c r="R745" s="727"/>
      <c r="S745" s="727"/>
      <c r="T745" s="727"/>
      <c r="U745" s="727"/>
      <c r="V745" s="727"/>
      <c r="W745" s="727"/>
      <c r="X745" s="727"/>
      <c r="Y745" s="727"/>
      <c r="Z745" s="727"/>
      <c r="AA745" s="727"/>
      <c r="AB745" s="727"/>
      <c r="AC745" s="727"/>
      <c r="AD745" s="727"/>
      <c r="AE745" s="727"/>
      <c r="AF745" s="727"/>
      <c r="AG745" s="727"/>
      <c r="AH745" s="727"/>
      <c r="AI745" s="727"/>
      <c r="AJ745" s="727"/>
      <c r="AK745" s="727"/>
      <c r="AL745" s="727"/>
      <c r="AM745" s="727"/>
      <c r="AN745" s="727"/>
      <c r="AO745" s="727"/>
      <c r="AP745" s="727"/>
      <c r="AQ745" s="727"/>
      <c r="AR745" s="727"/>
      <c r="AS745" s="727"/>
      <c r="AT745" s="727"/>
      <c r="AU745" s="727"/>
      <c r="AV745" s="727"/>
      <c r="AW745" s="727"/>
      <c r="AX745" s="727"/>
      <c r="AY745" s="727"/>
      <c r="AZ745" s="727"/>
      <c r="BA745" s="727"/>
      <c r="BB745" s="727"/>
    </row>
    <row r="746" spans="1:54">
      <c r="A746" s="326"/>
      <c r="B746" s="791">
        <v>60</v>
      </c>
      <c r="C746" s="792">
        <v>1100</v>
      </c>
      <c r="D746" s="779">
        <v>1.0439E-2</v>
      </c>
      <c r="E746" s="779">
        <v>4130.8999999999996</v>
      </c>
      <c r="F746" s="779">
        <v>4757.3</v>
      </c>
      <c r="G746" s="779">
        <v>7.1254999999999997</v>
      </c>
      <c r="H746" s="727"/>
      <c r="I746" s="727"/>
      <c r="J746" s="727"/>
      <c r="K746" s="727"/>
      <c r="L746" s="727"/>
      <c r="M746" s="727"/>
      <c r="N746" s="727"/>
      <c r="O746" s="727"/>
      <c r="P746" s="727"/>
      <c r="Q746" s="727"/>
      <c r="R746" s="727"/>
      <c r="S746" s="727"/>
      <c r="T746" s="727"/>
      <c r="U746" s="727"/>
      <c r="V746" s="727"/>
      <c r="W746" s="727"/>
      <c r="X746" s="727"/>
      <c r="Y746" s="727"/>
      <c r="Z746" s="727"/>
      <c r="AA746" s="727"/>
      <c r="AB746" s="727"/>
      <c r="AC746" s="727"/>
      <c r="AD746" s="727"/>
      <c r="AE746" s="727"/>
      <c r="AF746" s="727"/>
      <c r="AG746" s="727"/>
      <c r="AH746" s="727"/>
      <c r="AI746" s="727"/>
      <c r="AJ746" s="727"/>
      <c r="AK746" s="727"/>
      <c r="AL746" s="727"/>
      <c r="AM746" s="727"/>
      <c r="AN746" s="727"/>
      <c r="AO746" s="727"/>
      <c r="AP746" s="727"/>
      <c r="AQ746" s="727"/>
      <c r="AR746" s="727"/>
      <c r="AS746" s="727"/>
      <c r="AT746" s="727"/>
      <c r="AU746" s="727"/>
      <c r="AV746" s="727"/>
      <c r="AW746" s="727"/>
      <c r="AX746" s="727"/>
      <c r="AY746" s="727"/>
      <c r="AZ746" s="727"/>
      <c r="BA746" s="727"/>
      <c r="BB746" s="727"/>
    </row>
    <row r="747" spans="1:54">
      <c r="A747" s="326"/>
      <c r="B747" s="791">
        <v>60</v>
      </c>
      <c r="C747" s="792">
        <v>1200</v>
      </c>
      <c r="D747" s="779">
        <v>1.1339E-2</v>
      </c>
      <c r="E747" s="779">
        <v>4360.5</v>
      </c>
      <c r="F747" s="779">
        <v>5040.8</v>
      </c>
      <c r="G747" s="779">
        <v>7.3247999999999998</v>
      </c>
      <c r="H747" s="727"/>
      <c r="I747" s="727"/>
      <c r="J747" s="727"/>
      <c r="K747" s="727"/>
      <c r="L747" s="727"/>
      <c r="M747" s="727"/>
      <c r="N747" s="727"/>
      <c r="O747" s="727"/>
      <c r="P747" s="727"/>
      <c r="Q747" s="727"/>
      <c r="R747" s="727"/>
      <c r="S747" s="727"/>
      <c r="T747" s="727"/>
      <c r="U747" s="727"/>
      <c r="V747" s="727"/>
      <c r="W747" s="727"/>
      <c r="X747" s="727"/>
      <c r="Y747" s="727"/>
      <c r="Z747" s="727"/>
      <c r="AA747" s="727"/>
      <c r="AB747" s="727"/>
      <c r="AC747" s="727"/>
      <c r="AD747" s="727"/>
      <c r="AE747" s="727"/>
      <c r="AF747" s="727"/>
      <c r="AG747" s="727"/>
      <c r="AH747" s="727"/>
      <c r="AI747" s="727"/>
      <c r="AJ747" s="727"/>
      <c r="AK747" s="727"/>
      <c r="AL747" s="727"/>
      <c r="AM747" s="727"/>
      <c r="AN747" s="727"/>
      <c r="AO747" s="727"/>
      <c r="AP747" s="727"/>
      <c r="AQ747" s="727"/>
      <c r="AR747" s="727"/>
      <c r="AS747" s="727"/>
      <c r="AT747" s="727"/>
      <c r="AU747" s="727"/>
      <c r="AV747" s="727"/>
      <c r="AW747" s="727"/>
      <c r="AX747" s="727"/>
      <c r="AY747" s="727"/>
      <c r="AZ747" s="727"/>
      <c r="BA747" s="727"/>
      <c r="BB747" s="727"/>
    </row>
    <row r="748" spans="1:54">
      <c r="A748" s="326"/>
      <c r="B748" s="791">
        <v>60</v>
      </c>
      <c r="C748" s="792">
        <v>1300</v>
      </c>
      <c r="D748" s="779">
        <v>1.2213E-2</v>
      </c>
      <c r="E748" s="779">
        <v>4591.8</v>
      </c>
      <c r="F748" s="779">
        <v>5324.5</v>
      </c>
      <c r="G748" s="779">
        <v>7.5110999999999999</v>
      </c>
      <c r="H748" s="727"/>
      <c r="I748" s="727"/>
      <c r="J748" s="727"/>
      <c r="K748" s="727"/>
      <c r="L748" s="727"/>
      <c r="M748" s="727"/>
      <c r="N748" s="727"/>
      <c r="O748" s="727"/>
      <c r="P748" s="727"/>
      <c r="Q748" s="727"/>
      <c r="R748" s="727"/>
      <c r="S748" s="727"/>
      <c r="T748" s="727"/>
      <c r="U748" s="727"/>
      <c r="V748" s="727"/>
      <c r="W748" s="727"/>
      <c r="X748" s="727"/>
      <c r="Y748" s="727"/>
      <c r="Z748" s="727"/>
      <c r="AA748" s="727"/>
      <c r="AB748" s="727"/>
      <c r="AC748" s="727"/>
      <c r="AD748" s="727"/>
      <c r="AE748" s="727"/>
      <c r="AF748" s="727"/>
      <c r="AG748" s="727"/>
      <c r="AH748" s="727"/>
      <c r="AI748" s="727"/>
      <c r="AJ748" s="727"/>
      <c r="AK748" s="727"/>
      <c r="AL748" s="727"/>
      <c r="AM748" s="727"/>
      <c r="AN748" s="727"/>
      <c r="AO748" s="727"/>
      <c r="AP748" s="727"/>
      <c r="AQ748" s="727"/>
      <c r="AR748" s="727"/>
      <c r="AS748" s="727"/>
      <c r="AT748" s="727"/>
      <c r="AU748" s="727"/>
      <c r="AV748" s="727"/>
      <c r="AW748" s="727"/>
      <c r="AX748" s="727"/>
      <c r="AY748" s="727"/>
      <c r="AZ748" s="727"/>
      <c r="BA748" s="727"/>
      <c r="BB748" s="727"/>
    </row>
    <row r="749" spans="1:54">
      <c r="A749" s="326"/>
      <c r="B749" s="727"/>
      <c r="C749" s="727"/>
      <c r="D749" s="727"/>
      <c r="E749" s="727"/>
      <c r="F749" s="727"/>
      <c r="G749" s="727"/>
      <c r="H749" s="727"/>
      <c r="I749" s="727"/>
      <c r="J749" s="727"/>
      <c r="K749" s="727"/>
      <c r="L749" s="727"/>
      <c r="M749" s="727"/>
      <c r="N749" s="727"/>
      <c r="O749" s="727"/>
      <c r="P749" s="727"/>
      <c r="Q749" s="727"/>
      <c r="R749" s="727"/>
      <c r="S749" s="727"/>
      <c r="T749" s="727"/>
      <c r="U749" s="727"/>
      <c r="V749" s="727"/>
      <c r="W749" s="727"/>
      <c r="X749" s="727"/>
      <c r="Y749" s="727"/>
      <c r="Z749" s="727"/>
      <c r="AA749" s="727"/>
      <c r="AB749" s="727"/>
      <c r="AC749" s="727"/>
      <c r="AD749" s="727"/>
      <c r="AE749" s="727"/>
      <c r="AF749" s="727"/>
      <c r="AG749" s="727"/>
      <c r="AH749" s="727"/>
      <c r="AI749" s="727"/>
      <c r="AJ749" s="727"/>
      <c r="AK749" s="727"/>
      <c r="AL749" s="727"/>
      <c r="AM749" s="727"/>
      <c r="AN749" s="727"/>
      <c r="AO749" s="727"/>
      <c r="AP749" s="727"/>
      <c r="AQ749" s="727"/>
      <c r="AR749" s="727"/>
      <c r="AS749" s="727"/>
      <c r="AT749" s="727"/>
      <c r="AU749" s="727"/>
      <c r="AV749" s="727"/>
      <c r="AW749" s="727"/>
      <c r="AX749" s="727"/>
      <c r="AY749" s="727"/>
      <c r="AZ749" s="727"/>
      <c r="BA749" s="727"/>
      <c r="BB749" s="727"/>
    </row>
    <row r="750" spans="1:54">
      <c r="A750" s="326"/>
      <c r="B750" s="727"/>
      <c r="C750" s="727"/>
      <c r="D750" s="727"/>
      <c r="E750" s="727"/>
      <c r="F750" s="727"/>
      <c r="G750" s="727"/>
      <c r="H750" s="727"/>
      <c r="I750" s="727"/>
      <c r="J750" s="727"/>
      <c r="K750" s="727"/>
      <c r="L750" s="727"/>
      <c r="M750" s="727"/>
      <c r="N750" s="727"/>
      <c r="O750" s="727"/>
      <c r="P750" s="727"/>
      <c r="Q750" s="727"/>
      <c r="R750" s="727"/>
      <c r="S750" s="727"/>
      <c r="T750" s="727"/>
      <c r="U750" s="727"/>
      <c r="V750" s="727"/>
      <c r="W750" s="727"/>
      <c r="X750" s="727"/>
      <c r="Y750" s="727"/>
      <c r="Z750" s="727"/>
      <c r="AA750" s="727"/>
      <c r="AB750" s="727"/>
      <c r="AC750" s="727"/>
      <c r="AD750" s="727"/>
      <c r="AE750" s="727"/>
      <c r="AF750" s="727"/>
      <c r="AG750" s="727"/>
      <c r="AH750" s="727"/>
      <c r="AI750" s="727"/>
      <c r="AJ750" s="727"/>
      <c r="AK750" s="727"/>
      <c r="AL750" s="727"/>
      <c r="AM750" s="727"/>
      <c r="AN750" s="727"/>
      <c r="AO750" s="727"/>
      <c r="AP750" s="727"/>
      <c r="AQ750" s="727"/>
      <c r="AR750" s="727"/>
      <c r="AS750" s="727"/>
      <c r="AT750" s="727"/>
      <c r="AU750" s="727"/>
      <c r="AV750" s="727"/>
      <c r="AW750" s="727"/>
      <c r="AX750" s="727"/>
      <c r="AY750" s="727"/>
      <c r="AZ750" s="727"/>
      <c r="BA750" s="727"/>
      <c r="BB750" s="727"/>
    </row>
    <row r="751" spans="1:54">
      <c r="A751" s="326"/>
      <c r="B751" s="727"/>
      <c r="C751" s="727"/>
      <c r="D751" s="727"/>
      <c r="E751" s="727"/>
      <c r="F751" s="727"/>
      <c r="G751" s="727"/>
      <c r="H751" s="727"/>
      <c r="I751" s="727"/>
      <c r="J751" s="727"/>
      <c r="K751" s="727"/>
      <c r="L751" s="727"/>
      <c r="M751" s="727"/>
      <c r="N751" s="727"/>
      <c r="O751" s="727"/>
      <c r="P751" s="727"/>
      <c r="Q751" s="727"/>
      <c r="R751" s="727"/>
      <c r="S751" s="727"/>
      <c r="T751" s="727"/>
      <c r="U751" s="727"/>
      <c r="V751" s="727"/>
      <c r="W751" s="727"/>
      <c r="X751" s="727"/>
      <c r="Y751" s="727"/>
      <c r="Z751" s="727"/>
      <c r="AA751" s="727"/>
      <c r="AB751" s="727"/>
      <c r="AC751" s="727"/>
      <c r="AD751" s="727"/>
      <c r="AE751" s="727"/>
      <c r="AF751" s="727"/>
      <c r="AG751" s="727"/>
      <c r="AH751" s="727"/>
      <c r="AI751" s="727"/>
      <c r="AJ751" s="727"/>
      <c r="AK751" s="727"/>
      <c r="AL751" s="727"/>
      <c r="AM751" s="727"/>
      <c r="AN751" s="727"/>
      <c r="AO751" s="727"/>
      <c r="AP751" s="727"/>
      <c r="AQ751" s="727"/>
      <c r="AR751" s="727"/>
      <c r="AS751" s="727"/>
      <c r="AT751" s="727"/>
      <c r="AU751" s="727"/>
      <c r="AV751" s="727"/>
      <c r="AW751" s="727"/>
      <c r="AX751" s="727"/>
      <c r="AY751" s="727"/>
      <c r="AZ751" s="727"/>
      <c r="BA751" s="727"/>
      <c r="BB751" s="727"/>
    </row>
    <row r="752" spans="1:54">
      <c r="A752" s="326"/>
      <c r="B752" s="727"/>
      <c r="C752" s="727"/>
      <c r="D752" s="727"/>
      <c r="E752" s="727"/>
      <c r="F752" s="727"/>
      <c r="G752" s="727"/>
      <c r="H752" s="727"/>
      <c r="I752" s="727"/>
      <c r="J752" s="727"/>
      <c r="K752" s="727"/>
      <c r="L752" s="727"/>
      <c r="M752" s="727"/>
      <c r="N752" s="727"/>
      <c r="O752" s="727"/>
      <c r="P752" s="727"/>
      <c r="Q752" s="727"/>
      <c r="R752" s="727"/>
      <c r="S752" s="727"/>
      <c r="T752" s="727"/>
      <c r="U752" s="727"/>
      <c r="V752" s="727"/>
      <c r="W752" s="727"/>
      <c r="X752" s="727"/>
      <c r="Y752" s="727"/>
      <c r="Z752" s="727"/>
      <c r="AA752" s="727"/>
      <c r="AB752" s="727"/>
      <c r="AC752" s="727"/>
      <c r="AD752" s="727"/>
      <c r="AE752" s="727"/>
      <c r="AF752" s="727"/>
      <c r="AG752" s="727"/>
      <c r="AH752" s="727"/>
      <c r="AI752" s="727"/>
      <c r="AJ752" s="727"/>
      <c r="AK752" s="727"/>
      <c r="AL752" s="727"/>
      <c r="AM752" s="727"/>
      <c r="AN752" s="727"/>
      <c r="AO752" s="727"/>
      <c r="AP752" s="727"/>
      <c r="AQ752" s="727"/>
      <c r="AR752" s="727"/>
      <c r="AS752" s="727"/>
      <c r="AT752" s="727"/>
      <c r="AU752" s="727"/>
      <c r="AV752" s="727"/>
      <c r="AW752" s="727"/>
      <c r="AX752" s="727"/>
      <c r="AY752" s="727"/>
      <c r="AZ752" s="727"/>
      <c r="BA752" s="727"/>
      <c r="BB752" s="727"/>
    </row>
    <row r="753" spans="1:54">
      <c r="A753" s="326"/>
      <c r="B753" s="727"/>
      <c r="C753" s="727"/>
      <c r="D753" s="727"/>
      <c r="E753" s="727"/>
      <c r="F753" s="727"/>
      <c r="G753" s="727"/>
      <c r="H753" s="727"/>
      <c r="I753" s="727"/>
      <c r="J753" s="727"/>
      <c r="K753" s="727"/>
      <c r="L753" s="727"/>
      <c r="M753" s="727"/>
      <c r="N753" s="727"/>
      <c r="O753" s="727"/>
      <c r="P753" s="727"/>
      <c r="Q753" s="727"/>
      <c r="R753" s="727"/>
      <c r="S753" s="727"/>
      <c r="T753" s="727"/>
      <c r="U753" s="727"/>
      <c r="V753" s="727"/>
      <c r="W753" s="727"/>
      <c r="X753" s="727"/>
      <c r="Y753" s="727"/>
      <c r="Z753" s="727"/>
      <c r="AA753" s="727"/>
      <c r="AB753" s="727"/>
      <c r="AC753" s="727"/>
      <c r="AD753" s="727"/>
      <c r="AE753" s="727"/>
      <c r="AF753" s="727"/>
      <c r="AG753" s="727"/>
      <c r="AH753" s="727"/>
      <c r="AI753" s="727"/>
      <c r="AJ753" s="727"/>
      <c r="AK753" s="727"/>
      <c r="AL753" s="727"/>
      <c r="AM753" s="727"/>
      <c r="AN753" s="727"/>
      <c r="AO753" s="727"/>
      <c r="AP753" s="727"/>
      <c r="AQ753" s="727"/>
      <c r="AR753" s="727"/>
      <c r="AS753" s="727"/>
      <c r="AT753" s="727"/>
      <c r="AU753" s="727"/>
      <c r="AV753" s="727"/>
      <c r="AW753" s="727"/>
      <c r="AX753" s="727"/>
      <c r="AY753" s="727"/>
      <c r="AZ753" s="727"/>
      <c r="BA753" s="727"/>
      <c r="BB753" s="727"/>
    </row>
    <row r="754" spans="1:54">
      <c r="A754" s="326"/>
      <c r="B754" s="727"/>
      <c r="C754" s="727"/>
      <c r="D754" s="727"/>
      <c r="E754" s="727"/>
      <c r="F754" s="727"/>
      <c r="G754" s="727"/>
      <c r="H754" s="727"/>
      <c r="I754" s="727"/>
      <c r="J754" s="727"/>
      <c r="K754" s="727"/>
      <c r="L754" s="727"/>
      <c r="M754" s="727"/>
      <c r="N754" s="727"/>
      <c r="O754" s="727"/>
      <c r="P754" s="727"/>
      <c r="Q754" s="727"/>
      <c r="R754" s="727"/>
      <c r="S754" s="727"/>
      <c r="T754" s="727"/>
      <c r="U754" s="727"/>
      <c r="V754" s="727"/>
      <c r="W754" s="727"/>
      <c r="X754" s="727"/>
      <c r="Y754" s="727"/>
      <c r="Z754" s="727"/>
      <c r="AA754" s="727"/>
      <c r="AB754" s="727"/>
      <c r="AC754" s="727"/>
      <c r="AD754" s="727"/>
      <c r="AE754" s="727"/>
      <c r="AF754" s="727"/>
      <c r="AG754" s="727"/>
      <c r="AH754" s="727"/>
      <c r="AI754" s="727"/>
      <c r="AJ754" s="727"/>
      <c r="AK754" s="727"/>
      <c r="AL754" s="727"/>
      <c r="AM754" s="727"/>
      <c r="AN754" s="727"/>
      <c r="AO754" s="727"/>
      <c r="AP754" s="727"/>
      <c r="AQ754" s="727"/>
      <c r="AR754" s="727"/>
      <c r="AS754" s="727"/>
      <c r="AT754" s="727"/>
      <c r="AU754" s="727"/>
      <c r="AV754" s="727"/>
      <c r="AW754" s="727"/>
      <c r="AX754" s="727"/>
      <c r="AY754" s="727"/>
      <c r="AZ754" s="727"/>
      <c r="BA754" s="727"/>
      <c r="BB754" s="727"/>
    </row>
    <row r="755" spans="1:54">
      <c r="A755" s="326"/>
      <c r="B755" s="727"/>
      <c r="C755" s="727"/>
      <c r="D755" s="727"/>
      <c r="E755" s="727"/>
      <c r="F755" s="727"/>
      <c r="G755" s="727"/>
      <c r="H755" s="727"/>
      <c r="I755" s="727"/>
      <c r="J755" s="727"/>
      <c r="K755" s="727"/>
      <c r="L755" s="727"/>
      <c r="M755" s="727"/>
      <c r="N755" s="727"/>
      <c r="O755" s="727"/>
      <c r="P755" s="727"/>
      <c r="Q755" s="727"/>
      <c r="R755" s="727"/>
      <c r="S755" s="727"/>
      <c r="T755" s="727"/>
      <c r="U755" s="727"/>
      <c r="V755" s="727"/>
      <c r="W755" s="727"/>
      <c r="X755" s="727"/>
      <c r="Y755" s="727"/>
      <c r="Z755" s="727"/>
      <c r="AA755" s="727"/>
      <c r="AB755" s="727"/>
      <c r="AC755" s="727"/>
      <c r="AD755" s="727"/>
      <c r="AE755" s="727"/>
      <c r="AF755" s="727"/>
      <c r="AG755" s="727"/>
      <c r="AH755" s="727"/>
      <c r="AI755" s="727"/>
      <c r="AJ755" s="727"/>
      <c r="AK755" s="727"/>
      <c r="AL755" s="727"/>
      <c r="AM755" s="727"/>
      <c r="AN755" s="727"/>
      <c r="AO755" s="727"/>
      <c r="AP755" s="727"/>
      <c r="AQ755" s="727"/>
      <c r="AR755" s="727"/>
      <c r="AS755" s="727"/>
      <c r="AT755" s="727"/>
      <c r="AU755" s="727"/>
      <c r="AV755" s="727"/>
      <c r="AW755" s="727"/>
      <c r="AX755" s="727"/>
      <c r="AY755" s="727"/>
      <c r="AZ755" s="727"/>
      <c r="BA755" s="727"/>
      <c r="BB755" s="727"/>
    </row>
    <row r="756" spans="1:54">
      <c r="A756" s="326"/>
      <c r="B756" s="727"/>
      <c r="C756" s="727"/>
      <c r="D756" s="727"/>
      <c r="E756" s="727"/>
      <c r="F756" s="727"/>
      <c r="G756" s="727"/>
      <c r="H756" s="727"/>
      <c r="I756" s="727"/>
      <c r="J756" s="727"/>
      <c r="K756" s="727"/>
      <c r="L756" s="727"/>
      <c r="M756" s="727"/>
      <c r="N756" s="727"/>
      <c r="O756" s="727"/>
      <c r="P756" s="727"/>
      <c r="Q756" s="727"/>
      <c r="R756" s="727"/>
      <c r="S756" s="727"/>
      <c r="T756" s="727"/>
      <c r="U756" s="727"/>
      <c r="V756" s="727"/>
      <c r="W756" s="727"/>
      <c r="X756" s="727"/>
      <c r="Y756" s="727"/>
      <c r="Z756" s="727"/>
      <c r="AA756" s="727"/>
      <c r="AB756" s="727"/>
      <c r="AC756" s="727"/>
      <c r="AD756" s="727"/>
      <c r="AE756" s="727"/>
      <c r="AF756" s="727"/>
      <c r="AG756" s="727"/>
      <c r="AH756" s="727"/>
      <c r="AI756" s="727"/>
      <c r="AJ756" s="727"/>
      <c r="AK756" s="727"/>
      <c r="AL756" s="727"/>
      <c r="AM756" s="727"/>
      <c r="AN756" s="727"/>
      <c r="AO756" s="727"/>
      <c r="AP756" s="727"/>
      <c r="AQ756" s="727"/>
      <c r="AR756" s="727"/>
      <c r="AS756" s="727"/>
      <c r="AT756" s="727"/>
      <c r="AU756" s="727"/>
      <c r="AV756" s="727"/>
      <c r="AW756" s="727"/>
      <c r="AX756" s="727"/>
      <c r="AY756" s="727"/>
      <c r="AZ756" s="727"/>
      <c r="BA756" s="727"/>
      <c r="BB756" s="727"/>
    </row>
    <row r="757" spans="1:54">
      <c r="A757" s="326"/>
      <c r="B757" s="727"/>
      <c r="C757" s="727"/>
      <c r="D757" s="727"/>
      <c r="E757" s="727"/>
      <c r="F757" s="727"/>
      <c r="G757" s="727"/>
      <c r="H757" s="727"/>
      <c r="I757" s="727"/>
      <c r="J757" s="727"/>
      <c r="K757" s="727"/>
      <c r="L757" s="727"/>
      <c r="M757" s="727"/>
      <c r="N757" s="727"/>
      <c r="O757" s="727"/>
      <c r="P757" s="727"/>
      <c r="Q757" s="727"/>
      <c r="R757" s="727"/>
      <c r="S757" s="727"/>
      <c r="T757" s="727"/>
      <c r="U757" s="727"/>
      <c r="V757" s="727"/>
      <c r="W757" s="727"/>
      <c r="X757" s="727"/>
      <c r="Y757" s="727"/>
      <c r="Z757" s="727"/>
      <c r="AA757" s="727"/>
      <c r="AB757" s="727"/>
      <c r="AC757" s="727"/>
      <c r="AD757" s="727"/>
      <c r="AE757" s="727"/>
      <c r="AF757" s="727"/>
      <c r="AG757" s="727"/>
      <c r="AH757" s="727"/>
      <c r="AI757" s="727"/>
      <c r="AJ757" s="727"/>
      <c r="AK757" s="727"/>
      <c r="AL757" s="727"/>
      <c r="AM757" s="727"/>
      <c r="AN757" s="727"/>
      <c r="AO757" s="727"/>
      <c r="AP757" s="727"/>
      <c r="AQ757" s="727"/>
      <c r="AR757" s="727"/>
      <c r="AS757" s="727"/>
      <c r="AT757" s="727"/>
      <c r="AU757" s="727"/>
      <c r="AV757" s="727"/>
      <c r="AW757" s="727"/>
      <c r="AX757" s="727"/>
      <c r="AY757" s="727"/>
      <c r="AZ757" s="727"/>
      <c r="BA757" s="727"/>
      <c r="BB757" s="727"/>
    </row>
    <row r="758" spans="1:54">
      <c r="A758" s="326"/>
      <c r="B758" s="727"/>
      <c r="C758" s="727"/>
      <c r="D758" s="727"/>
      <c r="E758" s="727"/>
      <c r="F758" s="727"/>
      <c r="G758" s="727"/>
      <c r="H758" s="727"/>
      <c r="I758" s="727"/>
      <c r="J758" s="727"/>
      <c r="K758" s="727"/>
      <c r="L758" s="727"/>
      <c r="M758" s="727"/>
      <c r="N758" s="727"/>
      <c r="O758" s="727"/>
      <c r="P758" s="727"/>
      <c r="Q758" s="727"/>
      <c r="R758" s="727"/>
      <c r="S758" s="727"/>
      <c r="T758" s="727"/>
      <c r="U758" s="727"/>
      <c r="V758" s="727"/>
      <c r="W758" s="727"/>
      <c r="X758" s="727"/>
      <c r="Y758" s="727"/>
      <c r="Z758" s="727"/>
      <c r="AA758" s="727"/>
      <c r="AB758" s="727"/>
      <c r="AC758" s="727"/>
      <c r="AD758" s="727"/>
      <c r="AE758" s="727"/>
      <c r="AF758" s="727"/>
      <c r="AG758" s="727"/>
      <c r="AH758" s="727"/>
      <c r="AI758" s="727"/>
      <c r="AJ758" s="727"/>
      <c r="AK758" s="727"/>
      <c r="AL758" s="727"/>
      <c r="AM758" s="727"/>
      <c r="AN758" s="727"/>
      <c r="AO758" s="727"/>
      <c r="AP758" s="727"/>
      <c r="AQ758" s="727"/>
      <c r="AR758" s="727"/>
      <c r="AS758" s="727"/>
      <c r="AT758" s="727"/>
      <c r="AU758" s="727"/>
      <c r="AV758" s="727"/>
      <c r="AW758" s="727"/>
      <c r="AX758" s="727"/>
      <c r="AY758" s="727"/>
      <c r="AZ758" s="727"/>
      <c r="BA758" s="727"/>
      <c r="BB758" s="727"/>
    </row>
    <row r="759" spans="1:54">
      <c r="A759" s="326"/>
      <c r="B759" s="727"/>
      <c r="C759" s="727"/>
      <c r="D759" s="727"/>
      <c r="E759" s="727"/>
      <c r="F759" s="727"/>
      <c r="G759" s="727"/>
      <c r="H759" s="727"/>
      <c r="I759" s="727"/>
      <c r="J759" s="727"/>
      <c r="K759" s="727"/>
      <c r="L759" s="727"/>
      <c r="M759" s="727"/>
      <c r="N759" s="727"/>
      <c r="O759" s="727"/>
      <c r="P759" s="727"/>
      <c r="Q759" s="727"/>
      <c r="R759" s="727"/>
      <c r="S759" s="727"/>
      <c r="T759" s="727"/>
      <c r="U759" s="727"/>
      <c r="V759" s="727"/>
      <c r="W759" s="727"/>
      <c r="X759" s="727"/>
      <c r="Y759" s="727"/>
      <c r="Z759" s="727"/>
      <c r="AA759" s="727"/>
      <c r="AB759" s="727"/>
      <c r="AC759" s="727"/>
      <c r="AD759" s="727"/>
      <c r="AE759" s="727"/>
      <c r="AF759" s="727"/>
      <c r="AG759" s="727"/>
      <c r="AH759" s="727"/>
      <c r="AI759" s="727"/>
      <c r="AJ759" s="727"/>
      <c r="AK759" s="727"/>
      <c r="AL759" s="727"/>
      <c r="AM759" s="727"/>
      <c r="AN759" s="727"/>
      <c r="AO759" s="727"/>
      <c r="AP759" s="727"/>
      <c r="AQ759" s="727"/>
      <c r="AR759" s="727"/>
      <c r="AS759" s="727"/>
      <c r="AT759" s="727"/>
      <c r="AU759" s="727"/>
      <c r="AV759" s="727"/>
      <c r="AW759" s="727"/>
      <c r="AX759" s="727"/>
      <c r="AY759" s="727"/>
      <c r="AZ759" s="727"/>
      <c r="BA759" s="727"/>
      <c r="BB759" s="727"/>
    </row>
    <row r="760" spans="1:54">
      <c r="A760" s="326"/>
      <c r="B760" s="727"/>
      <c r="C760" s="727"/>
      <c r="D760" s="727"/>
      <c r="E760" s="727"/>
      <c r="F760" s="727"/>
      <c r="G760" s="727"/>
      <c r="H760" s="727"/>
      <c r="I760" s="727"/>
      <c r="J760" s="727"/>
      <c r="K760" s="727"/>
      <c r="L760" s="727"/>
      <c r="M760" s="727"/>
      <c r="N760" s="727"/>
      <c r="O760" s="727"/>
      <c r="P760" s="727"/>
      <c r="Q760" s="727"/>
      <c r="R760" s="727"/>
      <c r="S760" s="727"/>
      <c r="T760" s="727"/>
      <c r="U760" s="727"/>
      <c r="V760" s="727"/>
      <c r="W760" s="727"/>
      <c r="X760" s="727"/>
      <c r="Y760" s="727"/>
      <c r="Z760" s="727"/>
      <c r="AA760" s="727"/>
      <c r="AB760" s="727"/>
      <c r="AC760" s="727"/>
      <c r="AD760" s="727"/>
      <c r="AE760" s="727"/>
      <c r="AF760" s="727"/>
      <c r="AG760" s="727"/>
      <c r="AH760" s="727"/>
      <c r="AI760" s="727"/>
      <c r="AJ760" s="727"/>
      <c r="AK760" s="727"/>
      <c r="AL760" s="727"/>
      <c r="AM760" s="727"/>
      <c r="AN760" s="727"/>
      <c r="AO760" s="727"/>
      <c r="AP760" s="727"/>
      <c r="AQ760" s="727"/>
      <c r="AR760" s="727"/>
      <c r="AS760" s="727"/>
      <c r="AT760" s="727"/>
      <c r="AU760" s="727"/>
      <c r="AV760" s="727"/>
      <c r="AW760" s="727"/>
      <c r="AX760" s="727"/>
      <c r="AY760" s="727"/>
      <c r="AZ760" s="727"/>
      <c r="BA760" s="727"/>
      <c r="BB760" s="727"/>
    </row>
    <row r="761" spans="1:54">
      <c r="A761" s="326"/>
      <c r="B761" s="727"/>
      <c r="C761" s="727"/>
      <c r="D761" s="727"/>
      <c r="E761" s="727"/>
      <c r="F761" s="727"/>
      <c r="G761" s="727"/>
      <c r="H761" s="727"/>
      <c r="I761" s="727"/>
      <c r="J761" s="727"/>
      <c r="K761" s="727"/>
      <c r="L761" s="727"/>
      <c r="M761" s="727"/>
      <c r="N761" s="727"/>
      <c r="O761" s="727"/>
      <c r="P761" s="727"/>
      <c r="Q761" s="727"/>
      <c r="R761" s="727"/>
      <c r="S761" s="727"/>
      <c r="T761" s="727"/>
      <c r="U761" s="727"/>
      <c r="V761" s="727"/>
      <c r="W761" s="727"/>
      <c r="X761" s="727"/>
      <c r="Y761" s="727"/>
      <c r="Z761" s="727"/>
      <c r="AA761" s="727"/>
      <c r="AB761" s="727"/>
      <c r="AC761" s="727"/>
      <c r="AD761" s="727"/>
      <c r="AE761" s="727"/>
      <c r="AF761" s="727"/>
      <c r="AG761" s="727"/>
      <c r="AH761" s="727"/>
      <c r="AI761" s="727"/>
      <c r="AJ761" s="727"/>
      <c r="AK761" s="727"/>
      <c r="AL761" s="727"/>
      <c r="AM761" s="727"/>
      <c r="AN761" s="727"/>
      <c r="AO761" s="727"/>
      <c r="AP761" s="727"/>
      <c r="AQ761" s="727"/>
      <c r="AR761" s="727"/>
      <c r="AS761" s="727"/>
      <c r="AT761" s="727"/>
      <c r="AU761" s="727"/>
      <c r="AV761" s="727"/>
      <c r="AW761" s="727"/>
      <c r="AX761" s="727"/>
      <c r="AY761" s="727"/>
      <c r="AZ761" s="727"/>
      <c r="BA761" s="727"/>
      <c r="BB761" s="727"/>
    </row>
    <row r="762" spans="1:54">
      <c r="A762" s="326"/>
      <c r="B762" s="727"/>
      <c r="C762" s="727"/>
      <c r="D762" s="727"/>
      <c r="E762" s="727"/>
      <c r="F762" s="727"/>
      <c r="G762" s="727"/>
      <c r="H762" s="727"/>
      <c r="I762" s="727"/>
      <c r="J762" s="727"/>
      <c r="K762" s="727"/>
      <c r="L762" s="727"/>
      <c r="M762" s="727"/>
      <c r="N762" s="727"/>
      <c r="O762" s="727"/>
      <c r="P762" s="727"/>
      <c r="Q762" s="727"/>
      <c r="R762" s="727"/>
      <c r="S762" s="727"/>
      <c r="T762" s="727"/>
      <c r="U762" s="727"/>
      <c r="V762" s="727"/>
      <c r="W762" s="727"/>
      <c r="X762" s="727"/>
      <c r="Y762" s="727"/>
      <c r="Z762" s="727"/>
      <c r="AA762" s="727"/>
      <c r="AB762" s="727"/>
      <c r="AC762" s="727"/>
      <c r="AD762" s="727"/>
      <c r="AE762" s="727"/>
      <c r="AF762" s="727"/>
      <c r="AG762" s="727"/>
      <c r="AH762" s="727"/>
      <c r="AI762" s="727"/>
      <c r="AJ762" s="727"/>
      <c r="AK762" s="727"/>
      <c r="AL762" s="727"/>
      <c r="AM762" s="727"/>
      <c r="AN762" s="727"/>
      <c r="AO762" s="727"/>
      <c r="AP762" s="727"/>
      <c r="AQ762" s="727"/>
      <c r="AR762" s="727"/>
      <c r="AS762" s="727"/>
      <c r="AT762" s="727"/>
      <c r="AU762" s="727"/>
      <c r="AV762" s="727"/>
      <c r="AW762" s="727"/>
      <c r="AX762" s="727"/>
      <c r="AY762" s="727"/>
      <c r="AZ762" s="727"/>
      <c r="BA762" s="727"/>
      <c r="BB762" s="727"/>
    </row>
    <row r="763" spans="1:54">
      <c r="A763" s="326"/>
      <c r="B763" s="727"/>
      <c r="C763" s="727"/>
      <c r="D763" s="727"/>
      <c r="E763" s="727"/>
      <c r="F763" s="727"/>
      <c r="G763" s="727"/>
      <c r="H763" s="727"/>
      <c r="I763" s="727"/>
      <c r="J763" s="727"/>
      <c r="K763" s="727"/>
      <c r="L763" s="727"/>
      <c r="M763" s="727"/>
      <c r="N763" s="727"/>
      <c r="O763" s="727"/>
      <c r="P763" s="727"/>
      <c r="Q763" s="727"/>
      <c r="R763" s="727"/>
      <c r="S763" s="727"/>
      <c r="T763" s="727"/>
      <c r="U763" s="727"/>
      <c r="V763" s="727"/>
      <c r="W763" s="727"/>
      <c r="X763" s="727"/>
      <c r="Y763" s="727"/>
      <c r="Z763" s="727"/>
      <c r="AA763" s="727"/>
      <c r="AB763" s="727"/>
      <c r="AC763" s="727"/>
      <c r="AD763" s="727"/>
      <c r="AE763" s="727"/>
      <c r="AF763" s="727"/>
      <c r="AG763" s="727"/>
      <c r="AH763" s="727"/>
      <c r="AI763" s="727"/>
      <c r="AJ763" s="727"/>
      <c r="AK763" s="727"/>
      <c r="AL763" s="727"/>
      <c r="AM763" s="727"/>
      <c r="AN763" s="727"/>
      <c r="AO763" s="727"/>
      <c r="AP763" s="727"/>
      <c r="AQ763" s="727"/>
      <c r="AR763" s="727"/>
      <c r="AS763" s="727"/>
      <c r="AT763" s="727"/>
      <c r="AU763" s="727"/>
      <c r="AV763" s="727"/>
      <c r="AW763" s="727"/>
      <c r="AX763" s="727"/>
      <c r="AY763" s="727"/>
      <c r="AZ763" s="727"/>
      <c r="BA763" s="727"/>
      <c r="BB763" s="727"/>
    </row>
    <row r="764" spans="1:54">
      <c r="A764" s="326"/>
      <c r="B764" s="727"/>
      <c r="C764" s="727"/>
      <c r="D764" s="727"/>
      <c r="E764" s="727"/>
      <c r="F764" s="727"/>
      <c r="G764" s="727"/>
      <c r="H764" s="727"/>
      <c r="I764" s="727"/>
      <c r="J764" s="727"/>
      <c r="K764" s="727"/>
      <c r="L764" s="727"/>
      <c r="M764" s="727"/>
      <c r="N764" s="727"/>
      <c r="O764" s="727"/>
      <c r="P764" s="727"/>
      <c r="Q764" s="727"/>
      <c r="R764" s="727"/>
      <c r="S764" s="727"/>
      <c r="T764" s="727"/>
      <c r="U764" s="727"/>
      <c r="V764" s="727"/>
      <c r="W764" s="727"/>
      <c r="X764" s="727"/>
      <c r="Y764" s="727"/>
      <c r="Z764" s="727"/>
      <c r="AA764" s="727"/>
      <c r="AB764" s="727"/>
      <c r="AC764" s="727"/>
      <c r="AD764" s="727"/>
      <c r="AE764" s="727"/>
      <c r="AF764" s="727"/>
      <c r="AG764" s="727"/>
      <c r="AH764" s="727"/>
      <c r="AI764" s="727"/>
      <c r="AJ764" s="727"/>
      <c r="AK764" s="727"/>
      <c r="AL764" s="727"/>
      <c r="AM764" s="727"/>
      <c r="AN764" s="727"/>
      <c r="AO764" s="727"/>
      <c r="AP764" s="727"/>
      <c r="AQ764" s="727"/>
      <c r="AR764" s="727"/>
      <c r="AS764" s="727"/>
      <c r="AT764" s="727"/>
      <c r="AU764" s="727"/>
      <c r="AV764" s="727"/>
      <c r="AW764" s="727"/>
      <c r="AX764" s="727"/>
      <c r="AY764" s="727"/>
      <c r="AZ764" s="727"/>
      <c r="BA764" s="727"/>
      <c r="BB764" s="727"/>
    </row>
    <row r="765" spans="1:54">
      <c r="A765" s="326"/>
      <c r="B765" s="727"/>
      <c r="C765" s="727"/>
      <c r="D765" s="727"/>
      <c r="E765" s="727"/>
      <c r="F765" s="727"/>
      <c r="G765" s="727"/>
      <c r="H765" s="727"/>
      <c r="I765" s="727"/>
      <c r="J765" s="727"/>
      <c r="K765" s="727"/>
      <c r="L765" s="727"/>
      <c r="M765" s="727"/>
      <c r="N765" s="727"/>
      <c r="O765" s="727"/>
      <c r="P765" s="727"/>
      <c r="Q765" s="727"/>
      <c r="R765" s="727"/>
      <c r="S765" s="727"/>
      <c r="T765" s="727"/>
      <c r="U765" s="727"/>
      <c r="V765" s="727"/>
      <c r="W765" s="727"/>
      <c r="X765" s="727"/>
      <c r="Y765" s="727"/>
      <c r="Z765" s="727"/>
      <c r="AA765" s="727"/>
      <c r="AB765" s="727"/>
      <c r="AC765" s="727"/>
      <c r="AD765" s="727"/>
      <c r="AE765" s="727"/>
      <c r="AF765" s="727"/>
      <c r="AG765" s="727"/>
      <c r="AH765" s="727"/>
      <c r="AI765" s="727"/>
      <c r="AJ765" s="727"/>
      <c r="AK765" s="727"/>
      <c r="AL765" s="727"/>
      <c r="AM765" s="727"/>
      <c r="AN765" s="727"/>
      <c r="AO765" s="727"/>
      <c r="AP765" s="727"/>
      <c r="AQ765" s="727"/>
      <c r="AR765" s="727"/>
      <c r="AS765" s="727"/>
      <c r="AT765" s="727"/>
      <c r="AU765" s="727"/>
      <c r="AV765" s="727"/>
      <c r="AW765" s="727"/>
      <c r="AX765" s="727"/>
      <c r="AY765" s="727"/>
      <c r="AZ765" s="727"/>
      <c r="BA765" s="727"/>
      <c r="BB765" s="727"/>
    </row>
    <row r="766" spans="1:54">
      <c r="A766" s="326"/>
      <c r="B766" s="727"/>
      <c r="C766" s="727"/>
      <c r="D766" s="727"/>
      <c r="E766" s="727"/>
      <c r="F766" s="727"/>
      <c r="G766" s="727"/>
      <c r="H766" s="727"/>
      <c r="I766" s="727"/>
      <c r="J766" s="727"/>
      <c r="K766" s="727"/>
      <c r="L766" s="727"/>
      <c r="M766" s="727"/>
      <c r="N766" s="727"/>
      <c r="O766" s="727"/>
      <c r="P766" s="727"/>
      <c r="Q766" s="727"/>
      <c r="R766" s="727"/>
      <c r="S766" s="727"/>
      <c r="T766" s="727"/>
      <c r="U766" s="727"/>
      <c r="V766" s="727"/>
      <c r="W766" s="727"/>
      <c r="X766" s="727"/>
      <c r="Y766" s="727"/>
      <c r="Z766" s="727"/>
      <c r="AA766" s="727"/>
      <c r="AB766" s="727"/>
      <c r="AC766" s="727"/>
      <c r="AD766" s="727"/>
      <c r="AE766" s="727"/>
      <c r="AF766" s="727"/>
      <c r="AG766" s="727"/>
      <c r="AH766" s="727"/>
      <c r="AI766" s="727"/>
      <c r="AJ766" s="727"/>
      <c r="AK766" s="727"/>
      <c r="AL766" s="727"/>
      <c r="AM766" s="727"/>
      <c r="AN766" s="727"/>
      <c r="AO766" s="727"/>
      <c r="AP766" s="727"/>
      <c r="AQ766" s="727"/>
      <c r="AR766" s="727"/>
      <c r="AS766" s="727"/>
      <c r="AT766" s="727"/>
      <c r="AU766" s="727"/>
      <c r="AV766" s="727"/>
      <c r="AW766" s="727"/>
      <c r="AX766" s="727"/>
      <c r="AY766" s="727"/>
      <c r="AZ766" s="727"/>
      <c r="BA766" s="727"/>
      <c r="BB766" s="727"/>
    </row>
    <row r="767" spans="1:54">
      <c r="A767" s="326"/>
      <c r="B767" s="727"/>
      <c r="C767" s="727"/>
      <c r="D767" s="727"/>
      <c r="E767" s="727"/>
      <c r="F767" s="727"/>
      <c r="G767" s="727"/>
      <c r="H767" s="727"/>
      <c r="I767" s="727"/>
      <c r="J767" s="727"/>
      <c r="K767" s="727"/>
      <c r="L767" s="727"/>
      <c r="M767" s="727"/>
      <c r="N767" s="727"/>
      <c r="O767" s="727"/>
      <c r="P767" s="727"/>
      <c r="Q767" s="727"/>
      <c r="R767" s="727"/>
      <c r="S767" s="727"/>
      <c r="T767" s="727"/>
      <c r="U767" s="727"/>
      <c r="V767" s="727"/>
      <c r="W767" s="727"/>
      <c r="X767" s="727"/>
      <c r="Y767" s="727"/>
      <c r="Z767" s="727"/>
      <c r="AA767" s="727"/>
      <c r="AB767" s="727"/>
      <c r="AC767" s="727"/>
      <c r="AD767" s="727"/>
      <c r="AE767" s="727"/>
      <c r="AF767" s="727"/>
      <c r="AG767" s="727"/>
      <c r="AH767" s="727"/>
      <c r="AI767" s="727"/>
      <c r="AJ767" s="727"/>
      <c r="AK767" s="727"/>
      <c r="AL767" s="727"/>
      <c r="AM767" s="727"/>
      <c r="AN767" s="727"/>
      <c r="AO767" s="727"/>
      <c r="AP767" s="727"/>
      <c r="AQ767" s="727"/>
      <c r="AR767" s="727"/>
      <c r="AS767" s="727"/>
      <c r="AT767" s="727"/>
      <c r="AU767" s="727"/>
      <c r="AV767" s="727"/>
      <c r="AW767" s="727"/>
      <c r="AX767" s="727"/>
      <c r="AY767" s="727"/>
      <c r="AZ767" s="727"/>
      <c r="BA767" s="727"/>
      <c r="BB767" s="727"/>
    </row>
    <row r="768" spans="1:54">
      <c r="A768" s="326"/>
      <c r="B768" s="727"/>
      <c r="C768" s="727"/>
      <c r="D768" s="727"/>
      <c r="E768" s="727"/>
      <c r="F768" s="727"/>
      <c r="G768" s="727"/>
      <c r="H768" s="727"/>
      <c r="I768" s="727"/>
      <c r="J768" s="727"/>
      <c r="K768" s="727"/>
      <c r="L768" s="727"/>
      <c r="M768" s="727"/>
      <c r="N768" s="727"/>
      <c r="O768" s="727"/>
      <c r="P768" s="727"/>
      <c r="Q768" s="727"/>
      <c r="R768" s="727"/>
      <c r="S768" s="727"/>
      <c r="T768" s="727"/>
      <c r="U768" s="727"/>
      <c r="V768" s="727"/>
      <c r="W768" s="727"/>
      <c r="X768" s="727"/>
      <c r="Y768" s="727"/>
      <c r="Z768" s="727"/>
      <c r="AA768" s="727"/>
      <c r="AB768" s="727"/>
      <c r="AC768" s="727"/>
      <c r="AD768" s="727"/>
      <c r="AE768" s="727"/>
      <c r="AF768" s="727"/>
      <c r="AG768" s="727"/>
      <c r="AH768" s="727"/>
      <c r="AI768" s="727"/>
      <c r="AJ768" s="727"/>
      <c r="AK768" s="727"/>
      <c r="AL768" s="727"/>
      <c r="AM768" s="727"/>
      <c r="AN768" s="727"/>
      <c r="AO768" s="727"/>
      <c r="AP768" s="727"/>
      <c r="AQ768" s="727"/>
      <c r="AR768" s="727"/>
      <c r="AS768" s="727"/>
      <c r="AT768" s="727"/>
      <c r="AU768" s="727"/>
      <c r="AV768" s="727"/>
      <c r="AW768" s="727"/>
      <c r="AX768" s="727"/>
      <c r="AY768" s="727"/>
      <c r="AZ768" s="727"/>
      <c r="BA768" s="727"/>
      <c r="BB768" s="727"/>
    </row>
    <row r="769" spans="1:54">
      <c r="A769" s="326"/>
      <c r="B769" s="727"/>
      <c r="C769" s="727"/>
      <c r="D769" s="727"/>
      <c r="E769" s="727"/>
      <c r="F769" s="727"/>
      <c r="G769" s="727"/>
      <c r="H769" s="727"/>
      <c r="I769" s="727"/>
      <c r="J769" s="727"/>
      <c r="K769" s="727"/>
      <c r="L769" s="727"/>
      <c r="M769" s="727"/>
      <c r="N769" s="727"/>
      <c r="O769" s="727"/>
      <c r="P769" s="727"/>
      <c r="Q769" s="727"/>
      <c r="R769" s="727"/>
      <c r="S769" s="727"/>
      <c r="T769" s="727"/>
      <c r="U769" s="727"/>
      <c r="V769" s="727"/>
      <c r="W769" s="727"/>
      <c r="X769" s="727"/>
      <c r="Y769" s="727"/>
      <c r="Z769" s="727"/>
      <c r="AA769" s="727"/>
      <c r="AB769" s="727"/>
      <c r="AC769" s="727"/>
      <c r="AD769" s="727"/>
      <c r="AE769" s="727"/>
      <c r="AF769" s="727"/>
      <c r="AG769" s="727"/>
      <c r="AH769" s="727"/>
      <c r="AI769" s="727"/>
      <c r="AJ769" s="727"/>
      <c r="AK769" s="727"/>
      <c r="AL769" s="727"/>
      <c r="AM769" s="727"/>
      <c r="AN769" s="727"/>
      <c r="AO769" s="727"/>
      <c r="AP769" s="727"/>
      <c r="AQ769" s="727"/>
      <c r="AR769" s="727"/>
      <c r="AS769" s="727"/>
      <c r="AT769" s="727"/>
      <c r="AU769" s="727"/>
      <c r="AV769" s="727"/>
      <c r="AW769" s="727"/>
      <c r="AX769" s="727"/>
      <c r="AY769" s="727"/>
      <c r="AZ769" s="727"/>
      <c r="BA769" s="727"/>
      <c r="BB769" s="727"/>
    </row>
    <row r="770" spans="1:54">
      <c r="A770" s="326"/>
      <c r="B770" s="727"/>
      <c r="C770" s="727"/>
      <c r="D770" s="727"/>
      <c r="E770" s="727"/>
      <c r="F770" s="727"/>
      <c r="G770" s="727"/>
      <c r="H770" s="727"/>
      <c r="I770" s="727"/>
      <c r="J770" s="727"/>
      <c r="K770" s="727"/>
      <c r="L770" s="727"/>
      <c r="M770" s="727"/>
      <c r="N770" s="727"/>
      <c r="O770" s="727"/>
      <c r="P770" s="727"/>
      <c r="Q770" s="727"/>
      <c r="R770" s="727"/>
      <c r="S770" s="727"/>
      <c r="T770" s="727"/>
      <c r="U770" s="727"/>
      <c r="V770" s="727"/>
      <c r="W770" s="727"/>
      <c r="X770" s="727"/>
      <c r="Y770" s="727"/>
      <c r="Z770" s="727"/>
      <c r="AA770" s="727"/>
      <c r="AB770" s="727"/>
      <c r="AC770" s="727"/>
      <c r="AD770" s="727"/>
      <c r="AE770" s="727"/>
      <c r="AF770" s="727"/>
      <c r="AG770" s="727"/>
      <c r="AH770" s="727"/>
      <c r="AI770" s="727"/>
      <c r="AJ770" s="727"/>
      <c r="AK770" s="727"/>
      <c r="AL770" s="727"/>
      <c r="AM770" s="727"/>
      <c r="AN770" s="727"/>
      <c r="AO770" s="727"/>
      <c r="AP770" s="727"/>
      <c r="AQ770" s="727"/>
      <c r="AR770" s="727"/>
      <c r="AS770" s="727"/>
      <c r="AT770" s="727"/>
      <c r="AU770" s="727"/>
      <c r="AV770" s="727"/>
      <c r="AW770" s="727"/>
      <c r="AX770" s="727"/>
      <c r="AY770" s="727"/>
      <c r="AZ770" s="727"/>
      <c r="BA770" s="727"/>
      <c r="BB770" s="727"/>
    </row>
    <row r="771" spans="1:54">
      <c r="A771" s="326"/>
      <c r="B771" s="727"/>
      <c r="C771" s="727"/>
      <c r="D771" s="727"/>
      <c r="E771" s="727"/>
      <c r="F771" s="727"/>
      <c r="G771" s="727"/>
      <c r="H771" s="727"/>
      <c r="I771" s="727"/>
      <c r="J771" s="727"/>
      <c r="K771" s="727"/>
      <c r="L771" s="727"/>
      <c r="M771" s="727"/>
      <c r="N771" s="727"/>
      <c r="O771" s="727"/>
      <c r="P771" s="727"/>
      <c r="Q771" s="727"/>
      <c r="R771" s="727"/>
      <c r="S771" s="727"/>
      <c r="T771" s="727"/>
      <c r="U771" s="727"/>
      <c r="V771" s="727"/>
      <c r="W771" s="727"/>
      <c r="X771" s="727"/>
      <c r="Y771" s="727"/>
      <c r="Z771" s="727"/>
      <c r="AA771" s="727"/>
      <c r="AB771" s="727"/>
      <c r="AC771" s="727"/>
      <c r="AD771" s="727"/>
      <c r="AE771" s="727"/>
      <c r="AF771" s="727"/>
      <c r="AG771" s="727"/>
      <c r="AH771" s="727"/>
      <c r="AI771" s="727"/>
      <c r="AJ771" s="727"/>
      <c r="AK771" s="727"/>
      <c r="AL771" s="727"/>
      <c r="AM771" s="727"/>
      <c r="AN771" s="727"/>
      <c r="AO771" s="727"/>
      <c r="AP771" s="727"/>
      <c r="AQ771" s="727"/>
      <c r="AR771" s="727"/>
      <c r="AS771" s="727"/>
      <c r="AT771" s="727"/>
      <c r="AU771" s="727"/>
      <c r="AV771" s="727"/>
      <c r="AW771" s="727"/>
      <c r="AX771" s="727"/>
      <c r="AY771" s="727"/>
      <c r="AZ771" s="727"/>
      <c r="BA771" s="727"/>
      <c r="BB771" s="727"/>
    </row>
    <row r="772" spans="1:54">
      <c r="A772" s="326"/>
      <c r="B772" s="727"/>
      <c r="C772" s="727"/>
      <c r="D772" s="727"/>
      <c r="E772" s="727"/>
      <c r="F772" s="727"/>
      <c r="G772" s="727"/>
      <c r="H772" s="727"/>
      <c r="I772" s="727"/>
      <c r="J772" s="727"/>
      <c r="K772" s="727"/>
      <c r="L772" s="727"/>
      <c r="M772" s="727"/>
      <c r="N772" s="727"/>
      <c r="O772" s="727"/>
      <c r="P772" s="727"/>
      <c r="Q772" s="727"/>
      <c r="R772" s="727"/>
      <c r="S772" s="727"/>
      <c r="T772" s="727"/>
      <c r="U772" s="727"/>
      <c r="V772" s="727"/>
      <c r="W772" s="727"/>
      <c r="X772" s="727"/>
      <c r="Y772" s="727"/>
      <c r="Z772" s="727"/>
      <c r="AA772" s="727"/>
      <c r="AB772" s="727"/>
      <c r="AC772" s="727"/>
      <c r="AD772" s="727"/>
      <c r="AE772" s="727"/>
      <c r="AF772" s="727"/>
      <c r="AG772" s="727"/>
      <c r="AH772" s="727"/>
      <c r="AI772" s="727"/>
      <c r="AJ772" s="727"/>
      <c r="AK772" s="727"/>
      <c r="AL772" s="727"/>
      <c r="AM772" s="727"/>
      <c r="AN772" s="727"/>
      <c r="AO772" s="727"/>
      <c r="AP772" s="727"/>
      <c r="AQ772" s="727"/>
      <c r="AR772" s="727"/>
      <c r="AS772" s="727"/>
      <c r="AT772" s="727"/>
      <c r="AU772" s="727"/>
      <c r="AV772" s="727"/>
      <c r="AW772" s="727"/>
      <c r="AX772" s="727"/>
      <c r="AY772" s="727"/>
      <c r="AZ772" s="727"/>
      <c r="BA772" s="727"/>
      <c r="BB772" s="727"/>
    </row>
    <row r="773" spans="1:54">
      <c r="A773" s="326"/>
      <c r="B773" s="727"/>
      <c r="C773" s="727"/>
      <c r="D773" s="727"/>
      <c r="E773" s="727"/>
      <c r="F773" s="727"/>
      <c r="G773" s="727"/>
      <c r="H773" s="727"/>
      <c r="I773" s="727"/>
      <c r="J773" s="727"/>
      <c r="K773" s="727"/>
      <c r="L773" s="727"/>
      <c r="M773" s="727"/>
      <c r="N773" s="727"/>
      <c r="O773" s="727"/>
      <c r="P773" s="727"/>
      <c r="Q773" s="727"/>
      <c r="R773" s="727"/>
      <c r="S773" s="727"/>
      <c r="T773" s="727"/>
      <c r="U773" s="727"/>
      <c r="V773" s="727"/>
      <c r="W773" s="727"/>
      <c r="X773" s="727"/>
      <c r="Y773" s="727"/>
      <c r="Z773" s="727"/>
      <c r="AA773" s="727"/>
      <c r="AB773" s="727"/>
      <c r="AC773" s="727"/>
      <c r="AD773" s="727"/>
      <c r="AE773" s="727"/>
      <c r="AF773" s="727"/>
      <c r="AG773" s="727"/>
      <c r="AH773" s="727"/>
      <c r="AI773" s="727"/>
      <c r="AJ773" s="727"/>
      <c r="AK773" s="727"/>
      <c r="AL773" s="727"/>
      <c r="AM773" s="727"/>
      <c r="AN773" s="727"/>
      <c r="AO773" s="727"/>
      <c r="AP773" s="727"/>
      <c r="AQ773" s="727"/>
      <c r="AR773" s="727"/>
      <c r="AS773" s="727"/>
      <c r="AT773" s="727"/>
      <c r="AU773" s="727"/>
      <c r="AV773" s="727"/>
      <c r="AW773" s="727"/>
      <c r="AX773" s="727"/>
      <c r="AY773" s="727"/>
      <c r="AZ773" s="727"/>
      <c r="BA773" s="727"/>
      <c r="BB773" s="727"/>
    </row>
    <row r="774" spans="1:54">
      <c r="A774" s="326"/>
      <c r="B774" s="727"/>
      <c r="C774" s="727"/>
      <c r="D774" s="727"/>
      <c r="E774" s="727"/>
      <c r="F774" s="727"/>
      <c r="G774" s="727"/>
      <c r="H774" s="727"/>
      <c r="I774" s="727"/>
      <c r="J774" s="727"/>
      <c r="K774" s="727"/>
      <c r="L774" s="727"/>
      <c r="M774" s="727"/>
      <c r="N774" s="727"/>
      <c r="O774" s="727"/>
      <c r="P774" s="727"/>
      <c r="Q774" s="727"/>
      <c r="R774" s="727"/>
      <c r="S774" s="727"/>
      <c r="T774" s="727"/>
      <c r="U774" s="727"/>
      <c r="V774" s="727"/>
      <c r="W774" s="727"/>
      <c r="X774" s="727"/>
      <c r="Y774" s="727"/>
      <c r="Z774" s="727"/>
      <c r="AA774" s="727"/>
      <c r="AB774" s="727"/>
      <c r="AC774" s="727"/>
      <c r="AD774" s="727"/>
      <c r="AE774" s="727"/>
      <c r="AF774" s="727"/>
      <c r="AG774" s="727"/>
      <c r="AH774" s="727"/>
      <c r="AI774" s="727"/>
      <c r="AJ774" s="727"/>
      <c r="AK774" s="727"/>
      <c r="AL774" s="727"/>
      <c r="AM774" s="727"/>
      <c r="AN774" s="727"/>
      <c r="AO774" s="727"/>
      <c r="AP774" s="727"/>
      <c r="AQ774" s="727"/>
      <c r="AR774" s="727"/>
      <c r="AS774" s="727"/>
      <c r="AT774" s="727"/>
      <c r="AU774" s="727"/>
      <c r="AV774" s="727"/>
      <c r="AW774" s="727"/>
      <c r="AX774" s="727"/>
      <c r="AY774" s="727"/>
      <c r="AZ774" s="727"/>
      <c r="BA774" s="727"/>
      <c r="BB774" s="727"/>
    </row>
    <row r="775" spans="1:54">
      <c r="A775" s="326"/>
      <c r="B775" s="727"/>
      <c r="C775" s="727"/>
      <c r="D775" s="727"/>
      <c r="E775" s="727"/>
      <c r="F775" s="727"/>
      <c r="G775" s="727"/>
      <c r="H775" s="727"/>
      <c r="I775" s="727"/>
      <c r="J775" s="727"/>
      <c r="K775" s="727"/>
      <c r="L775" s="727"/>
      <c r="M775" s="727"/>
      <c r="N775" s="727"/>
      <c r="O775" s="727"/>
      <c r="P775" s="727"/>
      <c r="Q775" s="727"/>
      <c r="R775" s="727"/>
      <c r="S775" s="727"/>
      <c r="T775" s="727"/>
      <c r="U775" s="727"/>
      <c r="V775" s="727"/>
      <c r="W775" s="727"/>
      <c r="X775" s="727"/>
      <c r="Y775" s="727"/>
      <c r="Z775" s="727"/>
      <c r="AA775" s="727"/>
      <c r="AB775" s="727"/>
      <c r="AC775" s="727"/>
      <c r="AD775" s="727"/>
      <c r="AE775" s="727"/>
      <c r="AF775" s="727"/>
      <c r="AG775" s="727"/>
      <c r="AH775" s="727"/>
      <c r="AI775" s="727"/>
      <c r="AJ775" s="727"/>
      <c r="AK775" s="727"/>
      <c r="AL775" s="727"/>
      <c r="AM775" s="727"/>
      <c r="AN775" s="727"/>
      <c r="AO775" s="727"/>
      <c r="AP775" s="727"/>
      <c r="AQ775" s="727"/>
      <c r="AR775" s="727"/>
      <c r="AS775" s="727"/>
      <c r="AT775" s="727"/>
      <c r="AU775" s="727"/>
      <c r="AV775" s="727"/>
      <c r="AW775" s="727"/>
      <c r="AX775" s="727"/>
      <c r="AY775" s="727"/>
      <c r="AZ775" s="727"/>
      <c r="BA775" s="727"/>
      <c r="BB775" s="727"/>
    </row>
    <row r="776" spans="1:54">
      <c r="A776" s="326"/>
      <c r="B776" s="727"/>
      <c r="C776" s="727"/>
      <c r="D776" s="727"/>
      <c r="E776" s="727"/>
      <c r="F776" s="727"/>
      <c r="G776" s="727"/>
      <c r="H776" s="727"/>
      <c r="I776" s="727"/>
      <c r="J776" s="727"/>
      <c r="K776" s="727"/>
      <c r="L776" s="727"/>
      <c r="M776" s="727"/>
      <c r="N776" s="727"/>
      <c r="O776" s="727"/>
      <c r="P776" s="727"/>
      <c r="Q776" s="727"/>
      <c r="R776" s="727"/>
      <c r="S776" s="727"/>
      <c r="T776" s="727"/>
      <c r="U776" s="727"/>
      <c r="V776" s="727"/>
      <c r="W776" s="727"/>
      <c r="X776" s="727"/>
      <c r="Y776" s="727"/>
      <c r="Z776" s="727"/>
      <c r="AA776" s="727"/>
      <c r="AB776" s="727"/>
      <c r="AC776" s="727"/>
      <c r="AD776" s="727"/>
      <c r="AE776" s="727"/>
      <c r="AF776" s="727"/>
      <c r="AG776" s="727"/>
      <c r="AH776" s="727"/>
      <c r="AI776" s="727"/>
      <c r="AJ776" s="727"/>
      <c r="AK776" s="727"/>
      <c r="AL776" s="727"/>
      <c r="AM776" s="727"/>
      <c r="AN776" s="727"/>
      <c r="AO776" s="727"/>
      <c r="AP776" s="727"/>
      <c r="AQ776" s="727"/>
      <c r="AR776" s="727"/>
      <c r="AS776" s="727"/>
      <c r="AT776" s="727"/>
      <c r="AU776" s="727"/>
      <c r="AV776" s="727"/>
      <c r="AW776" s="727"/>
      <c r="AX776" s="727"/>
      <c r="AY776" s="727"/>
      <c r="AZ776" s="727"/>
      <c r="BA776" s="727"/>
      <c r="BB776" s="727"/>
    </row>
    <row r="777" spans="1:54">
      <c r="A777" s="326"/>
      <c r="B777" s="727"/>
      <c r="C777" s="727"/>
      <c r="D777" s="727"/>
      <c r="E777" s="727"/>
      <c r="F777" s="727"/>
      <c r="G777" s="727"/>
      <c r="H777" s="727"/>
      <c r="I777" s="727"/>
      <c r="J777" s="727"/>
      <c r="K777" s="727"/>
      <c r="L777" s="727"/>
      <c r="M777" s="727"/>
      <c r="N777" s="727"/>
      <c r="O777" s="727"/>
      <c r="P777" s="727"/>
      <c r="Q777" s="727"/>
      <c r="R777" s="727"/>
      <c r="S777" s="727"/>
      <c r="T777" s="727"/>
      <c r="U777" s="727"/>
      <c r="V777" s="727"/>
      <c r="W777" s="727"/>
      <c r="X777" s="727"/>
      <c r="Y777" s="727"/>
      <c r="Z777" s="727"/>
      <c r="AA777" s="727"/>
      <c r="AB777" s="727"/>
      <c r="AC777" s="727"/>
      <c r="AD777" s="727"/>
      <c r="AE777" s="727"/>
      <c r="AF777" s="727"/>
      <c r="AG777" s="727"/>
      <c r="AH777" s="727"/>
      <c r="AI777" s="727"/>
      <c r="AJ777" s="727"/>
      <c r="AK777" s="727"/>
      <c r="AL777" s="727"/>
      <c r="AM777" s="727"/>
      <c r="AN777" s="727"/>
      <c r="AO777" s="727"/>
      <c r="AP777" s="727"/>
      <c r="AQ777" s="727"/>
      <c r="AR777" s="727"/>
      <c r="AS777" s="727"/>
      <c r="AT777" s="727"/>
      <c r="AU777" s="727"/>
      <c r="AV777" s="727"/>
      <c r="AW777" s="727"/>
      <c r="AX777" s="727"/>
      <c r="AY777" s="727"/>
      <c r="AZ777" s="727"/>
      <c r="BA777" s="727"/>
      <c r="BB777" s="727"/>
    </row>
    <row r="778" spans="1:54">
      <c r="A778" s="326"/>
      <c r="B778" s="727"/>
      <c r="C778" s="727"/>
      <c r="D778" s="727"/>
      <c r="E778" s="727"/>
      <c r="F778" s="727"/>
      <c r="G778" s="727"/>
      <c r="H778" s="727"/>
      <c r="I778" s="727"/>
      <c r="J778" s="727"/>
      <c r="K778" s="727"/>
      <c r="L778" s="727"/>
      <c r="M778" s="727"/>
      <c r="N778" s="727"/>
      <c r="O778" s="727"/>
      <c r="P778" s="727"/>
      <c r="Q778" s="727"/>
      <c r="R778" s="727"/>
      <c r="S778" s="727"/>
      <c r="T778" s="727"/>
      <c r="U778" s="727"/>
      <c r="V778" s="727"/>
      <c r="W778" s="727"/>
      <c r="X778" s="727"/>
      <c r="Y778" s="727"/>
      <c r="Z778" s="727"/>
      <c r="AA778" s="727"/>
      <c r="AB778" s="727"/>
      <c r="AC778" s="727"/>
      <c r="AD778" s="727"/>
      <c r="AE778" s="727"/>
      <c r="AF778" s="727"/>
      <c r="AG778" s="727"/>
      <c r="AH778" s="727"/>
      <c r="AI778" s="727"/>
      <c r="AJ778" s="727"/>
      <c r="AK778" s="727"/>
      <c r="AL778" s="727"/>
      <c r="AM778" s="727"/>
      <c r="AN778" s="727"/>
      <c r="AO778" s="727"/>
      <c r="AP778" s="727"/>
      <c r="AQ778" s="727"/>
      <c r="AR778" s="727"/>
      <c r="AS778" s="727"/>
      <c r="AT778" s="727"/>
      <c r="AU778" s="727"/>
      <c r="AV778" s="727"/>
      <c r="AW778" s="727"/>
      <c r="AX778" s="727"/>
      <c r="AY778" s="727"/>
      <c r="AZ778" s="727"/>
      <c r="BA778" s="727"/>
      <c r="BB778" s="727"/>
    </row>
    <row r="779" spans="1:54">
      <c r="A779" s="326"/>
      <c r="B779" s="727"/>
      <c r="C779" s="727"/>
      <c r="D779" s="727"/>
      <c r="E779" s="727"/>
      <c r="F779" s="727"/>
      <c r="G779" s="727"/>
      <c r="H779" s="727"/>
      <c r="I779" s="727"/>
      <c r="J779" s="727"/>
      <c r="K779" s="727"/>
      <c r="L779" s="727"/>
      <c r="M779" s="727"/>
      <c r="N779" s="727"/>
      <c r="O779" s="727"/>
      <c r="P779" s="727"/>
      <c r="Q779" s="727"/>
      <c r="R779" s="727"/>
      <c r="S779" s="727"/>
      <c r="T779" s="727"/>
      <c r="U779" s="727"/>
      <c r="V779" s="727"/>
      <c r="W779" s="727"/>
      <c r="X779" s="727"/>
      <c r="Y779" s="727"/>
      <c r="Z779" s="727"/>
      <c r="AA779" s="727"/>
      <c r="AB779" s="727"/>
      <c r="AC779" s="727"/>
      <c r="AD779" s="727"/>
      <c r="AE779" s="727"/>
      <c r="AF779" s="727"/>
      <c r="AG779" s="727"/>
      <c r="AH779" s="727"/>
      <c r="AI779" s="727"/>
      <c r="AJ779" s="727"/>
      <c r="AK779" s="727"/>
      <c r="AL779" s="727"/>
      <c r="AM779" s="727"/>
      <c r="AN779" s="727"/>
      <c r="AO779" s="727"/>
      <c r="AP779" s="727"/>
      <c r="AQ779" s="727"/>
      <c r="AR779" s="727"/>
      <c r="AS779" s="727"/>
      <c r="AT779" s="727"/>
      <c r="AU779" s="727"/>
      <c r="AV779" s="727"/>
      <c r="AW779" s="727"/>
      <c r="AX779" s="727"/>
      <c r="AY779" s="727"/>
      <c r="AZ779" s="727"/>
      <c r="BA779" s="727"/>
      <c r="BB779" s="727"/>
    </row>
    <row r="780" spans="1:54">
      <c r="A780" s="326"/>
      <c r="B780" s="727"/>
      <c r="C780" s="727"/>
      <c r="D780" s="727"/>
      <c r="E780" s="727"/>
      <c r="F780" s="727"/>
      <c r="G780" s="727"/>
      <c r="H780" s="727"/>
      <c r="I780" s="727"/>
      <c r="J780" s="727"/>
      <c r="K780" s="727"/>
      <c r="L780" s="727"/>
      <c r="M780" s="727"/>
      <c r="N780" s="727"/>
      <c r="O780" s="727"/>
      <c r="P780" s="727"/>
      <c r="Q780" s="727"/>
      <c r="R780" s="727"/>
      <c r="S780" s="727"/>
      <c r="T780" s="727"/>
      <c r="U780" s="727"/>
      <c r="V780" s="727"/>
      <c r="W780" s="727"/>
      <c r="X780" s="727"/>
      <c r="Y780" s="727"/>
      <c r="Z780" s="727"/>
      <c r="AA780" s="727"/>
      <c r="AB780" s="727"/>
      <c r="AC780" s="727"/>
      <c r="AD780" s="727"/>
      <c r="AE780" s="727"/>
      <c r="AF780" s="727"/>
      <c r="AG780" s="727"/>
      <c r="AH780" s="727"/>
      <c r="AI780" s="727"/>
      <c r="AJ780" s="727"/>
      <c r="AK780" s="727"/>
      <c r="AL780" s="727"/>
      <c r="AM780" s="727"/>
      <c r="AN780" s="727"/>
      <c r="AO780" s="727"/>
      <c r="AP780" s="727"/>
      <c r="AQ780" s="727"/>
      <c r="AR780" s="727"/>
      <c r="AS780" s="727"/>
      <c r="AT780" s="727"/>
      <c r="AU780" s="727"/>
      <c r="AV780" s="727"/>
      <c r="AW780" s="727"/>
      <c r="AX780" s="727"/>
      <c r="AY780" s="727"/>
      <c r="AZ780" s="727"/>
      <c r="BA780" s="727"/>
      <c r="BB780" s="727"/>
    </row>
    <row r="781" spans="1:54">
      <c r="A781" s="326"/>
      <c r="B781" s="727"/>
      <c r="C781" s="727"/>
      <c r="D781" s="727"/>
      <c r="E781" s="727"/>
      <c r="F781" s="727"/>
      <c r="G781" s="727"/>
      <c r="H781" s="727"/>
      <c r="I781" s="727"/>
      <c r="J781" s="727"/>
      <c r="K781" s="727"/>
      <c r="L781" s="727"/>
      <c r="M781" s="727"/>
      <c r="N781" s="727"/>
      <c r="O781" s="727"/>
      <c r="P781" s="727"/>
      <c r="Q781" s="727"/>
      <c r="R781" s="727"/>
      <c r="S781" s="727"/>
      <c r="T781" s="727"/>
      <c r="U781" s="727"/>
      <c r="V781" s="727"/>
      <c r="W781" s="727"/>
      <c r="X781" s="727"/>
      <c r="Y781" s="727"/>
      <c r="Z781" s="727"/>
      <c r="AA781" s="727"/>
      <c r="AB781" s="727"/>
      <c r="AC781" s="727"/>
      <c r="AD781" s="727"/>
      <c r="AE781" s="727"/>
      <c r="AF781" s="727"/>
      <c r="AG781" s="727"/>
      <c r="AH781" s="727"/>
      <c r="AI781" s="727"/>
      <c r="AJ781" s="727"/>
      <c r="AK781" s="727"/>
      <c r="AL781" s="727"/>
      <c r="AM781" s="727"/>
      <c r="AN781" s="727"/>
      <c r="AO781" s="727"/>
      <c r="AP781" s="727"/>
      <c r="AQ781" s="727"/>
      <c r="AR781" s="727"/>
      <c r="AS781" s="727"/>
      <c r="AT781" s="727"/>
      <c r="AU781" s="727"/>
      <c r="AV781" s="727"/>
      <c r="AW781" s="727"/>
      <c r="AX781" s="727"/>
      <c r="AY781" s="727"/>
      <c r="AZ781" s="727"/>
      <c r="BA781" s="727"/>
      <c r="BB781" s="727"/>
    </row>
    <row r="782" spans="1:54">
      <c r="A782" s="326"/>
      <c r="B782" s="727"/>
      <c r="C782" s="727"/>
      <c r="D782" s="727"/>
      <c r="E782" s="727"/>
      <c r="F782" s="727"/>
      <c r="G782" s="727"/>
      <c r="H782" s="727"/>
      <c r="I782" s="727"/>
      <c r="J782" s="727"/>
      <c r="K782" s="727"/>
      <c r="L782" s="727"/>
      <c r="M782" s="727"/>
      <c r="N782" s="727"/>
      <c r="O782" s="727"/>
      <c r="P782" s="727"/>
      <c r="Q782" s="727"/>
      <c r="R782" s="727"/>
      <c r="S782" s="727"/>
      <c r="T782" s="727"/>
      <c r="U782" s="727"/>
      <c r="V782" s="727"/>
      <c r="W782" s="727"/>
      <c r="X782" s="727"/>
      <c r="Y782" s="727"/>
      <c r="Z782" s="727"/>
      <c r="AA782" s="727"/>
      <c r="AB782" s="727"/>
      <c r="AC782" s="727"/>
      <c r="AD782" s="727"/>
      <c r="AE782" s="727"/>
      <c r="AF782" s="727"/>
      <c r="AG782" s="727"/>
      <c r="AH782" s="727"/>
      <c r="AI782" s="727"/>
      <c r="AJ782" s="727"/>
      <c r="AK782" s="727"/>
      <c r="AL782" s="727"/>
      <c r="AM782" s="727"/>
      <c r="AN782" s="727"/>
      <c r="AO782" s="727"/>
      <c r="AP782" s="727"/>
      <c r="AQ782" s="727"/>
      <c r="AR782" s="727"/>
      <c r="AS782" s="727"/>
      <c r="AT782" s="727"/>
      <c r="AU782" s="727"/>
      <c r="AV782" s="727"/>
      <c r="AW782" s="727"/>
      <c r="AX782" s="727"/>
      <c r="AY782" s="727"/>
      <c r="AZ782" s="727"/>
      <c r="BA782" s="727"/>
      <c r="BB782" s="727"/>
    </row>
    <row r="783" spans="1:54">
      <c r="A783" s="326"/>
      <c r="B783" s="727"/>
      <c r="C783" s="727"/>
      <c r="D783" s="727"/>
      <c r="E783" s="727"/>
      <c r="F783" s="727"/>
      <c r="G783" s="727"/>
      <c r="H783" s="727"/>
      <c r="I783" s="727"/>
      <c r="J783" s="727"/>
      <c r="K783" s="727"/>
      <c r="L783" s="727"/>
      <c r="M783" s="727"/>
      <c r="N783" s="727"/>
      <c r="O783" s="727"/>
      <c r="P783" s="727"/>
      <c r="Q783" s="727"/>
      <c r="R783" s="727"/>
      <c r="S783" s="727"/>
      <c r="T783" s="727"/>
      <c r="U783" s="727"/>
      <c r="V783" s="727"/>
      <c r="W783" s="727"/>
      <c r="X783" s="727"/>
      <c r="Y783" s="727"/>
      <c r="Z783" s="727"/>
      <c r="AA783" s="727"/>
      <c r="AB783" s="727"/>
      <c r="AC783" s="727"/>
      <c r="AD783" s="727"/>
      <c r="AE783" s="727"/>
      <c r="AF783" s="727"/>
      <c r="AG783" s="727"/>
      <c r="AH783" s="727"/>
      <c r="AI783" s="727"/>
      <c r="AJ783" s="727"/>
      <c r="AK783" s="727"/>
      <c r="AL783" s="727"/>
      <c r="AM783" s="727"/>
      <c r="AN783" s="727"/>
      <c r="AO783" s="727"/>
      <c r="AP783" s="727"/>
      <c r="AQ783" s="727"/>
      <c r="AR783" s="727"/>
      <c r="AS783" s="727"/>
      <c r="AT783" s="727"/>
      <c r="AU783" s="727"/>
      <c r="AV783" s="727"/>
      <c r="AW783" s="727"/>
      <c r="AX783" s="727"/>
      <c r="AY783" s="727"/>
      <c r="AZ783" s="727"/>
      <c r="BA783" s="727"/>
      <c r="BB783" s="727"/>
    </row>
    <row r="784" spans="1:54">
      <c r="A784" s="326"/>
      <c r="B784" s="727"/>
      <c r="C784" s="727"/>
      <c r="D784" s="727"/>
      <c r="E784" s="727"/>
      <c r="F784" s="727"/>
      <c r="G784" s="727"/>
      <c r="H784" s="727"/>
      <c r="I784" s="727"/>
      <c r="J784" s="727"/>
      <c r="K784" s="727"/>
      <c r="L784" s="727"/>
      <c r="M784" s="727"/>
      <c r="N784" s="727"/>
      <c r="O784" s="727"/>
      <c r="P784" s="727"/>
      <c r="Q784" s="727"/>
      <c r="R784" s="727"/>
      <c r="S784" s="727"/>
      <c r="T784" s="727"/>
      <c r="U784" s="727"/>
      <c r="V784" s="727"/>
      <c r="W784" s="727"/>
      <c r="X784" s="727"/>
      <c r="Y784" s="727"/>
      <c r="Z784" s="727"/>
      <c r="AA784" s="727"/>
      <c r="AB784" s="727"/>
      <c r="AC784" s="727"/>
      <c r="AD784" s="727"/>
      <c r="AE784" s="727"/>
      <c r="AF784" s="727"/>
      <c r="AG784" s="727"/>
      <c r="AH784" s="727"/>
      <c r="AI784" s="727"/>
      <c r="AJ784" s="727"/>
      <c r="AK784" s="727"/>
      <c r="AL784" s="727"/>
      <c r="AM784" s="727"/>
      <c r="AN784" s="727"/>
      <c r="AO784" s="727"/>
      <c r="AP784" s="727"/>
      <c r="AQ784" s="727"/>
      <c r="AR784" s="727"/>
      <c r="AS784" s="727"/>
      <c r="AT784" s="727"/>
      <c r="AU784" s="727"/>
      <c r="AV784" s="727"/>
      <c r="AW784" s="727"/>
      <c r="AX784" s="727"/>
      <c r="AY784" s="727"/>
      <c r="AZ784" s="727"/>
      <c r="BA784" s="727"/>
      <c r="BB784" s="727"/>
    </row>
    <row r="785" spans="1:54">
      <c r="A785" s="326"/>
      <c r="B785" s="727"/>
      <c r="C785" s="727"/>
      <c r="D785" s="727"/>
      <c r="E785" s="727"/>
      <c r="F785" s="727"/>
      <c r="G785" s="727"/>
      <c r="H785" s="727"/>
      <c r="I785" s="727"/>
      <c r="J785" s="727"/>
      <c r="K785" s="727"/>
      <c r="L785" s="727"/>
      <c r="M785" s="727"/>
      <c r="N785" s="727"/>
      <c r="O785" s="727"/>
      <c r="P785" s="727"/>
      <c r="Q785" s="727"/>
      <c r="R785" s="727"/>
      <c r="S785" s="727"/>
      <c r="T785" s="727"/>
      <c r="U785" s="727"/>
      <c r="V785" s="727"/>
      <c r="W785" s="727"/>
      <c r="X785" s="727"/>
      <c r="Y785" s="727"/>
      <c r="Z785" s="727"/>
      <c r="AA785" s="727"/>
      <c r="AB785" s="727"/>
      <c r="AC785" s="727"/>
      <c r="AD785" s="727"/>
      <c r="AE785" s="727"/>
      <c r="AF785" s="727"/>
      <c r="AG785" s="727"/>
      <c r="AH785" s="727"/>
      <c r="AI785" s="727"/>
      <c r="AJ785" s="727"/>
      <c r="AK785" s="727"/>
      <c r="AL785" s="727"/>
      <c r="AM785" s="727"/>
      <c r="AN785" s="727"/>
      <c r="AO785" s="727"/>
      <c r="AP785" s="727"/>
      <c r="AQ785" s="727"/>
      <c r="AR785" s="727"/>
      <c r="AS785" s="727"/>
      <c r="AT785" s="727"/>
      <c r="AU785" s="727"/>
      <c r="AV785" s="727"/>
      <c r="AW785" s="727"/>
      <c r="AX785" s="727"/>
      <c r="AY785" s="727"/>
      <c r="AZ785" s="727"/>
      <c r="BA785" s="727"/>
      <c r="BB785" s="727"/>
    </row>
    <row r="786" spans="1:54">
      <c r="A786" s="326"/>
      <c r="B786" s="727"/>
      <c r="C786" s="727"/>
      <c r="D786" s="727"/>
      <c r="E786" s="727"/>
      <c r="F786" s="727"/>
      <c r="G786" s="727"/>
      <c r="H786" s="727"/>
      <c r="I786" s="727"/>
      <c r="J786" s="727"/>
      <c r="K786" s="727"/>
      <c r="L786" s="727"/>
      <c r="M786" s="727"/>
      <c r="N786" s="727"/>
      <c r="O786" s="727"/>
      <c r="P786" s="727"/>
      <c r="Q786" s="727"/>
      <c r="R786" s="727"/>
      <c r="S786" s="727"/>
      <c r="T786" s="727"/>
      <c r="U786" s="727"/>
      <c r="V786" s="727"/>
      <c r="W786" s="727"/>
      <c r="X786" s="727"/>
      <c r="Y786" s="727"/>
      <c r="Z786" s="727"/>
      <c r="AA786" s="727"/>
      <c r="AB786" s="727"/>
      <c r="AC786" s="727"/>
      <c r="AD786" s="727"/>
      <c r="AE786" s="727"/>
      <c r="AF786" s="727"/>
      <c r="AG786" s="727"/>
      <c r="AH786" s="727"/>
      <c r="AI786" s="727"/>
      <c r="AJ786" s="727"/>
      <c r="AK786" s="727"/>
      <c r="AL786" s="727"/>
      <c r="AM786" s="727"/>
      <c r="AN786" s="727"/>
      <c r="AO786" s="727"/>
      <c r="AP786" s="727"/>
      <c r="AQ786" s="727"/>
      <c r="AR786" s="727"/>
      <c r="AS786" s="727"/>
      <c r="AT786" s="727"/>
      <c r="AU786" s="727"/>
      <c r="AV786" s="727"/>
      <c r="AW786" s="727"/>
      <c r="AX786" s="727"/>
      <c r="AY786" s="727"/>
      <c r="AZ786" s="727"/>
      <c r="BA786" s="727"/>
      <c r="BB786" s="727"/>
    </row>
    <row r="787" spans="1:54">
      <c r="A787" s="326"/>
      <c r="B787" s="727"/>
      <c r="C787" s="727"/>
      <c r="D787" s="727"/>
      <c r="E787" s="727"/>
      <c r="F787" s="727"/>
      <c r="G787" s="727"/>
      <c r="H787" s="727"/>
      <c r="I787" s="727"/>
      <c r="J787" s="727"/>
      <c r="K787" s="727"/>
      <c r="L787" s="727"/>
      <c r="M787" s="727"/>
      <c r="N787" s="727"/>
      <c r="O787" s="727"/>
      <c r="P787" s="727"/>
      <c r="Q787" s="727"/>
      <c r="R787" s="727"/>
      <c r="S787" s="727"/>
      <c r="T787" s="727"/>
      <c r="U787" s="727"/>
      <c r="V787" s="727"/>
      <c r="W787" s="727"/>
      <c r="X787" s="727"/>
      <c r="Y787" s="727"/>
      <c r="Z787" s="727"/>
      <c r="AA787" s="727"/>
      <c r="AB787" s="727"/>
      <c r="AC787" s="727"/>
      <c r="AD787" s="727"/>
      <c r="AE787" s="727"/>
      <c r="AF787" s="727"/>
      <c r="AG787" s="727"/>
      <c r="AH787" s="727"/>
      <c r="AI787" s="727"/>
      <c r="AJ787" s="727"/>
      <c r="AK787" s="727"/>
      <c r="AL787" s="727"/>
      <c r="AM787" s="727"/>
      <c r="AN787" s="727"/>
      <c r="AO787" s="727"/>
      <c r="AP787" s="727"/>
      <c r="AQ787" s="727"/>
      <c r="AR787" s="727"/>
      <c r="AS787" s="727"/>
      <c r="AT787" s="727"/>
      <c r="AU787" s="727"/>
      <c r="AV787" s="727"/>
      <c r="AW787" s="727"/>
      <c r="AX787" s="727"/>
      <c r="AY787" s="727"/>
      <c r="AZ787" s="727"/>
      <c r="BA787" s="727"/>
      <c r="BB787" s="727"/>
    </row>
    <row r="788" spans="1:54">
      <c r="A788" s="326"/>
      <c r="B788" s="727"/>
      <c r="C788" s="727"/>
      <c r="D788" s="727"/>
      <c r="E788" s="727"/>
      <c r="F788" s="727"/>
      <c r="G788" s="727"/>
      <c r="H788" s="727"/>
      <c r="I788" s="727"/>
      <c r="J788" s="727"/>
      <c r="K788" s="727"/>
      <c r="L788" s="727"/>
      <c r="M788" s="727"/>
      <c r="N788" s="727"/>
      <c r="O788" s="727"/>
      <c r="P788" s="727"/>
      <c r="Q788" s="727"/>
      <c r="R788" s="727"/>
      <c r="S788" s="727"/>
      <c r="T788" s="727"/>
      <c r="U788" s="727"/>
      <c r="V788" s="727"/>
      <c r="W788" s="727"/>
      <c r="X788" s="727"/>
      <c r="Y788" s="727"/>
      <c r="Z788" s="727"/>
      <c r="AA788" s="727"/>
      <c r="AB788" s="727"/>
      <c r="AC788" s="727"/>
      <c r="AD788" s="727"/>
      <c r="AE788" s="727"/>
      <c r="AF788" s="727"/>
      <c r="AG788" s="727"/>
      <c r="AH788" s="727"/>
      <c r="AI788" s="727"/>
      <c r="AJ788" s="727"/>
      <c r="AK788" s="727"/>
      <c r="AL788" s="727"/>
      <c r="AM788" s="727"/>
      <c r="AN788" s="727"/>
      <c r="AO788" s="727"/>
      <c r="AP788" s="727"/>
      <c r="AQ788" s="727"/>
      <c r="AR788" s="727"/>
      <c r="AS788" s="727"/>
      <c r="AT788" s="727"/>
      <c r="AU788" s="727"/>
      <c r="AV788" s="727"/>
      <c r="AW788" s="727"/>
      <c r="AX788" s="727"/>
      <c r="AY788" s="727"/>
      <c r="AZ788" s="727"/>
      <c r="BA788" s="727"/>
      <c r="BB788" s="727"/>
    </row>
    <row r="789" spans="1:54">
      <c r="A789" s="326"/>
      <c r="B789" s="727"/>
      <c r="C789" s="727"/>
      <c r="D789" s="727"/>
      <c r="E789" s="727"/>
      <c r="F789" s="727"/>
      <c r="G789" s="727"/>
      <c r="H789" s="727"/>
      <c r="I789" s="727"/>
      <c r="J789" s="727"/>
      <c r="K789" s="727"/>
      <c r="L789" s="727"/>
      <c r="M789" s="727"/>
      <c r="N789" s="727"/>
      <c r="O789" s="727"/>
      <c r="P789" s="727"/>
      <c r="Q789" s="727"/>
      <c r="R789" s="727"/>
      <c r="S789" s="727"/>
      <c r="T789" s="727"/>
      <c r="U789" s="727"/>
      <c r="V789" s="727"/>
      <c r="W789" s="727"/>
      <c r="X789" s="727"/>
      <c r="Y789" s="727"/>
      <c r="Z789" s="727"/>
      <c r="AA789" s="727"/>
      <c r="AB789" s="727"/>
      <c r="AC789" s="727"/>
      <c r="AD789" s="727"/>
      <c r="AE789" s="727"/>
      <c r="AF789" s="727"/>
      <c r="AG789" s="727"/>
      <c r="AH789" s="727"/>
      <c r="AI789" s="727"/>
      <c r="AJ789" s="727"/>
      <c r="AK789" s="727"/>
      <c r="AL789" s="727"/>
      <c r="AM789" s="727"/>
      <c r="AN789" s="727"/>
      <c r="AO789" s="727"/>
      <c r="AP789" s="727"/>
      <c r="AQ789" s="727"/>
      <c r="AR789" s="727"/>
      <c r="AS789" s="727"/>
      <c r="AT789" s="727"/>
      <c r="AU789" s="727"/>
      <c r="AV789" s="727"/>
      <c r="AW789" s="727"/>
      <c r="AX789" s="727"/>
      <c r="AY789" s="727"/>
      <c r="AZ789" s="727"/>
      <c r="BA789" s="727"/>
      <c r="BB789" s="727"/>
    </row>
    <row r="790" spans="1:54">
      <c r="A790" s="326"/>
      <c r="B790" s="727"/>
      <c r="C790" s="727"/>
      <c r="D790" s="727"/>
      <c r="E790" s="727"/>
      <c r="F790" s="727"/>
      <c r="G790" s="727"/>
      <c r="H790" s="727"/>
      <c r="I790" s="727"/>
      <c r="J790" s="727"/>
      <c r="K790" s="727"/>
      <c r="L790" s="727"/>
      <c r="M790" s="727"/>
      <c r="N790" s="727"/>
      <c r="O790" s="727"/>
      <c r="P790" s="727"/>
      <c r="Q790" s="727"/>
      <c r="R790" s="727"/>
      <c r="S790" s="727"/>
      <c r="T790" s="727"/>
      <c r="U790" s="727"/>
      <c r="V790" s="727"/>
      <c r="W790" s="727"/>
      <c r="X790" s="727"/>
      <c r="Y790" s="727"/>
      <c r="Z790" s="727"/>
      <c r="AA790" s="727"/>
      <c r="AB790" s="727"/>
      <c r="AC790" s="727"/>
      <c r="AD790" s="727"/>
      <c r="AE790" s="727"/>
      <c r="AF790" s="727"/>
      <c r="AG790" s="727"/>
      <c r="AH790" s="727"/>
      <c r="AI790" s="727"/>
      <c r="AJ790" s="727"/>
      <c r="AK790" s="727"/>
      <c r="AL790" s="727"/>
      <c r="AM790" s="727"/>
      <c r="AN790" s="727"/>
      <c r="AO790" s="727"/>
      <c r="AP790" s="727"/>
      <c r="AQ790" s="727"/>
      <c r="AR790" s="727"/>
      <c r="AS790" s="727"/>
      <c r="AT790" s="727"/>
      <c r="AU790" s="727"/>
      <c r="AV790" s="727"/>
      <c r="AW790" s="727"/>
      <c r="AX790" s="727"/>
      <c r="AY790" s="727"/>
      <c r="AZ790" s="727"/>
      <c r="BA790" s="727"/>
      <c r="BB790" s="727"/>
    </row>
    <row r="791" spans="1:54">
      <c r="A791" s="326"/>
      <c r="B791" s="727"/>
      <c r="C791" s="727"/>
      <c r="D791" s="727"/>
      <c r="E791" s="727"/>
      <c r="F791" s="727"/>
      <c r="G791" s="727"/>
      <c r="H791" s="727"/>
      <c r="I791" s="727"/>
      <c r="J791" s="727"/>
      <c r="K791" s="727"/>
      <c r="L791" s="727"/>
      <c r="M791" s="727"/>
      <c r="N791" s="727"/>
      <c r="O791" s="727"/>
      <c r="P791" s="727"/>
      <c r="Q791" s="727"/>
      <c r="R791" s="727"/>
      <c r="S791" s="727"/>
      <c r="T791" s="727"/>
      <c r="U791" s="727"/>
      <c r="V791" s="727"/>
      <c r="W791" s="727"/>
      <c r="X791" s="727"/>
      <c r="Y791" s="727"/>
      <c r="Z791" s="727"/>
      <c r="AA791" s="727"/>
      <c r="AB791" s="727"/>
      <c r="AC791" s="727"/>
      <c r="AD791" s="727"/>
      <c r="AE791" s="727"/>
      <c r="AF791" s="727"/>
      <c r="AG791" s="727"/>
      <c r="AH791" s="727"/>
      <c r="AI791" s="727"/>
      <c r="AJ791" s="727"/>
      <c r="AK791" s="727"/>
      <c r="AL791" s="727"/>
      <c r="AM791" s="727"/>
      <c r="AN791" s="727"/>
      <c r="AO791" s="727"/>
      <c r="AP791" s="727"/>
      <c r="AQ791" s="727"/>
      <c r="AR791" s="727"/>
      <c r="AS791" s="727"/>
      <c r="AT791" s="727"/>
      <c r="AU791" s="727"/>
      <c r="AV791" s="727"/>
      <c r="AW791" s="727"/>
      <c r="AX791" s="727"/>
      <c r="AY791" s="727"/>
      <c r="AZ791" s="727"/>
      <c r="BA791" s="727"/>
      <c r="BB791" s="727"/>
    </row>
    <row r="792" spans="1:54">
      <c r="A792" s="326"/>
      <c r="B792" s="727"/>
      <c r="C792" s="727"/>
      <c r="D792" s="727"/>
      <c r="E792" s="727"/>
      <c r="F792" s="727"/>
      <c r="G792" s="727"/>
      <c r="H792" s="727"/>
      <c r="I792" s="727"/>
      <c r="J792" s="727"/>
      <c r="K792" s="727"/>
      <c r="L792" s="727"/>
      <c r="M792" s="727"/>
      <c r="N792" s="727"/>
      <c r="O792" s="727"/>
      <c r="P792" s="727"/>
      <c r="Q792" s="727"/>
      <c r="R792" s="727"/>
      <c r="S792" s="727"/>
      <c r="T792" s="727"/>
      <c r="U792" s="727"/>
      <c r="V792" s="727"/>
      <c r="W792" s="727"/>
      <c r="X792" s="727"/>
      <c r="Y792" s="727"/>
      <c r="Z792" s="727"/>
      <c r="AA792" s="727"/>
      <c r="AB792" s="727"/>
      <c r="AC792" s="727"/>
      <c r="AD792" s="727"/>
      <c r="AE792" s="727"/>
      <c r="AF792" s="727"/>
      <c r="AG792" s="727"/>
      <c r="AH792" s="727"/>
      <c r="AI792" s="727"/>
      <c r="AJ792" s="727"/>
      <c r="AK792" s="727"/>
      <c r="AL792" s="727"/>
      <c r="AM792" s="727"/>
      <c r="AN792" s="727"/>
      <c r="AO792" s="727"/>
      <c r="AP792" s="727"/>
      <c r="AQ792" s="727"/>
      <c r="AR792" s="727"/>
      <c r="AS792" s="727"/>
      <c r="AT792" s="727"/>
      <c r="AU792" s="727"/>
      <c r="AV792" s="727"/>
      <c r="AW792" s="727"/>
      <c r="AX792" s="727"/>
      <c r="AY792" s="727"/>
      <c r="AZ792" s="727"/>
      <c r="BA792" s="727"/>
      <c r="BB792" s="727"/>
    </row>
    <row r="793" spans="1:54">
      <c r="A793" s="326"/>
      <c r="B793" s="727"/>
      <c r="C793" s="727"/>
      <c r="D793" s="727"/>
      <c r="E793" s="727"/>
      <c r="F793" s="727"/>
      <c r="G793" s="727"/>
      <c r="H793" s="727"/>
      <c r="I793" s="727"/>
      <c r="J793" s="727"/>
      <c r="K793" s="727"/>
      <c r="L793" s="727"/>
      <c r="M793" s="727"/>
      <c r="N793" s="727"/>
      <c r="O793" s="727"/>
      <c r="P793" s="727"/>
      <c r="Q793" s="727"/>
      <c r="R793" s="727"/>
      <c r="S793" s="727"/>
      <c r="T793" s="727"/>
      <c r="U793" s="727"/>
      <c r="V793" s="727"/>
      <c r="W793" s="727"/>
      <c r="X793" s="727"/>
      <c r="Y793" s="727"/>
      <c r="Z793" s="727"/>
      <c r="AA793" s="727"/>
      <c r="AB793" s="727"/>
      <c r="AC793" s="727"/>
      <c r="AD793" s="727"/>
      <c r="AE793" s="727"/>
      <c r="AF793" s="727"/>
      <c r="AG793" s="727"/>
      <c r="AH793" s="727"/>
      <c r="AI793" s="727"/>
      <c r="AJ793" s="727"/>
      <c r="AK793" s="727"/>
      <c r="AL793" s="727"/>
      <c r="AM793" s="727"/>
      <c r="AN793" s="727"/>
      <c r="AO793" s="727"/>
      <c r="AP793" s="727"/>
      <c r="AQ793" s="727"/>
      <c r="AR793" s="727"/>
      <c r="AS793" s="727"/>
      <c r="AT793" s="727"/>
      <c r="AU793" s="727"/>
      <c r="AV793" s="727"/>
      <c r="AW793" s="727"/>
      <c r="AX793" s="727"/>
      <c r="AY793" s="727"/>
      <c r="AZ793" s="727"/>
      <c r="BA793" s="727"/>
      <c r="BB793" s="727"/>
    </row>
    <row r="794" spans="1:54">
      <c r="A794" s="326"/>
      <c r="B794" s="727"/>
      <c r="C794" s="727"/>
      <c r="D794" s="727"/>
      <c r="E794" s="727"/>
      <c r="F794" s="727"/>
      <c r="G794" s="727"/>
      <c r="H794" s="727"/>
      <c r="I794" s="727"/>
      <c r="J794" s="727"/>
      <c r="K794" s="727"/>
      <c r="L794" s="727"/>
      <c r="M794" s="727"/>
      <c r="N794" s="727"/>
      <c r="O794" s="727"/>
      <c r="P794" s="727"/>
      <c r="Q794" s="727"/>
      <c r="R794" s="727"/>
      <c r="S794" s="727"/>
      <c r="T794" s="727"/>
      <c r="U794" s="727"/>
      <c r="V794" s="727"/>
      <c r="W794" s="727"/>
      <c r="X794" s="727"/>
      <c r="Y794" s="727"/>
      <c r="Z794" s="727"/>
      <c r="AA794" s="727"/>
      <c r="AB794" s="727"/>
      <c r="AC794" s="727"/>
      <c r="AD794" s="727"/>
      <c r="AE794" s="727"/>
      <c r="AF794" s="727"/>
      <c r="AG794" s="727"/>
      <c r="AH794" s="727"/>
      <c r="AI794" s="727"/>
      <c r="AJ794" s="727"/>
      <c r="AK794" s="727"/>
      <c r="AL794" s="727"/>
      <c r="AM794" s="727"/>
      <c r="AN794" s="727"/>
      <c r="AO794" s="727"/>
      <c r="AP794" s="727"/>
      <c r="AQ794" s="727"/>
      <c r="AR794" s="727"/>
      <c r="AS794" s="727"/>
      <c r="AT794" s="727"/>
      <c r="AU794" s="727"/>
      <c r="AV794" s="727"/>
      <c r="AW794" s="727"/>
      <c r="AX794" s="727"/>
      <c r="AY794" s="727"/>
      <c r="AZ794" s="727"/>
      <c r="BA794" s="727"/>
      <c r="BB794" s="727"/>
    </row>
    <row r="795" spans="1:54">
      <c r="A795" s="326"/>
      <c r="B795" s="727"/>
      <c r="C795" s="727"/>
      <c r="D795" s="727"/>
      <c r="E795" s="727"/>
      <c r="F795" s="727"/>
      <c r="G795" s="727"/>
      <c r="H795" s="727"/>
      <c r="I795" s="727"/>
      <c r="J795" s="727"/>
      <c r="K795" s="727"/>
      <c r="L795" s="727"/>
      <c r="M795" s="727"/>
      <c r="N795" s="727"/>
      <c r="O795" s="727"/>
      <c r="P795" s="727"/>
      <c r="Q795" s="727"/>
      <c r="R795" s="727"/>
      <c r="S795" s="727"/>
      <c r="T795" s="727"/>
      <c r="U795" s="727"/>
      <c r="V795" s="727"/>
      <c r="W795" s="727"/>
      <c r="X795" s="727"/>
      <c r="Y795" s="727"/>
      <c r="Z795" s="727"/>
      <c r="AA795" s="727"/>
      <c r="AB795" s="727"/>
      <c r="AC795" s="727"/>
      <c r="AD795" s="727"/>
      <c r="AE795" s="727"/>
      <c r="AF795" s="727"/>
      <c r="AG795" s="727"/>
      <c r="AH795" s="727"/>
      <c r="AI795" s="727"/>
      <c r="AJ795" s="727"/>
      <c r="AK795" s="727"/>
      <c r="AL795" s="727"/>
      <c r="AM795" s="727"/>
      <c r="AN795" s="727"/>
      <c r="AO795" s="727"/>
      <c r="AP795" s="727"/>
      <c r="AQ795" s="727"/>
      <c r="AR795" s="727"/>
      <c r="AS795" s="727"/>
      <c r="AT795" s="727"/>
      <c r="AU795" s="727"/>
      <c r="AV795" s="727"/>
      <c r="AW795" s="727"/>
      <c r="AX795" s="727"/>
      <c r="AY795" s="727"/>
      <c r="AZ795" s="727"/>
      <c r="BA795" s="727"/>
      <c r="BB795" s="727"/>
    </row>
    <row r="796" spans="1:54">
      <c r="A796" s="326"/>
      <c r="B796" s="727"/>
      <c r="C796" s="727"/>
      <c r="D796" s="727"/>
      <c r="E796" s="727"/>
      <c r="F796" s="727"/>
      <c r="G796" s="727"/>
      <c r="H796" s="727"/>
      <c r="I796" s="727"/>
      <c r="J796" s="727"/>
      <c r="K796" s="727"/>
      <c r="L796" s="727"/>
      <c r="M796" s="727"/>
      <c r="N796" s="727"/>
      <c r="O796" s="727"/>
      <c r="P796" s="727"/>
      <c r="Q796" s="727"/>
      <c r="R796" s="727"/>
      <c r="S796" s="727"/>
      <c r="T796" s="727"/>
      <c r="U796" s="727"/>
      <c r="V796" s="727"/>
      <c r="W796" s="727"/>
      <c r="X796" s="727"/>
      <c r="Y796" s="727"/>
      <c r="Z796" s="727"/>
      <c r="AA796" s="727"/>
      <c r="AB796" s="727"/>
      <c r="AC796" s="727"/>
      <c r="AD796" s="727"/>
      <c r="AE796" s="727"/>
      <c r="AF796" s="727"/>
      <c r="AG796" s="727"/>
      <c r="AH796" s="727"/>
      <c r="AI796" s="727"/>
      <c r="AJ796" s="727"/>
      <c r="AK796" s="727"/>
      <c r="AL796" s="727"/>
      <c r="AM796" s="727"/>
      <c r="AN796" s="727"/>
      <c r="AO796" s="727"/>
      <c r="AP796" s="727"/>
      <c r="AQ796" s="727"/>
      <c r="AR796" s="727"/>
      <c r="AS796" s="727"/>
      <c r="AT796" s="727"/>
      <c r="AU796" s="727"/>
      <c r="AV796" s="727"/>
      <c r="AW796" s="727"/>
      <c r="AX796" s="727"/>
      <c r="AY796" s="727"/>
      <c r="AZ796" s="727"/>
      <c r="BA796" s="727"/>
      <c r="BB796" s="727"/>
    </row>
    <row r="797" spans="1:54">
      <c r="A797" s="326"/>
      <c r="B797" s="727"/>
      <c r="C797" s="727"/>
      <c r="D797" s="727"/>
      <c r="E797" s="727"/>
      <c r="F797" s="727"/>
      <c r="G797" s="727"/>
      <c r="H797" s="727"/>
      <c r="I797" s="727"/>
      <c r="J797" s="727"/>
      <c r="K797" s="727"/>
      <c r="L797" s="727"/>
      <c r="M797" s="727"/>
      <c r="N797" s="727"/>
      <c r="O797" s="727"/>
      <c r="P797" s="727"/>
      <c r="Q797" s="727"/>
      <c r="R797" s="727"/>
      <c r="S797" s="727"/>
      <c r="T797" s="727"/>
      <c r="U797" s="727"/>
      <c r="V797" s="727"/>
      <c r="W797" s="727"/>
      <c r="X797" s="727"/>
      <c r="Y797" s="727"/>
      <c r="Z797" s="727"/>
      <c r="AA797" s="727"/>
      <c r="AB797" s="727"/>
      <c r="AC797" s="727"/>
      <c r="AD797" s="727"/>
      <c r="AE797" s="727"/>
      <c r="AF797" s="727"/>
      <c r="AG797" s="727"/>
      <c r="AH797" s="727"/>
      <c r="AI797" s="727"/>
      <c r="AJ797" s="727"/>
      <c r="AK797" s="727"/>
      <c r="AL797" s="727"/>
      <c r="AM797" s="727"/>
      <c r="AN797" s="727"/>
      <c r="AO797" s="727"/>
      <c r="AP797" s="727"/>
      <c r="AQ797" s="727"/>
      <c r="AR797" s="727"/>
      <c r="AS797" s="727"/>
      <c r="AT797" s="727"/>
      <c r="AU797" s="727"/>
      <c r="AV797" s="727"/>
      <c r="AW797" s="727"/>
      <c r="AX797" s="727"/>
      <c r="AY797" s="727"/>
      <c r="AZ797" s="727"/>
      <c r="BA797" s="727"/>
      <c r="BB797" s="727"/>
    </row>
    <row r="798" spans="1:54">
      <c r="A798" s="326"/>
      <c r="B798" s="727"/>
      <c r="C798" s="727"/>
      <c r="D798" s="727"/>
      <c r="E798" s="727"/>
      <c r="F798" s="727"/>
      <c r="G798" s="727"/>
      <c r="H798" s="727"/>
      <c r="I798" s="727"/>
      <c r="J798" s="727"/>
      <c r="K798" s="727"/>
      <c r="L798" s="727"/>
      <c r="M798" s="727"/>
      <c r="N798" s="727"/>
      <c r="O798" s="727"/>
      <c r="P798" s="727"/>
      <c r="Q798" s="727"/>
      <c r="R798" s="727"/>
      <c r="S798" s="727"/>
      <c r="T798" s="727"/>
      <c r="U798" s="727"/>
      <c r="V798" s="727"/>
      <c r="W798" s="727"/>
      <c r="X798" s="727"/>
      <c r="Y798" s="727"/>
      <c r="Z798" s="727"/>
      <c r="AA798" s="727"/>
      <c r="AB798" s="727"/>
      <c r="AC798" s="727"/>
      <c r="AD798" s="727"/>
      <c r="AE798" s="727"/>
      <c r="AF798" s="727"/>
      <c r="AG798" s="727"/>
      <c r="AH798" s="727"/>
      <c r="AI798" s="727"/>
      <c r="AJ798" s="727"/>
      <c r="AK798" s="727"/>
      <c r="AL798" s="727"/>
      <c r="AM798" s="727"/>
      <c r="AN798" s="727"/>
      <c r="AO798" s="727"/>
      <c r="AP798" s="727"/>
      <c r="AQ798" s="727"/>
      <c r="AR798" s="727"/>
      <c r="AS798" s="727"/>
      <c r="AT798" s="727"/>
      <c r="AU798" s="727"/>
      <c r="AV798" s="727"/>
      <c r="AW798" s="727"/>
      <c r="AX798" s="727"/>
      <c r="AY798" s="727"/>
      <c r="AZ798" s="727"/>
      <c r="BA798" s="727"/>
      <c r="BB798" s="727"/>
    </row>
    <row r="799" spans="1:54">
      <c r="A799" s="326"/>
      <c r="B799" s="727"/>
      <c r="C799" s="727"/>
      <c r="D799" s="727"/>
      <c r="E799" s="727"/>
      <c r="F799" s="727"/>
      <c r="G799" s="727"/>
      <c r="H799" s="727"/>
      <c r="I799" s="727"/>
      <c r="J799" s="727"/>
      <c r="K799" s="727"/>
      <c r="L799" s="727"/>
      <c r="M799" s="727"/>
      <c r="N799" s="727"/>
      <c r="O799" s="727"/>
      <c r="P799" s="727"/>
      <c r="Q799" s="727"/>
      <c r="R799" s="727"/>
      <c r="S799" s="727"/>
      <c r="T799" s="727"/>
      <c r="U799" s="727"/>
      <c r="V799" s="727"/>
      <c r="W799" s="727"/>
      <c r="X799" s="727"/>
      <c r="Y799" s="727"/>
      <c r="Z799" s="727"/>
      <c r="AA799" s="727"/>
      <c r="AB799" s="727"/>
      <c r="AC799" s="727"/>
      <c r="AD799" s="727"/>
      <c r="AE799" s="727"/>
      <c r="AF799" s="727"/>
      <c r="AG799" s="727"/>
      <c r="AH799" s="727"/>
      <c r="AI799" s="727"/>
      <c r="AJ799" s="727"/>
      <c r="AK799" s="727"/>
      <c r="AL799" s="727"/>
      <c r="AM799" s="727"/>
      <c r="AN799" s="727"/>
      <c r="AO799" s="727"/>
      <c r="AP799" s="727"/>
      <c r="AQ799" s="727"/>
      <c r="AR799" s="727"/>
      <c r="AS799" s="727"/>
      <c r="AT799" s="727"/>
      <c r="AU799" s="727"/>
      <c r="AV799" s="727"/>
      <c r="AW799" s="727"/>
      <c r="AX799" s="727"/>
      <c r="AY799" s="727"/>
      <c r="AZ799" s="727"/>
      <c r="BA799" s="727"/>
      <c r="BB799" s="727"/>
    </row>
    <row r="800" spans="1:54">
      <c r="A800" s="326"/>
      <c r="B800" s="727"/>
      <c r="C800" s="727"/>
      <c r="D800" s="727"/>
      <c r="E800" s="727"/>
      <c r="F800" s="727"/>
      <c r="G800" s="727"/>
      <c r="H800" s="727"/>
      <c r="I800" s="727"/>
      <c r="J800" s="727"/>
      <c r="K800" s="727"/>
      <c r="L800" s="727"/>
      <c r="M800" s="727"/>
      <c r="N800" s="727"/>
      <c r="O800" s="727"/>
      <c r="P800" s="727"/>
      <c r="Q800" s="727"/>
      <c r="R800" s="727"/>
      <c r="S800" s="727"/>
      <c r="T800" s="727"/>
      <c r="U800" s="727"/>
      <c r="V800" s="727"/>
      <c r="W800" s="727"/>
      <c r="X800" s="727"/>
      <c r="Y800" s="727"/>
      <c r="Z800" s="727"/>
      <c r="AA800" s="727"/>
      <c r="AB800" s="727"/>
      <c r="AC800" s="727"/>
      <c r="AD800" s="727"/>
      <c r="AE800" s="727"/>
      <c r="AF800" s="727"/>
      <c r="AG800" s="727"/>
      <c r="AH800" s="727"/>
      <c r="AI800" s="727"/>
      <c r="AJ800" s="727"/>
      <c r="AK800" s="727"/>
      <c r="AL800" s="727"/>
      <c r="AM800" s="727"/>
      <c r="AN800" s="727"/>
      <c r="AO800" s="727"/>
      <c r="AP800" s="727"/>
      <c r="AQ800" s="727"/>
      <c r="AR800" s="727"/>
      <c r="AS800" s="727"/>
      <c r="AT800" s="727"/>
      <c r="AU800" s="727"/>
      <c r="AV800" s="727"/>
      <c r="AW800" s="727"/>
      <c r="AX800" s="727"/>
      <c r="AY800" s="727"/>
      <c r="AZ800" s="727"/>
      <c r="BA800" s="727"/>
      <c r="BB800" s="727"/>
    </row>
    <row r="801" spans="1:54">
      <c r="A801" s="326"/>
      <c r="B801" s="727"/>
      <c r="C801" s="727"/>
      <c r="D801" s="727"/>
      <c r="E801" s="727"/>
      <c r="F801" s="727"/>
      <c r="G801" s="727"/>
      <c r="H801" s="727"/>
      <c r="I801" s="727"/>
      <c r="J801" s="727"/>
      <c r="K801" s="727"/>
      <c r="L801" s="727"/>
      <c r="M801" s="727"/>
      <c r="N801" s="727"/>
      <c r="O801" s="727"/>
      <c r="P801" s="727"/>
      <c r="Q801" s="727"/>
      <c r="R801" s="727"/>
      <c r="S801" s="727"/>
      <c r="T801" s="727"/>
      <c r="U801" s="727"/>
      <c r="V801" s="727"/>
      <c r="W801" s="727"/>
      <c r="X801" s="727"/>
      <c r="Y801" s="727"/>
      <c r="Z801" s="727"/>
      <c r="AA801" s="727"/>
      <c r="AB801" s="727"/>
      <c r="AC801" s="727"/>
      <c r="AD801" s="727"/>
      <c r="AE801" s="727"/>
      <c r="AF801" s="727"/>
      <c r="AG801" s="727"/>
      <c r="AH801" s="727"/>
      <c r="AI801" s="727"/>
      <c r="AJ801" s="727"/>
      <c r="AK801" s="727"/>
      <c r="AL801" s="727"/>
      <c r="AM801" s="727"/>
      <c r="AN801" s="727"/>
      <c r="AO801" s="727"/>
      <c r="AP801" s="727"/>
      <c r="AQ801" s="727"/>
      <c r="AR801" s="727"/>
      <c r="AS801" s="727"/>
      <c r="AT801" s="727"/>
      <c r="AU801" s="727"/>
      <c r="AV801" s="727"/>
      <c r="AW801" s="727"/>
      <c r="AX801" s="727"/>
      <c r="AY801" s="727"/>
      <c r="AZ801" s="727"/>
      <c r="BA801" s="727"/>
      <c r="BB801" s="727"/>
    </row>
    <row r="802" spans="1:54">
      <c r="A802" s="326"/>
      <c r="B802" s="727"/>
      <c r="C802" s="727"/>
      <c r="D802" s="727"/>
      <c r="E802" s="727"/>
      <c r="F802" s="727"/>
      <c r="G802" s="727"/>
      <c r="H802" s="727"/>
      <c r="I802" s="727"/>
      <c r="J802" s="727"/>
      <c r="K802" s="727"/>
      <c r="L802" s="727"/>
      <c r="M802" s="727"/>
      <c r="N802" s="727"/>
      <c r="O802" s="727"/>
      <c r="P802" s="727"/>
      <c r="Q802" s="727"/>
      <c r="R802" s="727"/>
      <c r="S802" s="727"/>
      <c r="T802" s="727"/>
      <c r="U802" s="727"/>
      <c r="V802" s="727"/>
      <c r="W802" s="727"/>
      <c r="X802" s="727"/>
      <c r="Y802" s="727"/>
      <c r="Z802" s="727"/>
      <c r="AA802" s="727"/>
      <c r="AB802" s="727"/>
      <c r="AC802" s="727"/>
      <c r="AD802" s="727"/>
      <c r="AE802" s="727"/>
      <c r="AF802" s="727"/>
      <c r="AG802" s="727"/>
      <c r="AH802" s="727"/>
      <c r="AI802" s="727"/>
      <c r="AJ802" s="727"/>
      <c r="AK802" s="727"/>
      <c r="AL802" s="727"/>
      <c r="AM802" s="727"/>
      <c r="AN802" s="727"/>
      <c r="AO802" s="727"/>
      <c r="AP802" s="727"/>
      <c r="AQ802" s="727"/>
      <c r="AR802" s="727"/>
      <c r="AS802" s="727"/>
      <c r="AT802" s="727"/>
      <c r="AU802" s="727"/>
      <c r="AV802" s="727"/>
      <c r="AW802" s="727"/>
      <c r="AX802" s="727"/>
      <c r="AY802" s="727"/>
      <c r="AZ802" s="727"/>
      <c r="BA802" s="727"/>
      <c r="BB802" s="727"/>
    </row>
    <row r="803" spans="1:54">
      <c r="A803" s="326"/>
      <c r="B803" s="727"/>
      <c r="C803" s="727"/>
      <c r="D803" s="727"/>
      <c r="E803" s="727"/>
      <c r="F803" s="727"/>
      <c r="G803" s="727"/>
      <c r="H803" s="727"/>
      <c r="I803" s="727"/>
      <c r="J803" s="727"/>
      <c r="K803" s="727"/>
      <c r="L803" s="727"/>
      <c r="M803" s="727"/>
      <c r="N803" s="727"/>
      <c r="O803" s="727"/>
      <c r="P803" s="727"/>
      <c r="Q803" s="727"/>
      <c r="R803" s="727"/>
      <c r="S803" s="727"/>
      <c r="T803" s="727"/>
      <c r="U803" s="727"/>
      <c r="V803" s="727"/>
      <c r="W803" s="727"/>
      <c r="X803" s="727"/>
      <c r="Y803" s="727"/>
      <c r="Z803" s="727"/>
      <c r="AA803" s="727"/>
      <c r="AB803" s="727"/>
      <c r="AC803" s="727"/>
      <c r="AD803" s="727"/>
      <c r="AE803" s="727"/>
      <c r="AF803" s="727"/>
      <c r="AG803" s="727"/>
      <c r="AH803" s="727"/>
      <c r="AI803" s="727"/>
      <c r="AJ803" s="727"/>
      <c r="AK803" s="727"/>
      <c r="AL803" s="727"/>
      <c r="AM803" s="727"/>
      <c r="AN803" s="727"/>
      <c r="AO803" s="727"/>
      <c r="AP803" s="727"/>
      <c r="AQ803" s="727"/>
      <c r="AR803" s="727"/>
      <c r="AS803" s="727"/>
      <c r="AT803" s="727"/>
      <c r="AU803" s="727"/>
      <c r="AV803" s="727"/>
      <c r="AW803" s="727"/>
      <c r="AX803" s="727"/>
      <c r="AY803" s="727"/>
      <c r="AZ803" s="727"/>
      <c r="BA803" s="727"/>
      <c r="BB803" s="727"/>
    </row>
    <row r="804" spans="1:54">
      <c r="A804" s="326"/>
      <c r="B804" s="727"/>
      <c r="C804" s="727"/>
      <c r="D804" s="727"/>
      <c r="E804" s="727"/>
      <c r="F804" s="727"/>
      <c r="G804" s="727"/>
      <c r="H804" s="727"/>
      <c r="I804" s="727"/>
      <c r="J804" s="727"/>
      <c r="K804" s="727"/>
      <c r="L804" s="727"/>
      <c r="M804" s="727"/>
      <c r="N804" s="727"/>
      <c r="O804" s="727"/>
      <c r="P804" s="727"/>
      <c r="Q804" s="727"/>
      <c r="R804" s="727"/>
      <c r="S804" s="727"/>
      <c r="T804" s="727"/>
      <c r="U804" s="727"/>
      <c r="V804" s="727"/>
      <c r="W804" s="727"/>
      <c r="X804" s="727"/>
      <c r="Y804" s="727"/>
      <c r="Z804" s="727"/>
      <c r="AA804" s="727"/>
      <c r="AB804" s="727"/>
      <c r="AC804" s="727"/>
      <c r="AD804" s="727"/>
      <c r="AE804" s="727"/>
      <c r="AF804" s="727"/>
      <c r="AG804" s="727"/>
      <c r="AH804" s="727"/>
      <c r="AI804" s="727"/>
      <c r="AJ804" s="727"/>
      <c r="AK804" s="727"/>
      <c r="AL804" s="727"/>
      <c r="AM804" s="727"/>
      <c r="AN804" s="727"/>
      <c r="AO804" s="727"/>
      <c r="AP804" s="727"/>
      <c r="AQ804" s="727"/>
      <c r="AR804" s="727"/>
      <c r="AS804" s="727"/>
      <c r="AT804" s="727"/>
      <c r="AU804" s="727"/>
      <c r="AV804" s="727"/>
      <c r="AW804" s="727"/>
      <c r="AX804" s="727"/>
      <c r="AY804" s="727"/>
      <c r="AZ804" s="727"/>
      <c r="BA804" s="727"/>
      <c r="BB804" s="727"/>
    </row>
    <row r="805" spans="1:54">
      <c r="A805" s="326"/>
      <c r="B805" s="727"/>
      <c r="C805" s="727"/>
      <c r="D805" s="727"/>
      <c r="E805" s="727"/>
      <c r="F805" s="727"/>
      <c r="G805" s="727"/>
      <c r="H805" s="727"/>
      <c r="I805" s="727"/>
      <c r="J805" s="727"/>
      <c r="K805" s="727"/>
      <c r="L805" s="727"/>
      <c r="M805" s="727"/>
      <c r="N805" s="727"/>
      <c r="O805" s="727"/>
      <c r="P805" s="727"/>
      <c r="Q805" s="727"/>
      <c r="R805" s="727"/>
      <c r="S805" s="727"/>
      <c r="T805" s="727"/>
      <c r="U805" s="727"/>
      <c r="V805" s="727"/>
      <c r="W805" s="727"/>
      <c r="X805" s="727"/>
      <c r="Y805" s="727"/>
      <c r="Z805" s="727"/>
      <c r="AA805" s="727"/>
      <c r="AB805" s="727"/>
      <c r="AC805" s="727"/>
      <c r="AD805" s="727"/>
      <c r="AE805" s="727"/>
      <c r="AF805" s="727"/>
      <c r="AG805" s="727"/>
      <c r="AH805" s="727"/>
      <c r="AI805" s="727"/>
      <c r="AJ805" s="727"/>
      <c r="AK805" s="727"/>
      <c r="AL805" s="727"/>
      <c r="AM805" s="727"/>
      <c r="AN805" s="727"/>
      <c r="AO805" s="727"/>
      <c r="AP805" s="727"/>
      <c r="AQ805" s="727"/>
      <c r="AR805" s="727"/>
      <c r="AS805" s="727"/>
      <c r="AT805" s="727"/>
      <c r="AU805" s="727"/>
      <c r="AV805" s="727"/>
      <c r="AW805" s="727"/>
      <c r="AX805" s="727"/>
      <c r="AY805" s="727"/>
      <c r="AZ805" s="727"/>
      <c r="BA805" s="727"/>
      <c r="BB805" s="727"/>
    </row>
    <row r="806" spans="1:54">
      <c r="A806" s="326"/>
      <c r="B806" s="727"/>
      <c r="C806" s="727"/>
      <c r="D806" s="727"/>
      <c r="E806" s="727"/>
      <c r="F806" s="727"/>
      <c r="G806" s="727"/>
      <c r="H806" s="727"/>
      <c r="I806" s="727"/>
      <c r="J806" s="727"/>
      <c r="K806" s="727"/>
      <c r="L806" s="727"/>
      <c r="M806" s="727"/>
      <c r="N806" s="727"/>
      <c r="O806" s="727"/>
      <c r="P806" s="727"/>
      <c r="Q806" s="727"/>
      <c r="R806" s="727"/>
      <c r="S806" s="727"/>
      <c r="T806" s="727"/>
      <c r="U806" s="727"/>
      <c r="V806" s="727"/>
      <c r="W806" s="727"/>
      <c r="X806" s="727"/>
      <c r="Y806" s="727"/>
      <c r="Z806" s="727"/>
      <c r="AA806" s="727"/>
      <c r="AB806" s="727"/>
      <c r="AC806" s="727"/>
      <c r="AD806" s="727"/>
      <c r="AE806" s="727"/>
      <c r="AF806" s="727"/>
      <c r="AG806" s="727"/>
      <c r="AH806" s="727"/>
      <c r="AI806" s="727"/>
      <c r="AJ806" s="727"/>
      <c r="AK806" s="727"/>
      <c r="AL806" s="727"/>
      <c r="AM806" s="727"/>
      <c r="AN806" s="727"/>
      <c r="AO806" s="727"/>
      <c r="AP806" s="727"/>
      <c r="AQ806" s="727"/>
      <c r="AR806" s="727"/>
      <c r="AS806" s="727"/>
      <c r="AT806" s="727"/>
      <c r="AU806" s="727"/>
      <c r="AV806" s="727"/>
      <c r="AW806" s="727"/>
      <c r="AX806" s="727"/>
      <c r="AY806" s="727"/>
      <c r="AZ806" s="727"/>
      <c r="BA806" s="727"/>
      <c r="BB806" s="727"/>
    </row>
    <row r="807" spans="1:54">
      <c r="A807" s="326"/>
      <c r="B807" s="727"/>
      <c r="C807" s="727"/>
      <c r="D807" s="727"/>
      <c r="E807" s="727"/>
      <c r="F807" s="727"/>
      <c r="G807" s="727"/>
      <c r="H807" s="727"/>
      <c r="I807" s="727"/>
      <c r="J807" s="727"/>
      <c r="K807" s="727"/>
      <c r="L807" s="727"/>
      <c r="M807" s="727"/>
      <c r="N807" s="727"/>
      <c r="O807" s="727"/>
      <c r="P807" s="727"/>
      <c r="Q807" s="727"/>
      <c r="R807" s="727"/>
      <c r="S807" s="727"/>
      <c r="T807" s="727"/>
      <c r="U807" s="727"/>
      <c r="V807" s="727"/>
      <c r="W807" s="727"/>
      <c r="X807" s="727"/>
      <c r="Y807" s="727"/>
      <c r="Z807" s="727"/>
      <c r="AA807" s="727"/>
      <c r="AB807" s="727"/>
      <c r="AC807" s="727"/>
      <c r="AD807" s="727"/>
      <c r="AE807" s="727"/>
      <c r="AF807" s="727"/>
      <c r="AG807" s="727"/>
      <c r="AH807" s="727"/>
      <c r="AI807" s="727"/>
      <c r="AJ807" s="727"/>
      <c r="AK807" s="727"/>
      <c r="AL807" s="727"/>
      <c r="AM807" s="727"/>
      <c r="AN807" s="727"/>
      <c r="AO807" s="727"/>
      <c r="AP807" s="727"/>
      <c r="AQ807" s="727"/>
      <c r="AR807" s="727"/>
      <c r="AS807" s="727"/>
      <c r="AT807" s="727"/>
      <c r="AU807" s="727"/>
      <c r="AV807" s="727"/>
      <c r="AW807" s="727"/>
      <c r="AX807" s="727"/>
      <c r="AY807" s="727"/>
      <c r="AZ807" s="727"/>
      <c r="BA807" s="727"/>
      <c r="BB807" s="727"/>
    </row>
    <row r="808" spans="1:54">
      <c r="A808" s="326"/>
      <c r="B808" s="727"/>
      <c r="C808" s="727"/>
      <c r="D808" s="727"/>
      <c r="E808" s="727"/>
      <c r="F808" s="727"/>
      <c r="G808" s="727"/>
      <c r="H808" s="727"/>
      <c r="I808" s="727"/>
      <c r="J808" s="727"/>
      <c r="K808" s="727"/>
      <c r="L808" s="727"/>
      <c r="M808" s="727"/>
      <c r="N808" s="727"/>
      <c r="O808" s="727"/>
      <c r="P808" s="727"/>
      <c r="Q808" s="727"/>
      <c r="R808" s="727"/>
      <c r="S808" s="727"/>
      <c r="T808" s="727"/>
      <c r="U808" s="727"/>
      <c r="V808" s="727"/>
      <c r="W808" s="727"/>
      <c r="X808" s="727"/>
      <c r="Y808" s="727"/>
      <c r="Z808" s="727"/>
      <c r="AA808" s="727"/>
      <c r="AB808" s="727"/>
      <c r="AC808" s="727"/>
      <c r="AD808" s="727"/>
      <c r="AE808" s="727"/>
      <c r="AF808" s="727"/>
      <c r="AG808" s="727"/>
      <c r="AH808" s="727"/>
      <c r="AI808" s="727"/>
      <c r="AJ808" s="727"/>
      <c r="AK808" s="727"/>
      <c r="AL808" s="727"/>
      <c r="AM808" s="727"/>
      <c r="AN808" s="727"/>
      <c r="AO808" s="727"/>
      <c r="AP808" s="727"/>
      <c r="AQ808" s="727"/>
      <c r="AR808" s="727"/>
      <c r="AS808" s="727"/>
      <c r="AT808" s="727"/>
      <c r="AU808" s="727"/>
      <c r="AV808" s="727"/>
      <c r="AW808" s="727"/>
      <c r="AX808" s="727"/>
      <c r="AY808" s="727"/>
      <c r="AZ808" s="727"/>
      <c r="BA808" s="727"/>
      <c r="BB808" s="727"/>
    </row>
    <row r="809" spans="1:54">
      <c r="A809" s="326"/>
      <c r="B809" s="727"/>
      <c r="C809" s="727"/>
      <c r="D809" s="727"/>
      <c r="E809" s="727"/>
      <c r="F809" s="727"/>
      <c r="G809" s="727"/>
      <c r="H809" s="727"/>
      <c r="I809" s="727"/>
      <c r="J809" s="727"/>
      <c r="K809" s="727"/>
      <c r="L809" s="727"/>
      <c r="M809" s="727"/>
      <c r="N809" s="727"/>
      <c r="O809" s="727"/>
      <c r="P809" s="727"/>
      <c r="Q809" s="727"/>
      <c r="R809" s="727"/>
      <c r="S809" s="727"/>
      <c r="T809" s="727"/>
      <c r="U809" s="727"/>
      <c r="V809" s="727"/>
      <c r="W809" s="727"/>
      <c r="X809" s="727"/>
      <c r="Y809" s="727"/>
      <c r="Z809" s="727"/>
      <c r="AA809" s="727"/>
      <c r="AB809" s="727"/>
      <c r="AC809" s="727"/>
      <c r="AD809" s="727"/>
      <c r="AE809" s="727"/>
      <c r="AF809" s="727"/>
      <c r="AG809" s="727"/>
      <c r="AH809" s="727"/>
      <c r="AI809" s="727"/>
      <c r="AJ809" s="727"/>
      <c r="AK809" s="727"/>
      <c r="AL809" s="727"/>
      <c r="AM809" s="727"/>
      <c r="AN809" s="727"/>
      <c r="AO809" s="727"/>
      <c r="AP809" s="727"/>
      <c r="AQ809" s="727"/>
      <c r="AR809" s="727"/>
      <c r="AS809" s="727"/>
      <c r="AT809" s="727"/>
      <c r="AU809" s="727"/>
      <c r="AV809" s="727"/>
      <c r="AW809" s="727"/>
      <c r="AX809" s="727"/>
      <c r="AY809" s="727"/>
      <c r="AZ809" s="727"/>
      <c r="BA809" s="727"/>
      <c r="BB809" s="727"/>
    </row>
    <row r="810" spans="1:54">
      <c r="A810" s="326"/>
      <c r="B810" s="727"/>
      <c r="C810" s="727"/>
      <c r="D810" s="727"/>
      <c r="E810" s="727"/>
      <c r="F810" s="727"/>
      <c r="G810" s="727"/>
      <c r="H810" s="727"/>
      <c r="I810" s="727"/>
      <c r="J810" s="727"/>
      <c r="K810" s="727"/>
      <c r="L810" s="727"/>
      <c r="M810" s="727"/>
      <c r="N810" s="727"/>
      <c r="O810" s="727"/>
      <c r="P810" s="727"/>
      <c r="Q810" s="727"/>
      <c r="R810" s="727"/>
      <c r="S810" s="727"/>
      <c r="T810" s="727"/>
      <c r="U810" s="727"/>
      <c r="V810" s="727"/>
      <c r="W810" s="727"/>
      <c r="X810" s="727"/>
      <c r="Y810" s="727"/>
      <c r="Z810" s="727"/>
      <c r="AA810" s="727"/>
      <c r="AB810" s="727"/>
      <c r="AC810" s="727"/>
      <c r="AD810" s="727"/>
      <c r="AE810" s="727"/>
      <c r="AF810" s="727"/>
      <c r="AG810" s="727"/>
      <c r="AH810" s="727"/>
      <c r="AI810" s="727"/>
      <c r="AJ810" s="727"/>
      <c r="AK810" s="727"/>
      <c r="AL810" s="727"/>
      <c r="AM810" s="727"/>
      <c r="AN810" s="727"/>
      <c r="AO810" s="727"/>
      <c r="AP810" s="727"/>
      <c r="AQ810" s="727"/>
      <c r="AR810" s="727"/>
      <c r="AS810" s="727"/>
      <c r="AT810" s="727"/>
      <c r="AU810" s="727"/>
      <c r="AV810" s="727"/>
      <c r="AW810" s="727"/>
      <c r="AX810" s="727"/>
      <c r="AY810" s="727"/>
      <c r="AZ810" s="727"/>
      <c r="BA810" s="727"/>
      <c r="BB810" s="727"/>
    </row>
    <row r="811" spans="1:54">
      <c r="A811" s="326"/>
      <c r="B811" s="727"/>
      <c r="C811" s="727"/>
      <c r="D811" s="727"/>
      <c r="E811" s="727"/>
      <c r="F811" s="727"/>
      <c r="G811" s="727"/>
      <c r="H811" s="727"/>
      <c r="I811" s="727"/>
      <c r="J811" s="727"/>
      <c r="K811" s="727"/>
      <c r="L811" s="727"/>
      <c r="M811" s="727"/>
      <c r="N811" s="727"/>
      <c r="O811" s="727"/>
      <c r="P811" s="727"/>
      <c r="Q811" s="727"/>
      <c r="R811" s="727"/>
      <c r="S811" s="727"/>
      <c r="T811" s="727"/>
      <c r="U811" s="727"/>
      <c r="V811" s="727"/>
      <c r="W811" s="727"/>
      <c r="X811" s="727"/>
      <c r="Y811" s="727"/>
      <c r="Z811" s="727"/>
      <c r="AA811" s="727"/>
      <c r="AB811" s="727"/>
      <c r="AC811" s="727"/>
      <c r="AD811" s="727"/>
      <c r="AE811" s="727"/>
      <c r="AF811" s="727"/>
      <c r="AG811" s="727"/>
      <c r="AH811" s="727"/>
      <c r="AI811" s="727"/>
      <c r="AJ811" s="727"/>
      <c r="AK811" s="727"/>
      <c r="AL811" s="727"/>
      <c r="AM811" s="727"/>
      <c r="AN811" s="727"/>
      <c r="AO811" s="727"/>
      <c r="AP811" s="727"/>
      <c r="AQ811" s="727"/>
      <c r="AR811" s="727"/>
      <c r="AS811" s="727"/>
      <c r="AT811" s="727"/>
      <c r="AU811" s="727"/>
      <c r="AV811" s="727"/>
      <c r="AW811" s="727"/>
      <c r="AX811" s="727"/>
      <c r="AY811" s="727"/>
      <c r="AZ811" s="727"/>
      <c r="BA811" s="727"/>
      <c r="BB811" s="727"/>
    </row>
    <row r="812" spans="1:54">
      <c r="A812" s="326"/>
      <c r="B812" s="727"/>
      <c r="C812" s="727"/>
      <c r="D812" s="727"/>
      <c r="E812" s="727"/>
      <c r="F812" s="727"/>
      <c r="G812" s="727"/>
      <c r="H812" s="727"/>
      <c r="I812" s="727"/>
      <c r="J812" s="727"/>
      <c r="K812" s="727"/>
      <c r="L812" s="727"/>
      <c r="M812" s="727"/>
      <c r="N812" s="727"/>
      <c r="O812" s="727"/>
      <c r="P812" s="727"/>
      <c r="Q812" s="727"/>
      <c r="R812" s="727"/>
      <c r="S812" s="727"/>
      <c r="T812" s="727"/>
      <c r="U812" s="727"/>
      <c r="V812" s="727"/>
      <c r="W812" s="727"/>
      <c r="X812" s="727"/>
      <c r="Y812" s="727"/>
      <c r="Z812" s="727"/>
      <c r="AA812" s="727"/>
      <c r="AB812" s="727"/>
      <c r="AC812" s="727"/>
      <c r="AD812" s="727"/>
      <c r="AE812" s="727"/>
      <c r="AF812" s="727"/>
      <c r="AG812" s="727"/>
      <c r="AH812" s="727"/>
      <c r="AI812" s="727"/>
      <c r="AJ812" s="727"/>
      <c r="AK812" s="727"/>
      <c r="AL812" s="727"/>
      <c r="AM812" s="727"/>
      <c r="AN812" s="727"/>
      <c r="AO812" s="727"/>
      <c r="AP812" s="727"/>
      <c r="AQ812" s="727"/>
      <c r="AR812" s="727"/>
      <c r="AS812" s="727"/>
      <c r="AT812" s="727"/>
      <c r="AU812" s="727"/>
      <c r="AV812" s="727"/>
      <c r="AW812" s="727"/>
      <c r="AX812" s="727"/>
      <c r="AY812" s="727"/>
      <c r="AZ812" s="727"/>
      <c r="BA812" s="727"/>
      <c r="BB812" s="727"/>
    </row>
    <row r="813" spans="1:54">
      <c r="A813" s="326"/>
      <c r="B813" s="727"/>
      <c r="C813" s="727"/>
      <c r="D813" s="727"/>
      <c r="E813" s="727"/>
      <c r="F813" s="727"/>
      <c r="G813" s="727"/>
      <c r="H813" s="727"/>
      <c r="I813" s="727"/>
      <c r="J813" s="727"/>
      <c r="K813" s="727"/>
      <c r="L813" s="727"/>
      <c r="M813" s="727"/>
      <c r="N813" s="727"/>
      <c r="O813" s="727"/>
      <c r="P813" s="727"/>
      <c r="Q813" s="727"/>
      <c r="R813" s="727"/>
      <c r="S813" s="727"/>
      <c r="T813" s="727"/>
      <c r="U813" s="727"/>
      <c r="V813" s="727"/>
      <c r="W813" s="727"/>
      <c r="X813" s="727"/>
      <c r="Y813" s="727"/>
      <c r="Z813" s="727"/>
      <c r="AA813" s="727"/>
      <c r="AB813" s="727"/>
      <c r="AC813" s="727"/>
      <c r="AD813" s="727"/>
      <c r="AE813" s="727"/>
      <c r="AF813" s="727"/>
      <c r="AG813" s="727"/>
      <c r="AH813" s="727"/>
      <c r="AI813" s="727"/>
      <c r="AJ813" s="727"/>
      <c r="AK813" s="727"/>
      <c r="AL813" s="727"/>
      <c r="AM813" s="727"/>
      <c r="AN813" s="727"/>
      <c r="AO813" s="727"/>
      <c r="AP813" s="727"/>
      <c r="AQ813" s="727"/>
      <c r="AR813" s="727"/>
      <c r="AS813" s="727"/>
      <c r="AT813" s="727"/>
      <c r="AU813" s="727"/>
      <c r="AV813" s="727"/>
      <c r="AW813" s="727"/>
      <c r="AX813" s="727"/>
      <c r="AY813" s="727"/>
      <c r="AZ813" s="727"/>
      <c r="BA813" s="727"/>
      <c r="BB813" s="727"/>
    </row>
    <row r="814" spans="1:54">
      <c r="A814" s="326"/>
      <c r="B814" s="727"/>
      <c r="C814" s="727"/>
      <c r="D814" s="727"/>
      <c r="E814" s="727"/>
      <c r="F814" s="727"/>
      <c r="G814" s="727"/>
      <c r="H814" s="727"/>
      <c r="I814" s="727"/>
      <c r="J814" s="727"/>
      <c r="K814" s="727"/>
      <c r="L814" s="727"/>
      <c r="M814" s="727"/>
      <c r="N814" s="727"/>
      <c r="O814" s="727"/>
      <c r="P814" s="727"/>
      <c r="Q814" s="727"/>
      <c r="R814" s="727"/>
      <c r="S814" s="727"/>
      <c r="T814" s="727"/>
      <c r="U814" s="727"/>
      <c r="V814" s="727"/>
      <c r="W814" s="727"/>
      <c r="X814" s="727"/>
      <c r="Y814" s="727"/>
      <c r="Z814" s="727"/>
      <c r="AA814" s="727"/>
      <c r="AB814" s="727"/>
      <c r="AC814" s="727"/>
      <c r="AD814" s="727"/>
      <c r="AE814" s="727"/>
      <c r="AF814" s="727"/>
      <c r="AG814" s="727"/>
      <c r="AH814" s="727"/>
      <c r="AI814" s="727"/>
      <c r="AJ814" s="727"/>
      <c r="AK814" s="727"/>
      <c r="AL814" s="727"/>
      <c r="AM814" s="727"/>
      <c r="AN814" s="727"/>
      <c r="AO814" s="727"/>
      <c r="AP814" s="727"/>
      <c r="AQ814" s="727"/>
      <c r="AR814" s="727"/>
      <c r="AS814" s="727"/>
      <c r="AT814" s="727"/>
      <c r="AU814" s="727"/>
      <c r="AV814" s="727"/>
      <c r="AW814" s="727"/>
      <c r="AX814" s="727"/>
      <c r="AY814" s="727"/>
      <c r="AZ814" s="727"/>
      <c r="BA814" s="727"/>
      <c r="BB814" s="727"/>
    </row>
    <row r="815" spans="1:54">
      <c r="A815" s="326"/>
      <c r="B815" s="727"/>
      <c r="C815" s="727"/>
      <c r="D815" s="727"/>
      <c r="E815" s="727"/>
      <c r="F815" s="727"/>
      <c r="G815" s="727"/>
      <c r="H815" s="727"/>
      <c r="I815" s="727"/>
      <c r="J815" s="727"/>
      <c r="K815" s="727"/>
      <c r="L815" s="727"/>
      <c r="M815" s="727"/>
      <c r="N815" s="727"/>
      <c r="O815" s="727"/>
      <c r="P815" s="727"/>
      <c r="Q815" s="727"/>
      <c r="R815" s="727"/>
      <c r="S815" s="727"/>
      <c r="T815" s="727"/>
      <c r="U815" s="727"/>
      <c r="V815" s="727"/>
      <c r="W815" s="727"/>
      <c r="X815" s="727"/>
      <c r="Y815" s="727"/>
      <c r="Z815" s="727"/>
      <c r="AA815" s="727"/>
      <c r="AB815" s="727"/>
      <c r="AC815" s="727"/>
      <c r="AD815" s="727"/>
      <c r="AE815" s="727"/>
      <c r="AF815" s="727"/>
      <c r="AG815" s="727"/>
      <c r="AH815" s="727"/>
      <c r="AI815" s="727"/>
      <c r="AJ815" s="727"/>
      <c r="AK815" s="727"/>
      <c r="AL815" s="727"/>
      <c r="AM815" s="727"/>
      <c r="AN815" s="727"/>
      <c r="AO815" s="727"/>
      <c r="AP815" s="727"/>
      <c r="AQ815" s="727"/>
      <c r="AR815" s="727"/>
      <c r="AS815" s="727"/>
      <c r="AT815" s="727"/>
      <c r="AU815" s="727"/>
      <c r="AV815" s="727"/>
      <c r="AW815" s="727"/>
      <c r="AX815" s="727"/>
      <c r="AY815" s="727"/>
      <c r="AZ815" s="727"/>
      <c r="BA815" s="727"/>
      <c r="BB815" s="727"/>
    </row>
    <row r="816" spans="1:54">
      <c r="A816" s="326"/>
      <c r="B816" s="727"/>
      <c r="C816" s="727"/>
      <c r="D816" s="727"/>
      <c r="E816" s="727"/>
      <c r="F816" s="727"/>
      <c r="G816" s="727"/>
      <c r="H816" s="727"/>
      <c r="I816" s="727"/>
      <c r="J816" s="727"/>
      <c r="K816" s="727"/>
      <c r="L816" s="727"/>
      <c r="M816" s="727"/>
      <c r="N816" s="727"/>
      <c r="O816" s="727"/>
      <c r="P816" s="727"/>
      <c r="Q816" s="727"/>
      <c r="R816" s="727"/>
      <c r="S816" s="727"/>
      <c r="T816" s="727"/>
      <c r="U816" s="727"/>
      <c r="V816" s="727"/>
      <c r="W816" s="727"/>
      <c r="X816" s="727"/>
      <c r="Y816" s="727"/>
      <c r="Z816" s="727"/>
      <c r="AA816" s="727"/>
      <c r="AB816" s="727"/>
      <c r="AC816" s="727"/>
      <c r="AD816" s="727"/>
      <c r="AE816" s="727"/>
      <c r="AF816" s="727"/>
      <c r="AG816" s="727"/>
      <c r="AH816" s="727"/>
      <c r="AI816" s="727"/>
      <c r="AJ816" s="727"/>
      <c r="AK816" s="727"/>
      <c r="AL816" s="727"/>
      <c r="AM816" s="727"/>
      <c r="AN816" s="727"/>
      <c r="AO816" s="727"/>
      <c r="AP816" s="727"/>
      <c r="AQ816" s="727"/>
      <c r="AR816" s="727"/>
      <c r="AS816" s="727"/>
      <c r="AT816" s="727"/>
      <c r="AU816" s="727"/>
      <c r="AV816" s="727"/>
      <c r="AW816" s="727"/>
      <c r="AX816" s="727"/>
      <c r="AY816" s="727"/>
      <c r="AZ816" s="727"/>
      <c r="BA816" s="727"/>
      <c r="BB816" s="727"/>
    </row>
    <row r="817" spans="1:54">
      <c r="A817" s="326"/>
      <c r="B817" s="727"/>
      <c r="C817" s="727"/>
      <c r="D817" s="727"/>
      <c r="E817" s="727"/>
      <c r="F817" s="727"/>
      <c r="G817" s="727"/>
      <c r="H817" s="727"/>
      <c r="I817" s="727"/>
      <c r="J817" s="727"/>
      <c r="K817" s="727"/>
      <c r="L817" s="727"/>
      <c r="M817" s="727"/>
      <c r="N817" s="727"/>
      <c r="O817" s="727"/>
      <c r="P817" s="727"/>
      <c r="Q817" s="727"/>
      <c r="R817" s="727"/>
      <c r="S817" s="727"/>
      <c r="T817" s="727"/>
      <c r="U817" s="727"/>
      <c r="V817" s="727"/>
      <c r="W817" s="727"/>
      <c r="X817" s="727"/>
      <c r="Y817" s="727"/>
      <c r="Z817" s="727"/>
      <c r="AA817" s="727"/>
      <c r="AB817" s="727"/>
      <c r="AC817" s="727"/>
      <c r="AD817" s="727"/>
      <c r="AE817" s="727"/>
      <c r="AF817" s="727"/>
      <c r="AG817" s="727"/>
      <c r="AH817" s="727"/>
      <c r="AI817" s="727"/>
      <c r="AJ817" s="727"/>
      <c r="AK817" s="727"/>
      <c r="AL817" s="727"/>
      <c r="AM817" s="727"/>
      <c r="AN817" s="727"/>
      <c r="AO817" s="727"/>
      <c r="AP817" s="727"/>
      <c r="AQ817" s="727"/>
      <c r="AR817" s="727"/>
      <c r="AS817" s="727"/>
      <c r="AT817" s="727"/>
      <c r="AU817" s="727"/>
      <c r="AV817" s="727"/>
      <c r="AW817" s="727"/>
      <c r="AX817" s="727"/>
      <c r="AY817" s="727"/>
      <c r="AZ817" s="727"/>
      <c r="BA817" s="727"/>
      <c r="BB817" s="727"/>
    </row>
    <row r="818" spans="1:54">
      <c r="A818" s="326"/>
      <c r="B818" s="727"/>
      <c r="C818" s="727"/>
      <c r="D818" s="727"/>
      <c r="E818" s="727"/>
      <c r="F818" s="727"/>
      <c r="G818" s="727"/>
      <c r="H818" s="727"/>
      <c r="I818" s="727"/>
      <c r="J818" s="727"/>
      <c r="K818" s="727"/>
      <c r="L818" s="727"/>
      <c r="M818" s="727"/>
      <c r="N818" s="727"/>
      <c r="O818" s="727"/>
      <c r="P818" s="727"/>
      <c r="Q818" s="727"/>
      <c r="R818" s="727"/>
      <c r="S818" s="727"/>
      <c r="T818" s="727"/>
      <c r="U818" s="727"/>
      <c r="V818" s="727"/>
      <c r="W818" s="727"/>
      <c r="X818" s="727"/>
      <c r="Y818" s="727"/>
      <c r="Z818" s="727"/>
      <c r="AA818" s="727"/>
      <c r="AB818" s="727"/>
      <c r="AC818" s="727"/>
      <c r="AD818" s="727"/>
      <c r="AE818" s="727"/>
      <c r="AF818" s="727"/>
      <c r="AG818" s="727"/>
      <c r="AH818" s="727"/>
      <c r="AI818" s="727"/>
      <c r="AJ818" s="727"/>
      <c r="AK818" s="727"/>
      <c r="AL818" s="727"/>
      <c r="AM818" s="727"/>
      <c r="AN818" s="727"/>
      <c r="AO818" s="727"/>
      <c r="AP818" s="727"/>
      <c r="AQ818" s="727"/>
      <c r="AR818" s="727"/>
      <c r="AS818" s="727"/>
      <c r="AT818" s="727"/>
      <c r="AU818" s="727"/>
      <c r="AV818" s="727"/>
      <c r="AW818" s="727"/>
      <c r="AX818" s="727"/>
      <c r="AY818" s="727"/>
      <c r="AZ818" s="727"/>
      <c r="BA818" s="727"/>
      <c r="BB818" s="727"/>
    </row>
    <row r="819" spans="1:54">
      <c r="A819" s="326"/>
      <c r="B819" s="727"/>
      <c r="C819" s="727"/>
      <c r="D819" s="727"/>
      <c r="E819" s="727"/>
      <c r="F819" s="727"/>
      <c r="G819" s="727"/>
      <c r="H819" s="727"/>
      <c r="I819" s="727"/>
      <c r="J819" s="727"/>
      <c r="K819" s="727"/>
      <c r="L819" s="727"/>
      <c r="M819" s="727"/>
      <c r="N819" s="727"/>
      <c r="O819" s="727"/>
      <c r="P819" s="727"/>
      <c r="Q819" s="727"/>
      <c r="R819" s="727"/>
      <c r="S819" s="727"/>
      <c r="T819" s="727"/>
      <c r="U819" s="727"/>
      <c r="V819" s="727"/>
      <c r="W819" s="727"/>
      <c r="X819" s="727"/>
      <c r="Y819" s="727"/>
      <c r="Z819" s="727"/>
      <c r="AA819" s="727"/>
      <c r="AB819" s="727"/>
      <c r="AC819" s="727"/>
      <c r="AD819" s="727"/>
      <c r="AE819" s="727"/>
      <c r="AF819" s="727"/>
      <c r="AG819" s="727"/>
      <c r="AH819" s="727"/>
      <c r="AI819" s="727"/>
      <c r="AJ819" s="727"/>
      <c r="AK819" s="727"/>
      <c r="AL819" s="727"/>
      <c r="AM819" s="727"/>
      <c r="AN819" s="727"/>
      <c r="AO819" s="727"/>
      <c r="AP819" s="727"/>
      <c r="AQ819" s="727"/>
      <c r="AR819" s="727"/>
      <c r="AS819" s="727"/>
      <c r="AT819" s="727"/>
      <c r="AU819" s="727"/>
      <c r="AV819" s="727"/>
      <c r="AW819" s="727"/>
      <c r="AX819" s="727"/>
      <c r="AY819" s="727"/>
      <c r="AZ819" s="727"/>
      <c r="BA819" s="727"/>
      <c r="BB819" s="727"/>
    </row>
    <row r="820" spans="1:54">
      <c r="A820" s="326"/>
      <c r="B820" s="727"/>
      <c r="C820" s="727"/>
      <c r="D820" s="727"/>
      <c r="E820" s="727"/>
      <c r="F820" s="727"/>
      <c r="G820" s="727"/>
      <c r="H820" s="727"/>
      <c r="I820" s="727"/>
      <c r="J820" s="727"/>
      <c r="K820" s="727"/>
      <c r="L820" s="727"/>
      <c r="M820" s="727"/>
      <c r="N820" s="727"/>
      <c r="O820" s="727"/>
      <c r="P820" s="727"/>
      <c r="Q820" s="727"/>
      <c r="R820" s="727"/>
      <c r="S820" s="727"/>
      <c r="T820" s="727"/>
      <c r="U820" s="727"/>
      <c r="V820" s="727"/>
      <c r="W820" s="727"/>
      <c r="X820" s="727"/>
      <c r="Y820" s="727"/>
      <c r="Z820" s="727"/>
      <c r="AA820" s="727"/>
      <c r="AB820" s="727"/>
      <c r="AC820" s="727"/>
      <c r="AD820" s="727"/>
      <c r="AE820" s="727"/>
      <c r="AF820" s="727"/>
      <c r="AG820" s="727"/>
      <c r="AH820" s="727"/>
      <c r="AI820" s="727"/>
      <c r="AJ820" s="727"/>
      <c r="AK820" s="727"/>
      <c r="AL820" s="727"/>
      <c r="AM820" s="727"/>
      <c r="AN820" s="727"/>
      <c r="AO820" s="727"/>
      <c r="AP820" s="727"/>
      <c r="AQ820" s="727"/>
      <c r="AR820" s="727"/>
      <c r="AS820" s="727"/>
      <c r="AT820" s="727"/>
      <c r="AU820" s="727"/>
      <c r="AV820" s="727"/>
      <c r="AW820" s="727"/>
      <c r="AX820" s="727"/>
      <c r="AY820" s="727"/>
      <c r="AZ820" s="727"/>
      <c r="BA820" s="727"/>
      <c r="BB820" s="727"/>
    </row>
    <row r="821" spans="1:54">
      <c r="A821" s="326"/>
      <c r="B821" s="727"/>
      <c r="C821" s="727"/>
      <c r="D821" s="727"/>
      <c r="E821" s="727"/>
      <c r="F821" s="727"/>
      <c r="G821" s="727"/>
      <c r="H821" s="727"/>
      <c r="I821" s="727"/>
      <c r="J821" s="727"/>
      <c r="K821" s="727"/>
      <c r="L821" s="727"/>
      <c r="M821" s="727"/>
      <c r="N821" s="727"/>
      <c r="O821" s="727"/>
      <c r="P821" s="727"/>
      <c r="Q821" s="727"/>
      <c r="R821" s="727"/>
      <c r="S821" s="727"/>
      <c r="T821" s="727"/>
      <c r="U821" s="727"/>
      <c r="V821" s="727"/>
      <c r="W821" s="727"/>
      <c r="X821" s="727"/>
      <c r="Y821" s="727"/>
      <c r="Z821" s="727"/>
      <c r="AA821" s="727"/>
      <c r="AB821" s="727"/>
      <c r="AC821" s="727"/>
      <c r="AD821" s="727"/>
      <c r="AE821" s="727"/>
      <c r="AF821" s="727"/>
      <c r="AG821" s="727"/>
      <c r="AH821" s="727"/>
      <c r="AI821" s="727"/>
      <c r="AJ821" s="727"/>
      <c r="AK821" s="727"/>
      <c r="AL821" s="727"/>
      <c r="AM821" s="727"/>
      <c r="AN821" s="727"/>
      <c r="AO821" s="727"/>
      <c r="AP821" s="727"/>
      <c r="AQ821" s="727"/>
      <c r="AR821" s="727"/>
      <c r="AS821" s="727"/>
      <c r="AT821" s="727"/>
      <c r="AU821" s="727"/>
      <c r="AV821" s="727"/>
      <c r="AW821" s="727"/>
      <c r="AX821" s="727"/>
      <c r="AY821" s="727"/>
      <c r="AZ821" s="727"/>
      <c r="BA821" s="727"/>
      <c r="BB821" s="727"/>
    </row>
    <row r="822" spans="1:54">
      <c r="A822" s="326"/>
      <c r="B822" s="727"/>
      <c r="C822" s="727"/>
      <c r="D822" s="727"/>
      <c r="E822" s="727"/>
      <c r="F822" s="727"/>
      <c r="G822" s="727"/>
      <c r="H822" s="727"/>
      <c r="I822" s="727"/>
      <c r="J822" s="727"/>
      <c r="K822" s="727"/>
      <c r="L822" s="727"/>
      <c r="M822" s="727"/>
      <c r="N822" s="727"/>
      <c r="O822" s="727"/>
      <c r="P822" s="727"/>
      <c r="Q822" s="727"/>
      <c r="R822" s="727"/>
      <c r="S822" s="727"/>
      <c r="T822" s="727"/>
      <c r="U822" s="727"/>
      <c r="V822" s="727"/>
      <c r="W822" s="727"/>
      <c r="X822" s="727"/>
      <c r="Y822" s="727"/>
      <c r="Z822" s="727"/>
      <c r="AA822" s="727"/>
      <c r="AB822" s="727"/>
      <c r="AC822" s="727"/>
      <c r="AD822" s="727"/>
      <c r="AE822" s="727"/>
      <c r="AF822" s="727"/>
      <c r="AG822" s="727"/>
      <c r="AH822" s="727"/>
      <c r="AI822" s="727"/>
      <c r="AJ822" s="727"/>
      <c r="AK822" s="727"/>
      <c r="AL822" s="727"/>
      <c r="AM822" s="727"/>
      <c r="AN822" s="727"/>
      <c r="AO822" s="727"/>
      <c r="AP822" s="727"/>
      <c r="AQ822" s="727"/>
      <c r="AR822" s="727"/>
      <c r="AS822" s="727"/>
      <c r="AT822" s="727"/>
      <c r="AU822" s="727"/>
      <c r="AV822" s="727"/>
      <c r="AW822" s="727"/>
      <c r="AX822" s="727"/>
      <c r="AY822" s="727"/>
      <c r="AZ822" s="727"/>
      <c r="BA822" s="727"/>
      <c r="BB822" s="727"/>
    </row>
    <row r="823" spans="1:54">
      <c r="A823" s="326"/>
      <c r="B823" s="727"/>
      <c r="C823" s="727"/>
      <c r="D823" s="727"/>
      <c r="E823" s="727"/>
      <c r="F823" s="727"/>
      <c r="G823" s="727"/>
      <c r="H823" s="727"/>
      <c r="I823" s="727"/>
      <c r="J823" s="727"/>
      <c r="K823" s="727"/>
      <c r="L823" s="727"/>
      <c r="M823" s="727"/>
      <c r="N823" s="727"/>
      <c r="O823" s="727"/>
      <c r="P823" s="727"/>
      <c r="Q823" s="727"/>
      <c r="R823" s="727"/>
      <c r="S823" s="727"/>
      <c r="T823" s="727"/>
      <c r="U823" s="727"/>
      <c r="V823" s="727"/>
      <c r="W823" s="727"/>
      <c r="X823" s="727"/>
      <c r="Y823" s="727"/>
      <c r="Z823" s="727"/>
      <c r="AA823" s="727"/>
      <c r="AB823" s="727"/>
      <c r="AC823" s="727"/>
      <c r="AD823" s="727"/>
      <c r="AE823" s="727"/>
      <c r="AF823" s="727"/>
      <c r="AG823" s="727"/>
      <c r="AH823" s="727"/>
      <c r="AI823" s="727"/>
      <c r="AJ823" s="727"/>
      <c r="AK823" s="727"/>
      <c r="AL823" s="727"/>
      <c r="AM823" s="727"/>
      <c r="AN823" s="727"/>
      <c r="AO823" s="727"/>
      <c r="AP823" s="727"/>
      <c r="AQ823" s="727"/>
      <c r="AR823" s="727"/>
      <c r="AS823" s="727"/>
      <c r="AT823" s="727"/>
      <c r="AU823" s="727"/>
      <c r="AV823" s="727"/>
      <c r="AW823" s="727"/>
      <c r="AX823" s="727"/>
      <c r="AY823" s="727"/>
      <c r="AZ823" s="727"/>
      <c r="BA823" s="727"/>
      <c r="BB823" s="727"/>
    </row>
    <row r="824" spans="1:54">
      <c r="A824" s="326"/>
      <c r="B824" s="727"/>
      <c r="C824" s="727"/>
      <c r="D824" s="727"/>
      <c r="E824" s="727"/>
      <c r="F824" s="727"/>
      <c r="G824" s="727"/>
      <c r="H824" s="727"/>
      <c r="I824" s="727"/>
      <c r="J824" s="727"/>
      <c r="K824" s="727"/>
      <c r="L824" s="727"/>
      <c r="M824" s="727"/>
      <c r="N824" s="727"/>
      <c r="O824" s="727"/>
      <c r="P824" s="727"/>
      <c r="Q824" s="727"/>
      <c r="R824" s="727"/>
      <c r="S824" s="727"/>
      <c r="T824" s="727"/>
      <c r="U824" s="727"/>
      <c r="V824" s="727"/>
      <c r="W824" s="727"/>
      <c r="X824" s="727"/>
      <c r="Y824" s="727"/>
      <c r="Z824" s="727"/>
      <c r="AA824" s="727"/>
      <c r="AB824" s="727"/>
      <c r="AC824" s="727"/>
      <c r="AD824" s="727"/>
      <c r="AE824" s="727"/>
      <c r="AF824" s="727"/>
      <c r="AG824" s="727"/>
      <c r="AH824" s="727"/>
      <c r="AI824" s="727"/>
      <c r="AJ824" s="727"/>
      <c r="AK824" s="727"/>
      <c r="AL824" s="727"/>
      <c r="AM824" s="727"/>
      <c r="AN824" s="727"/>
      <c r="AO824" s="727"/>
      <c r="AP824" s="727"/>
      <c r="AQ824" s="727"/>
      <c r="AR824" s="727"/>
      <c r="AS824" s="727"/>
      <c r="AT824" s="727"/>
      <c r="AU824" s="727"/>
      <c r="AV824" s="727"/>
      <c r="AW824" s="727"/>
      <c r="AX824" s="727"/>
      <c r="AY824" s="727"/>
      <c r="AZ824" s="727"/>
      <c r="BA824" s="727"/>
      <c r="BB824" s="727"/>
    </row>
    <row r="825" spans="1:54">
      <c r="A825" s="326"/>
      <c r="B825" s="727"/>
      <c r="C825" s="727"/>
      <c r="D825" s="727"/>
      <c r="E825" s="727"/>
      <c r="F825" s="727"/>
      <c r="G825" s="727"/>
      <c r="H825" s="727"/>
      <c r="I825" s="727"/>
      <c r="J825" s="727"/>
      <c r="K825" s="727"/>
      <c r="L825" s="727"/>
      <c r="M825" s="727"/>
      <c r="N825" s="727"/>
      <c r="O825" s="727"/>
      <c r="P825" s="727"/>
      <c r="Q825" s="727"/>
      <c r="R825" s="727"/>
      <c r="S825" s="727"/>
      <c r="T825" s="727"/>
      <c r="U825" s="727"/>
      <c r="V825" s="727"/>
      <c r="W825" s="727"/>
      <c r="X825" s="727"/>
      <c r="Y825" s="727"/>
      <c r="Z825" s="727"/>
      <c r="AA825" s="727"/>
      <c r="AB825" s="727"/>
      <c r="AC825" s="727"/>
      <c r="AD825" s="727"/>
      <c r="AE825" s="727"/>
      <c r="AF825" s="727"/>
      <c r="AG825" s="727"/>
      <c r="AH825" s="727"/>
      <c r="AI825" s="727"/>
      <c r="AJ825" s="727"/>
      <c r="AK825" s="727"/>
      <c r="AL825" s="727"/>
      <c r="AM825" s="727"/>
      <c r="AN825" s="727"/>
      <c r="AO825" s="727"/>
      <c r="AP825" s="727"/>
      <c r="AQ825" s="727"/>
      <c r="AR825" s="727"/>
      <c r="AS825" s="727"/>
      <c r="AT825" s="727"/>
      <c r="AU825" s="727"/>
      <c r="AV825" s="727"/>
      <c r="AW825" s="727"/>
      <c r="AX825" s="727"/>
      <c r="AY825" s="727"/>
      <c r="AZ825" s="727"/>
      <c r="BA825" s="727"/>
      <c r="BB825" s="727"/>
    </row>
    <row r="826" spans="1:54">
      <c r="A826" s="326"/>
      <c r="B826" s="727"/>
      <c r="C826" s="727"/>
      <c r="D826" s="727"/>
      <c r="E826" s="727"/>
      <c r="F826" s="727"/>
      <c r="G826" s="727"/>
      <c r="H826" s="727"/>
      <c r="I826" s="727"/>
      <c r="J826" s="727"/>
      <c r="K826" s="727"/>
      <c r="L826" s="727"/>
      <c r="M826" s="727"/>
      <c r="N826" s="727"/>
      <c r="O826" s="727"/>
      <c r="P826" s="727"/>
      <c r="Q826" s="727"/>
      <c r="R826" s="727"/>
      <c r="S826" s="727"/>
      <c r="T826" s="727"/>
      <c r="U826" s="727"/>
      <c r="V826" s="727"/>
      <c r="W826" s="727"/>
      <c r="X826" s="727"/>
      <c r="Y826" s="727"/>
      <c r="Z826" s="727"/>
      <c r="AA826" s="727"/>
      <c r="AB826" s="727"/>
      <c r="AC826" s="727"/>
      <c r="AD826" s="727"/>
      <c r="AE826" s="727"/>
      <c r="AF826" s="727"/>
      <c r="AG826" s="727"/>
      <c r="AH826" s="727"/>
      <c r="AI826" s="727"/>
      <c r="AJ826" s="727"/>
      <c r="AK826" s="727"/>
      <c r="AL826" s="727"/>
      <c r="AM826" s="727"/>
      <c r="AN826" s="727"/>
      <c r="AO826" s="727"/>
      <c r="AP826" s="727"/>
      <c r="AQ826" s="727"/>
      <c r="AR826" s="727"/>
      <c r="AS826" s="727"/>
      <c r="AT826" s="727"/>
      <c r="AU826" s="727"/>
      <c r="AV826" s="727"/>
      <c r="AW826" s="727"/>
      <c r="AX826" s="727"/>
      <c r="AY826" s="727"/>
      <c r="AZ826" s="727"/>
      <c r="BA826" s="727"/>
      <c r="BB826" s="727"/>
    </row>
    <row r="827" spans="1:54">
      <c r="A827" s="326"/>
      <c r="B827" s="727"/>
      <c r="C827" s="727"/>
      <c r="D827" s="727"/>
      <c r="E827" s="727"/>
      <c r="F827" s="727"/>
      <c r="G827" s="727"/>
      <c r="H827" s="727"/>
      <c r="I827" s="727"/>
      <c r="J827" s="727"/>
      <c r="K827" s="727"/>
      <c r="L827" s="727"/>
      <c r="M827" s="727"/>
      <c r="N827" s="727"/>
      <c r="O827" s="727"/>
      <c r="P827" s="727"/>
      <c r="Q827" s="727"/>
      <c r="R827" s="727"/>
      <c r="S827" s="727"/>
      <c r="T827" s="727"/>
      <c r="U827" s="727"/>
      <c r="V827" s="727"/>
      <c r="W827" s="727"/>
      <c r="X827" s="727"/>
      <c r="Y827" s="727"/>
      <c r="Z827" s="727"/>
      <c r="AA827" s="727"/>
      <c r="AB827" s="727"/>
      <c r="AC827" s="727"/>
      <c r="AD827" s="727"/>
      <c r="AE827" s="727"/>
      <c r="AF827" s="727"/>
      <c r="AG827" s="727"/>
      <c r="AH827" s="727"/>
      <c r="AI827" s="727"/>
      <c r="AJ827" s="727"/>
      <c r="AK827" s="727"/>
      <c r="AL827" s="727"/>
      <c r="AM827" s="727"/>
      <c r="AN827" s="727"/>
      <c r="AO827" s="727"/>
      <c r="AP827" s="727"/>
      <c r="AQ827" s="727"/>
      <c r="AR827" s="727"/>
      <c r="AS827" s="727"/>
      <c r="AT827" s="727"/>
      <c r="AU827" s="727"/>
      <c r="AV827" s="727"/>
      <c r="AW827" s="727"/>
      <c r="AX827" s="727"/>
      <c r="AY827" s="727"/>
      <c r="AZ827" s="727"/>
      <c r="BA827" s="727"/>
      <c r="BB827" s="727"/>
    </row>
    <row r="828" spans="1:54">
      <c r="A828" s="326"/>
      <c r="B828" s="727"/>
      <c r="C828" s="727"/>
      <c r="D828" s="727"/>
      <c r="E828" s="727"/>
      <c r="F828" s="727"/>
      <c r="G828" s="727"/>
      <c r="H828" s="727"/>
      <c r="I828" s="727"/>
      <c r="J828" s="727"/>
      <c r="K828" s="727"/>
      <c r="L828" s="727"/>
      <c r="M828" s="727"/>
      <c r="N828" s="727"/>
      <c r="O828" s="727"/>
      <c r="P828" s="727"/>
      <c r="Q828" s="727"/>
      <c r="R828" s="727"/>
      <c r="S828" s="727"/>
      <c r="T828" s="727"/>
      <c r="U828" s="727"/>
      <c r="V828" s="727"/>
      <c r="W828" s="727"/>
      <c r="X828" s="727"/>
      <c r="Y828" s="727"/>
      <c r="Z828" s="727"/>
      <c r="AA828" s="727"/>
      <c r="AB828" s="727"/>
      <c r="AC828" s="727"/>
      <c r="AD828" s="727"/>
      <c r="AE828" s="727"/>
      <c r="AF828" s="727"/>
      <c r="AG828" s="727"/>
      <c r="AH828" s="727"/>
      <c r="AI828" s="727"/>
      <c r="AJ828" s="727"/>
      <c r="AK828" s="727"/>
      <c r="AL828" s="727"/>
      <c r="AM828" s="727"/>
      <c r="AN828" s="727"/>
      <c r="AO828" s="727"/>
      <c r="AP828" s="727"/>
      <c r="AQ828" s="727"/>
      <c r="AR828" s="727"/>
      <c r="AS828" s="727"/>
      <c r="AT828" s="727"/>
      <c r="AU828" s="727"/>
      <c r="AV828" s="727"/>
      <c r="AW828" s="727"/>
      <c r="AX828" s="727"/>
      <c r="AY828" s="727"/>
      <c r="AZ828" s="727"/>
      <c r="BA828" s="727"/>
      <c r="BB828" s="727"/>
    </row>
    <row r="829" spans="1:54">
      <c r="A829" s="326"/>
      <c r="B829" s="727"/>
      <c r="C829" s="727"/>
      <c r="D829" s="727"/>
      <c r="E829" s="727"/>
      <c r="F829" s="727"/>
      <c r="G829" s="727"/>
      <c r="H829" s="727"/>
      <c r="I829" s="727"/>
      <c r="J829" s="727"/>
      <c r="K829" s="727"/>
      <c r="L829" s="727"/>
      <c r="M829" s="727"/>
      <c r="N829" s="727"/>
      <c r="O829" s="727"/>
      <c r="P829" s="727"/>
      <c r="Q829" s="727"/>
      <c r="R829" s="727"/>
      <c r="S829" s="727"/>
      <c r="T829" s="727"/>
      <c r="U829" s="727"/>
      <c r="V829" s="727"/>
      <c r="W829" s="727"/>
      <c r="X829" s="727"/>
      <c r="Y829" s="727"/>
      <c r="Z829" s="727"/>
      <c r="AA829" s="727"/>
      <c r="AB829" s="727"/>
      <c r="AC829" s="727"/>
      <c r="AD829" s="727"/>
      <c r="AE829" s="727"/>
      <c r="AF829" s="727"/>
      <c r="AG829" s="727"/>
      <c r="AH829" s="727"/>
      <c r="AI829" s="727"/>
      <c r="AJ829" s="727"/>
      <c r="AK829" s="727"/>
      <c r="AL829" s="727"/>
      <c r="AM829" s="727"/>
      <c r="AN829" s="727"/>
      <c r="AO829" s="727"/>
      <c r="AP829" s="727"/>
      <c r="AQ829" s="727"/>
      <c r="AR829" s="727"/>
      <c r="AS829" s="727"/>
      <c r="AT829" s="727"/>
      <c r="AU829" s="727"/>
      <c r="AV829" s="727"/>
      <c r="AW829" s="727"/>
      <c r="AX829" s="727"/>
      <c r="AY829" s="727"/>
      <c r="AZ829" s="727"/>
      <c r="BA829" s="727"/>
      <c r="BB829" s="727"/>
    </row>
    <row r="830" spans="1:54">
      <c r="A830" s="326"/>
      <c r="B830" s="727"/>
      <c r="C830" s="727"/>
      <c r="D830" s="727"/>
      <c r="E830" s="727"/>
      <c r="F830" s="727"/>
      <c r="G830" s="727"/>
      <c r="H830" s="727"/>
      <c r="I830" s="727"/>
      <c r="J830" s="727"/>
      <c r="K830" s="727"/>
      <c r="L830" s="727"/>
      <c r="M830" s="727"/>
      <c r="N830" s="727"/>
      <c r="O830" s="727"/>
      <c r="P830" s="727"/>
      <c r="Q830" s="727"/>
      <c r="R830" s="727"/>
      <c r="S830" s="727"/>
      <c r="T830" s="727"/>
      <c r="U830" s="727"/>
      <c r="V830" s="727"/>
      <c r="W830" s="727"/>
      <c r="X830" s="727"/>
      <c r="Y830" s="727"/>
      <c r="Z830" s="727"/>
      <c r="AA830" s="727"/>
      <c r="AB830" s="727"/>
      <c r="AC830" s="727"/>
      <c r="AD830" s="727"/>
      <c r="AE830" s="727"/>
      <c r="AF830" s="727"/>
      <c r="AG830" s="727"/>
      <c r="AH830" s="727"/>
      <c r="AI830" s="727"/>
      <c r="AJ830" s="727"/>
      <c r="AK830" s="727"/>
      <c r="AL830" s="727"/>
      <c r="AM830" s="727"/>
      <c r="AN830" s="727"/>
      <c r="AO830" s="727"/>
      <c r="AP830" s="727"/>
      <c r="AQ830" s="727"/>
      <c r="AR830" s="727"/>
      <c r="AS830" s="727"/>
      <c r="AT830" s="727"/>
      <c r="AU830" s="727"/>
      <c r="AV830" s="727"/>
      <c r="AW830" s="727"/>
      <c r="AX830" s="727"/>
      <c r="AY830" s="727"/>
      <c r="AZ830" s="727"/>
      <c r="BA830" s="727"/>
      <c r="BB830" s="727"/>
    </row>
    <row r="831" spans="1:54">
      <c r="A831" s="326"/>
      <c r="B831" s="727"/>
      <c r="C831" s="727"/>
      <c r="D831" s="727"/>
      <c r="E831" s="727"/>
      <c r="F831" s="727"/>
      <c r="G831" s="727"/>
      <c r="H831" s="727"/>
      <c r="I831" s="727"/>
      <c r="J831" s="727"/>
      <c r="K831" s="727"/>
      <c r="L831" s="727"/>
      <c r="M831" s="727"/>
      <c r="N831" s="727"/>
      <c r="O831" s="727"/>
      <c r="P831" s="727"/>
      <c r="Q831" s="727"/>
      <c r="R831" s="727"/>
      <c r="S831" s="727"/>
      <c r="T831" s="727"/>
      <c r="U831" s="727"/>
      <c r="V831" s="727"/>
      <c r="W831" s="727"/>
      <c r="X831" s="727"/>
      <c r="Y831" s="727"/>
      <c r="Z831" s="727"/>
      <c r="AA831" s="727"/>
      <c r="AB831" s="727"/>
      <c r="AC831" s="727"/>
      <c r="AD831" s="727"/>
      <c r="AE831" s="727"/>
      <c r="AF831" s="727"/>
      <c r="AG831" s="727"/>
      <c r="AH831" s="727"/>
      <c r="AI831" s="727"/>
      <c r="AJ831" s="727"/>
      <c r="AK831" s="727"/>
      <c r="AL831" s="727"/>
      <c r="AM831" s="727"/>
      <c r="AN831" s="727"/>
      <c r="AO831" s="727"/>
      <c r="AP831" s="727"/>
      <c r="AQ831" s="727"/>
      <c r="AR831" s="727"/>
      <c r="AS831" s="727"/>
      <c r="AT831" s="727"/>
      <c r="AU831" s="727"/>
      <c r="AV831" s="727"/>
      <c r="AW831" s="727"/>
      <c r="AX831" s="727"/>
      <c r="AY831" s="727"/>
      <c r="AZ831" s="727"/>
      <c r="BA831" s="727"/>
      <c r="BB831" s="727"/>
    </row>
    <row r="832" spans="1:54">
      <c r="A832" s="326"/>
      <c r="B832" s="727"/>
      <c r="C832" s="727"/>
      <c r="D832" s="727"/>
      <c r="E832" s="727"/>
      <c r="F832" s="727"/>
      <c r="G832" s="727"/>
      <c r="H832" s="727"/>
      <c r="I832" s="727"/>
      <c r="J832" s="727"/>
      <c r="K832" s="727"/>
      <c r="L832" s="727"/>
      <c r="M832" s="727"/>
      <c r="N832" s="727"/>
      <c r="O832" s="727"/>
      <c r="P832" s="727"/>
      <c r="Q832" s="727"/>
      <c r="R832" s="727"/>
      <c r="S832" s="727"/>
      <c r="T832" s="727"/>
      <c r="U832" s="727"/>
      <c r="V832" s="727"/>
      <c r="W832" s="727"/>
      <c r="X832" s="727"/>
      <c r="Y832" s="727"/>
      <c r="Z832" s="727"/>
      <c r="AA832" s="727"/>
      <c r="AB832" s="727"/>
      <c r="AC832" s="727"/>
      <c r="AD832" s="727"/>
      <c r="AE832" s="727"/>
      <c r="AF832" s="727"/>
      <c r="AG832" s="727"/>
      <c r="AH832" s="727"/>
      <c r="AI832" s="727"/>
      <c r="AJ832" s="727"/>
      <c r="AK832" s="727"/>
      <c r="AL832" s="727"/>
      <c r="AM832" s="727"/>
      <c r="AN832" s="727"/>
      <c r="AO832" s="727"/>
      <c r="AP832" s="727"/>
      <c r="AQ832" s="727"/>
      <c r="AR832" s="727"/>
      <c r="AS832" s="727"/>
      <c r="AT832" s="727"/>
      <c r="AU832" s="727"/>
      <c r="AV832" s="727"/>
      <c r="AW832" s="727"/>
      <c r="AX832" s="727"/>
      <c r="AY832" s="727"/>
      <c r="AZ832" s="727"/>
      <c r="BA832" s="727"/>
      <c r="BB832" s="727"/>
    </row>
    <row r="833" spans="1:54">
      <c r="A833" s="326"/>
      <c r="B833" s="727"/>
      <c r="C833" s="727"/>
      <c r="D833" s="727"/>
      <c r="E833" s="727"/>
      <c r="F833" s="727"/>
      <c r="G833" s="727"/>
      <c r="H833" s="727"/>
      <c r="I833" s="727"/>
      <c r="J833" s="727"/>
      <c r="K833" s="727"/>
      <c r="L833" s="727"/>
      <c r="M833" s="727"/>
      <c r="N833" s="727"/>
      <c r="O833" s="727"/>
      <c r="P833" s="727"/>
      <c r="Q833" s="727"/>
      <c r="R833" s="727"/>
      <c r="S833" s="727"/>
      <c r="T833" s="727"/>
      <c r="U833" s="727"/>
      <c r="V833" s="727"/>
      <c r="W833" s="727"/>
      <c r="X833" s="727"/>
      <c r="Y833" s="727"/>
      <c r="Z833" s="727"/>
      <c r="AA833" s="727"/>
      <c r="AB833" s="727"/>
      <c r="AC833" s="727"/>
      <c r="AD833" s="727"/>
      <c r="AE833" s="727"/>
      <c r="AF833" s="727"/>
      <c r="AG833" s="727"/>
      <c r="AH833" s="727"/>
      <c r="AI833" s="727"/>
      <c r="AJ833" s="727"/>
      <c r="AK833" s="727"/>
      <c r="AL833" s="727"/>
      <c r="AM833" s="727"/>
      <c r="AN833" s="727"/>
      <c r="AO833" s="727"/>
      <c r="AP833" s="727"/>
      <c r="AQ833" s="727"/>
      <c r="AR833" s="727"/>
      <c r="AS833" s="727"/>
      <c r="AT833" s="727"/>
      <c r="AU833" s="727"/>
      <c r="AV833" s="727"/>
      <c r="AW833" s="727"/>
      <c r="AX833" s="727"/>
      <c r="AY833" s="727"/>
      <c r="AZ833" s="727"/>
      <c r="BA833" s="727"/>
      <c r="BB833" s="727"/>
    </row>
    <row r="834" spans="1:54">
      <c r="A834" s="326"/>
      <c r="B834" s="727"/>
      <c r="C834" s="727"/>
      <c r="D834" s="727"/>
      <c r="E834" s="727"/>
      <c r="F834" s="727"/>
      <c r="G834" s="727"/>
      <c r="H834" s="727"/>
      <c r="I834" s="727"/>
      <c r="J834" s="727"/>
      <c r="K834" s="727"/>
      <c r="L834" s="727"/>
      <c r="M834" s="727"/>
      <c r="N834" s="727"/>
      <c r="O834" s="727"/>
      <c r="P834" s="727"/>
      <c r="Q834" s="727"/>
      <c r="R834" s="727"/>
      <c r="S834" s="727"/>
      <c r="T834" s="727"/>
      <c r="U834" s="727"/>
      <c r="V834" s="727"/>
      <c r="W834" s="727"/>
      <c r="X834" s="727"/>
      <c r="Y834" s="727"/>
      <c r="Z834" s="727"/>
      <c r="AA834" s="727"/>
      <c r="AB834" s="727"/>
      <c r="AC834" s="727"/>
      <c r="AD834" s="727"/>
      <c r="AE834" s="727"/>
      <c r="AF834" s="727"/>
      <c r="AG834" s="727"/>
      <c r="AH834" s="727"/>
      <c r="AI834" s="727"/>
      <c r="AJ834" s="727"/>
      <c r="AK834" s="727"/>
      <c r="AL834" s="727"/>
      <c r="AM834" s="727"/>
      <c r="AN834" s="727"/>
      <c r="AO834" s="727"/>
      <c r="AP834" s="727"/>
      <c r="AQ834" s="727"/>
      <c r="AR834" s="727"/>
      <c r="AS834" s="727"/>
      <c r="AT834" s="727"/>
      <c r="AU834" s="727"/>
      <c r="AV834" s="727"/>
      <c r="AW834" s="727"/>
      <c r="AX834" s="727"/>
      <c r="AY834" s="727"/>
      <c r="AZ834" s="727"/>
      <c r="BA834" s="727"/>
      <c r="BB834" s="727"/>
    </row>
    <row r="835" spans="1:54">
      <c r="A835" s="326"/>
      <c r="B835" s="727"/>
      <c r="C835" s="727"/>
      <c r="D835" s="727"/>
      <c r="E835" s="727"/>
      <c r="F835" s="727"/>
      <c r="G835" s="727"/>
      <c r="H835" s="727"/>
      <c r="I835" s="727"/>
      <c r="J835" s="727"/>
      <c r="K835" s="727"/>
      <c r="L835" s="727"/>
      <c r="M835" s="727"/>
      <c r="N835" s="727"/>
      <c r="O835" s="727"/>
      <c r="P835" s="727"/>
      <c r="Q835" s="727"/>
      <c r="R835" s="727"/>
      <c r="S835" s="727"/>
      <c r="T835" s="727"/>
      <c r="U835" s="727"/>
      <c r="V835" s="727"/>
      <c r="W835" s="727"/>
      <c r="X835" s="727"/>
      <c r="Y835" s="727"/>
      <c r="Z835" s="727"/>
      <c r="AA835" s="727"/>
      <c r="AB835" s="727"/>
      <c r="AC835" s="727"/>
      <c r="AD835" s="727"/>
      <c r="AE835" s="727"/>
      <c r="AF835" s="727"/>
      <c r="AG835" s="727"/>
      <c r="AH835" s="727"/>
      <c r="AI835" s="727"/>
      <c r="AJ835" s="727"/>
      <c r="AK835" s="727"/>
      <c r="AL835" s="727"/>
      <c r="AM835" s="727"/>
      <c r="AN835" s="727"/>
      <c r="AO835" s="727"/>
      <c r="AP835" s="727"/>
      <c r="AQ835" s="727"/>
      <c r="AR835" s="727"/>
      <c r="AS835" s="727"/>
      <c r="AT835" s="727"/>
      <c r="AU835" s="727"/>
      <c r="AV835" s="727"/>
      <c r="AW835" s="727"/>
      <c r="AX835" s="727"/>
      <c r="AY835" s="727"/>
      <c r="AZ835" s="727"/>
      <c r="BA835" s="727"/>
      <c r="BB835" s="727"/>
    </row>
    <row r="836" spans="1:54">
      <c r="A836" s="326"/>
      <c r="B836" s="727"/>
      <c r="C836" s="727"/>
      <c r="D836" s="727"/>
      <c r="E836" s="727"/>
      <c r="F836" s="727"/>
      <c r="G836" s="727"/>
      <c r="H836" s="727"/>
      <c r="I836" s="727"/>
      <c r="J836" s="727"/>
      <c r="K836" s="727"/>
      <c r="L836" s="727"/>
      <c r="M836" s="727"/>
      <c r="N836" s="727"/>
      <c r="O836" s="727"/>
      <c r="P836" s="727"/>
      <c r="Q836" s="727"/>
      <c r="R836" s="727"/>
      <c r="S836" s="727"/>
      <c r="T836" s="727"/>
      <c r="U836" s="727"/>
      <c r="V836" s="727"/>
      <c r="W836" s="727"/>
      <c r="X836" s="727"/>
      <c r="Y836" s="727"/>
      <c r="Z836" s="727"/>
      <c r="AA836" s="727"/>
      <c r="AB836" s="727"/>
      <c r="AC836" s="727"/>
      <c r="AD836" s="727"/>
      <c r="AE836" s="727"/>
      <c r="AF836" s="727"/>
      <c r="AG836" s="727"/>
      <c r="AH836" s="727"/>
      <c r="AI836" s="727"/>
      <c r="AJ836" s="727"/>
      <c r="AK836" s="727"/>
      <c r="AL836" s="727"/>
      <c r="AM836" s="727"/>
      <c r="AN836" s="727"/>
      <c r="AO836" s="727"/>
      <c r="AP836" s="727"/>
      <c r="AQ836" s="727"/>
      <c r="AR836" s="727"/>
      <c r="AS836" s="727"/>
      <c r="AT836" s="727"/>
      <c r="AU836" s="727"/>
      <c r="AV836" s="727"/>
      <c r="AW836" s="727"/>
      <c r="AX836" s="727"/>
      <c r="AY836" s="727"/>
      <c r="AZ836" s="727"/>
      <c r="BA836" s="727"/>
      <c r="BB836" s="727"/>
    </row>
    <row r="837" spans="1:54">
      <c r="A837" s="326"/>
      <c r="B837" s="727"/>
      <c r="C837" s="727"/>
      <c r="D837" s="727"/>
      <c r="E837" s="727"/>
      <c r="F837" s="727"/>
      <c r="G837" s="727"/>
      <c r="H837" s="727"/>
      <c r="I837" s="727"/>
      <c r="J837" s="727"/>
      <c r="K837" s="727"/>
      <c r="L837" s="727"/>
      <c r="M837" s="727"/>
      <c r="N837" s="727"/>
      <c r="O837" s="727"/>
      <c r="P837" s="727"/>
      <c r="Q837" s="727"/>
      <c r="R837" s="727"/>
      <c r="S837" s="727"/>
      <c r="T837" s="727"/>
      <c r="U837" s="727"/>
      <c r="V837" s="727"/>
      <c r="W837" s="727"/>
      <c r="X837" s="727"/>
      <c r="Y837" s="727"/>
      <c r="Z837" s="727"/>
      <c r="AA837" s="727"/>
      <c r="AB837" s="727"/>
      <c r="AC837" s="727"/>
      <c r="AD837" s="727"/>
      <c r="AE837" s="727"/>
      <c r="AF837" s="727"/>
      <c r="AG837" s="727"/>
      <c r="AH837" s="727"/>
      <c r="AI837" s="727"/>
      <c r="AJ837" s="727"/>
      <c r="AK837" s="727"/>
      <c r="AL837" s="727"/>
      <c r="AM837" s="727"/>
      <c r="AN837" s="727"/>
      <c r="AO837" s="727"/>
      <c r="AP837" s="727"/>
      <c r="AQ837" s="727"/>
      <c r="AR837" s="727"/>
      <c r="AS837" s="727"/>
      <c r="AT837" s="727"/>
      <c r="AU837" s="727"/>
      <c r="AV837" s="727"/>
      <c r="AW837" s="727"/>
      <c r="AX837" s="727"/>
      <c r="AY837" s="727"/>
      <c r="AZ837" s="727"/>
      <c r="BA837" s="727"/>
      <c r="BB837" s="727"/>
    </row>
    <row r="838" spans="1:54">
      <c r="A838" s="326"/>
      <c r="B838" s="727"/>
      <c r="C838" s="727"/>
      <c r="D838" s="727"/>
      <c r="E838" s="727"/>
      <c r="F838" s="727"/>
      <c r="G838" s="727"/>
      <c r="H838" s="727"/>
      <c r="I838" s="727"/>
      <c r="J838" s="727"/>
      <c r="K838" s="727"/>
      <c r="L838" s="727"/>
      <c r="M838" s="727"/>
      <c r="N838" s="727"/>
      <c r="O838" s="727"/>
      <c r="P838" s="727"/>
      <c r="Q838" s="727"/>
      <c r="R838" s="727"/>
      <c r="S838" s="727"/>
      <c r="T838" s="727"/>
      <c r="U838" s="727"/>
      <c r="V838" s="727"/>
      <c r="W838" s="727"/>
      <c r="X838" s="727"/>
      <c r="Y838" s="727"/>
      <c r="Z838" s="727"/>
      <c r="AA838" s="727"/>
      <c r="AB838" s="727"/>
      <c r="AC838" s="727"/>
      <c r="AD838" s="727"/>
      <c r="AE838" s="727"/>
      <c r="AF838" s="727"/>
      <c r="AG838" s="727"/>
      <c r="AH838" s="727"/>
      <c r="AI838" s="727"/>
      <c r="AJ838" s="727"/>
      <c r="AK838" s="727"/>
      <c r="AL838" s="727"/>
      <c r="AM838" s="727"/>
      <c r="AN838" s="727"/>
      <c r="AO838" s="727"/>
      <c r="AP838" s="727"/>
      <c r="AQ838" s="727"/>
      <c r="AR838" s="727"/>
      <c r="AS838" s="727"/>
      <c r="AT838" s="727"/>
      <c r="AU838" s="727"/>
      <c r="AV838" s="727"/>
      <c r="AW838" s="727"/>
      <c r="AX838" s="727"/>
      <c r="AY838" s="727"/>
      <c r="AZ838" s="727"/>
      <c r="BA838" s="727"/>
      <c r="BB838" s="727"/>
    </row>
    <row r="839" spans="1:54">
      <c r="A839" s="326"/>
      <c r="B839" s="727"/>
      <c r="C839" s="727"/>
      <c r="D839" s="727"/>
      <c r="E839" s="727"/>
      <c r="F839" s="727"/>
      <c r="G839" s="727"/>
      <c r="H839" s="727"/>
      <c r="I839" s="727"/>
      <c r="J839" s="727"/>
      <c r="K839" s="727"/>
      <c r="L839" s="727"/>
      <c r="M839" s="727"/>
      <c r="N839" s="727"/>
      <c r="O839" s="727"/>
      <c r="P839" s="727"/>
      <c r="Q839" s="727"/>
      <c r="R839" s="727"/>
      <c r="S839" s="727"/>
      <c r="T839" s="727"/>
      <c r="U839" s="727"/>
      <c r="V839" s="727"/>
      <c r="W839" s="727"/>
      <c r="X839" s="727"/>
      <c r="Y839" s="727"/>
      <c r="Z839" s="727"/>
      <c r="AA839" s="727"/>
      <c r="AB839" s="727"/>
      <c r="AC839" s="727"/>
      <c r="AD839" s="727"/>
      <c r="AE839" s="727"/>
      <c r="AF839" s="727"/>
      <c r="AG839" s="727"/>
      <c r="AH839" s="727"/>
      <c r="AI839" s="727"/>
      <c r="AJ839" s="727"/>
      <c r="AK839" s="727"/>
      <c r="AL839" s="727"/>
      <c r="AM839" s="727"/>
      <c r="AN839" s="727"/>
      <c r="AO839" s="727"/>
      <c r="AP839" s="727"/>
      <c r="AQ839" s="727"/>
      <c r="AR839" s="727"/>
      <c r="AS839" s="727"/>
      <c r="AT839" s="727"/>
      <c r="AU839" s="727"/>
      <c r="AV839" s="727"/>
      <c r="AW839" s="727"/>
      <c r="AX839" s="727"/>
      <c r="AY839" s="727"/>
      <c r="AZ839" s="727"/>
      <c r="BA839" s="727"/>
      <c r="BB839" s="727"/>
    </row>
    <row r="840" spans="1:54">
      <c r="A840" s="326"/>
      <c r="B840" s="727"/>
      <c r="C840" s="727"/>
      <c r="D840" s="727"/>
      <c r="E840" s="727"/>
      <c r="F840" s="727"/>
      <c r="G840" s="727"/>
      <c r="H840" s="727"/>
      <c r="I840" s="727"/>
      <c r="J840" s="727"/>
      <c r="K840" s="727"/>
      <c r="L840" s="727"/>
      <c r="M840" s="727"/>
      <c r="N840" s="727"/>
      <c r="O840" s="727"/>
      <c r="P840" s="727"/>
      <c r="Q840" s="727"/>
      <c r="R840" s="727"/>
      <c r="S840" s="727"/>
      <c r="T840" s="727"/>
      <c r="U840" s="727"/>
      <c r="V840" s="727"/>
      <c r="W840" s="727"/>
      <c r="X840" s="727"/>
      <c r="Y840" s="727"/>
      <c r="Z840" s="727"/>
      <c r="AA840" s="727"/>
      <c r="AB840" s="727"/>
      <c r="AC840" s="727"/>
      <c r="AD840" s="727"/>
      <c r="AE840" s="727"/>
      <c r="AF840" s="727"/>
      <c r="AG840" s="727"/>
      <c r="AH840" s="727"/>
      <c r="AI840" s="727"/>
      <c r="AJ840" s="727"/>
      <c r="AK840" s="727"/>
      <c r="AL840" s="727"/>
      <c r="AM840" s="727"/>
      <c r="AN840" s="727"/>
      <c r="AO840" s="727"/>
      <c r="AP840" s="727"/>
      <c r="AQ840" s="727"/>
      <c r="AR840" s="727"/>
      <c r="AS840" s="727"/>
      <c r="AT840" s="727"/>
      <c r="AU840" s="727"/>
      <c r="AV840" s="727"/>
      <c r="AW840" s="727"/>
      <c r="AX840" s="727"/>
      <c r="AY840" s="727"/>
      <c r="AZ840" s="727"/>
      <c r="BA840" s="727"/>
      <c r="BB840" s="727"/>
    </row>
    <row r="841" spans="1:54">
      <c r="A841" s="326"/>
      <c r="B841" s="727"/>
      <c r="C841" s="727"/>
      <c r="D841" s="727"/>
      <c r="E841" s="727"/>
      <c r="F841" s="727"/>
      <c r="G841" s="727"/>
      <c r="H841" s="727"/>
      <c r="I841" s="727"/>
      <c r="J841" s="727"/>
      <c r="K841" s="727"/>
      <c r="L841" s="727"/>
      <c r="M841" s="727"/>
      <c r="N841" s="727"/>
      <c r="O841" s="727"/>
      <c r="P841" s="727"/>
      <c r="Q841" s="727"/>
      <c r="R841" s="727"/>
      <c r="S841" s="727"/>
      <c r="T841" s="727"/>
      <c r="U841" s="727"/>
      <c r="V841" s="727"/>
      <c r="W841" s="727"/>
      <c r="X841" s="727"/>
      <c r="Y841" s="727"/>
      <c r="Z841" s="727"/>
      <c r="AA841" s="727"/>
      <c r="AB841" s="727"/>
      <c r="AC841" s="727"/>
      <c r="AD841" s="727"/>
      <c r="AE841" s="727"/>
      <c r="AF841" s="727"/>
      <c r="AG841" s="727"/>
      <c r="AH841" s="727"/>
      <c r="AI841" s="727"/>
      <c r="AJ841" s="727"/>
      <c r="AK841" s="727"/>
      <c r="AL841" s="727"/>
      <c r="AM841" s="727"/>
      <c r="AN841" s="727"/>
      <c r="AO841" s="727"/>
      <c r="AP841" s="727"/>
      <c r="AQ841" s="727"/>
      <c r="AR841" s="727"/>
      <c r="AS841" s="727"/>
      <c r="AT841" s="727"/>
      <c r="AU841" s="727"/>
      <c r="AV841" s="727"/>
      <c r="AW841" s="727"/>
      <c r="AX841" s="727"/>
      <c r="AY841" s="727"/>
      <c r="AZ841" s="727"/>
      <c r="BA841" s="727"/>
      <c r="BB841" s="727"/>
    </row>
    <row r="842" spans="1:54">
      <c r="A842" s="326"/>
      <c r="B842" s="727"/>
      <c r="C842" s="727"/>
      <c r="D842" s="727"/>
      <c r="E842" s="727"/>
      <c r="F842" s="727"/>
      <c r="G842" s="727"/>
      <c r="H842" s="727"/>
      <c r="I842" s="727"/>
      <c r="J842" s="727"/>
      <c r="K842" s="727"/>
      <c r="L842" s="727"/>
      <c r="M842" s="727"/>
      <c r="N842" s="727"/>
      <c r="O842" s="727"/>
      <c r="P842" s="727"/>
      <c r="Q842" s="727"/>
      <c r="R842" s="727"/>
      <c r="S842" s="727"/>
      <c r="T842" s="727"/>
      <c r="U842" s="727"/>
      <c r="V842" s="727"/>
      <c r="W842" s="727"/>
      <c r="X842" s="727"/>
      <c r="Y842" s="727"/>
      <c r="Z842" s="727"/>
      <c r="AA842" s="727"/>
      <c r="AB842" s="727"/>
      <c r="AC842" s="727"/>
      <c r="AD842" s="727"/>
      <c r="AE842" s="727"/>
      <c r="AF842" s="727"/>
      <c r="AG842" s="727"/>
      <c r="AH842" s="727"/>
      <c r="AI842" s="727"/>
      <c r="AJ842" s="727"/>
      <c r="AK842" s="727"/>
      <c r="AL842" s="727"/>
      <c r="AM842" s="727"/>
      <c r="AN842" s="727"/>
      <c r="AO842" s="727"/>
      <c r="AP842" s="727"/>
      <c r="AQ842" s="727"/>
      <c r="AR842" s="727"/>
      <c r="AS842" s="727"/>
      <c r="AT842" s="727"/>
      <c r="AU842" s="727"/>
      <c r="AV842" s="727"/>
      <c r="AW842" s="727"/>
      <c r="AX842" s="727"/>
      <c r="AY842" s="727"/>
      <c r="AZ842" s="727"/>
      <c r="BA842" s="727"/>
      <c r="BB842" s="727"/>
    </row>
    <row r="843" spans="1:54">
      <c r="A843" s="326"/>
      <c r="B843" s="727"/>
      <c r="C843" s="727"/>
      <c r="D843" s="727"/>
      <c r="E843" s="727"/>
      <c r="F843" s="727"/>
      <c r="G843" s="727"/>
      <c r="H843" s="727"/>
      <c r="I843" s="727"/>
      <c r="J843" s="727"/>
      <c r="K843" s="727"/>
      <c r="L843" s="727"/>
      <c r="M843" s="727"/>
      <c r="N843" s="727"/>
      <c r="O843" s="727"/>
      <c r="P843" s="727"/>
      <c r="Q843" s="727"/>
      <c r="R843" s="727"/>
      <c r="S843" s="727"/>
      <c r="T843" s="727"/>
      <c r="U843" s="727"/>
      <c r="V843" s="727"/>
      <c r="W843" s="727"/>
      <c r="X843" s="727"/>
      <c r="Y843" s="727"/>
      <c r="Z843" s="727"/>
      <c r="AA843" s="727"/>
      <c r="AB843" s="727"/>
      <c r="AC843" s="727"/>
      <c r="AD843" s="727"/>
      <c r="AE843" s="727"/>
      <c r="AF843" s="727"/>
      <c r="AG843" s="727"/>
      <c r="AH843" s="727"/>
      <c r="AI843" s="727"/>
      <c r="AJ843" s="727"/>
      <c r="AK843" s="727"/>
      <c r="AL843" s="727"/>
      <c r="AM843" s="727"/>
      <c r="AN843" s="727"/>
      <c r="AO843" s="727"/>
      <c r="AP843" s="727"/>
      <c r="AQ843" s="727"/>
      <c r="AR843" s="727"/>
      <c r="AS843" s="727"/>
      <c r="AT843" s="727"/>
      <c r="AU843" s="727"/>
      <c r="AV843" s="727"/>
      <c r="AW843" s="727"/>
      <c r="AX843" s="727"/>
      <c r="AY843" s="727"/>
      <c r="AZ843" s="727"/>
      <c r="BA843" s="727"/>
      <c r="BB843" s="727"/>
    </row>
    <row r="844" spans="1:54">
      <c r="A844" s="326"/>
      <c r="B844" s="727"/>
      <c r="C844" s="727"/>
      <c r="D844" s="727"/>
      <c r="E844" s="727"/>
      <c r="F844" s="727"/>
      <c r="G844" s="727"/>
      <c r="H844" s="727"/>
      <c r="I844" s="727"/>
      <c r="J844" s="727"/>
      <c r="K844" s="727"/>
      <c r="L844" s="727"/>
      <c r="M844" s="727"/>
      <c r="N844" s="727"/>
      <c r="O844" s="727"/>
      <c r="P844" s="727"/>
      <c r="Q844" s="727"/>
      <c r="R844" s="727"/>
      <c r="S844" s="727"/>
      <c r="T844" s="727"/>
      <c r="U844" s="727"/>
      <c r="V844" s="727"/>
      <c r="W844" s="727"/>
      <c r="X844" s="727"/>
      <c r="Y844" s="727"/>
      <c r="Z844" s="727"/>
      <c r="AA844" s="727"/>
      <c r="AB844" s="727"/>
      <c r="AC844" s="727"/>
      <c r="AD844" s="727"/>
      <c r="AE844" s="727"/>
      <c r="AF844" s="727"/>
      <c r="AG844" s="727"/>
      <c r="AH844" s="727"/>
      <c r="AI844" s="727"/>
      <c r="AJ844" s="727"/>
      <c r="AK844" s="727"/>
      <c r="AL844" s="727"/>
      <c r="AM844" s="727"/>
      <c r="AN844" s="727"/>
      <c r="AO844" s="727"/>
      <c r="AP844" s="727"/>
      <c r="AQ844" s="727"/>
      <c r="AR844" s="727"/>
      <c r="AS844" s="727"/>
      <c r="AT844" s="727"/>
      <c r="AU844" s="727"/>
      <c r="AV844" s="727"/>
      <c r="AW844" s="727"/>
      <c r="AX844" s="727"/>
      <c r="AY844" s="727"/>
      <c r="AZ844" s="727"/>
      <c r="BA844" s="727"/>
      <c r="BB844" s="727"/>
    </row>
    <row r="845" spans="1:54">
      <c r="A845" s="326"/>
      <c r="B845" s="727"/>
      <c r="C845" s="727"/>
      <c r="D845" s="727"/>
      <c r="E845" s="727"/>
      <c r="F845" s="727"/>
      <c r="G845" s="727"/>
      <c r="H845" s="727"/>
      <c r="I845" s="727"/>
      <c r="J845" s="727"/>
      <c r="K845" s="727"/>
      <c r="L845" s="727"/>
      <c r="M845" s="727"/>
      <c r="N845" s="727"/>
      <c r="O845" s="727"/>
      <c r="P845" s="727"/>
      <c r="Q845" s="727"/>
      <c r="R845" s="727"/>
      <c r="S845" s="727"/>
      <c r="T845" s="727"/>
      <c r="U845" s="727"/>
      <c r="V845" s="727"/>
      <c r="W845" s="727"/>
      <c r="X845" s="727"/>
      <c r="Y845" s="727"/>
      <c r="Z845" s="727"/>
      <c r="AA845" s="727"/>
      <c r="AB845" s="727"/>
      <c r="AC845" s="727"/>
      <c r="AD845" s="727"/>
      <c r="AE845" s="727"/>
      <c r="AF845" s="727"/>
      <c r="AG845" s="727"/>
      <c r="AH845" s="727"/>
      <c r="AI845" s="727"/>
      <c r="AJ845" s="727"/>
      <c r="AK845" s="727"/>
      <c r="AL845" s="727"/>
      <c r="AM845" s="727"/>
      <c r="AN845" s="727"/>
      <c r="AO845" s="727"/>
      <c r="AP845" s="727"/>
      <c r="AQ845" s="727"/>
      <c r="AR845" s="727"/>
      <c r="AS845" s="727"/>
      <c r="AT845" s="727"/>
      <c r="AU845" s="727"/>
      <c r="AV845" s="727"/>
      <c r="AW845" s="727"/>
      <c r="AX845" s="727"/>
      <c r="AY845" s="727"/>
      <c r="AZ845" s="727"/>
      <c r="BA845" s="727"/>
      <c r="BB845" s="727"/>
    </row>
    <row r="846" spans="1:54">
      <c r="A846" s="326"/>
      <c r="B846" s="727"/>
      <c r="C846" s="727"/>
      <c r="D846" s="727"/>
      <c r="E846" s="727"/>
      <c r="F846" s="727"/>
      <c r="G846" s="727"/>
      <c r="H846" s="727"/>
      <c r="I846" s="727"/>
      <c r="J846" s="727"/>
      <c r="K846" s="727"/>
      <c r="L846" s="727"/>
      <c r="M846" s="727"/>
      <c r="N846" s="727"/>
      <c r="O846" s="727"/>
      <c r="P846" s="727"/>
      <c r="Q846" s="727"/>
      <c r="R846" s="727"/>
      <c r="S846" s="727"/>
      <c r="T846" s="727"/>
      <c r="U846" s="727"/>
      <c r="V846" s="727"/>
      <c r="W846" s="727"/>
      <c r="X846" s="727"/>
      <c r="Y846" s="727"/>
      <c r="Z846" s="727"/>
      <c r="AA846" s="727"/>
      <c r="AB846" s="727"/>
      <c r="AC846" s="727"/>
      <c r="AD846" s="727"/>
      <c r="AE846" s="727"/>
      <c r="AF846" s="727"/>
      <c r="AG846" s="727"/>
      <c r="AH846" s="727"/>
      <c r="AI846" s="727"/>
      <c r="AJ846" s="727"/>
      <c r="AK846" s="727"/>
      <c r="AL846" s="727"/>
      <c r="AM846" s="727"/>
      <c r="AN846" s="727"/>
      <c r="AO846" s="727"/>
      <c r="AP846" s="727"/>
      <c r="AQ846" s="727"/>
      <c r="AR846" s="727"/>
      <c r="AS846" s="727"/>
      <c r="AT846" s="727"/>
      <c r="AU846" s="727"/>
      <c r="AV846" s="727"/>
      <c r="AW846" s="727"/>
      <c r="AX846" s="727"/>
      <c r="AY846" s="727"/>
      <c r="AZ846" s="727"/>
      <c r="BA846" s="727"/>
      <c r="BB846" s="727"/>
    </row>
    <row r="847" spans="1:54">
      <c r="A847" s="326"/>
      <c r="B847" s="727"/>
      <c r="C847" s="727"/>
      <c r="D847" s="727"/>
      <c r="E847" s="727"/>
      <c r="F847" s="727"/>
      <c r="G847" s="727"/>
      <c r="H847" s="727"/>
      <c r="I847" s="727"/>
      <c r="J847" s="727"/>
      <c r="K847" s="727"/>
      <c r="L847" s="727"/>
      <c r="M847" s="727"/>
      <c r="N847" s="727"/>
      <c r="O847" s="727"/>
      <c r="P847" s="727"/>
      <c r="Q847" s="727"/>
      <c r="R847" s="727"/>
      <c r="S847" s="727"/>
      <c r="T847" s="727"/>
      <c r="U847" s="727"/>
      <c r="V847" s="727"/>
      <c r="W847" s="727"/>
      <c r="X847" s="727"/>
      <c r="Y847" s="727"/>
      <c r="Z847" s="727"/>
      <c r="AA847" s="727"/>
      <c r="AB847" s="727"/>
      <c r="AC847" s="727"/>
      <c r="AD847" s="727"/>
      <c r="AE847" s="727"/>
      <c r="AF847" s="727"/>
      <c r="AG847" s="727"/>
      <c r="AH847" s="727"/>
      <c r="AI847" s="727"/>
      <c r="AJ847" s="727"/>
      <c r="AK847" s="727"/>
      <c r="AL847" s="727"/>
      <c r="AM847" s="727"/>
      <c r="AN847" s="727"/>
      <c r="AO847" s="727"/>
      <c r="AP847" s="727"/>
      <c r="AQ847" s="727"/>
      <c r="AR847" s="727"/>
      <c r="AS847" s="727"/>
      <c r="AT847" s="727"/>
      <c r="AU847" s="727"/>
      <c r="AV847" s="727"/>
      <c r="AW847" s="727"/>
      <c r="AX847" s="727"/>
      <c r="AY847" s="727"/>
      <c r="AZ847" s="727"/>
      <c r="BA847" s="727"/>
      <c r="BB847" s="727"/>
    </row>
    <row r="848" spans="1:54">
      <c r="A848" s="326"/>
      <c r="B848" s="727"/>
      <c r="C848" s="727"/>
      <c r="D848" s="727"/>
      <c r="E848" s="727"/>
      <c r="F848" s="727"/>
      <c r="G848" s="727"/>
      <c r="H848" s="727"/>
      <c r="I848" s="727"/>
      <c r="J848" s="727"/>
      <c r="K848" s="727"/>
      <c r="L848" s="727"/>
      <c r="M848" s="727"/>
      <c r="N848" s="727"/>
      <c r="O848" s="727"/>
      <c r="P848" s="727"/>
      <c r="Q848" s="727"/>
      <c r="R848" s="727"/>
      <c r="S848" s="727"/>
      <c r="T848" s="727"/>
      <c r="U848" s="727"/>
      <c r="V848" s="727"/>
      <c r="W848" s="727"/>
      <c r="X848" s="727"/>
      <c r="Y848" s="727"/>
      <c r="Z848" s="727"/>
      <c r="AA848" s="727"/>
      <c r="AB848" s="727"/>
      <c r="AC848" s="727"/>
      <c r="AD848" s="727"/>
      <c r="AE848" s="727"/>
      <c r="AF848" s="727"/>
      <c r="AG848" s="727"/>
      <c r="AH848" s="727"/>
      <c r="AI848" s="727"/>
      <c r="AJ848" s="727"/>
      <c r="AK848" s="727"/>
      <c r="AL848" s="727"/>
      <c r="AM848" s="727"/>
      <c r="AN848" s="727"/>
      <c r="AO848" s="727"/>
      <c r="AP848" s="727"/>
      <c r="AQ848" s="727"/>
      <c r="AR848" s="727"/>
      <c r="AS848" s="727"/>
      <c r="AT848" s="727"/>
      <c r="AU848" s="727"/>
      <c r="AV848" s="727"/>
      <c r="AW848" s="727"/>
      <c r="AX848" s="727"/>
      <c r="AY848" s="727"/>
      <c r="AZ848" s="727"/>
      <c r="BA848" s="727"/>
      <c r="BB848" s="727"/>
    </row>
    <row r="849" spans="1:54">
      <c r="A849" s="326"/>
      <c r="B849" s="727"/>
      <c r="C849" s="727"/>
      <c r="D849" s="727"/>
      <c r="E849" s="727"/>
      <c r="F849" s="727"/>
      <c r="G849" s="727"/>
      <c r="H849" s="727"/>
      <c r="I849" s="727"/>
      <c r="J849" s="727"/>
      <c r="K849" s="727"/>
      <c r="L849" s="727"/>
      <c r="M849" s="727"/>
      <c r="N849" s="727"/>
      <c r="O849" s="727"/>
      <c r="P849" s="727"/>
      <c r="Q849" s="727"/>
      <c r="R849" s="727"/>
      <c r="S849" s="727"/>
      <c r="T849" s="727"/>
      <c r="U849" s="727"/>
      <c r="V849" s="727"/>
      <c r="W849" s="727"/>
      <c r="X849" s="727"/>
      <c r="Y849" s="727"/>
      <c r="Z849" s="727"/>
      <c r="AA849" s="727"/>
      <c r="AB849" s="727"/>
      <c r="AC849" s="727"/>
      <c r="AD849" s="727"/>
      <c r="AE849" s="727"/>
      <c r="AF849" s="727"/>
      <c r="AG849" s="727"/>
      <c r="AH849" s="727"/>
      <c r="AI849" s="727"/>
      <c r="AJ849" s="727"/>
      <c r="AK849" s="727"/>
      <c r="AL849" s="727"/>
      <c r="AM849" s="727"/>
      <c r="AN849" s="727"/>
      <c r="AO849" s="727"/>
      <c r="AP849" s="727"/>
      <c r="AQ849" s="727"/>
      <c r="AR849" s="727"/>
      <c r="AS849" s="727"/>
      <c r="AT849" s="727"/>
      <c r="AU849" s="727"/>
      <c r="AV849" s="727"/>
      <c r="AW849" s="727"/>
      <c r="AX849" s="727"/>
      <c r="AY849" s="727"/>
      <c r="AZ849" s="727"/>
      <c r="BA849" s="727"/>
      <c r="BB849" s="727"/>
    </row>
    <row r="850" spans="1:54">
      <c r="A850" s="326"/>
      <c r="B850" s="727"/>
      <c r="C850" s="727"/>
      <c r="D850" s="727"/>
      <c r="E850" s="727"/>
      <c r="F850" s="727"/>
      <c r="G850" s="727"/>
      <c r="H850" s="727"/>
      <c r="I850" s="727"/>
      <c r="J850" s="727"/>
      <c r="K850" s="727"/>
      <c r="L850" s="727"/>
      <c r="M850" s="727"/>
      <c r="N850" s="727"/>
      <c r="O850" s="727"/>
      <c r="P850" s="727"/>
      <c r="Q850" s="727"/>
      <c r="R850" s="727"/>
      <c r="S850" s="727"/>
      <c r="T850" s="727"/>
      <c r="U850" s="727"/>
      <c r="V850" s="727"/>
      <c r="W850" s="727"/>
      <c r="X850" s="727"/>
      <c r="Y850" s="727"/>
      <c r="Z850" s="727"/>
      <c r="AA850" s="727"/>
      <c r="AB850" s="727"/>
      <c r="AC850" s="727"/>
      <c r="AD850" s="727"/>
      <c r="AE850" s="727"/>
      <c r="AF850" s="727"/>
      <c r="AG850" s="727"/>
      <c r="AH850" s="727"/>
      <c r="AI850" s="727"/>
      <c r="AJ850" s="727"/>
      <c r="AK850" s="727"/>
      <c r="AL850" s="727"/>
      <c r="AM850" s="727"/>
      <c r="AN850" s="727"/>
      <c r="AO850" s="727"/>
      <c r="AP850" s="727"/>
      <c r="AQ850" s="727"/>
      <c r="AR850" s="727"/>
      <c r="AS850" s="727"/>
      <c r="AT850" s="727"/>
      <c r="AU850" s="727"/>
      <c r="AV850" s="727"/>
      <c r="AW850" s="727"/>
      <c r="AX850" s="727"/>
      <c r="AY850" s="727"/>
      <c r="AZ850" s="727"/>
      <c r="BA850" s="727"/>
      <c r="BB850" s="727"/>
    </row>
    <row r="851" spans="1:54">
      <c r="A851" s="326"/>
      <c r="B851" s="727"/>
      <c r="C851" s="727"/>
      <c r="D851" s="727"/>
      <c r="E851" s="727"/>
      <c r="F851" s="727"/>
      <c r="G851" s="727"/>
      <c r="H851" s="727"/>
      <c r="I851" s="727"/>
      <c r="J851" s="727"/>
      <c r="K851" s="727"/>
      <c r="L851" s="727"/>
      <c r="M851" s="727"/>
      <c r="N851" s="727"/>
      <c r="O851" s="727"/>
      <c r="P851" s="727"/>
      <c r="Q851" s="727"/>
      <c r="R851" s="727"/>
      <c r="S851" s="727"/>
      <c r="T851" s="727"/>
      <c r="U851" s="727"/>
      <c r="V851" s="727"/>
      <c r="W851" s="727"/>
      <c r="X851" s="727"/>
      <c r="Y851" s="727"/>
      <c r="Z851" s="727"/>
      <c r="AA851" s="727"/>
      <c r="AB851" s="727"/>
      <c r="AC851" s="727"/>
      <c r="AD851" s="727"/>
      <c r="AE851" s="727"/>
      <c r="AF851" s="727"/>
      <c r="AG851" s="727"/>
      <c r="AH851" s="727"/>
      <c r="AI851" s="727"/>
      <c r="AJ851" s="727"/>
      <c r="AK851" s="727"/>
      <c r="AL851" s="727"/>
      <c r="AM851" s="727"/>
      <c r="AN851" s="727"/>
      <c r="AO851" s="727"/>
      <c r="AP851" s="727"/>
      <c r="AQ851" s="727"/>
      <c r="AR851" s="727"/>
      <c r="AS851" s="727"/>
      <c r="AT851" s="727"/>
      <c r="AU851" s="727"/>
      <c r="AV851" s="727"/>
      <c r="AW851" s="727"/>
      <c r="AX851" s="727"/>
      <c r="AY851" s="727"/>
      <c r="AZ851" s="727"/>
      <c r="BA851" s="727"/>
      <c r="BB851" s="727"/>
    </row>
    <row r="852" spans="1:54">
      <c r="A852" s="326"/>
      <c r="B852" s="727"/>
      <c r="C852" s="727"/>
      <c r="D852" s="727"/>
      <c r="E852" s="727"/>
      <c r="F852" s="727"/>
      <c r="G852" s="727"/>
      <c r="H852" s="727"/>
      <c r="I852" s="727"/>
      <c r="J852" s="727"/>
      <c r="K852" s="727"/>
      <c r="L852" s="727"/>
      <c r="M852" s="727"/>
      <c r="N852" s="727"/>
      <c r="O852" s="727"/>
      <c r="P852" s="727"/>
      <c r="Q852" s="727"/>
      <c r="R852" s="727"/>
      <c r="S852" s="727"/>
      <c r="T852" s="727"/>
      <c r="U852" s="727"/>
      <c r="V852" s="727"/>
      <c r="W852" s="727"/>
      <c r="X852" s="727"/>
      <c r="Y852" s="727"/>
      <c r="Z852" s="727"/>
      <c r="AA852" s="727"/>
      <c r="AB852" s="727"/>
      <c r="AC852" s="727"/>
      <c r="AD852" s="727"/>
      <c r="AE852" s="727"/>
      <c r="AF852" s="727"/>
      <c r="AG852" s="727"/>
      <c r="AH852" s="727"/>
      <c r="AI852" s="727"/>
      <c r="AJ852" s="727"/>
      <c r="AK852" s="727"/>
      <c r="AL852" s="727"/>
      <c r="AM852" s="727"/>
      <c r="AN852" s="727"/>
      <c r="AO852" s="727"/>
      <c r="AP852" s="727"/>
      <c r="AQ852" s="727"/>
      <c r="AR852" s="727"/>
      <c r="AS852" s="727"/>
      <c r="AT852" s="727"/>
      <c r="AU852" s="727"/>
      <c r="AV852" s="727"/>
      <c r="AW852" s="727"/>
      <c r="AX852" s="727"/>
      <c r="AY852" s="727"/>
      <c r="AZ852" s="727"/>
      <c r="BA852" s="727"/>
      <c r="BB852" s="727"/>
    </row>
    <row r="853" spans="1:54">
      <c r="A853" s="326"/>
      <c r="B853" s="727"/>
      <c r="C853" s="727"/>
      <c r="D853" s="727"/>
      <c r="E853" s="727"/>
      <c r="F853" s="727"/>
      <c r="G853" s="727"/>
      <c r="H853" s="727"/>
      <c r="I853" s="727"/>
      <c r="J853" s="727"/>
      <c r="K853" s="727"/>
      <c r="L853" s="727"/>
      <c r="M853" s="727"/>
      <c r="N853" s="727"/>
      <c r="O853" s="727"/>
      <c r="P853" s="727"/>
      <c r="Q853" s="727"/>
      <c r="R853" s="727"/>
      <c r="S853" s="727"/>
      <c r="T853" s="727"/>
      <c r="U853" s="727"/>
      <c r="V853" s="727"/>
      <c r="W853" s="727"/>
      <c r="X853" s="727"/>
      <c r="Y853" s="727"/>
      <c r="Z853" s="727"/>
      <c r="AA853" s="727"/>
      <c r="AB853" s="727"/>
      <c r="AC853" s="727"/>
      <c r="AD853" s="727"/>
      <c r="AE853" s="727"/>
      <c r="AF853" s="727"/>
      <c r="AG853" s="727"/>
      <c r="AH853" s="727"/>
      <c r="AI853" s="727"/>
      <c r="AJ853" s="727"/>
      <c r="AK853" s="727"/>
      <c r="AL853" s="727"/>
      <c r="AM853" s="727"/>
      <c r="AN853" s="727"/>
      <c r="AO853" s="727"/>
      <c r="AP853" s="727"/>
      <c r="AQ853" s="727"/>
      <c r="AR853" s="727"/>
      <c r="AS853" s="727"/>
      <c r="AT853" s="727"/>
      <c r="AU853" s="727"/>
      <c r="AV853" s="727"/>
      <c r="AW853" s="727"/>
      <c r="AX853" s="727"/>
      <c r="AY853" s="727"/>
      <c r="AZ853" s="727"/>
      <c r="BA853" s="727"/>
      <c r="BB853" s="727"/>
    </row>
    <row r="854" spans="1:54">
      <c r="A854" s="326"/>
      <c r="B854" s="727"/>
      <c r="C854" s="727"/>
      <c r="D854" s="727"/>
      <c r="E854" s="727"/>
      <c r="F854" s="727"/>
      <c r="G854" s="727"/>
      <c r="H854" s="727"/>
      <c r="I854" s="727"/>
      <c r="J854" s="727"/>
      <c r="K854" s="727"/>
      <c r="L854" s="727"/>
      <c r="M854" s="727"/>
      <c r="N854" s="727"/>
      <c r="O854" s="727"/>
      <c r="P854" s="727"/>
      <c r="Q854" s="727"/>
      <c r="R854" s="727"/>
      <c r="S854" s="727"/>
      <c r="T854" s="727"/>
      <c r="U854" s="727"/>
      <c r="V854" s="727"/>
      <c r="W854" s="727"/>
      <c r="X854" s="727"/>
      <c r="Y854" s="727"/>
      <c r="Z854" s="727"/>
      <c r="AA854" s="727"/>
      <c r="AB854" s="727"/>
      <c r="AC854" s="727"/>
      <c r="AD854" s="727"/>
      <c r="AE854" s="727"/>
      <c r="AF854" s="727"/>
      <c r="AG854" s="727"/>
      <c r="AH854" s="727"/>
      <c r="AI854" s="727"/>
      <c r="AJ854" s="727"/>
      <c r="AK854" s="727"/>
      <c r="AL854" s="727"/>
      <c r="AM854" s="727"/>
      <c r="AN854" s="727"/>
      <c r="AO854" s="727"/>
      <c r="AP854" s="727"/>
      <c r="AQ854" s="727"/>
      <c r="AR854" s="727"/>
      <c r="AS854" s="727"/>
      <c r="AT854" s="727"/>
      <c r="AU854" s="727"/>
      <c r="AV854" s="727"/>
      <c r="AW854" s="727"/>
      <c r="AX854" s="727"/>
      <c r="AY854" s="727"/>
      <c r="AZ854" s="727"/>
      <c r="BA854" s="727"/>
      <c r="BB854" s="727"/>
    </row>
    <row r="855" spans="1:54">
      <c r="A855" s="326"/>
      <c r="B855" s="727"/>
      <c r="C855" s="727"/>
      <c r="D855" s="727"/>
      <c r="E855" s="727"/>
      <c r="F855" s="727"/>
      <c r="G855" s="727"/>
      <c r="H855" s="727"/>
      <c r="I855" s="727"/>
      <c r="J855" s="727"/>
      <c r="K855" s="727"/>
      <c r="L855" s="727"/>
      <c r="M855" s="727"/>
      <c r="N855" s="727"/>
      <c r="O855" s="727"/>
      <c r="P855" s="727"/>
      <c r="Q855" s="727"/>
      <c r="R855" s="727"/>
      <c r="S855" s="727"/>
      <c r="T855" s="727"/>
      <c r="U855" s="727"/>
      <c r="V855" s="727"/>
      <c r="W855" s="727"/>
      <c r="X855" s="727"/>
      <c r="Y855" s="727"/>
      <c r="Z855" s="727"/>
      <c r="AA855" s="727"/>
      <c r="AB855" s="727"/>
      <c r="AC855" s="727"/>
      <c r="AD855" s="727"/>
      <c r="AE855" s="727"/>
      <c r="AF855" s="727"/>
      <c r="AG855" s="727"/>
      <c r="AH855" s="727"/>
      <c r="AI855" s="727"/>
      <c r="AJ855" s="727"/>
      <c r="AK855" s="727"/>
      <c r="AL855" s="727"/>
      <c r="AM855" s="727"/>
      <c r="AN855" s="727"/>
      <c r="AO855" s="727"/>
      <c r="AP855" s="727"/>
      <c r="AQ855" s="727"/>
      <c r="AR855" s="727"/>
      <c r="AS855" s="727"/>
      <c r="AT855" s="727"/>
      <c r="AU855" s="727"/>
      <c r="AV855" s="727"/>
      <c r="AW855" s="727"/>
      <c r="AX855" s="727"/>
      <c r="AY855" s="727"/>
      <c r="AZ855" s="727"/>
      <c r="BA855" s="727"/>
      <c r="BB855" s="727"/>
    </row>
    <row r="856" spans="1:54">
      <c r="A856" s="326"/>
      <c r="B856" s="727"/>
      <c r="C856" s="727"/>
      <c r="D856" s="727"/>
      <c r="E856" s="727"/>
      <c r="F856" s="727"/>
      <c r="G856" s="727"/>
      <c r="H856" s="727"/>
      <c r="I856" s="727"/>
      <c r="J856" s="727"/>
      <c r="K856" s="727"/>
      <c r="L856" s="727"/>
      <c r="M856" s="727"/>
      <c r="N856" s="727"/>
      <c r="O856" s="727"/>
      <c r="P856" s="727"/>
      <c r="Q856" s="727"/>
      <c r="R856" s="727"/>
      <c r="S856" s="727"/>
      <c r="T856" s="727"/>
      <c r="U856" s="727"/>
      <c r="V856" s="727"/>
      <c r="W856" s="727"/>
      <c r="X856" s="727"/>
      <c r="Y856" s="727"/>
      <c r="Z856" s="727"/>
      <c r="AA856" s="727"/>
      <c r="AB856" s="727"/>
      <c r="AC856" s="727"/>
      <c r="AD856" s="727"/>
      <c r="AE856" s="727"/>
      <c r="AF856" s="727"/>
      <c r="AG856" s="727"/>
      <c r="AH856" s="727"/>
      <c r="AI856" s="727"/>
      <c r="AJ856" s="727"/>
      <c r="AK856" s="727"/>
      <c r="AL856" s="727"/>
      <c r="AM856" s="727"/>
      <c r="AN856" s="727"/>
      <c r="AO856" s="727"/>
      <c r="AP856" s="727"/>
      <c r="AQ856" s="727"/>
      <c r="AR856" s="727"/>
      <c r="AS856" s="727"/>
      <c r="AT856" s="727"/>
      <c r="AU856" s="727"/>
      <c r="AV856" s="727"/>
      <c r="AW856" s="727"/>
      <c r="AX856" s="727"/>
      <c r="AY856" s="727"/>
      <c r="AZ856" s="727"/>
      <c r="BA856" s="727"/>
      <c r="BB856" s="727"/>
    </row>
    <row r="857" spans="1:54">
      <c r="A857" s="326"/>
      <c r="B857" s="727"/>
      <c r="C857" s="727"/>
      <c r="D857" s="727"/>
      <c r="E857" s="727"/>
      <c r="F857" s="727"/>
      <c r="G857" s="727"/>
      <c r="H857" s="727"/>
      <c r="I857" s="727"/>
      <c r="J857" s="727"/>
      <c r="K857" s="727"/>
      <c r="L857" s="727"/>
      <c r="M857" s="727"/>
      <c r="N857" s="727"/>
      <c r="O857" s="727"/>
      <c r="P857" s="727"/>
      <c r="Q857" s="727"/>
      <c r="R857" s="727"/>
      <c r="S857" s="727"/>
      <c r="T857" s="727"/>
      <c r="U857" s="727"/>
      <c r="V857" s="727"/>
      <c r="W857" s="727"/>
      <c r="X857" s="727"/>
      <c r="Y857" s="727"/>
      <c r="Z857" s="727"/>
      <c r="AA857" s="727"/>
      <c r="AB857" s="727"/>
      <c r="AC857" s="727"/>
      <c r="AD857" s="727"/>
      <c r="AE857" s="727"/>
      <c r="AF857" s="727"/>
      <c r="AG857" s="727"/>
      <c r="AH857" s="727"/>
      <c r="AI857" s="727"/>
      <c r="AJ857" s="727"/>
      <c r="AK857" s="727"/>
      <c r="AL857" s="727"/>
      <c r="AM857" s="727"/>
      <c r="AN857" s="727"/>
      <c r="AO857" s="727"/>
      <c r="AP857" s="727"/>
      <c r="AQ857" s="727"/>
      <c r="AR857" s="727"/>
      <c r="AS857" s="727"/>
      <c r="AT857" s="727"/>
      <c r="AU857" s="727"/>
      <c r="AV857" s="727"/>
      <c r="AW857" s="727"/>
      <c r="AX857" s="727"/>
      <c r="AY857" s="727"/>
      <c r="AZ857" s="727"/>
      <c r="BA857" s="727"/>
      <c r="BB857" s="727"/>
    </row>
    <row r="858" spans="1:54">
      <c r="A858" s="326"/>
      <c r="B858" s="727"/>
      <c r="C858" s="727"/>
      <c r="D858" s="727"/>
      <c r="E858" s="727"/>
      <c r="F858" s="727"/>
      <c r="G858" s="727"/>
      <c r="H858" s="727"/>
      <c r="I858" s="727"/>
      <c r="J858" s="727"/>
      <c r="K858" s="727"/>
      <c r="L858" s="727"/>
      <c r="M858" s="727"/>
      <c r="N858" s="727"/>
      <c r="O858" s="727"/>
      <c r="P858" s="727"/>
      <c r="Q858" s="727"/>
      <c r="R858" s="727"/>
      <c r="S858" s="727"/>
      <c r="T858" s="727"/>
      <c r="U858" s="727"/>
      <c r="V858" s="727"/>
      <c r="W858" s="727"/>
      <c r="X858" s="727"/>
      <c r="Y858" s="727"/>
      <c r="Z858" s="727"/>
      <c r="AA858" s="727"/>
      <c r="AB858" s="727"/>
      <c r="AC858" s="727"/>
      <c r="AD858" s="727"/>
      <c r="AE858" s="727"/>
      <c r="AF858" s="727"/>
      <c r="AG858" s="727"/>
      <c r="AH858" s="727"/>
      <c r="AI858" s="727"/>
      <c r="AJ858" s="727"/>
      <c r="AK858" s="727"/>
      <c r="AL858" s="727"/>
      <c r="AM858" s="727"/>
      <c r="AN858" s="727"/>
      <c r="AO858" s="727"/>
      <c r="AP858" s="727"/>
      <c r="AQ858" s="727"/>
      <c r="AR858" s="727"/>
      <c r="AS858" s="727"/>
      <c r="AT858" s="727"/>
      <c r="AU858" s="727"/>
      <c r="AV858" s="727"/>
      <c r="AW858" s="727"/>
      <c r="AX858" s="727"/>
      <c r="AY858" s="727"/>
      <c r="AZ858" s="727"/>
      <c r="BA858" s="727"/>
      <c r="BB858" s="727"/>
    </row>
    <row r="859" spans="1:54">
      <c r="A859" s="326"/>
      <c r="B859" s="727"/>
      <c r="C859" s="727"/>
      <c r="D859" s="727"/>
      <c r="E859" s="727"/>
      <c r="F859" s="727"/>
      <c r="G859" s="727"/>
      <c r="H859" s="727"/>
      <c r="I859" s="727"/>
      <c r="J859" s="727"/>
      <c r="K859" s="727"/>
      <c r="L859" s="727"/>
      <c r="M859" s="727"/>
      <c r="N859" s="727"/>
      <c r="O859" s="727"/>
      <c r="P859" s="727"/>
      <c r="Q859" s="727"/>
      <c r="R859" s="727"/>
      <c r="S859" s="727"/>
      <c r="T859" s="727"/>
      <c r="U859" s="727"/>
      <c r="V859" s="727"/>
      <c r="W859" s="727"/>
      <c r="X859" s="727"/>
      <c r="Y859" s="727"/>
      <c r="Z859" s="727"/>
      <c r="AA859" s="727"/>
      <c r="AB859" s="727"/>
      <c r="AC859" s="727"/>
      <c r="AD859" s="727"/>
      <c r="AE859" s="727"/>
      <c r="AF859" s="727"/>
      <c r="AG859" s="727"/>
      <c r="AH859" s="727"/>
      <c r="AI859" s="727"/>
      <c r="AJ859" s="727"/>
      <c r="AK859" s="727"/>
      <c r="AL859" s="727"/>
      <c r="AM859" s="727"/>
      <c r="AN859" s="727"/>
      <c r="AO859" s="727"/>
      <c r="AP859" s="727"/>
      <c r="AQ859" s="727"/>
      <c r="AR859" s="727"/>
      <c r="AS859" s="727"/>
      <c r="AT859" s="727"/>
      <c r="AU859" s="727"/>
      <c r="AV859" s="727"/>
      <c r="AW859" s="727"/>
      <c r="AX859" s="727"/>
      <c r="AY859" s="727"/>
      <c r="AZ859" s="727"/>
      <c r="BA859" s="727"/>
      <c r="BB859" s="727"/>
    </row>
    <row r="860" spans="1:54">
      <c r="A860" s="326"/>
      <c r="B860" s="727"/>
      <c r="C860" s="727"/>
      <c r="D860" s="727"/>
      <c r="E860" s="727"/>
      <c r="F860" s="727"/>
      <c r="G860" s="727"/>
      <c r="H860" s="727"/>
      <c r="I860" s="727"/>
      <c r="J860" s="727"/>
      <c r="K860" s="727"/>
      <c r="L860" s="727"/>
      <c r="M860" s="727"/>
      <c r="N860" s="727"/>
      <c r="O860" s="727"/>
      <c r="P860" s="727"/>
      <c r="Q860" s="727"/>
      <c r="R860" s="727"/>
      <c r="S860" s="727"/>
      <c r="T860" s="727"/>
      <c r="U860" s="727"/>
      <c r="V860" s="727"/>
      <c r="W860" s="727"/>
      <c r="X860" s="727"/>
      <c r="Y860" s="727"/>
      <c r="Z860" s="727"/>
      <c r="AA860" s="727"/>
      <c r="AB860" s="727"/>
      <c r="AC860" s="727"/>
      <c r="AD860" s="727"/>
      <c r="AE860" s="727"/>
      <c r="AF860" s="727"/>
      <c r="AG860" s="727"/>
      <c r="AH860" s="727"/>
      <c r="AI860" s="727"/>
      <c r="AJ860" s="727"/>
      <c r="AK860" s="727"/>
      <c r="AL860" s="727"/>
      <c r="AM860" s="727"/>
      <c r="AN860" s="727"/>
      <c r="AO860" s="727"/>
      <c r="AP860" s="727"/>
      <c r="AQ860" s="727"/>
      <c r="AR860" s="727"/>
      <c r="AS860" s="727"/>
      <c r="AT860" s="727"/>
      <c r="AU860" s="727"/>
      <c r="AV860" s="727"/>
      <c r="AW860" s="727"/>
      <c r="AX860" s="727"/>
      <c r="AY860" s="727"/>
      <c r="AZ860" s="727"/>
      <c r="BA860" s="727"/>
      <c r="BB860" s="727"/>
    </row>
    <row r="861" spans="1:54">
      <c r="A861" s="326"/>
      <c r="B861" s="727"/>
      <c r="C861" s="727"/>
      <c r="D861" s="727"/>
      <c r="E861" s="727"/>
      <c r="F861" s="727"/>
      <c r="G861" s="727"/>
      <c r="H861" s="727"/>
      <c r="I861" s="727"/>
      <c r="J861" s="727"/>
      <c r="K861" s="727"/>
      <c r="L861" s="727"/>
      <c r="M861" s="727"/>
      <c r="N861" s="727"/>
      <c r="O861" s="727"/>
      <c r="P861" s="727"/>
      <c r="Q861" s="727"/>
      <c r="R861" s="727"/>
      <c r="S861" s="727"/>
      <c r="T861" s="727"/>
      <c r="U861" s="727"/>
      <c r="V861" s="727"/>
      <c r="W861" s="727"/>
      <c r="X861" s="727"/>
      <c r="Y861" s="727"/>
      <c r="Z861" s="727"/>
      <c r="AA861" s="727"/>
      <c r="AB861" s="727"/>
      <c r="AC861" s="727"/>
      <c r="AD861" s="727"/>
      <c r="AE861" s="727"/>
      <c r="AF861" s="727"/>
      <c r="AG861" s="727"/>
      <c r="AH861" s="727"/>
      <c r="AI861" s="727"/>
      <c r="AJ861" s="727"/>
      <c r="AK861" s="727"/>
      <c r="AL861" s="727"/>
      <c r="AM861" s="727"/>
      <c r="AN861" s="727"/>
      <c r="AO861" s="727"/>
      <c r="AP861" s="727"/>
      <c r="AQ861" s="727"/>
      <c r="AR861" s="727"/>
      <c r="AS861" s="727"/>
      <c r="AT861" s="727"/>
      <c r="AU861" s="727"/>
      <c r="AV861" s="727"/>
      <c r="AW861" s="727"/>
      <c r="AX861" s="727"/>
      <c r="AY861" s="727"/>
      <c r="AZ861" s="727"/>
      <c r="BA861" s="727"/>
      <c r="BB861" s="727"/>
    </row>
    <row r="862" spans="1:54">
      <c r="A862" s="326"/>
      <c r="B862" s="727"/>
      <c r="C862" s="727"/>
      <c r="D862" s="727"/>
      <c r="E862" s="727"/>
      <c r="F862" s="727"/>
      <c r="G862" s="727"/>
      <c r="H862" s="727"/>
      <c r="I862" s="727"/>
      <c r="J862" s="727"/>
      <c r="K862" s="727"/>
      <c r="L862" s="727"/>
      <c r="M862" s="727"/>
      <c r="N862" s="727"/>
      <c r="O862" s="727"/>
      <c r="P862" s="727"/>
      <c r="Q862" s="727"/>
      <c r="R862" s="727"/>
      <c r="S862" s="727"/>
      <c r="T862" s="727"/>
      <c r="U862" s="727"/>
      <c r="V862" s="727"/>
      <c r="W862" s="727"/>
      <c r="X862" s="727"/>
      <c r="Y862" s="727"/>
      <c r="Z862" s="727"/>
      <c r="AA862" s="727"/>
      <c r="AB862" s="727"/>
      <c r="AC862" s="727"/>
      <c r="AD862" s="727"/>
      <c r="AE862" s="727"/>
      <c r="AF862" s="727"/>
      <c r="AG862" s="727"/>
      <c r="AH862" s="727"/>
      <c r="AI862" s="727"/>
      <c r="AJ862" s="727"/>
      <c r="AK862" s="727"/>
      <c r="AL862" s="727"/>
      <c r="AM862" s="727"/>
      <c r="AN862" s="727"/>
      <c r="AO862" s="727"/>
      <c r="AP862" s="727"/>
      <c r="AQ862" s="727"/>
      <c r="AR862" s="727"/>
      <c r="AS862" s="727"/>
      <c r="AT862" s="727"/>
      <c r="AU862" s="727"/>
      <c r="AV862" s="727"/>
      <c r="AW862" s="727"/>
      <c r="AX862" s="727"/>
      <c r="AY862" s="727"/>
      <c r="AZ862" s="727"/>
      <c r="BA862" s="727"/>
      <c r="BB862" s="727"/>
    </row>
    <row r="863" spans="1:54">
      <c r="A863" s="326"/>
      <c r="B863" s="727"/>
      <c r="C863" s="727"/>
      <c r="D863" s="727"/>
      <c r="E863" s="727"/>
      <c r="F863" s="727"/>
      <c r="G863" s="727"/>
      <c r="H863" s="727"/>
      <c r="I863" s="727"/>
      <c r="J863" s="727"/>
      <c r="K863" s="727"/>
      <c r="L863" s="727"/>
      <c r="M863" s="727"/>
      <c r="N863" s="727"/>
      <c r="O863" s="727"/>
      <c r="P863" s="727"/>
      <c r="Q863" s="727"/>
      <c r="R863" s="727"/>
      <c r="S863" s="727"/>
      <c r="T863" s="727"/>
      <c r="U863" s="727"/>
      <c r="V863" s="727"/>
      <c r="W863" s="727"/>
      <c r="X863" s="727"/>
      <c r="Y863" s="727"/>
      <c r="Z863" s="727"/>
      <c r="AA863" s="727"/>
      <c r="AB863" s="727"/>
      <c r="AC863" s="727"/>
      <c r="AD863" s="727"/>
      <c r="AE863" s="727"/>
      <c r="AF863" s="727"/>
      <c r="AG863" s="727"/>
      <c r="AH863" s="727"/>
      <c r="AI863" s="727"/>
      <c r="AJ863" s="727"/>
      <c r="AK863" s="727"/>
      <c r="AL863" s="727"/>
      <c r="AM863" s="727"/>
      <c r="AN863" s="727"/>
      <c r="AO863" s="727"/>
      <c r="AP863" s="727"/>
      <c r="AQ863" s="727"/>
      <c r="AR863" s="727"/>
      <c r="AS863" s="727"/>
      <c r="AT863" s="727"/>
      <c r="AU863" s="727"/>
      <c r="AV863" s="727"/>
      <c r="AW863" s="727"/>
      <c r="AX863" s="727"/>
      <c r="AY863" s="727"/>
      <c r="AZ863" s="727"/>
      <c r="BA863" s="727"/>
      <c r="BB863" s="727"/>
    </row>
    <row r="864" spans="1:54">
      <c r="A864" s="326"/>
      <c r="B864" s="727"/>
      <c r="C864" s="727"/>
      <c r="D864" s="727"/>
      <c r="E864" s="727"/>
      <c r="F864" s="727"/>
      <c r="G864" s="727"/>
      <c r="H864" s="727"/>
      <c r="I864" s="727"/>
      <c r="J864" s="727"/>
      <c r="K864" s="727"/>
      <c r="L864" s="727"/>
      <c r="M864" s="727"/>
      <c r="N864" s="727"/>
      <c r="O864" s="727"/>
      <c r="P864" s="727"/>
      <c r="Q864" s="727"/>
      <c r="R864" s="727"/>
      <c r="S864" s="727"/>
      <c r="T864" s="727"/>
      <c r="U864" s="727"/>
      <c r="V864" s="727"/>
      <c r="W864" s="727"/>
      <c r="X864" s="727"/>
      <c r="Y864" s="727"/>
      <c r="Z864" s="727"/>
      <c r="AA864" s="727"/>
      <c r="AB864" s="727"/>
      <c r="AC864" s="727"/>
      <c r="AD864" s="727"/>
      <c r="AE864" s="727"/>
      <c r="AF864" s="727"/>
      <c r="AG864" s="727"/>
      <c r="AH864" s="727"/>
      <c r="AI864" s="727"/>
      <c r="AJ864" s="727"/>
      <c r="AK864" s="727"/>
      <c r="AL864" s="727"/>
      <c r="AM864" s="727"/>
      <c r="AN864" s="727"/>
      <c r="AO864" s="727"/>
      <c r="AP864" s="727"/>
      <c r="AQ864" s="727"/>
      <c r="AR864" s="727"/>
      <c r="AS864" s="727"/>
      <c r="AT864" s="727"/>
      <c r="AU864" s="727"/>
      <c r="AV864" s="727"/>
      <c r="AW864" s="727"/>
      <c r="AX864" s="727"/>
      <c r="AY864" s="727"/>
      <c r="AZ864" s="727"/>
      <c r="BA864" s="727"/>
      <c r="BB864" s="727"/>
    </row>
    <row r="865" spans="1:54">
      <c r="A865" s="326"/>
      <c r="B865" s="727"/>
      <c r="C865" s="727"/>
      <c r="D865" s="727"/>
      <c r="E865" s="727"/>
      <c r="F865" s="727"/>
      <c r="G865" s="727"/>
      <c r="H865" s="727"/>
      <c r="I865" s="727"/>
      <c r="J865" s="727"/>
      <c r="K865" s="727"/>
      <c r="L865" s="727"/>
      <c r="M865" s="727"/>
      <c r="N865" s="727"/>
      <c r="O865" s="727"/>
      <c r="P865" s="727"/>
      <c r="Q865" s="727"/>
      <c r="R865" s="727"/>
      <c r="S865" s="727"/>
      <c r="T865" s="727"/>
      <c r="U865" s="727"/>
      <c r="V865" s="727"/>
      <c r="W865" s="727"/>
      <c r="X865" s="727"/>
      <c r="Y865" s="727"/>
      <c r="Z865" s="727"/>
      <c r="AA865" s="727"/>
      <c r="AB865" s="727"/>
      <c r="AC865" s="727"/>
      <c r="AD865" s="727"/>
      <c r="AE865" s="727"/>
      <c r="AF865" s="727"/>
      <c r="AG865" s="727"/>
      <c r="AH865" s="727"/>
      <c r="AI865" s="727"/>
      <c r="AJ865" s="727"/>
      <c r="AK865" s="727"/>
      <c r="AL865" s="727"/>
      <c r="AM865" s="727"/>
      <c r="AN865" s="727"/>
      <c r="AO865" s="727"/>
      <c r="AP865" s="727"/>
      <c r="AQ865" s="727"/>
      <c r="AR865" s="727"/>
      <c r="AS865" s="727"/>
      <c r="AT865" s="727"/>
      <c r="AU865" s="727"/>
      <c r="AV865" s="727"/>
      <c r="AW865" s="727"/>
      <c r="AX865" s="727"/>
      <c r="AY865" s="727"/>
      <c r="AZ865" s="727"/>
      <c r="BA865" s="727"/>
      <c r="BB865" s="727"/>
    </row>
    <row r="866" spans="1:54">
      <c r="A866" s="326"/>
      <c r="B866" s="727"/>
      <c r="C866" s="727"/>
      <c r="D866" s="727"/>
      <c r="E866" s="727"/>
      <c r="F866" s="727"/>
      <c r="G866" s="727"/>
      <c r="H866" s="727"/>
      <c r="I866" s="727"/>
      <c r="J866" s="727"/>
      <c r="K866" s="727"/>
      <c r="L866" s="727"/>
      <c r="M866" s="727"/>
      <c r="N866" s="727"/>
      <c r="O866" s="727"/>
      <c r="P866" s="727"/>
      <c r="Q866" s="727"/>
      <c r="R866" s="727"/>
      <c r="S866" s="727"/>
      <c r="T866" s="727"/>
      <c r="U866" s="727"/>
      <c r="V866" s="727"/>
      <c r="W866" s="727"/>
      <c r="X866" s="727"/>
      <c r="Y866" s="727"/>
      <c r="Z866" s="727"/>
      <c r="AA866" s="727"/>
      <c r="AB866" s="727"/>
      <c r="AC866" s="727"/>
      <c r="AD866" s="727"/>
      <c r="AE866" s="727"/>
      <c r="AF866" s="727"/>
      <c r="AG866" s="727"/>
      <c r="AH866" s="727"/>
      <c r="AI866" s="727"/>
      <c r="AJ866" s="727"/>
      <c r="AK866" s="727"/>
      <c r="AL866" s="727"/>
      <c r="AM866" s="727"/>
      <c r="AN866" s="727"/>
      <c r="AO866" s="727"/>
      <c r="AP866" s="727"/>
      <c r="AQ866" s="727"/>
      <c r="AR866" s="727"/>
      <c r="AS866" s="727"/>
      <c r="AT866" s="727"/>
      <c r="AU866" s="727"/>
      <c r="AV866" s="727"/>
      <c r="AW866" s="727"/>
      <c r="AX866" s="727"/>
      <c r="AY866" s="727"/>
      <c r="AZ866" s="727"/>
      <c r="BA866" s="727"/>
      <c r="BB866" s="727"/>
    </row>
    <row r="867" spans="1:54">
      <c r="A867" s="326"/>
      <c r="B867" s="727"/>
      <c r="C867" s="727"/>
      <c r="D867" s="727"/>
      <c r="E867" s="727"/>
      <c r="F867" s="727"/>
      <c r="G867" s="727"/>
      <c r="H867" s="727"/>
      <c r="I867" s="727"/>
      <c r="J867" s="727"/>
      <c r="K867" s="727"/>
      <c r="L867" s="727"/>
      <c r="M867" s="727"/>
      <c r="N867" s="727"/>
      <c r="O867" s="727"/>
      <c r="P867" s="727"/>
      <c r="Q867" s="727"/>
      <c r="R867" s="727"/>
      <c r="S867" s="727"/>
      <c r="T867" s="727"/>
      <c r="U867" s="727"/>
      <c r="V867" s="727"/>
      <c r="W867" s="727"/>
      <c r="X867" s="727"/>
      <c r="Y867" s="727"/>
      <c r="Z867" s="727"/>
      <c r="AA867" s="727"/>
      <c r="AB867" s="727"/>
      <c r="AC867" s="727"/>
      <c r="AD867" s="727"/>
      <c r="AE867" s="727"/>
      <c r="AF867" s="727"/>
      <c r="AG867" s="727"/>
      <c r="AH867" s="727"/>
      <c r="AI867" s="727"/>
      <c r="AJ867" s="727"/>
      <c r="AK867" s="727"/>
      <c r="AL867" s="727"/>
      <c r="AM867" s="727"/>
      <c r="AN867" s="727"/>
      <c r="AO867" s="727"/>
      <c r="AP867" s="727"/>
      <c r="AQ867" s="727"/>
      <c r="AR867" s="727"/>
      <c r="AS867" s="727"/>
      <c r="AT867" s="727"/>
      <c r="AU867" s="727"/>
      <c r="AV867" s="727"/>
      <c r="AW867" s="727"/>
      <c r="AX867" s="727"/>
      <c r="AY867" s="727"/>
      <c r="AZ867" s="727"/>
      <c r="BA867" s="727"/>
      <c r="BB867" s="727"/>
    </row>
    <row r="868" spans="1:54">
      <c r="A868" s="326"/>
      <c r="B868" s="727"/>
      <c r="C868" s="727"/>
      <c r="D868" s="727"/>
      <c r="E868" s="727"/>
      <c r="F868" s="727"/>
      <c r="G868" s="727"/>
      <c r="H868" s="727"/>
      <c r="I868" s="727"/>
      <c r="J868" s="727"/>
      <c r="K868" s="727"/>
      <c r="L868" s="727"/>
      <c r="M868" s="727"/>
      <c r="N868" s="727"/>
      <c r="O868" s="727"/>
      <c r="P868" s="727"/>
      <c r="Q868" s="727"/>
      <c r="R868" s="727"/>
      <c r="S868" s="727"/>
      <c r="T868" s="727"/>
      <c r="U868" s="727"/>
      <c r="V868" s="727"/>
      <c r="W868" s="727"/>
      <c r="X868" s="727"/>
      <c r="Y868" s="727"/>
      <c r="Z868" s="727"/>
      <c r="AA868" s="727"/>
      <c r="AB868" s="727"/>
      <c r="AC868" s="727"/>
      <c r="AD868" s="727"/>
      <c r="AE868" s="727"/>
      <c r="AF868" s="727"/>
      <c r="AG868" s="727"/>
      <c r="AH868" s="727"/>
      <c r="AI868" s="727"/>
      <c r="AJ868" s="727"/>
      <c r="AK868" s="727"/>
      <c r="AL868" s="727"/>
      <c r="AM868" s="727"/>
      <c r="AN868" s="727"/>
      <c r="AO868" s="727"/>
      <c r="AP868" s="727"/>
      <c r="AQ868" s="727"/>
      <c r="AR868" s="727"/>
      <c r="AS868" s="727"/>
      <c r="AT868" s="727"/>
      <c r="AU868" s="727"/>
      <c r="AV868" s="727"/>
      <c r="AW868" s="727"/>
      <c r="AX868" s="727"/>
      <c r="AY868" s="727"/>
      <c r="AZ868" s="727"/>
      <c r="BA868" s="727"/>
      <c r="BB868" s="727"/>
    </row>
    <row r="869" spans="1:54">
      <c r="A869" s="326"/>
      <c r="B869" s="727"/>
      <c r="C869" s="727"/>
      <c r="D869" s="727"/>
      <c r="E869" s="727"/>
      <c r="F869" s="727"/>
      <c r="G869" s="727"/>
      <c r="H869" s="727"/>
      <c r="I869" s="727"/>
      <c r="J869" s="727"/>
      <c r="K869" s="727"/>
      <c r="L869" s="727"/>
      <c r="M869" s="727"/>
      <c r="N869" s="727"/>
      <c r="O869" s="727"/>
      <c r="P869" s="727"/>
      <c r="Q869" s="727"/>
      <c r="R869" s="727"/>
      <c r="S869" s="727"/>
      <c r="T869" s="727"/>
      <c r="U869" s="727"/>
      <c r="V869" s="727"/>
      <c r="W869" s="727"/>
      <c r="X869" s="727"/>
      <c r="Y869" s="727"/>
      <c r="Z869" s="727"/>
      <c r="AA869" s="727"/>
      <c r="AB869" s="727"/>
      <c r="AC869" s="727"/>
      <c r="AD869" s="727"/>
      <c r="AE869" s="727"/>
      <c r="AF869" s="727"/>
      <c r="AG869" s="727"/>
      <c r="AH869" s="727"/>
      <c r="AI869" s="727"/>
      <c r="AJ869" s="727"/>
      <c r="AK869" s="727"/>
      <c r="AL869" s="727"/>
      <c r="AM869" s="727"/>
      <c r="AN869" s="727"/>
      <c r="AO869" s="727"/>
      <c r="AP869" s="727"/>
      <c r="AQ869" s="727"/>
      <c r="AR869" s="727"/>
      <c r="AS869" s="727"/>
      <c r="AT869" s="727"/>
      <c r="AU869" s="727"/>
      <c r="AV869" s="727"/>
      <c r="AW869" s="727"/>
      <c r="AX869" s="727"/>
      <c r="AY869" s="727"/>
      <c r="AZ869" s="727"/>
      <c r="BA869" s="727"/>
      <c r="BB869" s="727"/>
    </row>
    <row r="870" spans="1:54">
      <c r="A870" s="326"/>
      <c r="B870" s="727"/>
      <c r="C870" s="727"/>
      <c r="D870" s="727"/>
      <c r="E870" s="727"/>
      <c r="F870" s="727"/>
      <c r="G870" s="727"/>
      <c r="H870" s="727"/>
      <c r="I870" s="727"/>
      <c r="J870" s="727"/>
      <c r="K870" s="727"/>
      <c r="L870" s="727"/>
      <c r="M870" s="727"/>
      <c r="N870" s="727"/>
      <c r="O870" s="727"/>
      <c r="P870" s="727"/>
      <c r="Q870" s="727"/>
      <c r="R870" s="727"/>
      <c r="S870" s="727"/>
      <c r="T870" s="727"/>
      <c r="U870" s="727"/>
      <c r="V870" s="727"/>
      <c r="W870" s="727"/>
      <c r="X870" s="727"/>
      <c r="Y870" s="727"/>
      <c r="Z870" s="727"/>
      <c r="AA870" s="727"/>
      <c r="AB870" s="727"/>
      <c r="AC870" s="727"/>
      <c r="AD870" s="727"/>
      <c r="AE870" s="727"/>
      <c r="AF870" s="727"/>
      <c r="AG870" s="727"/>
      <c r="AH870" s="727"/>
      <c r="AI870" s="727"/>
      <c r="AJ870" s="727"/>
      <c r="AK870" s="727"/>
      <c r="AL870" s="727"/>
      <c r="AM870" s="727"/>
      <c r="AN870" s="727"/>
      <c r="AO870" s="727"/>
      <c r="AP870" s="727"/>
      <c r="AQ870" s="727"/>
      <c r="AR870" s="727"/>
      <c r="AS870" s="727"/>
      <c r="AT870" s="727"/>
      <c r="AU870" s="727"/>
      <c r="AV870" s="727"/>
      <c r="AW870" s="727"/>
      <c r="AX870" s="727"/>
      <c r="AY870" s="727"/>
      <c r="AZ870" s="727"/>
      <c r="BA870" s="727"/>
      <c r="BB870" s="727"/>
    </row>
    <row r="871" spans="1:54">
      <c r="A871" s="326"/>
      <c r="B871" s="727"/>
      <c r="C871" s="727"/>
      <c r="D871" s="727"/>
      <c r="E871" s="727"/>
      <c r="F871" s="727"/>
      <c r="G871" s="727"/>
      <c r="H871" s="727"/>
      <c r="I871" s="727"/>
      <c r="J871" s="727"/>
      <c r="K871" s="727"/>
      <c r="L871" s="727"/>
      <c r="M871" s="727"/>
      <c r="N871" s="727"/>
      <c r="O871" s="727"/>
      <c r="P871" s="727"/>
      <c r="Q871" s="727"/>
      <c r="R871" s="727"/>
      <c r="S871" s="727"/>
      <c r="T871" s="727"/>
      <c r="U871" s="727"/>
      <c r="V871" s="727"/>
      <c r="W871" s="727"/>
      <c r="X871" s="727"/>
      <c r="Y871" s="727"/>
      <c r="Z871" s="727"/>
      <c r="AA871" s="727"/>
      <c r="AB871" s="727"/>
      <c r="AC871" s="727"/>
      <c r="AD871" s="727"/>
      <c r="AE871" s="727"/>
      <c r="AF871" s="727"/>
      <c r="AG871" s="727"/>
      <c r="AH871" s="727"/>
      <c r="AI871" s="727"/>
      <c r="AJ871" s="727"/>
      <c r="AK871" s="727"/>
      <c r="AL871" s="727"/>
      <c r="AM871" s="727"/>
      <c r="AN871" s="727"/>
      <c r="AO871" s="727"/>
      <c r="AP871" s="727"/>
      <c r="AQ871" s="727"/>
      <c r="AR871" s="727"/>
      <c r="AS871" s="727"/>
      <c r="AT871" s="727"/>
      <c r="AU871" s="727"/>
      <c r="AV871" s="727"/>
      <c r="AW871" s="727"/>
      <c r="AX871" s="727"/>
      <c r="AY871" s="727"/>
      <c r="AZ871" s="727"/>
      <c r="BA871" s="727"/>
      <c r="BB871" s="727"/>
    </row>
    <row r="872" spans="1:54">
      <c r="A872" s="326"/>
      <c r="B872" s="727"/>
      <c r="C872" s="727"/>
      <c r="D872" s="727"/>
      <c r="E872" s="727"/>
      <c r="F872" s="727"/>
      <c r="G872" s="727"/>
      <c r="H872" s="727"/>
      <c r="I872" s="727"/>
      <c r="J872" s="727"/>
      <c r="K872" s="727"/>
      <c r="L872" s="727"/>
      <c r="M872" s="727"/>
      <c r="N872" s="727"/>
      <c r="O872" s="727"/>
      <c r="P872" s="727"/>
      <c r="Q872" s="727"/>
      <c r="R872" s="727"/>
      <c r="S872" s="727"/>
      <c r="T872" s="727"/>
      <c r="U872" s="727"/>
      <c r="V872" s="727"/>
      <c r="W872" s="727"/>
      <c r="X872" s="727"/>
      <c r="Y872" s="727"/>
      <c r="Z872" s="727"/>
      <c r="AA872" s="727"/>
      <c r="AB872" s="727"/>
      <c r="AC872" s="727"/>
      <c r="AD872" s="727"/>
      <c r="AE872" s="727"/>
      <c r="AF872" s="727"/>
      <c r="AG872" s="727"/>
      <c r="AH872" s="727"/>
      <c r="AI872" s="727"/>
      <c r="AJ872" s="727"/>
      <c r="AK872" s="727"/>
      <c r="AL872" s="727"/>
      <c r="AM872" s="727"/>
      <c r="AN872" s="727"/>
      <c r="AO872" s="727"/>
      <c r="AP872" s="727"/>
      <c r="AQ872" s="727"/>
      <c r="AR872" s="727"/>
      <c r="AS872" s="727"/>
      <c r="AT872" s="727"/>
      <c r="AU872" s="727"/>
      <c r="AV872" s="727"/>
      <c r="AW872" s="727"/>
      <c r="AX872" s="727"/>
      <c r="AY872" s="727"/>
      <c r="AZ872" s="727"/>
      <c r="BA872" s="727"/>
      <c r="BB872" s="727"/>
    </row>
    <row r="873" spans="1:54">
      <c r="A873" s="326"/>
      <c r="B873" s="727"/>
      <c r="C873" s="727"/>
      <c r="D873" s="727"/>
      <c r="E873" s="727"/>
      <c r="F873" s="727"/>
      <c r="G873" s="727"/>
      <c r="H873" s="727"/>
      <c r="I873" s="727"/>
      <c r="J873" s="727"/>
      <c r="K873" s="727"/>
      <c r="L873" s="727"/>
      <c r="M873" s="727"/>
      <c r="N873" s="727"/>
      <c r="O873" s="727"/>
      <c r="P873" s="727"/>
      <c r="Q873" s="727"/>
      <c r="R873" s="727"/>
      <c r="S873" s="727"/>
      <c r="T873" s="727"/>
      <c r="U873" s="727"/>
      <c r="V873" s="727"/>
      <c r="W873" s="727"/>
      <c r="X873" s="727"/>
      <c r="Y873" s="727"/>
      <c r="Z873" s="727"/>
      <c r="AA873" s="727"/>
      <c r="AB873" s="727"/>
      <c r="AC873" s="727"/>
      <c r="AD873" s="727"/>
      <c r="AE873" s="727"/>
      <c r="AF873" s="727"/>
      <c r="AG873" s="727"/>
      <c r="AH873" s="727"/>
      <c r="AI873" s="727"/>
      <c r="AJ873" s="727"/>
      <c r="AK873" s="727"/>
      <c r="AL873" s="727"/>
      <c r="AM873" s="727"/>
      <c r="AN873" s="727"/>
      <c r="AO873" s="727"/>
      <c r="AP873" s="727"/>
      <c r="AQ873" s="727"/>
      <c r="AR873" s="727"/>
      <c r="AS873" s="727"/>
      <c r="AT873" s="727"/>
      <c r="AU873" s="727"/>
      <c r="AV873" s="727"/>
      <c r="AW873" s="727"/>
      <c r="AX873" s="727"/>
      <c r="AY873" s="727"/>
      <c r="AZ873" s="727"/>
      <c r="BA873" s="727"/>
      <c r="BB873" s="727"/>
    </row>
    <row r="874" spans="1:54">
      <c r="A874" s="326"/>
      <c r="B874" s="727"/>
      <c r="C874" s="727"/>
      <c r="D874" s="727"/>
      <c r="E874" s="727"/>
      <c r="F874" s="727"/>
      <c r="G874" s="727"/>
      <c r="H874" s="727"/>
      <c r="I874" s="727"/>
      <c r="J874" s="727"/>
      <c r="K874" s="727"/>
      <c r="L874" s="727"/>
      <c r="M874" s="727"/>
      <c r="N874" s="727"/>
      <c r="O874" s="727"/>
      <c r="P874" s="727"/>
      <c r="Q874" s="727"/>
      <c r="R874" s="727"/>
      <c r="S874" s="727"/>
      <c r="T874" s="727"/>
      <c r="U874" s="727"/>
      <c r="V874" s="727"/>
      <c r="W874" s="727"/>
      <c r="X874" s="727"/>
      <c r="Y874" s="727"/>
      <c r="Z874" s="727"/>
      <c r="AA874" s="727"/>
      <c r="AB874" s="727"/>
      <c r="AC874" s="727"/>
      <c r="AD874" s="727"/>
      <c r="AE874" s="727"/>
      <c r="AF874" s="727"/>
      <c r="AG874" s="727"/>
      <c r="AH874" s="727"/>
      <c r="AI874" s="727"/>
      <c r="AJ874" s="727"/>
      <c r="AK874" s="727"/>
      <c r="AL874" s="727"/>
      <c r="AM874" s="727"/>
      <c r="AN874" s="727"/>
      <c r="AO874" s="727"/>
      <c r="AP874" s="727"/>
      <c r="AQ874" s="727"/>
      <c r="AR874" s="727"/>
      <c r="AS874" s="727"/>
      <c r="AT874" s="727"/>
      <c r="AU874" s="727"/>
      <c r="AV874" s="727"/>
      <c r="AW874" s="727"/>
      <c r="AX874" s="727"/>
      <c r="AY874" s="727"/>
      <c r="AZ874" s="727"/>
      <c r="BA874" s="727"/>
      <c r="BB874" s="727"/>
    </row>
    <row r="875" spans="1:54">
      <c r="A875" s="326"/>
      <c r="B875" s="727"/>
      <c r="C875" s="727"/>
      <c r="D875" s="727"/>
      <c r="E875" s="727"/>
      <c r="F875" s="727"/>
      <c r="G875" s="727"/>
      <c r="H875" s="727"/>
      <c r="I875" s="727"/>
      <c r="J875" s="727"/>
      <c r="K875" s="727"/>
      <c r="L875" s="727"/>
      <c r="M875" s="727"/>
      <c r="N875" s="727"/>
      <c r="O875" s="727"/>
      <c r="P875" s="727"/>
      <c r="Q875" s="727"/>
      <c r="R875" s="727"/>
      <c r="S875" s="727"/>
      <c r="T875" s="727"/>
      <c r="U875" s="727"/>
      <c r="V875" s="727"/>
      <c r="W875" s="727"/>
      <c r="X875" s="727"/>
      <c r="Y875" s="727"/>
      <c r="Z875" s="727"/>
      <c r="AA875" s="727"/>
      <c r="AB875" s="727"/>
      <c r="AC875" s="727"/>
      <c r="AD875" s="727"/>
      <c r="AE875" s="727"/>
      <c r="AF875" s="727"/>
      <c r="AG875" s="727"/>
      <c r="AH875" s="727"/>
      <c r="AI875" s="727"/>
      <c r="AJ875" s="727"/>
      <c r="AK875" s="727"/>
      <c r="AL875" s="727"/>
      <c r="AM875" s="727"/>
      <c r="AN875" s="727"/>
      <c r="AO875" s="727"/>
      <c r="AP875" s="727"/>
      <c r="AQ875" s="727"/>
      <c r="AR875" s="727"/>
      <c r="AS875" s="727"/>
      <c r="AT875" s="727"/>
      <c r="AU875" s="727"/>
      <c r="AV875" s="727"/>
      <c r="AW875" s="727"/>
      <c r="AX875" s="727"/>
      <c r="AY875" s="727"/>
      <c r="AZ875" s="727"/>
      <c r="BA875" s="727"/>
      <c r="BB875" s="727"/>
    </row>
    <row r="876" spans="1:54">
      <c r="A876" s="326"/>
      <c r="B876" s="727"/>
      <c r="C876" s="727"/>
      <c r="D876" s="727"/>
      <c r="E876" s="727"/>
      <c r="F876" s="727"/>
      <c r="G876" s="727"/>
      <c r="H876" s="727"/>
      <c r="I876" s="727"/>
      <c r="J876" s="727"/>
      <c r="K876" s="727"/>
      <c r="L876" s="727"/>
      <c r="M876" s="727"/>
      <c r="N876" s="727"/>
      <c r="O876" s="727"/>
      <c r="P876" s="727"/>
      <c r="Q876" s="727"/>
      <c r="R876" s="727"/>
      <c r="S876" s="727"/>
      <c r="T876" s="727"/>
      <c r="U876" s="727"/>
      <c r="V876" s="727"/>
      <c r="W876" s="727"/>
      <c r="X876" s="727"/>
      <c r="Y876" s="727"/>
      <c r="Z876" s="727"/>
      <c r="AA876" s="727"/>
      <c r="AB876" s="727"/>
      <c r="AC876" s="727"/>
      <c r="AD876" s="727"/>
      <c r="AE876" s="727"/>
      <c r="AF876" s="727"/>
      <c r="AG876" s="727"/>
      <c r="AH876" s="727"/>
      <c r="AI876" s="727"/>
      <c r="AJ876" s="727"/>
      <c r="AK876" s="727"/>
      <c r="AL876" s="727"/>
      <c r="AM876" s="727"/>
      <c r="AN876" s="727"/>
      <c r="AO876" s="727"/>
      <c r="AP876" s="727"/>
      <c r="AQ876" s="727"/>
      <c r="AR876" s="727"/>
      <c r="AS876" s="727"/>
      <c r="AT876" s="727"/>
      <c r="AU876" s="727"/>
      <c r="AV876" s="727"/>
      <c r="AW876" s="727"/>
      <c r="AX876" s="727"/>
      <c r="AY876" s="727"/>
      <c r="AZ876" s="727"/>
      <c r="BA876" s="727"/>
      <c r="BB876" s="727"/>
    </row>
    <row r="877" spans="1:54">
      <c r="A877" s="326"/>
      <c r="B877" s="727"/>
      <c r="C877" s="727"/>
      <c r="D877" s="727"/>
      <c r="E877" s="727"/>
      <c r="F877" s="727"/>
      <c r="G877" s="727"/>
      <c r="H877" s="727"/>
      <c r="I877" s="727"/>
      <c r="J877" s="727"/>
      <c r="K877" s="727"/>
      <c r="L877" s="727"/>
      <c r="M877" s="727"/>
      <c r="N877" s="727"/>
      <c r="O877" s="727"/>
      <c r="P877" s="727"/>
      <c r="Q877" s="727"/>
      <c r="R877" s="727"/>
      <c r="S877" s="727"/>
      <c r="T877" s="727"/>
      <c r="U877" s="727"/>
      <c r="V877" s="727"/>
      <c r="W877" s="727"/>
      <c r="X877" s="727"/>
      <c r="Y877" s="727"/>
      <c r="Z877" s="727"/>
      <c r="AA877" s="727"/>
      <c r="AB877" s="727"/>
      <c r="AC877" s="727"/>
      <c r="AD877" s="727"/>
      <c r="AE877" s="727"/>
      <c r="AF877" s="727"/>
      <c r="AG877" s="727"/>
      <c r="AH877" s="727"/>
      <c r="AI877" s="727"/>
      <c r="AJ877" s="727"/>
      <c r="AK877" s="727"/>
      <c r="AL877" s="727"/>
      <c r="AM877" s="727"/>
      <c r="AN877" s="727"/>
      <c r="AO877" s="727"/>
      <c r="AP877" s="727"/>
      <c r="AQ877" s="727"/>
      <c r="AR877" s="727"/>
      <c r="AS877" s="727"/>
      <c r="AT877" s="727"/>
      <c r="AU877" s="727"/>
      <c r="AV877" s="727"/>
      <c r="AW877" s="727"/>
      <c r="AX877" s="727"/>
      <c r="AY877" s="727"/>
      <c r="AZ877" s="727"/>
      <c r="BA877" s="727"/>
      <c r="BB877" s="727"/>
    </row>
    <row r="878" spans="1:54">
      <c r="A878" s="326"/>
      <c r="B878" s="727"/>
      <c r="C878" s="727"/>
      <c r="D878" s="727"/>
      <c r="E878" s="727"/>
      <c r="F878" s="727"/>
      <c r="G878" s="727"/>
      <c r="H878" s="727"/>
      <c r="I878" s="727"/>
      <c r="J878" s="727"/>
      <c r="K878" s="727"/>
      <c r="L878" s="727"/>
      <c r="M878" s="727"/>
      <c r="N878" s="727"/>
      <c r="O878" s="727"/>
      <c r="P878" s="727"/>
      <c r="Q878" s="727"/>
      <c r="R878" s="727"/>
      <c r="S878" s="727"/>
      <c r="T878" s="727"/>
      <c r="U878" s="727"/>
      <c r="V878" s="727"/>
      <c r="W878" s="727"/>
      <c r="X878" s="727"/>
      <c r="Y878" s="727"/>
      <c r="Z878" s="727"/>
      <c r="AA878" s="727"/>
      <c r="AB878" s="727"/>
      <c r="AC878" s="727"/>
      <c r="AD878" s="727"/>
      <c r="AE878" s="727"/>
      <c r="AF878" s="727"/>
      <c r="AG878" s="727"/>
      <c r="AH878" s="727"/>
      <c r="AI878" s="727"/>
      <c r="AJ878" s="727"/>
      <c r="AK878" s="727"/>
      <c r="AL878" s="727"/>
      <c r="AM878" s="727"/>
      <c r="AN878" s="727"/>
      <c r="AO878" s="727"/>
      <c r="AP878" s="727"/>
      <c r="AQ878" s="727"/>
      <c r="AR878" s="727"/>
      <c r="AS878" s="727"/>
      <c r="AT878" s="727"/>
      <c r="AU878" s="727"/>
      <c r="AV878" s="727"/>
      <c r="AW878" s="727"/>
      <c r="AX878" s="727"/>
      <c r="AY878" s="727"/>
      <c r="AZ878" s="727"/>
      <c r="BA878" s="727"/>
      <c r="BB878" s="727"/>
    </row>
    <row r="879" spans="1:54">
      <c r="A879" s="326"/>
      <c r="B879" s="727"/>
      <c r="C879" s="727"/>
      <c r="D879" s="727"/>
      <c r="E879" s="727"/>
      <c r="F879" s="727"/>
      <c r="G879" s="727"/>
      <c r="H879" s="727"/>
      <c r="I879" s="727"/>
      <c r="J879" s="727"/>
      <c r="K879" s="727"/>
      <c r="L879" s="727"/>
      <c r="M879" s="727"/>
      <c r="N879" s="727"/>
      <c r="O879" s="727"/>
      <c r="P879" s="727"/>
      <c r="Q879" s="727"/>
      <c r="R879" s="727"/>
      <c r="S879" s="727"/>
      <c r="T879" s="727"/>
      <c r="U879" s="727"/>
      <c r="V879" s="727"/>
      <c r="W879" s="727"/>
      <c r="X879" s="727"/>
      <c r="Y879" s="727"/>
      <c r="Z879" s="727"/>
      <c r="AA879" s="727"/>
      <c r="AB879" s="727"/>
      <c r="AC879" s="727"/>
      <c r="AD879" s="727"/>
      <c r="AE879" s="727"/>
      <c r="AF879" s="727"/>
      <c r="AG879" s="727"/>
      <c r="AH879" s="727"/>
      <c r="AI879" s="727"/>
      <c r="AJ879" s="727"/>
      <c r="AK879" s="727"/>
      <c r="AL879" s="727"/>
      <c r="AM879" s="727"/>
      <c r="AN879" s="727"/>
      <c r="AO879" s="727"/>
      <c r="AP879" s="727"/>
      <c r="AQ879" s="727"/>
      <c r="AR879" s="727"/>
      <c r="AS879" s="727"/>
      <c r="AT879" s="727"/>
      <c r="AU879" s="727"/>
      <c r="AV879" s="727"/>
      <c r="AW879" s="727"/>
      <c r="AX879" s="727"/>
      <c r="AY879" s="727"/>
      <c r="AZ879" s="727"/>
      <c r="BA879" s="727"/>
      <c r="BB879" s="727"/>
    </row>
    <row r="880" spans="1:54">
      <c r="A880" s="326"/>
      <c r="B880" s="727"/>
      <c r="C880" s="727"/>
      <c r="D880" s="727"/>
      <c r="E880" s="727"/>
      <c r="F880" s="727"/>
      <c r="G880" s="727"/>
      <c r="H880" s="727"/>
      <c r="I880" s="727"/>
      <c r="J880" s="727"/>
      <c r="K880" s="727"/>
      <c r="L880" s="727"/>
      <c r="M880" s="727"/>
      <c r="N880" s="727"/>
      <c r="O880" s="727"/>
      <c r="P880" s="727"/>
      <c r="Q880" s="727"/>
      <c r="R880" s="727"/>
      <c r="S880" s="727"/>
      <c r="T880" s="727"/>
      <c r="U880" s="727"/>
      <c r="V880" s="727"/>
      <c r="W880" s="727"/>
      <c r="X880" s="727"/>
      <c r="Y880" s="727"/>
      <c r="Z880" s="727"/>
      <c r="AA880" s="727"/>
      <c r="AB880" s="727"/>
      <c r="AC880" s="727"/>
      <c r="AD880" s="727"/>
      <c r="AE880" s="727"/>
      <c r="AF880" s="727"/>
      <c r="AG880" s="727"/>
      <c r="AH880" s="727"/>
      <c r="AI880" s="727"/>
      <c r="AJ880" s="727"/>
      <c r="AK880" s="727"/>
      <c r="AL880" s="727"/>
      <c r="AM880" s="727"/>
      <c r="AN880" s="727"/>
      <c r="AO880" s="727"/>
      <c r="AP880" s="727"/>
      <c r="AQ880" s="727"/>
      <c r="AR880" s="727"/>
      <c r="AS880" s="727"/>
      <c r="AT880" s="727"/>
      <c r="AU880" s="727"/>
      <c r="AV880" s="727"/>
      <c r="AW880" s="727"/>
      <c r="AX880" s="727"/>
      <c r="AY880" s="727"/>
      <c r="AZ880" s="727"/>
      <c r="BA880" s="727"/>
      <c r="BB880" s="727"/>
    </row>
    <row r="881" spans="1:54">
      <c r="A881" s="326"/>
      <c r="B881" s="727"/>
      <c r="C881" s="727"/>
      <c r="D881" s="727"/>
      <c r="E881" s="727"/>
      <c r="F881" s="727"/>
      <c r="G881" s="727"/>
      <c r="H881" s="727"/>
      <c r="I881" s="727"/>
      <c r="J881" s="727"/>
      <c r="K881" s="727"/>
      <c r="L881" s="727"/>
      <c r="M881" s="727"/>
      <c r="N881" s="727"/>
      <c r="O881" s="727"/>
      <c r="P881" s="727"/>
      <c r="Q881" s="727"/>
      <c r="R881" s="727"/>
      <c r="S881" s="727"/>
      <c r="T881" s="727"/>
      <c r="U881" s="727"/>
      <c r="V881" s="727"/>
      <c r="W881" s="727"/>
      <c r="X881" s="727"/>
      <c r="Y881" s="727"/>
      <c r="Z881" s="727"/>
      <c r="AA881" s="727"/>
      <c r="AB881" s="727"/>
      <c r="AC881" s="727"/>
      <c r="AD881" s="727"/>
      <c r="AE881" s="727"/>
      <c r="AF881" s="727"/>
      <c r="AG881" s="727"/>
      <c r="AH881" s="727"/>
      <c r="AI881" s="727"/>
      <c r="AJ881" s="727"/>
      <c r="AK881" s="727"/>
      <c r="AL881" s="727"/>
      <c r="AM881" s="727"/>
      <c r="AN881" s="727"/>
      <c r="AO881" s="727"/>
      <c r="AP881" s="727"/>
      <c r="AQ881" s="727"/>
      <c r="AR881" s="727"/>
      <c r="AS881" s="727"/>
      <c r="AT881" s="727"/>
      <c r="AU881" s="727"/>
      <c r="AV881" s="727"/>
      <c r="AW881" s="727"/>
      <c r="AX881" s="727"/>
      <c r="AY881" s="727"/>
      <c r="AZ881" s="727"/>
      <c r="BA881" s="727"/>
      <c r="BB881" s="727"/>
    </row>
    <row r="882" spans="1:54">
      <c r="A882" s="326"/>
      <c r="B882" s="727"/>
      <c r="C882" s="727"/>
      <c r="D882" s="727"/>
      <c r="E882" s="727"/>
      <c r="F882" s="727"/>
      <c r="G882" s="727"/>
      <c r="H882" s="727"/>
      <c r="I882" s="727"/>
      <c r="J882" s="727"/>
      <c r="K882" s="727"/>
      <c r="L882" s="727"/>
      <c r="M882" s="727"/>
      <c r="N882" s="727"/>
      <c r="O882" s="727"/>
      <c r="P882" s="727"/>
      <c r="Q882" s="727"/>
      <c r="R882" s="727"/>
      <c r="S882" s="727"/>
      <c r="T882" s="727"/>
      <c r="U882" s="727"/>
      <c r="V882" s="727"/>
      <c r="W882" s="727"/>
      <c r="X882" s="727"/>
      <c r="Y882" s="727"/>
      <c r="Z882" s="727"/>
      <c r="AA882" s="727"/>
      <c r="AB882" s="727"/>
      <c r="AC882" s="727"/>
      <c r="AD882" s="727"/>
      <c r="AE882" s="727"/>
      <c r="AF882" s="727"/>
      <c r="AG882" s="727"/>
      <c r="AH882" s="727"/>
      <c r="AI882" s="727"/>
      <c r="AJ882" s="727"/>
      <c r="AK882" s="727"/>
      <c r="AL882" s="727"/>
      <c r="AM882" s="727"/>
      <c r="AN882" s="727"/>
      <c r="AO882" s="727"/>
      <c r="AP882" s="727"/>
      <c r="AQ882" s="727"/>
      <c r="AR882" s="727"/>
      <c r="AS882" s="727"/>
      <c r="AT882" s="727"/>
      <c r="AU882" s="727"/>
      <c r="AV882" s="727"/>
      <c r="AW882" s="727"/>
      <c r="AX882" s="727"/>
      <c r="AY882" s="727"/>
      <c r="AZ882" s="727"/>
      <c r="BA882" s="727"/>
      <c r="BB882" s="727"/>
    </row>
    <row r="883" spans="1:54">
      <c r="A883" s="326"/>
      <c r="B883" s="727"/>
      <c r="C883" s="727"/>
      <c r="D883" s="727"/>
      <c r="E883" s="727"/>
      <c r="F883" s="727"/>
      <c r="G883" s="727"/>
      <c r="H883" s="727"/>
      <c r="I883" s="727"/>
      <c r="J883" s="727"/>
      <c r="K883" s="727"/>
      <c r="L883" s="727"/>
      <c r="M883" s="727"/>
      <c r="N883" s="727"/>
      <c r="O883" s="727"/>
      <c r="P883" s="727"/>
      <c r="Q883" s="727"/>
      <c r="R883" s="727"/>
      <c r="S883" s="727"/>
      <c r="T883" s="727"/>
      <c r="U883" s="727"/>
      <c r="V883" s="727"/>
      <c r="W883" s="727"/>
      <c r="X883" s="727"/>
      <c r="Y883" s="727"/>
      <c r="Z883" s="727"/>
      <c r="AA883" s="727"/>
      <c r="AB883" s="727"/>
      <c r="AC883" s="727"/>
      <c r="AD883" s="727"/>
      <c r="AE883" s="727"/>
      <c r="AF883" s="727"/>
      <c r="AG883" s="727"/>
      <c r="AH883" s="727"/>
      <c r="AI883" s="727"/>
      <c r="AJ883" s="727"/>
      <c r="AK883" s="727"/>
      <c r="AL883" s="727"/>
      <c r="AM883" s="727"/>
      <c r="AN883" s="727"/>
      <c r="AO883" s="727"/>
      <c r="AP883" s="727"/>
      <c r="AQ883" s="727"/>
      <c r="AR883" s="727"/>
      <c r="AS883" s="727"/>
      <c r="AT883" s="727"/>
      <c r="AU883" s="727"/>
      <c r="AV883" s="727"/>
      <c r="AW883" s="727"/>
      <c r="AX883" s="727"/>
      <c r="AY883" s="727"/>
      <c r="AZ883" s="727"/>
      <c r="BA883" s="727"/>
      <c r="BB883" s="727"/>
    </row>
    <row r="884" spans="1:54">
      <c r="A884" s="326"/>
      <c r="B884" s="727"/>
      <c r="C884" s="727"/>
      <c r="D884" s="727"/>
      <c r="E884" s="727"/>
      <c r="F884" s="727"/>
      <c r="G884" s="727"/>
      <c r="H884" s="727"/>
      <c r="I884" s="727"/>
      <c r="J884" s="727"/>
      <c r="K884" s="727"/>
      <c r="L884" s="727"/>
      <c r="M884" s="727"/>
      <c r="N884" s="727"/>
      <c r="O884" s="727"/>
      <c r="P884" s="727"/>
      <c r="Q884" s="727"/>
      <c r="R884" s="727"/>
      <c r="S884" s="727"/>
      <c r="T884" s="727"/>
      <c r="U884" s="727"/>
      <c r="V884" s="727"/>
      <c r="W884" s="727"/>
      <c r="X884" s="727"/>
      <c r="Y884" s="727"/>
      <c r="Z884" s="727"/>
      <c r="AA884" s="727"/>
      <c r="AB884" s="727"/>
      <c r="AC884" s="727"/>
      <c r="AD884" s="727"/>
      <c r="AE884" s="727"/>
      <c r="AF884" s="727"/>
      <c r="AG884" s="727"/>
      <c r="AH884" s="727"/>
      <c r="AI884" s="727"/>
      <c r="AJ884" s="727"/>
      <c r="AK884" s="727"/>
      <c r="AL884" s="727"/>
      <c r="AM884" s="727"/>
      <c r="AN884" s="727"/>
      <c r="AO884" s="727"/>
      <c r="AP884" s="727"/>
      <c r="AQ884" s="727"/>
      <c r="AR884" s="727"/>
      <c r="AS884" s="727"/>
      <c r="AT884" s="727"/>
      <c r="AU884" s="727"/>
      <c r="AV884" s="727"/>
      <c r="AW884" s="727"/>
      <c r="AX884" s="727"/>
      <c r="AY884" s="727"/>
      <c r="AZ884" s="727"/>
      <c r="BA884" s="727"/>
      <c r="BB884" s="727"/>
    </row>
    <row r="885" spans="1:54">
      <c r="A885" s="326"/>
      <c r="B885" s="727"/>
      <c r="C885" s="727"/>
      <c r="D885" s="727"/>
      <c r="E885" s="727"/>
      <c r="F885" s="727"/>
      <c r="G885" s="727"/>
      <c r="H885" s="727"/>
      <c r="I885" s="727"/>
      <c r="J885" s="727"/>
      <c r="K885" s="727"/>
      <c r="L885" s="727"/>
      <c r="M885" s="727"/>
      <c r="N885" s="727"/>
      <c r="O885" s="727"/>
      <c r="P885" s="727"/>
      <c r="Q885" s="727"/>
      <c r="R885" s="727"/>
      <c r="S885" s="727"/>
      <c r="T885" s="727"/>
      <c r="U885" s="727"/>
      <c r="V885" s="727"/>
      <c r="W885" s="727"/>
      <c r="X885" s="727"/>
      <c r="Y885" s="727"/>
      <c r="Z885" s="727"/>
      <c r="AA885" s="727"/>
      <c r="AB885" s="727"/>
      <c r="AC885" s="727"/>
      <c r="AD885" s="727"/>
      <c r="AE885" s="727"/>
      <c r="AF885" s="727"/>
      <c r="AG885" s="727"/>
      <c r="AH885" s="727"/>
      <c r="AI885" s="727"/>
      <c r="AJ885" s="727"/>
      <c r="AK885" s="727"/>
      <c r="AL885" s="727"/>
      <c r="AM885" s="727"/>
      <c r="AN885" s="727"/>
      <c r="AO885" s="727"/>
      <c r="AP885" s="727"/>
      <c r="AQ885" s="727"/>
      <c r="AR885" s="727"/>
      <c r="AS885" s="727"/>
      <c r="AT885" s="727"/>
      <c r="AU885" s="727"/>
      <c r="AV885" s="727"/>
      <c r="AW885" s="727"/>
      <c r="AX885" s="727"/>
      <c r="AY885" s="727"/>
      <c r="AZ885" s="727"/>
      <c r="BA885" s="727"/>
      <c r="BB885" s="727"/>
    </row>
    <row r="886" spans="1:54">
      <c r="A886" s="326"/>
      <c r="B886" s="727"/>
      <c r="C886" s="727"/>
      <c r="D886" s="727"/>
      <c r="E886" s="727"/>
      <c r="F886" s="727"/>
      <c r="G886" s="727"/>
      <c r="H886" s="727"/>
      <c r="I886" s="727"/>
      <c r="J886" s="727"/>
      <c r="K886" s="727"/>
      <c r="L886" s="727"/>
      <c r="M886" s="727"/>
      <c r="N886" s="727"/>
      <c r="O886" s="727"/>
      <c r="P886" s="727"/>
      <c r="Q886" s="727"/>
      <c r="R886" s="727"/>
      <c r="S886" s="727"/>
      <c r="T886" s="727"/>
      <c r="U886" s="727"/>
      <c r="V886" s="727"/>
      <c r="W886" s="727"/>
      <c r="X886" s="727"/>
      <c r="Y886" s="727"/>
      <c r="Z886" s="727"/>
      <c r="AA886" s="727"/>
      <c r="AB886" s="727"/>
      <c r="AC886" s="727"/>
      <c r="AD886" s="727"/>
      <c r="AE886" s="727"/>
      <c r="AF886" s="727"/>
      <c r="AG886" s="727"/>
      <c r="AH886" s="727"/>
      <c r="AI886" s="727"/>
      <c r="AJ886" s="727"/>
      <c r="AK886" s="727"/>
      <c r="AL886" s="727"/>
      <c r="AM886" s="727"/>
      <c r="AN886" s="727"/>
      <c r="AO886" s="727"/>
      <c r="AP886" s="727"/>
      <c r="AQ886" s="727"/>
      <c r="AR886" s="727"/>
      <c r="AS886" s="727"/>
      <c r="AT886" s="727"/>
      <c r="AU886" s="727"/>
      <c r="AV886" s="727"/>
      <c r="AW886" s="727"/>
      <c r="AX886" s="727"/>
      <c r="AY886" s="727"/>
      <c r="AZ886" s="727"/>
      <c r="BA886" s="727"/>
      <c r="BB886" s="727"/>
    </row>
    <row r="887" spans="1:54">
      <c r="A887" s="326"/>
      <c r="B887" s="727"/>
      <c r="C887" s="727"/>
      <c r="D887" s="727"/>
      <c r="E887" s="727"/>
      <c r="F887" s="727"/>
      <c r="G887" s="727"/>
      <c r="H887" s="727"/>
      <c r="I887" s="727"/>
      <c r="J887" s="727"/>
      <c r="K887" s="727"/>
      <c r="L887" s="727"/>
      <c r="M887" s="727"/>
      <c r="N887" s="727"/>
      <c r="O887" s="727"/>
      <c r="P887" s="727"/>
      <c r="Q887" s="727"/>
      <c r="R887" s="727"/>
      <c r="S887" s="727"/>
      <c r="T887" s="727"/>
      <c r="U887" s="727"/>
      <c r="V887" s="727"/>
      <c r="W887" s="727"/>
      <c r="X887" s="727"/>
      <c r="Y887" s="727"/>
      <c r="Z887" s="727"/>
      <c r="AA887" s="727"/>
      <c r="AB887" s="727"/>
      <c r="AC887" s="727"/>
      <c r="AD887" s="727"/>
      <c r="AE887" s="727"/>
      <c r="AF887" s="727"/>
      <c r="AG887" s="727"/>
      <c r="AH887" s="727"/>
      <c r="AI887" s="727"/>
      <c r="AJ887" s="727"/>
      <c r="AK887" s="727"/>
      <c r="AL887" s="727"/>
      <c r="AM887" s="727"/>
      <c r="AN887" s="727"/>
      <c r="AO887" s="727"/>
      <c r="AP887" s="727"/>
      <c r="AQ887" s="727"/>
      <c r="AR887" s="727"/>
      <c r="AS887" s="727"/>
      <c r="AT887" s="727"/>
      <c r="AU887" s="727"/>
      <c r="AV887" s="727"/>
      <c r="AW887" s="727"/>
      <c r="AX887" s="727"/>
      <c r="AY887" s="727"/>
      <c r="AZ887" s="727"/>
      <c r="BA887" s="727"/>
      <c r="BB887" s="727"/>
    </row>
    <row r="888" spans="1:54">
      <c r="A888" s="326"/>
      <c r="B888" s="727"/>
      <c r="C888" s="727"/>
      <c r="D888" s="727"/>
      <c r="E888" s="727"/>
      <c r="F888" s="727"/>
      <c r="G888" s="727"/>
      <c r="H888" s="727"/>
      <c r="I888" s="727"/>
      <c r="J888" s="727"/>
      <c r="K888" s="727"/>
      <c r="L888" s="727"/>
      <c r="M888" s="727"/>
      <c r="N888" s="727"/>
      <c r="O888" s="727"/>
      <c r="P888" s="727"/>
      <c r="Q888" s="727"/>
      <c r="R888" s="727"/>
      <c r="S888" s="727"/>
      <c r="T888" s="727"/>
      <c r="U888" s="727"/>
      <c r="V888" s="727"/>
      <c r="W888" s="727"/>
      <c r="X888" s="727"/>
      <c r="Y888" s="727"/>
      <c r="Z888" s="727"/>
      <c r="AA888" s="727"/>
      <c r="AB888" s="727"/>
      <c r="AC888" s="727"/>
      <c r="AD888" s="727"/>
      <c r="AE888" s="727"/>
      <c r="AF888" s="727"/>
      <c r="AG888" s="727"/>
      <c r="AH888" s="727"/>
      <c r="AI888" s="727"/>
      <c r="AJ888" s="727"/>
      <c r="AK888" s="727"/>
      <c r="AL888" s="727"/>
      <c r="AM888" s="727"/>
      <c r="AN888" s="727"/>
      <c r="AO888" s="727"/>
      <c r="AP888" s="727"/>
      <c r="AQ888" s="727"/>
      <c r="AR888" s="727"/>
      <c r="AS888" s="727"/>
      <c r="AT888" s="727"/>
      <c r="AU888" s="727"/>
      <c r="AV888" s="727"/>
      <c r="AW888" s="727"/>
      <c r="AX888" s="727"/>
      <c r="AY888" s="727"/>
      <c r="AZ888" s="727"/>
      <c r="BA888" s="727"/>
      <c r="BB888" s="727"/>
    </row>
    <row r="889" spans="1:54">
      <c r="A889" s="326"/>
      <c r="B889" s="727"/>
      <c r="C889" s="727"/>
      <c r="D889" s="727"/>
      <c r="E889" s="727"/>
      <c r="F889" s="727"/>
      <c r="G889" s="727"/>
      <c r="H889" s="727"/>
      <c r="I889" s="727"/>
      <c r="J889" s="727"/>
      <c r="K889" s="727"/>
      <c r="L889" s="727"/>
      <c r="M889" s="727"/>
      <c r="N889" s="727"/>
      <c r="O889" s="727"/>
      <c r="P889" s="727"/>
      <c r="Q889" s="727"/>
      <c r="R889" s="727"/>
      <c r="S889" s="727"/>
      <c r="T889" s="727"/>
      <c r="U889" s="727"/>
      <c r="V889" s="727"/>
      <c r="W889" s="727"/>
      <c r="X889" s="727"/>
      <c r="Y889" s="727"/>
      <c r="Z889" s="727"/>
      <c r="AA889" s="727"/>
      <c r="AB889" s="727"/>
      <c r="AC889" s="727"/>
      <c r="AD889" s="727"/>
      <c r="AE889" s="727"/>
      <c r="AF889" s="727"/>
      <c r="AG889" s="727"/>
      <c r="AH889" s="727"/>
      <c r="AI889" s="727"/>
      <c r="AJ889" s="727"/>
      <c r="AK889" s="727"/>
      <c r="AL889" s="727"/>
      <c r="AM889" s="727"/>
      <c r="AN889" s="727"/>
      <c r="AO889" s="727"/>
      <c r="AP889" s="727"/>
      <c r="AQ889" s="727"/>
      <c r="AR889" s="727"/>
      <c r="AS889" s="727"/>
      <c r="AT889" s="727"/>
      <c r="AU889" s="727"/>
      <c r="AV889" s="727"/>
      <c r="AW889" s="727"/>
      <c r="AX889" s="727"/>
      <c r="AY889" s="727"/>
      <c r="AZ889" s="727"/>
      <c r="BA889" s="727"/>
      <c r="BB889" s="727"/>
    </row>
    <row r="890" spans="1:54">
      <c r="A890" s="326"/>
      <c r="B890" s="727"/>
      <c r="C890" s="727"/>
      <c r="D890" s="727"/>
      <c r="E890" s="727"/>
      <c r="F890" s="727"/>
      <c r="G890" s="727"/>
      <c r="H890" s="727"/>
      <c r="I890" s="727"/>
      <c r="J890" s="727"/>
      <c r="K890" s="727"/>
      <c r="L890" s="727"/>
      <c r="M890" s="727"/>
      <c r="N890" s="727"/>
      <c r="O890" s="727"/>
      <c r="P890" s="727"/>
      <c r="Q890" s="727"/>
      <c r="R890" s="727"/>
      <c r="S890" s="727"/>
      <c r="T890" s="727"/>
      <c r="U890" s="727"/>
      <c r="V890" s="727"/>
      <c r="W890" s="727"/>
      <c r="X890" s="727"/>
      <c r="Y890" s="727"/>
      <c r="Z890" s="727"/>
      <c r="AA890" s="727"/>
      <c r="AB890" s="727"/>
      <c r="AC890" s="727"/>
      <c r="AD890" s="727"/>
      <c r="AE890" s="727"/>
      <c r="AF890" s="727"/>
      <c r="AG890" s="727"/>
      <c r="AH890" s="727"/>
      <c r="AI890" s="727"/>
      <c r="AJ890" s="727"/>
      <c r="AK890" s="727"/>
      <c r="AL890" s="727"/>
      <c r="AM890" s="727"/>
      <c r="AN890" s="727"/>
      <c r="AO890" s="727"/>
      <c r="AP890" s="727"/>
      <c r="AQ890" s="727"/>
      <c r="AR890" s="727"/>
      <c r="AS890" s="727"/>
      <c r="AT890" s="727"/>
      <c r="AU890" s="727"/>
      <c r="AV890" s="727"/>
      <c r="AW890" s="727"/>
      <c r="AX890" s="727"/>
      <c r="AY890" s="727"/>
      <c r="AZ890" s="727"/>
      <c r="BA890" s="727"/>
      <c r="BB890" s="727"/>
    </row>
    <row r="891" spans="1:54">
      <c r="A891" s="326"/>
      <c r="B891" s="727"/>
      <c r="C891" s="727"/>
      <c r="D891" s="727"/>
      <c r="E891" s="727"/>
      <c r="F891" s="727"/>
      <c r="G891" s="727"/>
      <c r="H891" s="727"/>
      <c r="I891" s="727"/>
      <c r="J891" s="727"/>
      <c r="K891" s="727"/>
      <c r="L891" s="727"/>
      <c r="M891" s="727"/>
      <c r="N891" s="727"/>
      <c r="O891" s="727"/>
      <c r="P891" s="727"/>
      <c r="Q891" s="727"/>
      <c r="R891" s="727"/>
      <c r="S891" s="727"/>
      <c r="T891" s="727"/>
      <c r="U891" s="727"/>
      <c r="V891" s="727"/>
      <c r="W891" s="727"/>
      <c r="X891" s="727"/>
      <c r="Y891" s="727"/>
      <c r="Z891" s="727"/>
      <c r="AA891" s="727"/>
      <c r="AB891" s="727"/>
      <c r="AC891" s="727"/>
      <c r="AD891" s="727"/>
      <c r="AE891" s="727"/>
      <c r="AF891" s="727"/>
      <c r="AG891" s="727"/>
      <c r="AH891" s="727"/>
      <c r="AI891" s="727"/>
      <c r="AJ891" s="727"/>
      <c r="AK891" s="727"/>
      <c r="AL891" s="727"/>
      <c r="AM891" s="727"/>
      <c r="AN891" s="727"/>
      <c r="AO891" s="727"/>
      <c r="AP891" s="727"/>
      <c r="AQ891" s="727"/>
      <c r="AR891" s="727"/>
      <c r="AS891" s="727"/>
      <c r="AT891" s="727"/>
      <c r="AU891" s="727"/>
      <c r="AV891" s="727"/>
      <c r="AW891" s="727"/>
      <c r="AX891" s="727"/>
      <c r="AY891" s="727"/>
      <c r="AZ891" s="727"/>
      <c r="BA891" s="727"/>
      <c r="BB891" s="727"/>
    </row>
    <row r="892" spans="1:54">
      <c r="A892" s="326"/>
      <c r="B892" s="727"/>
      <c r="C892" s="727"/>
      <c r="D892" s="727"/>
      <c r="E892" s="727"/>
      <c r="F892" s="727"/>
      <c r="G892" s="727"/>
      <c r="H892" s="727"/>
      <c r="I892" s="727"/>
      <c r="J892" s="727"/>
      <c r="K892" s="727"/>
      <c r="L892" s="727"/>
      <c r="M892" s="727"/>
      <c r="N892" s="727"/>
      <c r="O892" s="727"/>
      <c r="P892" s="727"/>
      <c r="Q892" s="727"/>
      <c r="R892" s="727"/>
      <c r="S892" s="727"/>
      <c r="T892" s="727"/>
      <c r="U892" s="727"/>
      <c r="V892" s="727"/>
      <c r="W892" s="727"/>
      <c r="X892" s="727"/>
      <c r="Y892" s="727"/>
      <c r="Z892" s="727"/>
      <c r="AA892" s="727"/>
      <c r="AB892" s="727"/>
      <c r="AC892" s="727"/>
      <c r="AD892" s="727"/>
      <c r="AE892" s="727"/>
      <c r="AF892" s="727"/>
      <c r="AG892" s="727"/>
      <c r="AH892" s="727"/>
      <c r="AI892" s="727"/>
      <c r="AJ892" s="727"/>
      <c r="AK892" s="727"/>
      <c r="AL892" s="727"/>
      <c r="AM892" s="727"/>
      <c r="AN892" s="727"/>
      <c r="AO892" s="727"/>
      <c r="AP892" s="727"/>
      <c r="AQ892" s="727"/>
      <c r="AR892" s="727"/>
      <c r="AS892" s="727"/>
      <c r="AT892" s="727"/>
      <c r="AU892" s="727"/>
      <c r="AV892" s="727"/>
      <c r="AW892" s="727"/>
      <c r="AX892" s="727"/>
      <c r="AY892" s="727"/>
      <c r="AZ892" s="727"/>
      <c r="BA892" s="727"/>
      <c r="BB892" s="727"/>
    </row>
    <row r="893" spans="1:54">
      <c r="A893" s="326"/>
      <c r="B893" s="727"/>
      <c r="C893" s="727"/>
      <c r="D893" s="727"/>
      <c r="E893" s="727"/>
      <c r="F893" s="727"/>
      <c r="G893" s="727"/>
      <c r="H893" s="727"/>
      <c r="I893" s="727"/>
      <c r="J893" s="727"/>
      <c r="K893" s="727"/>
      <c r="L893" s="727"/>
      <c r="M893" s="727"/>
      <c r="N893" s="727"/>
      <c r="O893" s="727"/>
      <c r="P893" s="727"/>
      <c r="Q893" s="727"/>
      <c r="R893" s="727"/>
      <c r="S893" s="727"/>
      <c r="T893" s="727"/>
      <c r="U893" s="727"/>
      <c r="V893" s="727"/>
      <c r="W893" s="727"/>
      <c r="X893" s="727"/>
      <c r="Y893" s="727"/>
      <c r="Z893" s="727"/>
      <c r="AA893" s="727"/>
      <c r="AB893" s="727"/>
      <c r="AC893" s="727"/>
      <c r="AD893" s="727"/>
      <c r="AE893" s="727"/>
      <c r="AF893" s="727"/>
      <c r="AG893" s="727"/>
      <c r="AH893" s="727"/>
      <c r="AI893" s="727"/>
      <c r="AJ893" s="727"/>
      <c r="AK893" s="727"/>
      <c r="AL893" s="727"/>
      <c r="AM893" s="727"/>
      <c r="AN893" s="727"/>
      <c r="AO893" s="727"/>
      <c r="AP893" s="727"/>
      <c r="AQ893" s="727"/>
      <c r="AR893" s="727"/>
      <c r="AS893" s="727"/>
      <c r="AT893" s="727"/>
      <c r="AU893" s="727"/>
      <c r="AV893" s="727"/>
      <c r="AW893" s="727"/>
      <c r="AX893" s="727"/>
      <c r="AY893" s="727"/>
      <c r="AZ893" s="727"/>
      <c r="BA893" s="727"/>
      <c r="BB893" s="727"/>
    </row>
    <row r="894" spans="1:54">
      <c r="A894" s="326"/>
      <c r="B894" s="727"/>
      <c r="C894" s="727"/>
      <c r="D894" s="727"/>
      <c r="E894" s="727"/>
      <c r="F894" s="727"/>
      <c r="G894" s="727"/>
      <c r="H894" s="727"/>
      <c r="I894" s="727"/>
      <c r="J894" s="727"/>
      <c r="K894" s="727"/>
      <c r="L894" s="727"/>
      <c r="M894" s="727"/>
      <c r="N894" s="727"/>
      <c r="O894" s="727"/>
      <c r="P894" s="727"/>
      <c r="Q894" s="727"/>
      <c r="R894" s="727"/>
      <c r="S894" s="727"/>
      <c r="T894" s="727"/>
      <c r="U894" s="727"/>
      <c r="V894" s="727"/>
      <c r="W894" s="727"/>
      <c r="X894" s="727"/>
      <c r="Y894" s="727"/>
      <c r="Z894" s="727"/>
      <c r="AA894" s="727"/>
      <c r="AB894" s="727"/>
      <c r="AC894" s="727"/>
      <c r="AD894" s="727"/>
      <c r="AE894" s="727"/>
      <c r="AF894" s="727"/>
      <c r="AG894" s="727"/>
      <c r="AH894" s="727"/>
      <c r="AI894" s="727"/>
      <c r="AJ894" s="727"/>
      <c r="AK894" s="727"/>
      <c r="AL894" s="727"/>
      <c r="AM894" s="727"/>
      <c r="AN894" s="727"/>
      <c r="AO894" s="727"/>
      <c r="AP894" s="727"/>
      <c r="AQ894" s="727"/>
      <c r="AR894" s="727"/>
      <c r="AS894" s="727"/>
      <c r="AT894" s="727"/>
      <c r="AU894" s="727"/>
      <c r="AV894" s="727"/>
      <c r="AW894" s="727"/>
      <c r="AX894" s="727"/>
      <c r="AY894" s="727"/>
      <c r="AZ894" s="727"/>
      <c r="BA894" s="727"/>
      <c r="BB894" s="727"/>
    </row>
    <row r="895" spans="1:54">
      <c r="A895" s="326"/>
      <c r="B895" s="727"/>
      <c r="C895" s="727"/>
      <c r="D895" s="727"/>
      <c r="E895" s="727"/>
      <c r="F895" s="727"/>
      <c r="G895" s="727"/>
      <c r="H895" s="727"/>
      <c r="I895" s="727"/>
      <c r="J895" s="727"/>
      <c r="K895" s="727"/>
      <c r="L895" s="727"/>
      <c r="M895" s="727"/>
      <c r="N895" s="727"/>
      <c r="O895" s="727"/>
      <c r="P895" s="727"/>
      <c r="Q895" s="727"/>
      <c r="R895" s="727"/>
      <c r="S895" s="727"/>
      <c r="T895" s="727"/>
      <c r="U895" s="727"/>
      <c r="V895" s="727"/>
      <c r="W895" s="727"/>
      <c r="X895" s="727"/>
      <c r="Y895" s="727"/>
      <c r="Z895" s="727"/>
      <c r="AA895" s="727"/>
      <c r="AB895" s="727"/>
      <c r="AC895" s="727"/>
      <c r="AD895" s="727"/>
      <c r="AE895" s="727"/>
      <c r="AF895" s="727"/>
      <c r="AG895" s="727"/>
      <c r="AH895" s="727"/>
      <c r="AI895" s="727"/>
      <c r="AJ895" s="727"/>
      <c r="AK895" s="727"/>
      <c r="AL895" s="727"/>
      <c r="AM895" s="727"/>
      <c r="AN895" s="727"/>
      <c r="AO895" s="727"/>
      <c r="AP895" s="727"/>
      <c r="AQ895" s="727"/>
      <c r="AR895" s="727"/>
      <c r="AS895" s="727"/>
      <c r="AT895" s="727"/>
      <c r="AU895" s="727"/>
      <c r="AV895" s="727"/>
      <c r="AW895" s="727"/>
      <c r="AX895" s="727"/>
      <c r="AY895" s="727"/>
      <c r="AZ895" s="727"/>
      <c r="BA895" s="727"/>
      <c r="BB895" s="727"/>
    </row>
    <row r="896" spans="1:54">
      <c r="A896" s="326"/>
      <c r="B896" s="727"/>
      <c r="C896" s="727"/>
      <c r="D896" s="727"/>
      <c r="E896" s="727"/>
      <c r="F896" s="727"/>
      <c r="G896" s="727"/>
      <c r="H896" s="727"/>
      <c r="I896" s="727"/>
      <c r="J896" s="727"/>
      <c r="K896" s="727"/>
      <c r="L896" s="727"/>
      <c r="M896" s="727"/>
      <c r="N896" s="727"/>
      <c r="O896" s="727"/>
      <c r="P896" s="727"/>
      <c r="Q896" s="727"/>
      <c r="R896" s="727"/>
      <c r="S896" s="727"/>
      <c r="T896" s="727"/>
      <c r="U896" s="727"/>
      <c r="V896" s="727"/>
      <c r="W896" s="727"/>
      <c r="X896" s="727"/>
      <c r="Y896" s="727"/>
      <c r="Z896" s="727"/>
      <c r="AA896" s="727"/>
      <c r="AB896" s="727"/>
      <c r="AC896" s="727"/>
      <c r="AD896" s="727"/>
      <c r="AE896" s="727"/>
      <c r="AF896" s="727"/>
      <c r="AG896" s="727"/>
      <c r="AH896" s="727"/>
      <c r="AI896" s="727"/>
      <c r="AJ896" s="727"/>
      <c r="AK896" s="727"/>
      <c r="AL896" s="727"/>
      <c r="AM896" s="727"/>
      <c r="AN896" s="727"/>
      <c r="AO896" s="727"/>
      <c r="AP896" s="727"/>
      <c r="AQ896" s="727"/>
      <c r="AR896" s="727"/>
      <c r="AS896" s="727"/>
      <c r="AT896" s="727"/>
      <c r="AU896" s="727"/>
      <c r="AV896" s="727"/>
      <c r="AW896" s="727"/>
      <c r="AX896" s="727"/>
      <c r="AY896" s="727"/>
      <c r="AZ896" s="727"/>
      <c r="BA896" s="727"/>
      <c r="BB896" s="727"/>
    </row>
    <row r="897" spans="1:54">
      <c r="A897" s="326"/>
      <c r="B897" s="727"/>
      <c r="C897" s="727"/>
      <c r="D897" s="727"/>
      <c r="E897" s="727"/>
      <c r="F897" s="727"/>
      <c r="G897" s="727"/>
      <c r="H897" s="727"/>
      <c r="I897" s="727"/>
      <c r="J897" s="727"/>
      <c r="K897" s="727"/>
      <c r="L897" s="727"/>
      <c r="M897" s="727"/>
      <c r="N897" s="727"/>
      <c r="O897" s="727"/>
      <c r="P897" s="727"/>
      <c r="Q897" s="727"/>
      <c r="R897" s="727"/>
      <c r="S897" s="727"/>
      <c r="T897" s="727"/>
      <c r="U897" s="727"/>
      <c r="V897" s="727"/>
      <c r="W897" s="727"/>
      <c r="X897" s="727"/>
      <c r="Y897" s="727"/>
      <c r="Z897" s="727"/>
      <c r="AA897" s="727"/>
      <c r="AB897" s="727"/>
      <c r="AC897" s="727"/>
      <c r="AD897" s="727"/>
      <c r="AE897" s="727"/>
      <c r="AF897" s="727"/>
      <c r="AG897" s="727"/>
      <c r="AH897" s="727"/>
      <c r="AI897" s="727"/>
      <c r="AJ897" s="727"/>
      <c r="AK897" s="727"/>
      <c r="AL897" s="727"/>
      <c r="AM897" s="727"/>
      <c r="AN897" s="727"/>
      <c r="AO897" s="727"/>
      <c r="AP897" s="727"/>
      <c r="AQ897" s="727"/>
      <c r="AR897" s="727"/>
      <c r="AS897" s="727"/>
      <c r="AT897" s="727"/>
      <c r="AU897" s="727"/>
      <c r="AV897" s="727"/>
      <c r="AW897" s="727"/>
      <c r="AX897" s="727"/>
      <c r="AY897" s="727"/>
      <c r="AZ897" s="727"/>
      <c r="BA897" s="727"/>
      <c r="BB897" s="727"/>
    </row>
    <row r="898" spans="1:54">
      <c r="A898" s="326"/>
      <c r="B898" s="727"/>
      <c r="C898" s="727"/>
      <c r="D898" s="727"/>
      <c r="E898" s="727"/>
      <c r="F898" s="727"/>
      <c r="G898" s="727"/>
      <c r="H898" s="727"/>
      <c r="I898" s="727"/>
      <c r="J898" s="727"/>
      <c r="K898" s="727"/>
      <c r="L898" s="727"/>
      <c r="M898" s="727"/>
      <c r="N898" s="727"/>
      <c r="O898" s="727"/>
      <c r="P898" s="727"/>
      <c r="Q898" s="727"/>
      <c r="R898" s="727"/>
      <c r="S898" s="727"/>
      <c r="T898" s="727"/>
      <c r="U898" s="727"/>
      <c r="V898" s="727"/>
      <c r="W898" s="727"/>
      <c r="X898" s="727"/>
      <c r="Y898" s="727"/>
      <c r="Z898" s="727"/>
      <c r="AA898" s="727"/>
      <c r="AB898" s="727"/>
      <c r="AC898" s="727"/>
      <c r="AD898" s="727"/>
      <c r="AE898" s="727"/>
      <c r="AF898" s="727"/>
      <c r="AG898" s="727"/>
      <c r="AH898" s="727"/>
      <c r="AI898" s="727"/>
      <c r="AJ898" s="727"/>
      <c r="AK898" s="727"/>
      <c r="AL898" s="727"/>
      <c r="AM898" s="727"/>
      <c r="AN898" s="727"/>
      <c r="AO898" s="727"/>
      <c r="AP898" s="727"/>
      <c r="AQ898" s="727"/>
      <c r="AR898" s="727"/>
      <c r="AS898" s="727"/>
      <c r="AT898" s="727"/>
      <c r="AU898" s="727"/>
      <c r="AV898" s="727"/>
      <c r="AW898" s="727"/>
      <c r="AX898" s="727"/>
      <c r="AY898" s="727"/>
      <c r="AZ898" s="727"/>
      <c r="BA898" s="727"/>
      <c r="BB898" s="727"/>
    </row>
    <row r="899" spans="1:54">
      <c r="A899" s="326"/>
      <c r="B899" s="727"/>
      <c r="C899" s="727"/>
      <c r="D899" s="727"/>
      <c r="E899" s="727"/>
      <c r="F899" s="727"/>
      <c r="G899" s="727"/>
      <c r="H899" s="727"/>
      <c r="I899" s="727"/>
      <c r="J899" s="727"/>
      <c r="K899" s="727"/>
      <c r="L899" s="727"/>
      <c r="M899" s="727"/>
      <c r="N899" s="727"/>
      <c r="O899" s="727"/>
      <c r="P899" s="727"/>
      <c r="Q899" s="727"/>
      <c r="R899" s="727"/>
      <c r="S899" s="727"/>
      <c r="T899" s="727"/>
      <c r="U899" s="727"/>
      <c r="V899" s="727"/>
      <c r="W899" s="727"/>
      <c r="X899" s="727"/>
      <c r="Y899" s="727"/>
      <c r="Z899" s="727"/>
      <c r="AA899" s="727"/>
      <c r="AB899" s="727"/>
      <c r="AC899" s="727"/>
      <c r="AD899" s="727"/>
      <c r="AE899" s="727"/>
      <c r="AF899" s="727"/>
      <c r="AG899" s="727"/>
      <c r="AH899" s="727"/>
      <c r="AI899" s="727"/>
      <c r="AJ899" s="727"/>
      <c r="AK899" s="727"/>
      <c r="AL899" s="727"/>
      <c r="AM899" s="727"/>
      <c r="AN899" s="727"/>
      <c r="AO899" s="727"/>
      <c r="AP899" s="727"/>
      <c r="AQ899" s="727"/>
      <c r="AR899" s="727"/>
      <c r="AS899" s="727"/>
      <c r="AT899" s="727"/>
      <c r="AU899" s="727"/>
      <c r="AV899" s="727"/>
      <c r="AW899" s="727"/>
      <c r="AX899" s="727"/>
      <c r="AY899" s="727"/>
      <c r="AZ899" s="727"/>
      <c r="BA899" s="727"/>
      <c r="BB899" s="727"/>
    </row>
    <row r="900" spans="1:54">
      <c r="A900" s="326"/>
      <c r="B900" s="727"/>
      <c r="C900" s="727"/>
      <c r="D900" s="727"/>
      <c r="E900" s="727"/>
      <c r="F900" s="727"/>
      <c r="G900" s="727"/>
      <c r="H900" s="727"/>
      <c r="I900" s="727"/>
      <c r="J900" s="727"/>
      <c r="K900" s="727"/>
      <c r="L900" s="727"/>
      <c r="M900" s="727"/>
      <c r="N900" s="727"/>
      <c r="O900" s="727"/>
      <c r="P900" s="727"/>
      <c r="Q900" s="727"/>
      <c r="R900" s="727"/>
      <c r="S900" s="727"/>
      <c r="T900" s="727"/>
      <c r="U900" s="727"/>
      <c r="V900" s="727"/>
      <c r="W900" s="727"/>
      <c r="X900" s="727"/>
      <c r="Y900" s="727"/>
      <c r="Z900" s="727"/>
      <c r="AA900" s="727"/>
      <c r="AB900" s="727"/>
      <c r="AC900" s="727"/>
      <c r="AD900" s="727"/>
      <c r="AE900" s="727"/>
      <c r="AF900" s="727"/>
      <c r="AG900" s="727"/>
      <c r="AH900" s="727"/>
      <c r="AI900" s="727"/>
      <c r="AJ900" s="727"/>
      <c r="AK900" s="727"/>
      <c r="AL900" s="727"/>
      <c r="AM900" s="727"/>
      <c r="AN900" s="727"/>
      <c r="AO900" s="727"/>
      <c r="AP900" s="727"/>
      <c r="AQ900" s="727"/>
      <c r="AR900" s="727"/>
      <c r="AS900" s="727"/>
      <c r="AT900" s="727"/>
      <c r="AU900" s="727"/>
      <c r="AV900" s="727"/>
      <c r="AW900" s="727"/>
      <c r="AX900" s="727"/>
      <c r="AY900" s="727"/>
      <c r="AZ900" s="727"/>
      <c r="BA900" s="727"/>
      <c r="BB900" s="727"/>
    </row>
    <row r="901" spans="1:54">
      <c r="A901" s="326"/>
      <c r="B901" s="727"/>
      <c r="C901" s="727"/>
      <c r="D901" s="727"/>
      <c r="E901" s="727"/>
      <c r="F901" s="727"/>
      <c r="G901" s="727"/>
      <c r="H901" s="727"/>
      <c r="I901" s="727"/>
      <c r="J901" s="727"/>
      <c r="K901" s="727"/>
      <c r="L901" s="727"/>
      <c r="M901" s="727"/>
      <c r="N901" s="727"/>
      <c r="O901" s="727"/>
      <c r="P901" s="727"/>
      <c r="Q901" s="727"/>
      <c r="R901" s="727"/>
      <c r="S901" s="727"/>
      <c r="T901" s="727"/>
      <c r="U901" s="727"/>
      <c r="V901" s="727"/>
      <c r="W901" s="727"/>
      <c r="X901" s="727"/>
      <c r="Y901" s="727"/>
      <c r="Z901" s="727"/>
      <c r="AA901" s="727"/>
      <c r="AB901" s="727"/>
      <c r="AC901" s="727"/>
      <c r="AD901" s="727"/>
      <c r="AE901" s="727"/>
      <c r="AF901" s="727"/>
      <c r="AG901" s="727"/>
      <c r="AH901" s="727"/>
      <c r="AI901" s="727"/>
      <c r="AJ901" s="727"/>
      <c r="AK901" s="727"/>
      <c r="AL901" s="727"/>
      <c r="AM901" s="727"/>
      <c r="AN901" s="727"/>
      <c r="AO901" s="727"/>
      <c r="AP901" s="727"/>
      <c r="AQ901" s="727"/>
      <c r="AR901" s="727"/>
      <c r="AS901" s="727"/>
      <c r="AT901" s="727"/>
      <c r="AU901" s="727"/>
      <c r="AV901" s="727"/>
      <c r="AW901" s="727"/>
      <c r="AX901" s="727"/>
      <c r="AY901" s="727"/>
      <c r="AZ901" s="727"/>
      <c r="BA901" s="727"/>
      <c r="BB901" s="727"/>
    </row>
    <row r="902" spans="1:54">
      <c r="A902" s="326"/>
      <c r="B902" s="727"/>
      <c r="C902" s="727"/>
      <c r="D902" s="727"/>
      <c r="E902" s="727"/>
      <c r="F902" s="727"/>
      <c r="G902" s="727"/>
      <c r="H902" s="727"/>
      <c r="I902" s="727"/>
      <c r="J902" s="727"/>
      <c r="K902" s="727"/>
      <c r="L902" s="727"/>
      <c r="M902" s="727"/>
      <c r="N902" s="727"/>
      <c r="O902" s="727"/>
      <c r="P902" s="727"/>
      <c r="Q902" s="727"/>
      <c r="R902" s="727"/>
      <c r="S902" s="727"/>
      <c r="T902" s="727"/>
      <c r="U902" s="727"/>
      <c r="V902" s="727"/>
      <c r="W902" s="727"/>
      <c r="X902" s="727"/>
      <c r="Y902" s="727"/>
      <c r="Z902" s="727"/>
      <c r="AA902" s="727"/>
      <c r="AB902" s="727"/>
      <c r="AC902" s="727"/>
      <c r="AD902" s="727"/>
      <c r="AE902" s="727"/>
      <c r="AF902" s="727"/>
      <c r="AG902" s="727"/>
      <c r="AH902" s="727"/>
      <c r="AI902" s="727"/>
      <c r="AJ902" s="727"/>
      <c r="AK902" s="727"/>
      <c r="AL902" s="727"/>
      <c r="AM902" s="727"/>
      <c r="AN902" s="727"/>
      <c r="AO902" s="727"/>
      <c r="AP902" s="727"/>
      <c r="AQ902" s="727"/>
      <c r="AR902" s="727"/>
      <c r="AS902" s="727"/>
      <c r="AT902" s="727"/>
      <c r="AU902" s="727"/>
      <c r="AV902" s="727"/>
      <c r="AW902" s="727"/>
      <c r="AX902" s="727"/>
      <c r="AY902" s="727"/>
      <c r="AZ902" s="727"/>
      <c r="BA902" s="727"/>
      <c r="BB902" s="727"/>
    </row>
    <row r="903" spans="1:54">
      <c r="A903" s="326"/>
      <c r="B903" s="727"/>
      <c r="C903" s="727"/>
      <c r="D903" s="727"/>
      <c r="E903" s="727"/>
      <c r="F903" s="727"/>
      <c r="G903" s="727"/>
      <c r="H903" s="727"/>
      <c r="I903" s="727"/>
      <c r="J903" s="727"/>
      <c r="K903" s="727"/>
      <c r="L903" s="727"/>
      <c r="M903" s="727"/>
      <c r="N903" s="727"/>
      <c r="O903" s="727"/>
      <c r="P903" s="727"/>
      <c r="Q903" s="727"/>
      <c r="R903" s="727"/>
      <c r="S903" s="727"/>
      <c r="T903" s="727"/>
      <c r="U903" s="727"/>
      <c r="V903" s="727"/>
      <c r="W903" s="727"/>
      <c r="X903" s="727"/>
      <c r="Y903" s="727"/>
      <c r="Z903" s="727"/>
      <c r="AA903" s="727"/>
      <c r="AB903" s="727"/>
      <c r="AC903" s="727"/>
      <c r="AD903" s="727"/>
      <c r="AE903" s="727"/>
      <c r="AF903" s="727"/>
      <c r="AG903" s="727"/>
      <c r="AH903" s="727"/>
      <c r="AI903" s="727"/>
      <c r="AJ903" s="727"/>
      <c r="AK903" s="727"/>
      <c r="AL903" s="727"/>
      <c r="AM903" s="727"/>
      <c r="AN903" s="727"/>
      <c r="AO903" s="727"/>
      <c r="AP903" s="727"/>
      <c r="AQ903" s="727"/>
      <c r="AR903" s="727"/>
      <c r="AS903" s="727"/>
      <c r="AT903" s="727"/>
      <c r="AU903" s="727"/>
      <c r="AV903" s="727"/>
      <c r="AW903" s="727"/>
      <c r="AX903" s="727"/>
      <c r="AY903" s="727"/>
      <c r="AZ903" s="727"/>
      <c r="BA903" s="727"/>
      <c r="BB903" s="727"/>
    </row>
    <row r="904" spans="1:54">
      <c r="A904" s="326"/>
      <c r="B904" s="727"/>
      <c r="C904" s="727"/>
      <c r="D904" s="727"/>
      <c r="E904" s="727"/>
      <c r="F904" s="727"/>
      <c r="G904" s="727"/>
      <c r="H904" s="727"/>
      <c r="I904" s="727"/>
      <c r="J904" s="727"/>
      <c r="K904" s="727"/>
      <c r="L904" s="727"/>
      <c r="M904" s="727"/>
      <c r="N904" s="727"/>
      <c r="O904" s="727"/>
      <c r="P904" s="727"/>
      <c r="Q904" s="727"/>
      <c r="R904" s="727"/>
      <c r="S904" s="727"/>
      <c r="T904" s="727"/>
      <c r="U904" s="727"/>
      <c r="V904" s="727"/>
      <c r="W904" s="727"/>
      <c r="X904" s="727"/>
      <c r="Y904" s="727"/>
      <c r="Z904" s="727"/>
      <c r="AA904" s="727"/>
      <c r="AB904" s="727"/>
      <c r="AC904" s="727"/>
      <c r="AD904" s="727"/>
      <c r="AE904" s="727"/>
      <c r="AF904" s="727"/>
      <c r="AG904" s="727"/>
      <c r="AH904" s="727"/>
      <c r="AI904" s="727"/>
      <c r="AJ904" s="727"/>
      <c r="AK904" s="727"/>
      <c r="AL904" s="727"/>
      <c r="AM904" s="727"/>
      <c r="AN904" s="727"/>
      <c r="AO904" s="727"/>
      <c r="AP904" s="727"/>
      <c r="AQ904" s="727"/>
      <c r="AR904" s="727"/>
      <c r="AS904" s="727"/>
      <c r="AT904" s="727"/>
      <c r="AU904" s="727"/>
      <c r="AV904" s="727"/>
      <c r="AW904" s="727"/>
      <c r="AX904" s="727"/>
      <c r="AY904" s="727"/>
      <c r="AZ904" s="727"/>
      <c r="BA904" s="727"/>
      <c r="BB904" s="727"/>
    </row>
    <row r="905" spans="1:54">
      <c r="A905" s="326"/>
      <c r="B905" s="727"/>
      <c r="C905" s="727"/>
      <c r="D905" s="727"/>
      <c r="E905" s="727"/>
      <c r="F905" s="727"/>
      <c r="G905" s="727"/>
      <c r="H905" s="727"/>
      <c r="I905" s="727"/>
      <c r="J905" s="727"/>
      <c r="K905" s="727"/>
      <c r="L905" s="727"/>
      <c r="M905" s="727"/>
      <c r="N905" s="727"/>
      <c r="O905" s="727"/>
      <c r="P905" s="727"/>
      <c r="Q905" s="727"/>
      <c r="R905" s="727"/>
      <c r="S905" s="727"/>
      <c r="T905" s="727"/>
      <c r="U905" s="727"/>
      <c r="V905" s="727"/>
      <c r="W905" s="727"/>
      <c r="X905" s="727"/>
      <c r="Y905" s="727"/>
      <c r="Z905" s="727"/>
      <c r="AA905" s="727"/>
      <c r="AB905" s="727"/>
      <c r="AC905" s="727"/>
      <c r="AD905" s="727"/>
      <c r="AE905" s="727"/>
      <c r="AF905" s="727"/>
      <c r="AG905" s="727"/>
      <c r="AH905" s="727"/>
      <c r="AI905" s="727"/>
      <c r="AJ905" s="727"/>
      <c r="AK905" s="727"/>
      <c r="AL905" s="727"/>
      <c r="AM905" s="727"/>
      <c r="AN905" s="727"/>
      <c r="AO905" s="727"/>
      <c r="AP905" s="727"/>
      <c r="AQ905" s="727"/>
      <c r="AR905" s="727"/>
      <c r="AS905" s="727"/>
      <c r="AT905" s="727"/>
      <c r="AU905" s="727"/>
      <c r="AV905" s="727"/>
      <c r="AW905" s="727"/>
      <c r="AX905" s="727"/>
      <c r="AY905" s="727"/>
      <c r="AZ905" s="727"/>
      <c r="BA905" s="727"/>
      <c r="BB905" s="727"/>
    </row>
    <row r="906" spans="1:54">
      <c r="A906" s="326"/>
      <c r="B906" s="727"/>
      <c r="C906" s="727"/>
      <c r="D906" s="727"/>
      <c r="E906" s="727"/>
      <c r="F906" s="727"/>
      <c r="G906" s="727"/>
      <c r="H906" s="727"/>
      <c r="I906" s="727"/>
      <c r="J906" s="727"/>
      <c r="K906" s="727"/>
      <c r="L906" s="727"/>
      <c r="M906" s="727"/>
      <c r="N906" s="727"/>
      <c r="O906" s="727"/>
      <c r="P906" s="727"/>
      <c r="Q906" s="727"/>
      <c r="R906" s="727"/>
      <c r="S906" s="727"/>
      <c r="T906" s="727"/>
      <c r="U906" s="727"/>
      <c r="V906" s="727"/>
      <c r="W906" s="727"/>
      <c r="X906" s="727"/>
      <c r="Y906" s="727"/>
      <c r="Z906" s="727"/>
      <c r="AA906" s="727"/>
      <c r="AB906" s="727"/>
      <c r="AC906" s="727"/>
      <c r="AD906" s="727"/>
      <c r="AE906" s="727"/>
      <c r="AF906" s="727"/>
      <c r="AG906" s="727"/>
      <c r="AH906" s="727"/>
      <c r="AI906" s="727"/>
      <c r="AJ906" s="727"/>
      <c r="AK906" s="727"/>
      <c r="AL906" s="727"/>
      <c r="AM906" s="727"/>
      <c r="AN906" s="727"/>
      <c r="AO906" s="727"/>
      <c r="AP906" s="727"/>
      <c r="AQ906" s="727"/>
      <c r="AR906" s="727"/>
      <c r="AS906" s="727"/>
      <c r="AT906" s="727"/>
      <c r="AU906" s="727"/>
      <c r="AV906" s="727"/>
      <c r="AW906" s="727"/>
      <c r="AX906" s="727"/>
      <c r="AY906" s="727"/>
      <c r="AZ906" s="727"/>
      <c r="BA906" s="727"/>
      <c r="BB906" s="727"/>
    </row>
    <row r="907" spans="1:54">
      <c r="A907" s="326"/>
      <c r="B907" s="727"/>
      <c r="C907" s="727"/>
      <c r="D907" s="727"/>
      <c r="E907" s="727"/>
      <c r="F907" s="727"/>
      <c r="G907" s="727"/>
      <c r="H907" s="727"/>
      <c r="I907" s="727"/>
      <c r="J907" s="727"/>
      <c r="K907" s="727"/>
      <c r="L907" s="727"/>
      <c r="M907" s="727"/>
      <c r="N907" s="727"/>
      <c r="O907" s="727"/>
      <c r="P907" s="727"/>
      <c r="Q907" s="727"/>
      <c r="R907" s="727"/>
      <c r="S907" s="727"/>
      <c r="T907" s="727"/>
      <c r="U907" s="727"/>
      <c r="V907" s="727"/>
      <c r="W907" s="727"/>
      <c r="X907" s="727"/>
      <c r="Y907" s="727"/>
      <c r="Z907" s="727"/>
      <c r="AA907" s="727"/>
      <c r="AB907" s="727"/>
      <c r="AC907" s="727"/>
      <c r="AD907" s="727"/>
      <c r="AE907" s="727"/>
      <c r="AF907" s="727"/>
      <c r="AG907" s="727"/>
      <c r="AH907" s="727"/>
      <c r="AI907" s="727"/>
      <c r="AJ907" s="727"/>
      <c r="AK907" s="727"/>
      <c r="AL907" s="727"/>
      <c r="AM907" s="727"/>
      <c r="AN907" s="727"/>
      <c r="AO907" s="727"/>
      <c r="AP907" s="727"/>
      <c r="AQ907" s="727"/>
      <c r="AR907" s="727"/>
      <c r="AS907" s="727"/>
      <c r="AT907" s="727"/>
      <c r="AU907" s="727"/>
      <c r="AV907" s="727"/>
      <c r="AW907" s="727"/>
      <c r="AX907" s="727"/>
      <c r="AY907" s="727"/>
      <c r="AZ907" s="727"/>
      <c r="BA907" s="727"/>
      <c r="BB907" s="727"/>
    </row>
    <row r="908" spans="1:54">
      <c r="A908" s="326"/>
      <c r="B908" s="727"/>
      <c r="C908" s="727"/>
      <c r="D908" s="727"/>
      <c r="E908" s="727"/>
      <c r="F908" s="727"/>
      <c r="G908" s="727"/>
      <c r="H908" s="727"/>
      <c r="I908" s="727"/>
      <c r="J908" s="727"/>
      <c r="K908" s="727"/>
      <c r="L908" s="727"/>
      <c r="M908" s="727"/>
      <c r="N908" s="727"/>
      <c r="O908" s="727"/>
      <c r="P908" s="727"/>
      <c r="Q908" s="727"/>
      <c r="R908" s="727"/>
      <c r="S908" s="727"/>
      <c r="T908" s="727"/>
      <c r="U908" s="727"/>
      <c r="V908" s="727"/>
      <c r="W908" s="727"/>
      <c r="X908" s="727"/>
      <c r="Y908" s="727"/>
      <c r="Z908" s="727"/>
      <c r="AA908" s="727"/>
      <c r="AB908" s="727"/>
      <c r="AC908" s="727"/>
      <c r="AD908" s="727"/>
      <c r="AE908" s="727"/>
      <c r="AF908" s="727"/>
      <c r="AG908" s="727"/>
      <c r="AH908" s="727"/>
      <c r="AI908" s="727"/>
      <c r="AJ908" s="727"/>
      <c r="AK908" s="727"/>
      <c r="AL908" s="727"/>
      <c r="AM908" s="727"/>
      <c r="AN908" s="727"/>
      <c r="AO908" s="727"/>
      <c r="AP908" s="727"/>
      <c r="AQ908" s="727"/>
      <c r="AR908" s="727"/>
      <c r="AS908" s="727"/>
      <c r="AT908" s="727"/>
      <c r="AU908" s="727"/>
      <c r="AV908" s="727"/>
      <c r="AW908" s="727"/>
      <c r="AX908" s="727"/>
      <c r="AY908" s="727"/>
      <c r="AZ908" s="727"/>
      <c r="BA908" s="727"/>
      <c r="BB908" s="727"/>
    </row>
    <row r="909" spans="1:54">
      <c r="A909" s="326"/>
      <c r="B909" s="727"/>
      <c r="C909" s="727"/>
      <c r="D909" s="727"/>
      <c r="E909" s="727"/>
      <c r="F909" s="727"/>
      <c r="G909" s="727"/>
      <c r="H909" s="727"/>
      <c r="I909" s="727"/>
      <c r="J909" s="727"/>
      <c r="K909" s="727"/>
      <c r="L909" s="727"/>
      <c r="M909" s="727"/>
      <c r="N909" s="727"/>
      <c r="O909" s="727"/>
      <c r="P909" s="727"/>
      <c r="Q909" s="727"/>
      <c r="R909" s="727"/>
      <c r="S909" s="727"/>
      <c r="T909" s="727"/>
      <c r="U909" s="727"/>
      <c r="V909" s="727"/>
      <c r="W909" s="727"/>
      <c r="X909" s="727"/>
      <c r="Y909" s="727"/>
      <c r="Z909" s="727"/>
      <c r="AA909" s="727"/>
      <c r="AB909" s="727"/>
      <c r="AC909" s="727"/>
      <c r="AD909" s="727"/>
      <c r="AE909" s="727"/>
      <c r="AF909" s="727"/>
      <c r="AG909" s="727"/>
      <c r="AH909" s="727"/>
      <c r="AI909" s="727"/>
      <c r="AJ909" s="727"/>
      <c r="AK909" s="727"/>
      <c r="AL909" s="727"/>
      <c r="AM909" s="727"/>
      <c r="AN909" s="727"/>
      <c r="AO909" s="727"/>
      <c r="AP909" s="727"/>
      <c r="AQ909" s="727"/>
      <c r="AR909" s="727"/>
      <c r="AS909" s="727"/>
      <c r="AT909" s="727"/>
      <c r="AU909" s="727"/>
      <c r="AV909" s="727"/>
      <c r="AW909" s="727"/>
      <c r="AX909" s="727"/>
      <c r="AY909" s="727"/>
      <c r="AZ909" s="727"/>
      <c r="BA909" s="727"/>
      <c r="BB909" s="727"/>
    </row>
    <row r="910" spans="1:54">
      <c r="A910" s="326"/>
      <c r="B910" s="727"/>
      <c r="C910" s="727"/>
      <c r="D910" s="727"/>
      <c r="E910" s="727"/>
      <c r="F910" s="727"/>
      <c r="G910" s="727"/>
      <c r="H910" s="727"/>
      <c r="I910" s="727"/>
      <c r="J910" s="727"/>
      <c r="K910" s="727"/>
      <c r="L910" s="727"/>
      <c r="M910" s="727"/>
      <c r="N910" s="727"/>
      <c r="O910" s="727"/>
      <c r="P910" s="727"/>
      <c r="Q910" s="727"/>
      <c r="R910" s="727"/>
      <c r="S910" s="727"/>
      <c r="T910" s="727"/>
      <c r="U910" s="727"/>
      <c r="V910" s="727"/>
      <c r="W910" s="727"/>
      <c r="X910" s="727"/>
      <c r="Y910" s="727"/>
      <c r="Z910" s="727"/>
      <c r="AA910" s="727"/>
      <c r="AB910" s="727"/>
      <c r="AC910" s="727"/>
      <c r="AD910" s="727"/>
      <c r="AE910" s="727"/>
      <c r="AF910" s="727"/>
      <c r="AG910" s="727"/>
      <c r="AH910" s="727"/>
      <c r="AI910" s="727"/>
      <c r="AJ910" s="727"/>
      <c r="AK910" s="727"/>
      <c r="AL910" s="727"/>
      <c r="AM910" s="727"/>
      <c r="AN910" s="727"/>
      <c r="AO910" s="727"/>
      <c r="AP910" s="727"/>
      <c r="AQ910" s="727"/>
      <c r="AR910" s="727"/>
      <c r="AS910" s="727"/>
      <c r="AT910" s="727"/>
      <c r="AU910" s="727"/>
      <c r="AV910" s="727"/>
      <c r="AW910" s="727"/>
      <c r="AX910" s="727"/>
      <c r="AY910" s="727"/>
      <c r="AZ910" s="727"/>
      <c r="BA910" s="727"/>
      <c r="BB910" s="727"/>
    </row>
    <row r="911" spans="1:54">
      <c r="A911" s="326"/>
      <c r="B911" s="727"/>
      <c r="C911" s="727"/>
      <c r="D911" s="727"/>
      <c r="E911" s="727"/>
      <c r="F911" s="727"/>
      <c r="G911" s="727"/>
      <c r="H911" s="727"/>
      <c r="I911" s="727"/>
      <c r="J911" s="727"/>
      <c r="K911" s="727"/>
      <c r="L911" s="727"/>
      <c r="M911" s="727"/>
      <c r="N911" s="727"/>
      <c r="O911" s="727"/>
      <c r="P911" s="727"/>
      <c r="Q911" s="727"/>
      <c r="R911" s="727"/>
      <c r="S911" s="727"/>
      <c r="T911" s="727"/>
      <c r="U911" s="727"/>
      <c r="V911" s="727"/>
      <c r="W911" s="727"/>
      <c r="X911" s="727"/>
      <c r="Y911" s="727"/>
      <c r="Z911" s="727"/>
      <c r="AA911" s="727"/>
      <c r="AB911" s="727"/>
      <c r="AC911" s="727"/>
      <c r="AD911" s="727"/>
      <c r="AE911" s="727"/>
      <c r="AF911" s="727"/>
      <c r="AG911" s="727"/>
      <c r="AH911" s="727"/>
      <c r="AI911" s="727"/>
      <c r="AJ911" s="727"/>
      <c r="AK911" s="727"/>
      <c r="AL911" s="727"/>
      <c r="AM911" s="727"/>
      <c r="AN911" s="727"/>
      <c r="AO911" s="727"/>
      <c r="AP911" s="727"/>
      <c r="AQ911" s="727"/>
      <c r="AR911" s="727"/>
      <c r="AS911" s="727"/>
      <c r="AT911" s="727"/>
      <c r="AU911" s="727"/>
      <c r="AV911" s="727"/>
      <c r="AW911" s="727"/>
      <c r="AX911" s="727"/>
      <c r="AY911" s="727"/>
      <c r="AZ911" s="727"/>
      <c r="BA911" s="727"/>
      <c r="BB911" s="727"/>
    </row>
    <row r="912" spans="1:54">
      <c r="A912" s="326"/>
      <c r="B912" s="727"/>
      <c r="C912" s="727"/>
      <c r="D912" s="727"/>
      <c r="E912" s="727"/>
      <c r="F912" s="727"/>
      <c r="G912" s="727"/>
      <c r="H912" s="727"/>
      <c r="I912" s="727"/>
      <c r="J912" s="727"/>
      <c r="K912" s="727"/>
      <c r="L912" s="727"/>
      <c r="M912" s="727"/>
      <c r="N912" s="727"/>
      <c r="O912" s="727"/>
      <c r="P912" s="727"/>
      <c r="Q912" s="727"/>
      <c r="R912" s="727"/>
      <c r="S912" s="727"/>
      <c r="T912" s="727"/>
      <c r="U912" s="727"/>
      <c r="V912" s="727"/>
      <c r="W912" s="727"/>
      <c r="X912" s="727"/>
      <c r="Y912" s="727"/>
      <c r="Z912" s="727"/>
      <c r="AA912" s="727"/>
      <c r="AB912" s="727"/>
      <c r="AC912" s="727"/>
      <c r="AD912" s="727"/>
      <c r="AE912" s="727"/>
      <c r="AF912" s="727"/>
      <c r="AG912" s="727"/>
      <c r="AH912" s="727"/>
      <c r="AI912" s="727"/>
      <c r="AJ912" s="727"/>
      <c r="AK912" s="727"/>
      <c r="AL912" s="727"/>
      <c r="AM912" s="727"/>
      <c r="AN912" s="727"/>
      <c r="AO912" s="727"/>
      <c r="AP912" s="727"/>
      <c r="AQ912" s="727"/>
      <c r="AR912" s="727"/>
      <c r="AS912" s="727"/>
      <c r="AT912" s="727"/>
      <c r="AU912" s="727"/>
      <c r="AV912" s="727"/>
      <c r="AW912" s="727"/>
      <c r="AX912" s="727"/>
      <c r="AY912" s="727"/>
      <c r="AZ912" s="727"/>
      <c r="BA912" s="727"/>
      <c r="BB912" s="727"/>
    </row>
    <row r="913" spans="1:54">
      <c r="A913" s="326"/>
      <c r="B913" s="727"/>
      <c r="C913" s="727"/>
      <c r="D913" s="727"/>
      <c r="E913" s="727"/>
      <c r="F913" s="727"/>
      <c r="G913" s="727"/>
      <c r="H913" s="727"/>
      <c r="I913" s="727"/>
      <c r="J913" s="727"/>
      <c r="K913" s="727"/>
      <c r="L913" s="727"/>
      <c r="M913" s="727"/>
      <c r="N913" s="727"/>
      <c r="O913" s="727"/>
      <c r="P913" s="727"/>
      <c r="Q913" s="727"/>
      <c r="R913" s="727"/>
      <c r="S913" s="727"/>
      <c r="T913" s="727"/>
      <c r="U913" s="727"/>
      <c r="V913" s="727"/>
      <c r="W913" s="727"/>
      <c r="X913" s="727"/>
      <c r="Y913" s="727"/>
      <c r="Z913" s="727"/>
      <c r="AA913" s="727"/>
      <c r="AB913" s="727"/>
      <c r="AC913" s="727"/>
      <c r="AD913" s="727"/>
      <c r="AE913" s="727"/>
      <c r="AF913" s="727"/>
      <c r="AG913" s="727"/>
      <c r="AH913" s="727"/>
      <c r="AI913" s="727"/>
      <c r="AJ913" s="727"/>
      <c r="AK913" s="727"/>
      <c r="AL913" s="727"/>
      <c r="AM913" s="727"/>
      <c r="AN913" s="727"/>
      <c r="AO913" s="727"/>
      <c r="AP913" s="727"/>
      <c r="AQ913" s="727"/>
      <c r="AR913" s="727"/>
      <c r="AS913" s="727"/>
      <c r="AT913" s="727"/>
      <c r="AU913" s="727"/>
      <c r="AV913" s="727"/>
      <c r="AW913" s="727"/>
      <c r="AX913" s="727"/>
      <c r="AY913" s="727"/>
      <c r="AZ913" s="727"/>
      <c r="BA913" s="727"/>
      <c r="BB913" s="727"/>
    </row>
    <row r="914" spans="1:54">
      <c r="A914" s="326"/>
      <c r="B914" s="727"/>
      <c r="C914" s="727"/>
      <c r="D914" s="727"/>
      <c r="E914" s="727"/>
      <c r="F914" s="727"/>
      <c r="G914" s="727"/>
      <c r="H914" s="727"/>
      <c r="I914" s="727"/>
      <c r="J914" s="727"/>
      <c r="K914" s="727"/>
      <c r="L914" s="727"/>
      <c r="M914" s="727"/>
      <c r="N914" s="727"/>
      <c r="O914" s="727"/>
      <c r="P914" s="727"/>
      <c r="Q914" s="727"/>
      <c r="R914" s="727"/>
      <c r="S914" s="727"/>
      <c r="T914" s="727"/>
      <c r="U914" s="727"/>
      <c r="V914" s="727"/>
      <c r="W914" s="727"/>
      <c r="X914" s="727"/>
      <c r="Y914" s="727"/>
      <c r="Z914" s="727"/>
      <c r="AA914" s="727"/>
      <c r="AB914" s="727"/>
      <c r="AC914" s="727"/>
      <c r="AD914" s="727"/>
      <c r="AE914" s="727"/>
      <c r="AF914" s="727"/>
      <c r="AG914" s="727"/>
      <c r="AH914" s="727"/>
      <c r="AI914" s="727"/>
      <c r="AJ914" s="727"/>
      <c r="AK914" s="727"/>
      <c r="AL914" s="727"/>
      <c r="AM914" s="727"/>
      <c r="AN914" s="727"/>
      <c r="AO914" s="727"/>
      <c r="AP914" s="727"/>
      <c r="AQ914" s="727"/>
      <c r="AR914" s="727"/>
      <c r="AS914" s="727"/>
      <c r="AT914" s="727"/>
      <c r="AU914" s="727"/>
      <c r="AV914" s="727"/>
      <c r="AW914" s="727"/>
      <c r="AX914" s="727"/>
      <c r="AY914" s="727"/>
      <c r="AZ914" s="727"/>
      <c r="BA914" s="727"/>
      <c r="BB914" s="727"/>
    </row>
    <row r="915" spans="1:54">
      <c r="A915" s="326"/>
      <c r="B915" s="727"/>
      <c r="C915" s="727"/>
      <c r="D915" s="727"/>
      <c r="E915" s="727"/>
      <c r="F915" s="727"/>
      <c r="G915" s="727"/>
      <c r="H915" s="727"/>
      <c r="I915" s="727"/>
      <c r="J915" s="727"/>
      <c r="K915" s="727"/>
      <c r="L915" s="727"/>
      <c r="M915" s="727"/>
      <c r="N915" s="727"/>
      <c r="O915" s="727"/>
      <c r="P915" s="727"/>
      <c r="Q915" s="727"/>
      <c r="R915" s="727"/>
      <c r="S915" s="727"/>
      <c r="T915" s="727"/>
      <c r="U915" s="727"/>
      <c r="V915" s="727"/>
      <c r="W915" s="727"/>
      <c r="X915" s="727"/>
      <c r="Y915" s="727"/>
      <c r="Z915" s="727"/>
      <c r="AA915" s="727"/>
      <c r="AB915" s="727"/>
      <c r="AC915" s="727"/>
      <c r="AD915" s="727"/>
      <c r="AE915" s="727"/>
      <c r="AF915" s="727"/>
      <c r="AG915" s="727"/>
      <c r="AH915" s="727"/>
      <c r="AI915" s="727"/>
      <c r="AJ915" s="727"/>
      <c r="AK915" s="727"/>
      <c r="AL915" s="727"/>
      <c r="AM915" s="727"/>
      <c r="AN915" s="727"/>
      <c r="AO915" s="727"/>
      <c r="AP915" s="727"/>
      <c r="AQ915" s="727"/>
      <c r="AR915" s="727"/>
      <c r="AS915" s="727"/>
      <c r="AT915" s="727"/>
      <c r="AU915" s="727"/>
      <c r="AV915" s="727"/>
      <c r="AW915" s="727"/>
      <c r="AX915" s="727"/>
      <c r="AY915" s="727"/>
      <c r="AZ915" s="727"/>
      <c r="BA915" s="727"/>
      <c r="BB915" s="727"/>
    </row>
    <row r="916" spans="1:54">
      <c r="A916" s="326"/>
      <c r="B916" s="727"/>
      <c r="C916" s="727"/>
      <c r="D916" s="727"/>
      <c r="E916" s="727"/>
      <c r="F916" s="727"/>
      <c r="G916" s="727"/>
      <c r="H916" s="727"/>
      <c r="I916" s="727"/>
      <c r="J916" s="727"/>
      <c r="K916" s="727"/>
      <c r="L916" s="727"/>
      <c r="M916" s="727"/>
      <c r="N916" s="727"/>
      <c r="O916" s="727"/>
      <c r="P916" s="727"/>
      <c r="Q916" s="727"/>
      <c r="R916" s="727"/>
      <c r="S916" s="727"/>
      <c r="T916" s="727"/>
      <c r="U916" s="727"/>
      <c r="V916" s="727"/>
      <c r="W916" s="727"/>
      <c r="X916" s="727"/>
      <c r="Y916" s="727"/>
      <c r="Z916" s="727"/>
      <c r="AA916" s="727"/>
      <c r="AB916" s="727"/>
      <c r="AC916" s="727"/>
      <c r="AD916" s="727"/>
      <c r="AE916" s="727"/>
      <c r="AF916" s="727"/>
      <c r="AG916" s="727"/>
      <c r="AH916" s="727"/>
      <c r="AI916" s="727"/>
      <c r="AJ916" s="727"/>
      <c r="AK916" s="727"/>
      <c r="AL916" s="727"/>
      <c r="AM916" s="727"/>
      <c r="AN916" s="727"/>
      <c r="AO916" s="727"/>
      <c r="AP916" s="727"/>
      <c r="AQ916" s="727"/>
      <c r="AR916" s="727"/>
      <c r="AS916" s="727"/>
      <c r="AT916" s="727"/>
      <c r="AU916" s="727"/>
      <c r="AV916" s="727"/>
      <c r="AW916" s="727"/>
      <c r="AX916" s="727"/>
      <c r="AY916" s="727"/>
      <c r="AZ916" s="727"/>
      <c r="BA916" s="727"/>
      <c r="BB916" s="727"/>
    </row>
    <row r="917" spans="1:54">
      <c r="A917" s="326"/>
      <c r="B917" s="727"/>
      <c r="C917" s="727"/>
      <c r="D917" s="727"/>
      <c r="E917" s="727"/>
      <c r="F917" s="727"/>
      <c r="G917" s="727"/>
      <c r="H917" s="727"/>
      <c r="I917" s="727"/>
      <c r="J917" s="727"/>
      <c r="K917" s="727"/>
      <c r="L917" s="727"/>
      <c r="M917" s="727"/>
      <c r="N917" s="727"/>
      <c r="O917" s="727"/>
      <c r="P917" s="727"/>
      <c r="Q917" s="727"/>
      <c r="R917" s="727"/>
      <c r="S917" s="727"/>
      <c r="T917" s="727"/>
      <c r="U917" s="727"/>
      <c r="V917" s="727"/>
      <c r="W917" s="727"/>
      <c r="X917" s="727"/>
      <c r="Y917" s="727"/>
      <c r="Z917" s="727"/>
      <c r="AA917" s="727"/>
      <c r="AB917" s="727"/>
      <c r="AC917" s="727"/>
      <c r="AD917" s="727"/>
      <c r="AE917" s="727"/>
      <c r="AF917" s="727"/>
      <c r="AG917" s="727"/>
      <c r="AH917" s="727"/>
      <c r="AI917" s="727"/>
      <c r="AJ917" s="727"/>
      <c r="AK917" s="727"/>
      <c r="AL917" s="727"/>
      <c r="AM917" s="727"/>
      <c r="AN917" s="727"/>
      <c r="AO917" s="727"/>
      <c r="AP917" s="727"/>
      <c r="AQ917" s="727"/>
      <c r="AR917" s="727"/>
      <c r="AS917" s="727"/>
      <c r="AT917" s="727"/>
      <c r="AU917" s="727"/>
      <c r="AV917" s="727"/>
      <c r="AW917" s="727"/>
      <c r="AX917" s="727"/>
      <c r="AY917" s="727"/>
      <c r="AZ917" s="727"/>
      <c r="BA917" s="727"/>
      <c r="BB917" s="727"/>
    </row>
    <row r="918" spans="1:54">
      <c r="A918" s="326"/>
      <c r="B918" s="727"/>
      <c r="C918" s="727"/>
      <c r="D918" s="727"/>
      <c r="E918" s="727"/>
      <c r="F918" s="727"/>
      <c r="G918" s="727"/>
      <c r="H918" s="727"/>
      <c r="I918" s="727"/>
      <c r="J918" s="727"/>
      <c r="K918" s="727"/>
      <c r="L918" s="727"/>
      <c r="M918" s="727"/>
      <c r="N918" s="727"/>
      <c r="O918" s="727"/>
      <c r="P918" s="727"/>
      <c r="Q918" s="727"/>
      <c r="R918" s="727"/>
      <c r="S918" s="727"/>
      <c r="T918" s="727"/>
      <c r="U918" s="727"/>
      <c r="V918" s="727"/>
      <c r="W918" s="727"/>
      <c r="X918" s="727"/>
      <c r="Y918" s="727"/>
      <c r="Z918" s="727"/>
      <c r="AA918" s="727"/>
      <c r="AB918" s="727"/>
      <c r="AC918" s="727"/>
      <c r="AD918" s="727"/>
      <c r="AE918" s="727"/>
      <c r="AF918" s="727"/>
      <c r="AG918" s="727"/>
      <c r="AH918" s="727"/>
      <c r="AI918" s="727"/>
      <c r="AJ918" s="727"/>
      <c r="AK918" s="727"/>
      <c r="AL918" s="727"/>
      <c r="AM918" s="727"/>
      <c r="AN918" s="727"/>
      <c r="AO918" s="727"/>
      <c r="AP918" s="727"/>
      <c r="AQ918" s="727"/>
      <c r="AR918" s="727"/>
      <c r="AS918" s="727"/>
      <c r="AT918" s="727"/>
      <c r="AU918" s="727"/>
      <c r="AV918" s="727"/>
      <c r="AW918" s="727"/>
      <c r="AX918" s="727"/>
      <c r="AY918" s="727"/>
      <c r="AZ918" s="727"/>
      <c r="BA918" s="727"/>
      <c r="BB918" s="727"/>
    </row>
    <row r="919" spans="1:54">
      <c r="A919" s="326"/>
      <c r="B919" s="727"/>
      <c r="C919" s="727"/>
      <c r="D919" s="727"/>
      <c r="E919" s="727"/>
      <c r="F919" s="727"/>
      <c r="G919" s="727"/>
      <c r="H919" s="727"/>
      <c r="I919" s="727"/>
      <c r="J919" s="727"/>
      <c r="K919" s="727"/>
      <c r="L919" s="727"/>
      <c r="M919" s="727"/>
      <c r="N919" s="727"/>
      <c r="O919" s="727"/>
      <c r="P919" s="727"/>
      <c r="Q919" s="727"/>
      <c r="R919" s="727"/>
      <c r="S919" s="727"/>
      <c r="T919" s="727"/>
      <c r="U919" s="727"/>
      <c r="V919" s="727"/>
      <c r="W919" s="727"/>
      <c r="X919" s="727"/>
      <c r="Y919" s="727"/>
      <c r="Z919" s="727"/>
      <c r="AA919" s="727"/>
      <c r="AB919" s="727"/>
      <c r="AC919" s="727"/>
      <c r="AD919" s="727"/>
      <c r="AE919" s="727"/>
      <c r="AF919" s="727"/>
      <c r="AG919" s="727"/>
      <c r="AH919" s="727"/>
      <c r="AI919" s="727"/>
      <c r="AJ919" s="727"/>
      <c r="AK919" s="727"/>
      <c r="AL919" s="727"/>
      <c r="AM919" s="727"/>
      <c r="AN919" s="727"/>
      <c r="AO919" s="727"/>
      <c r="AP919" s="727"/>
      <c r="AQ919" s="727"/>
      <c r="AR919" s="727"/>
      <c r="AS919" s="727"/>
      <c r="AT919" s="727"/>
      <c r="AU919" s="727"/>
      <c r="AV919" s="727"/>
      <c r="AW919" s="727"/>
      <c r="AX919" s="727"/>
      <c r="AY919" s="727"/>
      <c r="AZ919" s="727"/>
      <c r="BA919" s="727"/>
      <c r="BB919" s="727"/>
    </row>
    <row r="920" spans="1:54">
      <c r="A920" s="326"/>
      <c r="B920" s="727"/>
      <c r="C920" s="727"/>
      <c r="D920" s="727"/>
      <c r="E920" s="727"/>
      <c r="F920" s="727"/>
      <c r="G920" s="727"/>
      <c r="H920" s="727"/>
      <c r="I920" s="727"/>
      <c r="J920" s="727"/>
      <c r="K920" s="727"/>
      <c r="L920" s="727"/>
      <c r="M920" s="727"/>
      <c r="N920" s="727"/>
      <c r="O920" s="727"/>
      <c r="P920" s="727"/>
      <c r="Q920" s="727"/>
      <c r="R920" s="727"/>
      <c r="S920" s="727"/>
      <c r="T920" s="727"/>
      <c r="U920" s="727"/>
      <c r="V920" s="727"/>
      <c r="W920" s="727"/>
      <c r="X920" s="727"/>
      <c r="Y920" s="727"/>
      <c r="Z920" s="727"/>
      <c r="AA920" s="727"/>
      <c r="AB920" s="727"/>
      <c r="AC920" s="727"/>
      <c r="AD920" s="727"/>
      <c r="AE920" s="727"/>
      <c r="AF920" s="727"/>
      <c r="AG920" s="727"/>
      <c r="AH920" s="727"/>
      <c r="AI920" s="727"/>
      <c r="AJ920" s="727"/>
      <c r="AK920" s="727"/>
      <c r="AL920" s="727"/>
      <c r="AM920" s="727"/>
      <c r="AN920" s="727"/>
      <c r="AO920" s="727"/>
      <c r="AP920" s="727"/>
      <c r="AQ920" s="727"/>
      <c r="AR920" s="727"/>
      <c r="AS920" s="727"/>
      <c r="AT920" s="727"/>
      <c r="AU920" s="727"/>
      <c r="AV920" s="727"/>
      <c r="AW920" s="727"/>
      <c r="AX920" s="727"/>
      <c r="AY920" s="727"/>
      <c r="AZ920" s="727"/>
      <c r="BA920" s="727"/>
      <c r="BB920" s="727"/>
    </row>
    <row r="921" spans="1:54">
      <c r="A921" s="326"/>
      <c r="B921" s="727"/>
      <c r="C921" s="727"/>
      <c r="D921" s="727"/>
      <c r="E921" s="727"/>
      <c r="F921" s="727"/>
      <c r="G921" s="727"/>
      <c r="H921" s="727"/>
      <c r="I921" s="727"/>
      <c r="J921" s="727"/>
      <c r="K921" s="727"/>
      <c r="L921" s="727"/>
      <c r="M921" s="727"/>
      <c r="N921" s="727"/>
      <c r="O921" s="727"/>
      <c r="P921" s="727"/>
      <c r="Q921" s="727"/>
      <c r="R921" s="727"/>
      <c r="S921" s="727"/>
      <c r="T921" s="727"/>
      <c r="U921" s="727"/>
      <c r="V921" s="727"/>
      <c r="W921" s="727"/>
      <c r="X921" s="727"/>
      <c r="Y921" s="727"/>
      <c r="Z921" s="727"/>
      <c r="AA921" s="727"/>
      <c r="AB921" s="727"/>
      <c r="AC921" s="727"/>
      <c r="AD921" s="727"/>
      <c r="AE921" s="727"/>
      <c r="AF921" s="727"/>
      <c r="AG921" s="727"/>
      <c r="AH921" s="727"/>
      <c r="AI921" s="727"/>
      <c r="AJ921" s="727"/>
      <c r="AK921" s="727"/>
      <c r="AL921" s="727"/>
      <c r="AM921" s="727"/>
      <c r="AN921" s="727"/>
      <c r="AO921" s="727"/>
      <c r="AP921" s="727"/>
      <c r="AQ921" s="727"/>
      <c r="AR921" s="727"/>
      <c r="AS921" s="727"/>
      <c r="AT921" s="727"/>
      <c r="AU921" s="727"/>
      <c r="AV921" s="727"/>
      <c r="AW921" s="727"/>
      <c r="AX921" s="727"/>
      <c r="AY921" s="727"/>
      <c r="AZ921" s="727"/>
      <c r="BA921" s="727"/>
      <c r="BB921" s="727"/>
    </row>
    <row r="922" spans="1:54">
      <c r="A922" s="326"/>
      <c r="B922" s="727"/>
      <c r="C922" s="727"/>
      <c r="D922" s="727"/>
      <c r="E922" s="727"/>
      <c r="F922" s="727"/>
      <c r="G922" s="727"/>
      <c r="H922" s="727"/>
      <c r="I922" s="727"/>
      <c r="J922" s="727"/>
      <c r="K922" s="727"/>
      <c r="L922" s="727"/>
      <c r="M922" s="727"/>
      <c r="N922" s="727"/>
      <c r="O922" s="727"/>
      <c r="P922" s="727"/>
      <c r="Q922" s="727"/>
      <c r="R922" s="727"/>
      <c r="S922" s="727"/>
      <c r="T922" s="727"/>
      <c r="U922" s="727"/>
      <c r="V922" s="727"/>
      <c r="W922" s="727"/>
      <c r="X922" s="727"/>
      <c r="Y922" s="727"/>
      <c r="Z922" s="727"/>
      <c r="AA922" s="727"/>
      <c r="AB922" s="727"/>
      <c r="AC922" s="727"/>
      <c r="AD922" s="727"/>
      <c r="AE922" s="727"/>
      <c r="AF922" s="727"/>
      <c r="AG922" s="727"/>
      <c r="AH922" s="727"/>
      <c r="AI922" s="727"/>
      <c r="AJ922" s="727"/>
      <c r="AK922" s="727"/>
      <c r="AL922" s="727"/>
      <c r="AM922" s="727"/>
      <c r="AN922" s="727"/>
      <c r="AO922" s="727"/>
      <c r="AP922" s="727"/>
      <c r="AQ922" s="727"/>
      <c r="AR922" s="727"/>
      <c r="AS922" s="727"/>
      <c r="AT922" s="727"/>
      <c r="AU922" s="727"/>
      <c r="AV922" s="727"/>
      <c r="AW922" s="727"/>
      <c r="AX922" s="727"/>
      <c r="AY922" s="727"/>
      <c r="AZ922" s="727"/>
      <c r="BA922" s="727"/>
      <c r="BB922" s="727"/>
    </row>
    <row r="923" spans="1:54">
      <c r="A923" s="326"/>
      <c r="B923" s="727"/>
      <c r="C923" s="727"/>
      <c r="D923" s="727"/>
      <c r="E923" s="727"/>
      <c r="F923" s="727"/>
      <c r="G923" s="727"/>
      <c r="H923" s="727"/>
      <c r="I923" s="727"/>
      <c r="J923" s="727"/>
      <c r="K923" s="727"/>
      <c r="L923" s="727"/>
      <c r="M923" s="727"/>
      <c r="N923" s="727"/>
      <c r="O923" s="727"/>
      <c r="P923" s="727"/>
      <c r="Q923" s="727"/>
      <c r="R923" s="727"/>
      <c r="S923" s="727"/>
      <c r="T923" s="727"/>
      <c r="U923" s="727"/>
      <c r="V923" s="727"/>
      <c r="W923" s="727"/>
      <c r="X923" s="727"/>
      <c r="Y923" s="727"/>
      <c r="Z923" s="727"/>
      <c r="AA923" s="727"/>
      <c r="AB923" s="727"/>
      <c r="AC923" s="727"/>
      <c r="AD923" s="727"/>
      <c r="AE923" s="727"/>
      <c r="AF923" s="727"/>
      <c r="AG923" s="727"/>
      <c r="AH923" s="727"/>
      <c r="AI923" s="727"/>
      <c r="AJ923" s="727"/>
      <c r="AK923" s="727"/>
      <c r="AL923" s="727"/>
      <c r="AM923" s="727"/>
      <c r="AN923" s="727"/>
      <c r="AO923" s="727"/>
      <c r="AP923" s="727"/>
      <c r="AQ923" s="727"/>
      <c r="AR923" s="727"/>
      <c r="AS923" s="727"/>
      <c r="AT923" s="727"/>
      <c r="AU923" s="727"/>
      <c r="AV923" s="727"/>
      <c r="AW923" s="727"/>
      <c r="AX923" s="727"/>
      <c r="AY923" s="727"/>
      <c r="AZ923" s="727"/>
      <c r="BA923" s="727"/>
      <c r="BB923" s="727"/>
    </row>
    <row r="924" spans="1:54">
      <c r="A924" s="326"/>
      <c r="B924" s="727"/>
      <c r="C924" s="727"/>
      <c r="D924" s="727"/>
      <c r="E924" s="727"/>
      <c r="F924" s="727"/>
      <c r="G924" s="727"/>
      <c r="H924" s="727"/>
      <c r="I924" s="727"/>
      <c r="J924" s="727"/>
      <c r="K924" s="727"/>
      <c r="L924" s="727"/>
      <c r="M924" s="727"/>
      <c r="N924" s="727"/>
      <c r="O924" s="727"/>
      <c r="P924" s="727"/>
      <c r="Q924" s="727"/>
      <c r="R924" s="727"/>
      <c r="S924" s="727"/>
      <c r="T924" s="727"/>
      <c r="U924" s="727"/>
      <c r="V924" s="727"/>
      <c r="W924" s="727"/>
      <c r="X924" s="727"/>
      <c r="Y924" s="727"/>
      <c r="Z924" s="727"/>
      <c r="AA924" s="727"/>
      <c r="AB924" s="727"/>
      <c r="AC924" s="727"/>
      <c r="AD924" s="727"/>
      <c r="AE924" s="727"/>
      <c r="AF924" s="727"/>
      <c r="AG924" s="727"/>
      <c r="AH924" s="727"/>
      <c r="AI924" s="727"/>
      <c r="AJ924" s="727"/>
      <c r="AK924" s="727"/>
      <c r="AL924" s="727"/>
      <c r="AM924" s="727"/>
      <c r="AN924" s="727"/>
      <c r="AO924" s="727"/>
      <c r="AP924" s="727"/>
      <c r="AQ924" s="727"/>
      <c r="AR924" s="727"/>
      <c r="AS924" s="727"/>
      <c r="AT924" s="727"/>
      <c r="AU924" s="727"/>
      <c r="AV924" s="727"/>
      <c r="AW924" s="727"/>
      <c r="AX924" s="727"/>
      <c r="AY924" s="727"/>
      <c r="AZ924" s="727"/>
      <c r="BA924" s="727"/>
      <c r="BB924" s="727"/>
    </row>
    <row r="925" spans="1:54">
      <c r="A925" s="326"/>
      <c r="B925" s="727"/>
      <c r="C925" s="727"/>
      <c r="D925" s="727"/>
      <c r="E925" s="727"/>
      <c r="F925" s="727"/>
      <c r="G925" s="727"/>
      <c r="H925" s="727"/>
      <c r="I925" s="727"/>
      <c r="J925" s="727"/>
      <c r="K925" s="727"/>
      <c r="L925" s="727"/>
      <c r="M925" s="727"/>
      <c r="N925" s="727"/>
      <c r="O925" s="727"/>
      <c r="P925" s="727"/>
      <c r="Q925" s="727"/>
      <c r="R925" s="727"/>
      <c r="S925" s="727"/>
      <c r="T925" s="727"/>
      <c r="U925" s="727"/>
      <c r="V925" s="727"/>
      <c r="W925" s="727"/>
      <c r="X925" s="727"/>
      <c r="Y925" s="727"/>
      <c r="Z925" s="727"/>
      <c r="AA925" s="727"/>
      <c r="AB925" s="727"/>
      <c r="AC925" s="727"/>
      <c r="AD925" s="727"/>
      <c r="AE925" s="727"/>
      <c r="AF925" s="727"/>
      <c r="AG925" s="727"/>
      <c r="AH925" s="727"/>
      <c r="AI925" s="727"/>
      <c r="AJ925" s="727"/>
      <c r="AK925" s="727"/>
      <c r="AL925" s="727"/>
      <c r="AM925" s="727"/>
      <c r="AN925" s="727"/>
      <c r="AO925" s="727"/>
      <c r="AP925" s="727"/>
      <c r="AQ925" s="727"/>
      <c r="AR925" s="727"/>
      <c r="AS925" s="727"/>
      <c r="AT925" s="727"/>
      <c r="AU925" s="727"/>
      <c r="AV925" s="727"/>
      <c r="AW925" s="727"/>
      <c r="AX925" s="727"/>
      <c r="AY925" s="727"/>
      <c r="AZ925" s="727"/>
      <c r="BA925" s="727"/>
      <c r="BB925" s="727"/>
    </row>
    <row r="926" spans="1:54">
      <c r="A926" s="326"/>
      <c r="B926" s="727"/>
      <c r="C926" s="727"/>
      <c r="D926" s="727"/>
      <c r="E926" s="727"/>
      <c r="F926" s="727"/>
      <c r="G926" s="727"/>
      <c r="H926" s="727"/>
      <c r="I926" s="727"/>
      <c r="J926" s="727"/>
      <c r="K926" s="727"/>
      <c r="L926" s="727"/>
      <c r="M926" s="727"/>
      <c r="N926" s="727"/>
      <c r="O926" s="727"/>
      <c r="P926" s="727"/>
      <c r="Q926" s="727"/>
      <c r="R926" s="727"/>
      <c r="S926" s="727"/>
      <c r="T926" s="727"/>
      <c r="U926" s="727"/>
      <c r="V926" s="727"/>
      <c r="W926" s="727"/>
      <c r="X926" s="727"/>
      <c r="Y926" s="727"/>
      <c r="Z926" s="727"/>
      <c r="AA926" s="727"/>
      <c r="AB926" s="727"/>
      <c r="AC926" s="727"/>
      <c r="AD926" s="727"/>
      <c r="AE926" s="727"/>
      <c r="AF926" s="727"/>
      <c r="AG926" s="727"/>
      <c r="AH926" s="727"/>
      <c r="AI926" s="727"/>
      <c r="AJ926" s="727"/>
      <c r="AK926" s="727"/>
      <c r="AL926" s="727"/>
      <c r="AM926" s="727"/>
      <c r="AN926" s="727"/>
      <c r="AO926" s="727"/>
      <c r="AP926" s="727"/>
      <c r="AQ926" s="727"/>
      <c r="AR926" s="727"/>
      <c r="AS926" s="727"/>
      <c r="AT926" s="727"/>
      <c r="AU926" s="727"/>
      <c r="AV926" s="727"/>
      <c r="AW926" s="727"/>
      <c r="AX926" s="727"/>
      <c r="AY926" s="727"/>
      <c r="AZ926" s="727"/>
      <c r="BA926" s="727"/>
      <c r="BB926" s="727"/>
    </row>
    <row r="927" spans="1:54">
      <c r="A927" s="326"/>
      <c r="B927" s="727"/>
      <c r="C927" s="727"/>
      <c r="D927" s="727"/>
      <c r="E927" s="727"/>
      <c r="F927" s="727"/>
      <c r="G927" s="727"/>
      <c r="H927" s="727"/>
      <c r="I927" s="727"/>
      <c r="J927" s="727"/>
      <c r="K927" s="727"/>
      <c r="L927" s="727"/>
      <c r="M927" s="727"/>
      <c r="N927" s="727"/>
      <c r="O927" s="727"/>
      <c r="P927" s="727"/>
      <c r="Q927" s="727"/>
      <c r="R927" s="727"/>
      <c r="S927" s="727"/>
      <c r="T927" s="727"/>
      <c r="U927" s="727"/>
      <c r="V927" s="727"/>
      <c r="W927" s="727"/>
      <c r="X927" s="727"/>
      <c r="Y927" s="727"/>
      <c r="Z927" s="727"/>
      <c r="AA927" s="727"/>
      <c r="AB927" s="727"/>
      <c r="AC927" s="727"/>
      <c r="AD927" s="727"/>
      <c r="AE927" s="727"/>
      <c r="AF927" s="727"/>
      <c r="AG927" s="727"/>
      <c r="AH927" s="727"/>
      <c r="AI927" s="727"/>
      <c r="AJ927" s="727"/>
      <c r="AK927" s="727"/>
      <c r="AL927" s="727"/>
      <c r="AM927" s="727"/>
      <c r="AN927" s="727"/>
      <c r="AO927" s="727"/>
      <c r="AP927" s="727"/>
      <c r="AQ927" s="727"/>
      <c r="AR927" s="727"/>
      <c r="AS927" s="727"/>
      <c r="AT927" s="727"/>
      <c r="AU927" s="727"/>
      <c r="AV927" s="727"/>
      <c r="AW927" s="727"/>
      <c r="AX927" s="727"/>
      <c r="AY927" s="727"/>
      <c r="AZ927" s="727"/>
      <c r="BA927" s="727"/>
      <c r="BB927" s="727"/>
    </row>
    <row r="928" spans="1:54">
      <c r="A928" s="326"/>
      <c r="B928" s="727"/>
      <c r="C928" s="727"/>
      <c r="D928" s="727"/>
      <c r="E928" s="727"/>
      <c r="F928" s="727"/>
      <c r="G928" s="727"/>
      <c r="H928" s="727"/>
      <c r="I928" s="727"/>
      <c r="J928" s="727"/>
      <c r="K928" s="727"/>
      <c r="L928" s="727"/>
      <c r="M928" s="727"/>
      <c r="N928" s="727"/>
      <c r="O928" s="727"/>
      <c r="P928" s="727"/>
      <c r="Q928" s="727"/>
      <c r="R928" s="727"/>
      <c r="S928" s="727"/>
      <c r="T928" s="727"/>
      <c r="U928" s="727"/>
      <c r="V928" s="727"/>
      <c r="W928" s="727"/>
      <c r="X928" s="727"/>
      <c r="Y928" s="727"/>
      <c r="Z928" s="727"/>
      <c r="AA928" s="727"/>
      <c r="AB928" s="727"/>
      <c r="AC928" s="727"/>
      <c r="AD928" s="727"/>
      <c r="AE928" s="727"/>
      <c r="AF928" s="727"/>
      <c r="AG928" s="727"/>
      <c r="AH928" s="727"/>
      <c r="AI928" s="727"/>
      <c r="AJ928" s="727"/>
      <c r="AK928" s="727"/>
      <c r="AL928" s="727"/>
      <c r="AM928" s="727"/>
      <c r="AN928" s="727"/>
      <c r="AO928" s="727"/>
      <c r="AP928" s="727"/>
      <c r="AQ928" s="727"/>
      <c r="AR928" s="727"/>
      <c r="AS928" s="727"/>
      <c r="AT928" s="727"/>
      <c r="AU928" s="727"/>
      <c r="AV928" s="727"/>
      <c r="AW928" s="727"/>
      <c r="AX928" s="727"/>
      <c r="AY928" s="727"/>
      <c r="AZ928" s="727"/>
      <c r="BA928" s="727"/>
      <c r="BB928" s="727"/>
    </row>
    <row r="929" spans="1:54">
      <c r="A929" s="326"/>
      <c r="B929" s="727"/>
      <c r="C929" s="727"/>
      <c r="D929" s="727"/>
      <c r="E929" s="727"/>
      <c r="F929" s="727"/>
      <c r="G929" s="727"/>
      <c r="H929" s="727"/>
      <c r="I929" s="727"/>
      <c r="J929" s="727"/>
      <c r="K929" s="727"/>
      <c r="L929" s="727"/>
      <c r="M929" s="727"/>
      <c r="N929" s="727"/>
      <c r="O929" s="727"/>
      <c r="P929" s="727"/>
      <c r="Q929" s="727"/>
      <c r="R929" s="727"/>
      <c r="S929" s="727"/>
      <c r="T929" s="727"/>
      <c r="U929" s="727"/>
      <c r="V929" s="727"/>
      <c r="W929" s="727"/>
      <c r="X929" s="727"/>
      <c r="Y929" s="727"/>
      <c r="Z929" s="727"/>
      <c r="AA929" s="727"/>
      <c r="AB929" s="727"/>
      <c r="AC929" s="727"/>
      <c r="AD929" s="727"/>
      <c r="AE929" s="727"/>
      <c r="AF929" s="727"/>
      <c r="AG929" s="727"/>
      <c r="AH929" s="727"/>
      <c r="AI929" s="727"/>
      <c r="AJ929" s="727"/>
      <c r="AK929" s="727"/>
      <c r="AL929" s="727"/>
      <c r="AM929" s="727"/>
      <c r="AN929" s="727"/>
      <c r="AO929" s="727"/>
      <c r="AP929" s="727"/>
      <c r="AQ929" s="727"/>
      <c r="AR929" s="727"/>
      <c r="AS929" s="727"/>
      <c r="AT929" s="727"/>
      <c r="AU929" s="727"/>
      <c r="AV929" s="727"/>
      <c r="AW929" s="727"/>
      <c r="AX929" s="727"/>
      <c r="AY929" s="727"/>
      <c r="AZ929" s="727"/>
      <c r="BA929" s="727"/>
      <c r="BB929" s="727"/>
    </row>
    <row r="930" spans="1:54">
      <c r="A930" s="326"/>
      <c r="B930" s="727"/>
      <c r="C930" s="727"/>
      <c r="D930" s="727"/>
      <c r="E930" s="727"/>
      <c r="F930" s="727"/>
      <c r="G930" s="727"/>
      <c r="H930" s="727"/>
      <c r="I930" s="727"/>
      <c r="J930" s="727"/>
      <c r="K930" s="727"/>
      <c r="L930" s="727"/>
      <c r="M930" s="727"/>
      <c r="N930" s="727"/>
      <c r="O930" s="727"/>
      <c r="P930" s="727"/>
      <c r="Q930" s="727"/>
      <c r="R930" s="727"/>
      <c r="S930" s="727"/>
      <c r="T930" s="727"/>
      <c r="U930" s="727"/>
      <c r="V930" s="727"/>
      <c r="W930" s="727"/>
      <c r="X930" s="727"/>
      <c r="Y930" s="727"/>
      <c r="Z930" s="727"/>
      <c r="AA930" s="727"/>
      <c r="AB930" s="727"/>
      <c r="AC930" s="727"/>
      <c r="AD930" s="727"/>
      <c r="AE930" s="727"/>
      <c r="AF930" s="727"/>
      <c r="AG930" s="727"/>
      <c r="AH930" s="727"/>
      <c r="AI930" s="727"/>
      <c r="AJ930" s="727"/>
      <c r="AK930" s="727"/>
      <c r="AL930" s="727"/>
      <c r="AM930" s="727"/>
      <c r="AN930" s="727"/>
      <c r="AO930" s="727"/>
      <c r="AP930" s="727"/>
      <c r="AQ930" s="727"/>
      <c r="AR930" s="727"/>
      <c r="AS930" s="727"/>
      <c r="AT930" s="727"/>
      <c r="AU930" s="727"/>
      <c r="AV930" s="727"/>
      <c r="AW930" s="727"/>
      <c r="AX930" s="727"/>
      <c r="AY930" s="727"/>
      <c r="AZ930" s="727"/>
      <c r="BA930" s="727"/>
      <c r="BB930" s="727"/>
    </row>
    <row r="931" spans="1:54">
      <c r="A931" s="326"/>
      <c r="B931" s="727"/>
      <c r="C931" s="727"/>
      <c r="D931" s="727"/>
      <c r="E931" s="727"/>
      <c r="F931" s="727"/>
      <c r="G931" s="727"/>
      <c r="H931" s="727"/>
      <c r="I931" s="727"/>
      <c r="J931" s="727"/>
      <c r="K931" s="727"/>
      <c r="L931" s="727"/>
      <c r="M931" s="727"/>
      <c r="N931" s="727"/>
      <c r="O931" s="727"/>
      <c r="P931" s="727"/>
      <c r="Q931" s="727"/>
      <c r="R931" s="727"/>
      <c r="S931" s="727"/>
      <c r="T931" s="727"/>
      <c r="U931" s="727"/>
      <c r="V931" s="727"/>
      <c r="W931" s="727"/>
      <c r="X931" s="727"/>
      <c r="Y931" s="727"/>
      <c r="Z931" s="727"/>
      <c r="AA931" s="727"/>
      <c r="AB931" s="727"/>
      <c r="AC931" s="727"/>
      <c r="AD931" s="727"/>
      <c r="AE931" s="727"/>
      <c r="AF931" s="727"/>
      <c r="AG931" s="727"/>
      <c r="AH931" s="727"/>
      <c r="AI931" s="727"/>
      <c r="AJ931" s="727"/>
      <c r="AK931" s="727"/>
      <c r="AL931" s="727"/>
      <c r="AM931" s="727"/>
      <c r="AN931" s="727"/>
      <c r="AO931" s="727"/>
      <c r="AP931" s="727"/>
      <c r="AQ931" s="727"/>
      <c r="AR931" s="727"/>
      <c r="AS931" s="727"/>
      <c r="AT931" s="727"/>
      <c r="AU931" s="727"/>
      <c r="AV931" s="727"/>
      <c r="AW931" s="727"/>
      <c r="AX931" s="727"/>
      <c r="AY931" s="727"/>
      <c r="AZ931" s="727"/>
      <c r="BA931" s="727"/>
      <c r="BB931" s="727"/>
    </row>
    <row r="932" spans="1:54">
      <c r="A932" s="326"/>
      <c r="B932" s="727"/>
      <c r="C932" s="727"/>
      <c r="D932" s="727"/>
      <c r="E932" s="727"/>
      <c r="F932" s="727"/>
      <c r="G932" s="727"/>
      <c r="H932" s="727"/>
      <c r="I932" s="727"/>
      <c r="J932" s="727"/>
      <c r="K932" s="727"/>
      <c r="L932" s="727"/>
      <c r="M932" s="727"/>
      <c r="N932" s="727"/>
      <c r="O932" s="727"/>
      <c r="P932" s="727"/>
      <c r="Q932" s="727"/>
      <c r="R932" s="727"/>
      <c r="S932" s="727"/>
      <c r="T932" s="727"/>
      <c r="U932" s="727"/>
      <c r="V932" s="727"/>
      <c r="W932" s="727"/>
      <c r="X932" s="727"/>
      <c r="Y932" s="727"/>
      <c r="Z932" s="727"/>
      <c r="AA932" s="727"/>
      <c r="AB932" s="727"/>
      <c r="AC932" s="727"/>
      <c r="AD932" s="727"/>
      <c r="AE932" s="727"/>
      <c r="AF932" s="727"/>
      <c r="AG932" s="727"/>
      <c r="AH932" s="727"/>
      <c r="AI932" s="727"/>
      <c r="AJ932" s="727"/>
      <c r="AK932" s="727"/>
      <c r="AL932" s="727"/>
      <c r="AM932" s="727"/>
      <c r="AN932" s="727"/>
      <c r="AO932" s="727"/>
      <c r="AP932" s="727"/>
      <c r="AQ932" s="727"/>
      <c r="AR932" s="727"/>
      <c r="AS932" s="727"/>
      <c r="AT932" s="727"/>
      <c r="AU932" s="727"/>
      <c r="AV932" s="727"/>
      <c r="AW932" s="727"/>
      <c r="AX932" s="727"/>
      <c r="AY932" s="727"/>
      <c r="AZ932" s="727"/>
      <c r="BA932" s="727"/>
      <c r="BB932" s="727"/>
    </row>
    <row r="933" spans="1:54">
      <c r="A933" s="326"/>
      <c r="B933" s="727"/>
      <c r="C933" s="727"/>
      <c r="D933" s="727"/>
      <c r="E933" s="727"/>
      <c r="F933" s="727"/>
      <c r="G933" s="727"/>
      <c r="H933" s="727"/>
      <c r="I933" s="727"/>
      <c r="J933" s="727"/>
      <c r="K933" s="727"/>
      <c r="L933" s="727"/>
      <c r="M933" s="727"/>
      <c r="N933" s="727"/>
      <c r="O933" s="727"/>
      <c r="P933" s="727"/>
      <c r="Q933" s="727"/>
      <c r="R933" s="727"/>
      <c r="S933" s="727"/>
      <c r="T933" s="727"/>
      <c r="U933" s="727"/>
      <c r="V933" s="727"/>
      <c r="W933" s="727"/>
      <c r="X933" s="727"/>
      <c r="Y933" s="727"/>
      <c r="Z933" s="727"/>
      <c r="AA933" s="727"/>
      <c r="AB933" s="727"/>
      <c r="AC933" s="727"/>
      <c r="AD933" s="727"/>
      <c r="AE933" s="727"/>
      <c r="AF933" s="727"/>
      <c r="AG933" s="727"/>
      <c r="AH933" s="727"/>
      <c r="AI933" s="727"/>
      <c r="AJ933" s="727"/>
      <c r="AK933" s="727"/>
      <c r="AL933" s="727"/>
      <c r="AM933" s="727"/>
      <c r="AN933" s="727"/>
      <c r="AO933" s="727"/>
      <c r="AP933" s="727"/>
      <c r="AQ933" s="727"/>
      <c r="AR933" s="727"/>
      <c r="AS933" s="727"/>
      <c r="AT933" s="727"/>
      <c r="AU933" s="727"/>
      <c r="AV933" s="727"/>
      <c r="AW933" s="727"/>
      <c r="AX933" s="727"/>
      <c r="AY933" s="727"/>
      <c r="AZ933" s="727"/>
      <c r="BA933" s="727"/>
      <c r="BB933" s="727"/>
    </row>
    <row r="934" spans="1:54">
      <c r="A934" s="326"/>
      <c r="B934" s="727"/>
      <c r="C934" s="727"/>
      <c r="D934" s="727"/>
      <c r="E934" s="727"/>
      <c r="F934" s="727"/>
      <c r="G934" s="727"/>
      <c r="H934" s="727"/>
      <c r="I934" s="727"/>
      <c r="J934" s="727"/>
      <c r="K934" s="727"/>
      <c r="L934" s="727"/>
      <c r="M934" s="727"/>
      <c r="N934" s="727"/>
      <c r="O934" s="727"/>
      <c r="P934" s="727"/>
      <c r="Q934" s="727"/>
      <c r="R934" s="727"/>
      <c r="S934" s="727"/>
      <c r="T934" s="727"/>
      <c r="U934" s="727"/>
      <c r="V934" s="727"/>
      <c r="W934" s="727"/>
      <c r="X934" s="727"/>
      <c r="Y934" s="727"/>
      <c r="Z934" s="727"/>
      <c r="AA934" s="727"/>
      <c r="AB934" s="727"/>
      <c r="AC934" s="727"/>
      <c r="AD934" s="727"/>
      <c r="AE934" s="727"/>
      <c r="AF934" s="727"/>
      <c r="AG934" s="727"/>
      <c r="AH934" s="727"/>
      <c r="AI934" s="727"/>
      <c r="AJ934" s="727"/>
      <c r="AK934" s="727"/>
      <c r="AL934" s="727"/>
      <c r="AM934" s="727"/>
      <c r="AN934" s="727"/>
      <c r="AO934" s="727"/>
      <c r="AP934" s="727"/>
      <c r="AQ934" s="727"/>
      <c r="AR934" s="727"/>
      <c r="AS934" s="727"/>
      <c r="AT934" s="727"/>
      <c r="AU934" s="727"/>
      <c r="AV934" s="727"/>
      <c r="AW934" s="727"/>
      <c r="AX934" s="727"/>
      <c r="AY934" s="727"/>
      <c r="AZ934" s="727"/>
      <c r="BA934" s="727"/>
      <c r="BB934" s="727"/>
    </row>
    <row r="935" spans="1:54">
      <c r="A935" s="326"/>
      <c r="B935" s="727"/>
      <c r="C935" s="727"/>
      <c r="D935" s="727"/>
      <c r="E935" s="727"/>
      <c r="F935" s="727"/>
      <c r="G935" s="727"/>
      <c r="H935" s="727"/>
      <c r="I935" s="727"/>
      <c r="J935" s="727"/>
      <c r="K935" s="727"/>
      <c r="L935" s="727"/>
      <c r="M935" s="727"/>
      <c r="N935" s="727"/>
      <c r="O935" s="727"/>
      <c r="P935" s="727"/>
      <c r="Q935" s="727"/>
      <c r="R935" s="727"/>
      <c r="S935" s="727"/>
      <c r="T935" s="727"/>
      <c r="U935" s="727"/>
      <c r="V935" s="727"/>
      <c r="W935" s="727"/>
      <c r="X935" s="727"/>
      <c r="Y935" s="727"/>
      <c r="Z935" s="727"/>
      <c r="AA935" s="727"/>
      <c r="AB935" s="727"/>
      <c r="AC935" s="727"/>
      <c r="AD935" s="727"/>
      <c r="AE935" s="727"/>
      <c r="AF935" s="727"/>
      <c r="AG935" s="727"/>
      <c r="AH935" s="727"/>
      <c r="AI935" s="727"/>
      <c r="AJ935" s="727"/>
      <c r="AK935" s="727"/>
      <c r="AL935" s="727"/>
      <c r="AM935" s="727"/>
      <c r="AN935" s="727"/>
      <c r="AO935" s="727"/>
      <c r="AP935" s="727"/>
      <c r="AQ935" s="727"/>
      <c r="AR935" s="727"/>
      <c r="AS935" s="727"/>
      <c r="AT935" s="727"/>
      <c r="AU935" s="727"/>
      <c r="AV935" s="727"/>
      <c r="AW935" s="727"/>
      <c r="AX935" s="727"/>
      <c r="AY935" s="727"/>
      <c r="AZ935" s="727"/>
      <c r="BA935" s="727"/>
      <c r="BB935" s="727"/>
    </row>
    <row r="936" spans="1:54">
      <c r="A936" s="326"/>
      <c r="B936" s="727"/>
      <c r="C936" s="727"/>
      <c r="D936" s="727"/>
      <c r="E936" s="727"/>
      <c r="F936" s="727"/>
      <c r="G936" s="727"/>
      <c r="H936" s="727"/>
      <c r="I936" s="727"/>
      <c r="J936" s="727"/>
      <c r="K936" s="727"/>
      <c r="L936" s="727"/>
      <c r="M936" s="727"/>
      <c r="N936" s="727"/>
      <c r="O936" s="727"/>
      <c r="P936" s="727"/>
      <c r="Q936" s="727"/>
      <c r="R936" s="727"/>
      <c r="S936" s="727"/>
      <c r="T936" s="727"/>
      <c r="U936" s="727"/>
      <c r="V936" s="727"/>
      <c r="W936" s="727"/>
      <c r="X936" s="727"/>
      <c r="Y936" s="727"/>
      <c r="Z936" s="727"/>
      <c r="AA936" s="727"/>
      <c r="AB936" s="727"/>
      <c r="AC936" s="727"/>
      <c r="AD936" s="727"/>
      <c r="AE936" s="727"/>
      <c r="AF936" s="727"/>
      <c r="AG936" s="727"/>
      <c r="AH936" s="727"/>
      <c r="AI936" s="727"/>
      <c r="AJ936" s="727"/>
      <c r="AK936" s="727"/>
      <c r="AL936" s="727"/>
      <c r="AM936" s="727"/>
      <c r="AN936" s="727"/>
      <c r="AO936" s="727"/>
      <c r="AP936" s="727"/>
      <c r="AQ936" s="727"/>
      <c r="AR936" s="727"/>
      <c r="AS936" s="727"/>
      <c r="AT936" s="727"/>
      <c r="AU936" s="727"/>
      <c r="AV936" s="727"/>
      <c r="AW936" s="727"/>
      <c r="AX936" s="727"/>
      <c r="AY936" s="727"/>
      <c r="AZ936" s="727"/>
      <c r="BA936" s="727"/>
      <c r="BB936" s="727"/>
    </row>
    <row r="937" spans="1:54">
      <c r="A937" s="326"/>
      <c r="B937" s="727"/>
      <c r="C937" s="727"/>
      <c r="D937" s="727"/>
      <c r="E937" s="727"/>
      <c r="F937" s="727"/>
      <c r="G937" s="727"/>
      <c r="H937" s="727"/>
      <c r="I937" s="727"/>
      <c r="J937" s="727"/>
      <c r="K937" s="727"/>
      <c r="L937" s="727"/>
      <c r="M937" s="727"/>
      <c r="N937" s="727"/>
      <c r="O937" s="727"/>
      <c r="P937" s="727"/>
      <c r="Q937" s="727"/>
      <c r="R937" s="727"/>
      <c r="S937" s="727"/>
      <c r="T937" s="727"/>
      <c r="U937" s="727"/>
      <c r="V937" s="727"/>
      <c r="W937" s="727"/>
      <c r="X937" s="727"/>
      <c r="Y937" s="727"/>
      <c r="Z937" s="727"/>
      <c r="AA937" s="727"/>
      <c r="AB937" s="727"/>
      <c r="AC937" s="727"/>
      <c r="AD937" s="727"/>
      <c r="AE937" s="727"/>
      <c r="AF937" s="727"/>
      <c r="AG937" s="727"/>
      <c r="AH937" s="727"/>
      <c r="AI937" s="727"/>
      <c r="AJ937" s="727"/>
      <c r="AK937" s="727"/>
      <c r="AL937" s="727"/>
      <c r="AM937" s="727"/>
      <c r="AN937" s="727"/>
      <c r="AO937" s="727"/>
      <c r="AP937" s="727"/>
      <c r="AQ937" s="727"/>
      <c r="AR937" s="727"/>
      <c r="AS937" s="727"/>
      <c r="AT937" s="727"/>
      <c r="AU937" s="727"/>
      <c r="AV937" s="727"/>
      <c r="AW937" s="727"/>
      <c r="AX937" s="727"/>
      <c r="AY937" s="727"/>
      <c r="AZ937" s="727"/>
      <c r="BA937" s="727"/>
      <c r="BB937" s="727"/>
    </row>
    <row r="938" spans="1:54">
      <c r="A938" s="326"/>
      <c r="B938" s="727"/>
      <c r="C938" s="727"/>
      <c r="D938" s="727"/>
      <c r="E938" s="727"/>
      <c r="F938" s="727"/>
      <c r="G938" s="727"/>
      <c r="H938" s="727"/>
      <c r="I938" s="727"/>
      <c r="J938" s="727"/>
      <c r="K938" s="727"/>
      <c r="L938" s="727"/>
      <c r="M938" s="727"/>
      <c r="N938" s="727"/>
      <c r="O938" s="727"/>
      <c r="P938" s="727"/>
      <c r="Q938" s="727"/>
      <c r="R938" s="727"/>
      <c r="S938" s="727"/>
      <c r="T938" s="727"/>
      <c r="U938" s="727"/>
      <c r="V938" s="727"/>
      <c r="W938" s="727"/>
      <c r="X938" s="727"/>
      <c r="Y938" s="727"/>
      <c r="Z938" s="727"/>
      <c r="AA938" s="727"/>
      <c r="AB938" s="727"/>
      <c r="AC938" s="727"/>
      <c r="AD938" s="727"/>
      <c r="AE938" s="727"/>
      <c r="AF938" s="727"/>
      <c r="AG938" s="727"/>
      <c r="AH938" s="727"/>
      <c r="AI938" s="727"/>
      <c r="AJ938" s="727"/>
      <c r="AK938" s="727"/>
      <c r="AL938" s="727"/>
      <c r="AM938" s="727"/>
      <c r="AN938" s="727"/>
      <c r="AO938" s="727"/>
      <c r="AP938" s="727"/>
      <c r="AQ938" s="727"/>
      <c r="AR938" s="727"/>
      <c r="AS938" s="727"/>
      <c r="AT938" s="727"/>
      <c r="AU938" s="727"/>
      <c r="AV938" s="727"/>
      <c r="AW938" s="727"/>
      <c r="AX938" s="727"/>
      <c r="AY938" s="727"/>
      <c r="AZ938" s="727"/>
      <c r="BA938" s="727"/>
      <c r="BB938" s="727"/>
    </row>
    <row r="939" spans="1:54">
      <c r="A939" s="326"/>
      <c r="B939" s="727"/>
      <c r="C939" s="727"/>
      <c r="D939" s="727"/>
      <c r="E939" s="727"/>
      <c r="F939" s="727"/>
      <c r="G939" s="727"/>
      <c r="H939" s="727"/>
      <c r="I939" s="727"/>
      <c r="J939" s="727"/>
      <c r="K939" s="727"/>
      <c r="L939" s="727"/>
      <c r="M939" s="727"/>
      <c r="N939" s="727"/>
      <c r="O939" s="727"/>
      <c r="P939" s="727"/>
      <c r="Q939" s="727"/>
      <c r="R939" s="727"/>
      <c r="S939" s="727"/>
      <c r="T939" s="727"/>
      <c r="U939" s="727"/>
      <c r="V939" s="727"/>
      <c r="W939" s="727"/>
      <c r="X939" s="727"/>
      <c r="Y939" s="727"/>
      <c r="Z939" s="727"/>
      <c r="AA939" s="727"/>
      <c r="AB939" s="727"/>
      <c r="AC939" s="727"/>
      <c r="AD939" s="727"/>
      <c r="AE939" s="727"/>
      <c r="AF939" s="727"/>
      <c r="AG939" s="727"/>
      <c r="AH939" s="727"/>
      <c r="AI939" s="727"/>
      <c r="AJ939" s="727"/>
      <c r="AK939" s="727"/>
      <c r="AL939" s="727"/>
      <c r="AM939" s="727"/>
      <c r="AN939" s="727"/>
      <c r="AO939" s="727"/>
      <c r="AP939" s="727"/>
      <c r="AQ939" s="727"/>
      <c r="AR939" s="727"/>
      <c r="AS939" s="727"/>
      <c r="AT939" s="727"/>
      <c r="AU939" s="727"/>
      <c r="AV939" s="727"/>
      <c r="AW939" s="727"/>
      <c r="AX939" s="727"/>
      <c r="AY939" s="727"/>
      <c r="AZ939" s="727"/>
      <c r="BA939" s="727"/>
      <c r="BB939" s="727"/>
    </row>
    <row r="940" spans="1:54">
      <c r="A940" s="326"/>
      <c r="B940" s="727"/>
      <c r="C940" s="727"/>
      <c r="D940" s="727"/>
      <c r="E940" s="727"/>
      <c r="F940" s="727"/>
      <c r="G940" s="727"/>
      <c r="H940" s="727"/>
      <c r="I940" s="727"/>
      <c r="J940" s="727"/>
      <c r="K940" s="727"/>
      <c r="L940" s="727"/>
      <c r="M940" s="727"/>
      <c r="N940" s="727"/>
      <c r="O940" s="727"/>
      <c r="P940" s="727"/>
      <c r="Q940" s="727"/>
      <c r="R940" s="727"/>
      <c r="S940" s="727"/>
      <c r="T940" s="727"/>
      <c r="U940" s="727"/>
      <c r="V940" s="727"/>
      <c r="W940" s="727"/>
      <c r="X940" s="727"/>
      <c r="Y940" s="727"/>
      <c r="Z940" s="727"/>
      <c r="AA940" s="727"/>
      <c r="AB940" s="727"/>
      <c r="AC940" s="727"/>
      <c r="AD940" s="727"/>
      <c r="AE940" s="727"/>
      <c r="AF940" s="727"/>
      <c r="AG940" s="727"/>
      <c r="AH940" s="727"/>
      <c r="AI940" s="727"/>
      <c r="AJ940" s="727"/>
      <c r="AK940" s="727"/>
      <c r="AL940" s="727"/>
      <c r="AM940" s="727"/>
      <c r="AN940" s="727"/>
      <c r="AO940" s="727"/>
      <c r="AP940" s="727"/>
      <c r="AQ940" s="727"/>
      <c r="AR940" s="727"/>
      <c r="AS940" s="727"/>
      <c r="AT940" s="727"/>
      <c r="AU940" s="727"/>
      <c r="AV940" s="727"/>
      <c r="AW940" s="727"/>
      <c r="AX940" s="727"/>
      <c r="AY940" s="727"/>
      <c r="AZ940" s="727"/>
      <c r="BA940" s="727"/>
      <c r="BB940" s="727"/>
    </row>
    <row r="941" spans="1:54">
      <c r="A941" s="326"/>
      <c r="B941" s="727"/>
      <c r="C941" s="727"/>
      <c r="D941" s="727"/>
      <c r="E941" s="727"/>
      <c r="F941" s="727"/>
      <c r="G941" s="727"/>
      <c r="H941" s="727"/>
      <c r="I941" s="727"/>
      <c r="J941" s="727"/>
      <c r="K941" s="727"/>
      <c r="L941" s="727"/>
      <c r="M941" s="727"/>
      <c r="N941" s="727"/>
      <c r="O941" s="727"/>
      <c r="P941" s="727"/>
      <c r="Q941" s="727"/>
      <c r="R941" s="727"/>
      <c r="S941" s="727"/>
      <c r="T941" s="727"/>
      <c r="U941" s="727"/>
      <c r="V941" s="727"/>
      <c r="W941" s="727"/>
      <c r="X941" s="727"/>
      <c r="Y941" s="727"/>
      <c r="Z941" s="727"/>
      <c r="AA941" s="727"/>
      <c r="AB941" s="727"/>
      <c r="AC941" s="727"/>
      <c r="AD941" s="727"/>
      <c r="AE941" s="727"/>
      <c r="AF941" s="727"/>
      <c r="AG941" s="727"/>
      <c r="AH941" s="727"/>
      <c r="AI941" s="727"/>
      <c r="AJ941" s="727"/>
      <c r="AK941" s="727"/>
      <c r="AL941" s="727"/>
      <c r="AM941" s="727"/>
      <c r="AN941" s="727"/>
      <c r="AO941" s="727"/>
      <c r="AP941" s="727"/>
      <c r="AQ941" s="727"/>
      <c r="AR941" s="727"/>
      <c r="AS941" s="727"/>
      <c r="AT941" s="727"/>
      <c r="AU941" s="727"/>
      <c r="AV941" s="727"/>
      <c r="AW941" s="727"/>
      <c r="AX941" s="727"/>
      <c r="AY941" s="727"/>
      <c r="AZ941" s="727"/>
      <c r="BA941" s="727"/>
      <c r="BB941" s="727"/>
    </row>
    <row r="942" spans="1:54">
      <c r="A942" s="326"/>
      <c r="B942" s="727"/>
      <c r="C942" s="727"/>
      <c r="D942" s="727"/>
      <c r="E942" s="727"/>
      <c r="F942" s="727"/>
      <c r="G942" s="727"/>
      <c r="H942" s="727"/>
      <c r="I942" s="727"/>
      <c r="J942" s="727"/>
      <c r="K942" s="727"/>
      <c r="L942" s="727"/>
      <c r="M942" s="727"/>
      <c r="N942" s="727"/>
      <c r="O942" s="727"/>
      <c r="P942" s="727"/>
      <c r="Q942" s="727"/>
      <c r="R942" s="727"/>
      <c r="S942" s="727"/>
      <c r="T942" s="727"/>
      <c r="U942" s="727"/>
      <c r="V942" s="727"/>
      <c r="W942" s="727"/>
      <c r="X942" s="727"/>
      <c r="Y942" s="727"/>
      <c r="Z942" s="727"/>
      <c r="AA942" s="727"/>
      <c r="AB942" s="727"/>
      <c r="AC942" s="727"/>
      <c r="AD942" s="727"/>
      <c r="AE942" s="727"/>
      <c r="AF942" s="727"/>
      <c r="AG942" s="727"/>
      <c r="AH942" s="727"/>
      <c r="AI942" s="727"/>
      <c r="AJ942" s="727"/>
      <c r="AK942" s="727"/>
      <c r="AL942" s="727"/>
      <c r="AM942" s="727"/>
      <c r="AN942" s="727"/>
      <c r="AO942" s="727"/>
      <c r="AP942" s="727"/>
      <c r="AQ942" s="727"/>
      <c r="AR942" s="727"/>
      <c r="AS942" s="727"/>
      <c r="AT942" s="727"/>
      <c r="AU942" s="727"/>
      <c r="AV942" s="727"/>
      <c r="AW942" s="727"/>
      <c r="AX942" s="727"/>
      <c r="AY942" s="727"/>
      <c r="AZ942" s="727"/>
      <c r="BA942" s="727"/>
      <c r="BB942" s="727"/>
    </row>
    <row r="943" spans="1:54">
      <c r="A943" s="326"/>
      <c r="B943" s="727"/>
      <c r="C943" s="727"/>
      <c r="D943" s="727"/>
      <c r="E943" s="727"/>
      <c r="F943" s="727"/>
      <c r="G943" s="727"/>
      <c r="H943" s="727"/>
      <c r="I943" s="727"/>
      <c r="J943" s="727"/>
      <c r="K943" s="727"/>
      <c r="L943" s="727"/>
      <c r="M943" s="727"/>
      <c r="N943" s="727"/>
      <c r="O943" s="727"/>
      <c r="P943" s="727"/>
      <c r="Q943" s="727"/>
      <c r="R943" s="727"/>
      <c r="S943" s="727"/>
      <c r="T943" s="727"/>
      <c r="U943" s="727"/>
      <c r="V943" s="727"/>
      <c r="W943" s="727"/>
      <c r="X943" s="727"/>
      <c r="Y943" s="727"/>
      <c r="Z943" s="727"/>
      <c r="AA943" s="727"/>
      <c r="AB943" s="727"/>
      <c r="AC943" s="727"/>
      <c r="AD943" s="727"/>
      <c r="AE943" s="727"/>
      <c r="AF943" s="727"/>
      <c r="AG943" s="727"/>
      <c r="AH943" s="727"/>
      <c r="AI943" s="727"/>
      <c r="AJ943" s="727"/>
      <c r="AK943" s="727"/>
      <c r="AL943" s="727"/>
      <c r="AM943" s="727"/>
      <c r="AN943" s="727"/>
      <c r="AO943" s="727"/>
      <c r="AP943" s="727"/>
      <c r="AQ943" s="727"/>
      <c r="AR943" s="727"/>
      <c r="AS943" s="727"/>
      <c r="AT943" s="727"/>
      <c r="AU943" s="727"/>
      <c r="AV943" s="727"/>
      <c r="AW943" s="727"/>
      <c r="AX943" s="727"/>
      <c r="AY943" s="727"/>
      <c r="AZ943" s="727"/>
      <c r="BA943" s="727"/>
      <c r="BB943" s="727"/>
    </row>
    <row r="944" spans="1:54">
      <c r="A944" s="326"/>
      <c r="B944" s="727"/>
      <c r="C944" s="727"/>
      <c r="D944" s="727"/>
      <c r="E944" s="727"/>
      <c r="F944" s="727"/>
      <c r="G944" s="727"/>
      <c r="H944" s="727"/>
      <c r="I944" s="727"/>
      <c r="J944" s="727"/>
      <c r="K944" s="727"/>
      <c r="L944" s="727"/>
      <c r="M944" s="727"/>
      <c r="N944" s="727"/>
      <c r="O944" s="727"/>
      <c r="P944" s="727"/>
      <c r="Q944" s="727"/>
      <c r="R944" s="727"/>
      <c r="S944" s="727"/>
      <c r="T944" s="727"/>
      <c r="U944" s="727"/>
      <c r="V944" s="727"/>
      <c r="W944" s="727"/>
      <c r="X944" s="727"/>
      <c r="Y944" s="727"/>
      <c r="Z944" s="727"/>
      <c r="AA944" s="727"/>
      <c r="AB944" s="727"/>
      <c r="AC944" s="727"/>
      <c r="AD944" s="727"/>
      <c r="AE944" s="727"/>
      <c r="AF944" s="727"/>
      <c r="AG944" s="727"/>
      <c r="AH944" s="727"/>
      <c r="AI944" s="727"/>
      <c r="AJ944" s="727"/>
      <c r="AK944" s="727"/>
      <c r="AL944" s="727"/>
      <c r="AM944" s="727"/>
      <c r="AN944" s="727"/>
      <c r="AO944" s="727"/>
      <c r="AP944" s="727"/>
      <c r="AQ944" s="727"/>
      <c r="AR944" s="727"/>
      <c r="AS944" s="727"/>
      <c r="AT944" s="727"/>
      <c r="AU944" s="727"/>
      <c r="AV944" s="727"/>
      <c r="AW944" s="727"/>
      <c r="AX944" s="727"/>
      <c r="AY944" s="727"/>
      <c r="AZ944" s="727"/>
      <c r="BA944" s="727"/>
      <c r="BB944" s="727"/>
    </row>
    <row r="945" spans="1:54">
      <c r="A945" s="326"/>
      <c r="B945" s="727"/>
      <c r="C945" s="727"/>
      <c r="D945" s="727"/>
      <c r="E945" s="727"/>
      <c r="F945" s="727"/>
      <c r="G945" s="727"/>
      <c r="H945" s="727"/>
      <c r="I945" s="727"/>
      <c r="J945" s="727"/>
      <c r="K945" s="727"/>
      <c r="L945" s="727"/>
      <c r="M945" s="727"/>
      <c r="N945" s="727"/>
      <c r="O945" s="727"/>
      <c r="P945" s="727"/>
      <c r="Q945" s="727"/>
      <c r="R945" s="727"/>
      <c r="S945" s="727"/>
      <c r="T945" s="727"/>
      <c r="U945" s="727"/>
      <c r="V945" s="727"/>
      <c r="W945" s="727"/>
      <c r="X945" s="727"/>
      <c r="Y945" s="727"/>
      <c r="Z945" s="727"/>
      <c r="AA945" s="727"/>
      <c r="AB945" s="727"/>
      <c r="AC945" s="727"/>
      <c r="AD945" s="727"/>
      <c r="AE945" s="727"/>
      <c r="AF945" s="727"/>
      <c r="AG945" s="727"/>
      <c r="AH945" s="727"/>
      <c r="AI945" s="727"/>
      <c r="AJ945" s="727"/>
      <c r="AK945" s="727"/>
      <c r="AL945" s="727"/>
      <c r="AM945" s="727"/>
      <c r="AN945" s="727"/>
      <c r="AO945" s="727"/>
      <c r="AP945" s="727"/>
      <c r="AQ945" s="727"/>
      <c r="AR945" s="727"/>
      <c r="AS945" s="727"/>
      <c r="AT945" s="727"/>
      <c r="AU945" s="727"/>
      <c r="AV945" s="727"/>
      <c r="AW945" s="727"/>
      <c r="AX945" s="727"/>
      <c r="AY945" s="727"/>
      <c r="AZ945" s="727"/>
      <c r="BA945" s="727"/>
      <c r="BB945" s="727"/>
    </row>
    <row r="946" spans="1:54">
      <c r="A946" s="326"/>
      <c r="B946" s="727"/>
      <c r="C946" s="727"/>
      <c r="D946" s="727"/>
      <c r="E946" s="727"/>
      <c r="F946" s="727"/>
      <c r="G946" s="727"/>
      <c r="H946" s="727"/>
      <c r="I946" s="727"/>
      <c r="J946" s="727"/>
      <c r="K946" s="727"/>
      <c r="L946" s="727"/>
      <c r="M946" s="727"/>
      <c r="N946" s="727"/>
      <c r="O946" s="727"/>
      <c r="P946" s="727"/>
      <c r="Q946" s="727"/>
      <c r="R946" s="727"/>
      <c r="S946" s="727"/>
      <c r="T946" s="727"/>
      <c r="U946" s="727"/>
      <c r="V946" s="727"/>
      <c r="W946" s="727"/>
      <c r="X946" s="727"/>
      <c r="Y946" s="727"/>
      <c r="Z946" s="727"/>
      <c r="AA946" s="727"/>
      <c r="AB946" s="727"/>
      <c r="AC946" s="727"/>
      <c r="AD946" s="727"/>
      <c r="AE946" s="727"/>
      <c r="AF946" s="727"/>
      <c r="AG946" s="727"/>
      <c r="AH946" s="727"/>
      <c r="AI946" s="727"/>
      <c r="AJ946" s="727"/>
      <c r="AK946" s="727"/>
      <c r="AL946" s="727"/>
      <c r="AM946" s="727"/>
      <c r="AN946" s="727"/>
      <c r="AO946" s="727"/>
      <c r="AP946" s="727"/>
      <c r="AQ946" s="727"/>
      <c r="AR946" s="727"/>
      <c r="AS946" s="727"/>
      <c r="AT946" s="727"/>
      <c r="AU946" s="727"/>
      <c r="AV946" s="727"/>
      <c r="AW946" s="727"/>
      <c r="AX946" s="727"/>
      <c r="AY946" s="727"/>
      <c r="AZ946" s="727"/>
      <c r="BA946" s="727"/>
      <c r="BB946" s="727"/>
    </row>
    <row r="947" spans="1:54">
      <c r="A947" s="326"/>
      <c r="B947" s="727"/>
      <c r="C947" s="727"/>
      <c r="D947" s="727"/>
      <c r="E947" s="727"/>
      <c r="F947" s="727"/>
      <c r="G947" s="727"/>
      <c r="H947" s="727"/>
      <c r="I947" s="727"/>
      <c r="J947" s="727"/>
      <c r="K947" s="727"/>
      <c r="L947" s="727"/>
      <c r="M947" s="727"/>
      <c r="N947" s="727"/>
      <c r="O947" s="727"/>
      <c r="P947" s="727"/>
      <c r="Q947" s="727"/>
      <c r="R947" s="727"/>
      <c r="S947" s="727"/>
      <c r="T947" s="727"/>
      <c r="U947" s="727"/>
      <c r="V947" s="727"/>
      <c r="W947" s="727"/>
      <c r="X947" s="727"/>
      <c r="Y947" s="727"/>
      <c r="Z947" s="727"/>
      <c r="AA947" s="727"/>
      <c r="AB947" s="727"/>
      <c r="AC947" s="727"/>
      <c r="AD947" s="727"/>
      <c r="AE947" s="727"/>
      <c r="AF947" s="727"/>
      <c r="AG947" s="727"/>
      <c r="AH947" s="727"/>
      <c r="AI947" s="727"/>
      <c r="AJ947" s="727"/>
      <c r="AK947" s="727"/>
      <c r="AL947" s="727"/>
      <c r="AM947" s="727"/>
      <c r="AN947" s="727"/>
      <c r="AO947" s="727"/>
      <c r="AP947" s="727"/>
      <c r="AQ947" s="727"/>
      <c r="AR947" s="727"/>
      <c r="AS947" s="727"/>
      <c r="AT947" s="727"/>
      <c r="AU947" s="727"/>
      <c r="AV947" s="727"/>
      <c r="AW947" s="727"/>
      <c r="AX947" s="727"/>
      <c r="AY947" s="727"/>
      <c r="AZ947" s="727"/>
      <c r="BA947" s="727"/>
      <c r="BB947" s="727"/>
    </row>
    <row r="948" spans="1:54">
      <c r="A948" s="326"/>
      <c r="B948" s="727"/>
      <c r="C948" s="727"/>
      <c r="D948" s="727"/>
      <c r="E948" s="727"/>
      <c r="F948" s="727"/>
      <c r="G948" s="727"/>
      <c r="H948" s="727"/>
      <c r="I948" s="727"/>
      <c r="J948" s="727"/>
      <c r="K948" s="727"/>
      <c r="L948" s="727"/>
      <c r="M948" s="727"/>
      <c r="N948" s="727"/>
      <c r="O948" s="727"/>
      <c r="P948" s="727"/>
      <c r="Q948" s="727"/>
      <c r="R948" s="727"/>
      <c r="S948" s="727"/>
      <c r="T948" s="727"/>
      <c r="U948" s="727"/>
      <c r="V948" s="727"/>
      <c r="W948" s="727"/>
      <c r="X948" s="727"/>
      <c r="Y948" s="727"/>
      <c r="Z948" s="727"/>
      <c r="AA948" s="727"/>
      <c r="AB948" s="727"/>
      <c r="AC948" s="727"/>
      <c r="AD948" s="727"/>
      <c r="AE948" s="727"/>
      <c r="AF948" s="727"/>
      <c r="AG948" s="727"/>
      <c r="AH948" s="727"/>
      <c r="AI948" s="727"/>
      <c r="AJ948" s="727"/>
      <c r="AK948" s="727"/>
      <c r="AL948" s="727"/>
      <c r="AM948" s="727"/>
      <c r="AN948" s="727"/>
      <c r="AO948" s="727"/>
      <c r="AP948" s="727"/>
      <c r="AQ948" s="727"/>
      <c r="AR948" s="727"/>
      <c r="AS948" s="727"/>
      <c r="AT948" s="727"/>
      <c r="AU948" s="727"/>
      <c r="AV948" s="727"/>
      <c r="AW948" s="727"/>
      <c r="AX948" s="727"/>
      <c r="AY948" s="727"/>
      <c r="AZ948" s="727"/>
      <c r="BA948" s="727"/>
      <c r="BB948" s="727"/>
    </row>
    <row r="949" spans="1:54">
      <c r="A949" s="326"/>
      <c r="B949" s="727"/>
      <c r="C949" s="727"/>
      <c r="D949" s="727"/>
      <c r="E949" s="727"/>
      <c r="F949" s="727"/>
      <c r="G949" s="727"/>
      <c r="H949" s="727"/>
      <c r="I949" s="727"/>
      <c r="J949" s="727"/>
      <c r="K949" s="727"/>
      <c r="L949" s="727"/>
      <c r="M949" s="727"/>
      <c r="N949" s="727"/>
      <c r="O949" s="727"/>
      <c r="P949" s="727"/>
      <c r="Q949" s="727"/>
      <c r="R949" s="727"/>
      <c r="S949" s="727"/>
      <c r="T949" s="727"/>
      <c r="U949" s="727"/>
      <c r="V949" s="727"/>
      <c r="W949" s="727"/>
      <c r="X949" s="727"/>
      <c r="Y949" s="727"/>
      <c r="Z949" s="727"/>
      <c r="AA949" s="727"/>
      <c r="AB949" s="727"/>
      <c r="AC949" s="727"/>
      <c r="AD949" s="727"/>
      <c r="AE949" s="727"/>
      <c r="AF949" s="727"/>
      <c r="AG949" s="727"/>
      <c r="AH949" s="727"/>
      <c r="AI949" s="727"/>
      <c r="AJ949" s="727"/>
      <c r="AK949" s="727"/>
      <c r="AL949" s="727"/>
      <c r="AM949" s="727"/>
      <c r="AN949" s="727"/>
      <c r="AO949" s="727"/>
      <c r="AP949" s="727"/>
      <c r="AQ949" s="727"/>
      <c r="AR949" s="727"/>
      <c r="AS949" s="727"/>
      <c r="AT949" s="727"/>
      <c r="AU949" s="727"/>
      <c r="AV949" s="727"/>
      <c r="AW949" s="727"/>
      <c r="AX949" s="727"/>
      <c r="AY949" s="727"/>
      <c r="AZ949" s="727"/>
      <c r="BA949" s="727"/>
      <c r="BB949" s="727"/>
    </row>
    <row r="950" spans="1:54">
      <c r="A950" s="326"/>
      <c r="B950" s="727"/>
      <c r="C950" s="727"/>
      <c r="D950" s="727"/>
      <c r="E950" s="727"/>
      <c r="F950" s="727"/>
      <c r="G950" s="727"/>
      <c r="H950" s="727"/>
      <c r="I950" s="727"/>
      <c r="J950" s="727"/>
      <c r="K950" s="727"/>
      <c r="L950" s="727"/>
      <c r="M950" s="727"/>
      <c r="N950" s="727"/>
      <c r="O950" s="727"/>
      <c r="P950" s="727"/>
      <c r="Q950" s="727"/>
      <c r="R950" s="727"/>
      <c r="S950" s="727"/>
      <c r="T950" s="727"/>
      <c r="U950" s="727"/>
      <c r="V950" s="727"/>
      <c r="W950" s="727"/>
      <c r="X950" s="727"/>
      <c r="Y950" s="727"/>
      <c r="Z950" s="727"/>
      <c r="AA950" s="727"/>
      <c r="AB950" s="727"/>
      <c r="AC950" s="727"/>
      <c r="AD950" s="727"/>
      <c r="AE950" s="727"/>
      <c r="AF950" s="727"/>
      <c r="AG950" s="727"/>
      <c r="AH950" s="727"/>
      <c r="AI950" s="727"/>
      <c r="AJ950" s="727"/>
      <c r="AK950" s="727"/>
      <c r="AL950" s="727"/>
      <c r="AM950" s="727"/>
      <c r="AN950" s="727"/>
      <c r="AO950" s="727"/>
      <c r="AP950" s="727"/>
      <c r="AQ950" s="727"/>
      <c r="AR950" s="727"/>
      <c r="AS950" s="727"/>
      <c r="AT950" s="727"/>
      <c r="AU950" s="727"/>
      <c r="AV950" s="727"/>
      <c r="AW950" s="727"/>
      <c r="AX950" s="727"/>
      <c r="AY950" s="727"/>
      <c r="AZ950" s="727"/>
      <c r="BA950" s="727"/>
      <c r="BB950" s="727"/>
    </row>
    <row r="951" spans="1:54">
      <c r="A951" s="326"/>
      <c r="B951" s="727"/>
      <c r="C951" s="727"/>
      <c r="D951" s="727"/>
      <c r="E951" s="727"/>
      <c r="F951" s="727"/>
      <c r="G951" s="727"/>
      <c r="H951" s="727"/>
      <c r="I951" s="727"/>
      <c r="J951" s="727"/>
      <c r="K951" s="727"/>
      <c r="L951" s="727"/>
      <c r="M951" s="727"/>
      <c r="N951" s="727"/>
      <c r="O951" s="727"/>
      <c r="P951" s="727"/>
      <c r="Q951" s="727"/>
      <c r="R951" s="727"/>
      <c r="S951" s="727"/>
      <c r="T951" s="727"/>
      <c r="U951" s="727"/>
      <c r="V951" s="727"/>
      <c r="W951" s="727"/>
      <c r="X951" s="727"/>
      <c r="Y951" s="727"/>
      <c r="Z951" s="727"/>
      <c r="AA951" s="727"/>
      <c r="AB951" s="727"/>
      <c r="AC951" s="727"/>
      <c r="AD951" s="727"/>
      <c r="AE951" s="727"/>
      <c r="AF951" s="727"/>
      <c r="AG951" s="727"/>
      <c r="AH951" s="727"/>
      <c r="AI951" s="727"/>
      <c r="AJ951" s="727"/>
      <c r="AK951" s="727"/>
      <c r="AL951" s="727"/>
      <c r="AM951" s="727"/>
      <c r="AN951" s="727"/>
      <c r="AO951" s="727"/>
      <c r="AP951" s="727"/>
      <c r="AQ951" s="727"/>
      <c r="AR951" s="727"/>
      <c r="AS951" s="727"/>
      <c r="AT951" s="727"/>
      <c r="AU951" s="727"/>
      <c r="AV951" s="727"/>
      <c r="AW951" s="727"/>
      <c r="AX951" s="727"/>
      <c r="AY951" s="727"/>
      <c r="AZ951" s="727"/>
      <c r="BA951" s="727"/>
      <c r="BB951" s="727"/>
    </row>
    <row r="952" spans="1:54">
      <c r="A952" s="326"/>
      <c r="B952" s="727"/>
      <c r="C952" s="727"/>
      <c r="D952" s="727"/>
      <c r="E952" s="727"/>
      <c r="F952" s="727"/>
      <c r="G952" s="727"/>
      <c r="H952" s="727"/>
      <c r="I952" s="727"/>
      <c r="J952" s="727"/>
      <c r="K952" s="727"/>
      <c r="L952" s="727"/>
      <c r="M952" s="727"/>
      <c r="N952" s="727"/>
      <c r="O952" s="727"/>
      <c r="P952" s="727"/>
      <c r="Q952" s="727"/>
      <c r="R952" s="727"/>
      <c r="S952" s="727"/>
      <c r="T952" s="727"/>
      <c r="U952" s="727"/>
      <c r="V952" s="727"/>
      <c r="W952" s="727"/>
      <c r="X952" s="727"/>
      <c r="Y952" s="727"/>
      <c r="Z952" s="727"/>
      <c r="AA952" s="727"/>
      <c r="AB952" s="727"/>
      <c r="AC952" s="727"/>
      <c r="AD952" s="727"/>
      <c r="AE952" s="727"/>
      <c r="AF952" s="727"/>
      <c r="AG952" s="727"/>
      <c r="AH952" s="727"/>
      <c r="AI952" s="727"/>
      <c r="AJ952" s="727"/>
      <c r="AK952" s="727"/>
      <c r="AL952" s="727"/>
      <c r="AM952" s="727"/>
      <c r="AN952" s="727"/>
      <c r="AO952" s="727"/>
      <c r="AP952" s="727"/>
      <c r="AQ952" s="727"/>
      <c r="AR952" s="727"/>
      <c r="AS952" s="727"/>
      <c r="AT952" s="727"/>
      <c r="AU952" s="727"/>
      <c r="AV952" s="727"/>
      <c r="AW952" s="727"/>
      <c r="AX952" s="727"/>
      <c r="AY952" s="727"/>
      <c r="AZ952" s="727"/>
      <c r="BA952" s="727"/>
      <c r="BB952" s="727"/>
    </row>
    <row r="953" spans="1:54">
      <c r="A953" s="326"/>
      <c r="B953" s="727"/>
      <c r="C953" s="727"/>
      <c r="D953" s="727"/>
      <c r="E953" s="727"/>
      <c r="F953" s="727"/>
      <c r="G953" s="727"/>
      <c r="H953" s="727"/>
      <c r="I953" s="727"/>
      <c r="J953" s="727"/>
      <c r="K953" s="727"/>
      <c r="L953" s="727"/>
      <c r="M953" s="727"/>
      <c r="N953" s="727"/>
      <c r="O953" s="727"/>
      <c r="P953" s="727"/>
      <c r="Q953" s="727"/>
      <c r="R953" s="727"/>
      <c r="S953" s="727"/>
      <c r="T953" s="727"/>
      <c r="U953" s="727"/>
      <c r="V953" s="727"/>
      <c r="W953" s="727"/>
      <c r="X953" s="727"/>
      <c r="Y953" s="727"/>
      <c r="Z953" s="727"/>
      <c r="AA953" s="727"/>
      <c r="AB953" s="727"/>
      <c r="AC953" s="727"/>
      <c r="AD953" s="727"/>
      <c r="AE953" s="727"/>
      <c r="AF953" s="727"/>
      <c r="AG953" s="727"/>
      <c r="AH953" s="727"/>
      <c r="AI953" s="727"/>
      <c r="AJ953" s="727"/>
      <c r="AK953" s="727"/>
      <c r="AL953" s="727"/>
      <c r="AM953" s="727"/>
      <c r="AN953" s="727"/>
      <c r="AO953" s="727"/>
      <c r="AP953" s="727"/>
      <c r="AQ953" s="727"/>
      <c r="AR953" s="727"/>
      <c r="AS953" s="727"/>
      <c r="AT953" s="727"/>
      <c r="AU953" s="727"/>
      <c r="AV953" s="727"/>
      <c r="AW953" s="727"/>
      <c r="AX953" s="727"/>
      <c r="AY953" s="727"/>
      <c r="AZ953" s="727"/>
      <c r="BA953" s="727"/>
      <c r="BB953" s="727"/>
    </row>
    <row r="954" spans="1:54">
      <c r="A954" s="326"/>
      <c r="B954" s="727"/>
      <c r="C954" s="727"/>
      <c r="D954" s="727"/>
      <c r="E954" s="727"/>
      <c r="F954" s="727"/>
      <c r="G954" s="727"/>
      <c r="H954" s="727"/>
      <c r="I954" s="727"/>
      <c r="J954" s="727"/>
      <c r="K954" s="727"/>
      <c r="L954" s="727"/>
      <c r="M954" s="727"/>
      <c r="N954" s="727"/>
      <c r="O954" s="727"/>
      <c r="P954" s="727"/>
      <c r="Q954" s="727"/>
      <c r="R954" s="727"/>
      <c r="S954" s="727"/>
      <c r="T954" s="727"/>
      <c r="U954" s="727"/>
      <c r="V954" s="727"/>
      <c r="W954" s="727"/>
      <c r="X954" s="727"/>
      <c r="Y954" s="727"/>
      <c r="Z954" s="727"/>
      <c r="AA954" s="727"/>
      <c r="AB954" s="727"/>
      <c r="AC954" s="727"/>
      <c r="AD954" s="727"/>
      <c r="AE954" s="727"/>
      <c r="AF954" s="727"/>
      <c r="AG954" s="727"/>
      <c r="AH954" s="727"/>
      <c r="AI954" s="727"/>
      <c r="AJ954" s="727"/>
      <c r="AK954" s="727"/>
      <c r="AL954" s="727"/>
      <c r="AM954" s="727"/>
      <c r="AN954" s="727"/>
      <c r="AO954" s="727"/>
      <c r="AP954" s="727"/>
      <c r="AQ954" s="727"/>
      <c r="AR954" s="727"/>
      <c r="AS954" s="727"/>
      <c r="AT954" s="727"/>
      <c r="AU954" s="727"/>
      <c r="AV954" s="727"/>
      <c r="AW954" s="727"/>
      <c r="AX954" s="727"/>
      <c r="AY954" s="727"/>
      <c r="AZ954" s="727"/>
      <c r="BA954" s="727"/>
      <c r="BB954" s="727"/>
    </row>
    <row r="955" spans="1:54">
      <c r="A955" s="326"/>
      <c r="B955" s="727"/>
      <c r="C955" s="727"/>
      <c r="D955" s="727"/>
      <c r="E955" s="727"/>
      <c r="F955" s="727"/>
      <c r="G955" s="727"/>
      <c r="H955" s="727"/>
      <c r="I955" s="727"/>
      <c r="J955" s="727"/>
      <c r="K955" s="727"/>
      <c r="L955" s="727"/>
      <c r="M955" s="727"/>
      <c r="N955" s="727"/>
      <c r="O955" s="727"/>
      <c r="P955" s="727"/>
      <c r="Q955" s="727"/>
      <c r="R955" s="727"/>
      <c r="S955" s="727"/>
      <c r="T955" s="727"/>
      <c r="U955" s="727"/>
      <c r="V955" s="727"/>
      <c r="W955" s="727"/>
      <c r="X955" s="727"/>
      <c r="Y955" s="727"/>
      <c r="Z955" s="727"/>
      <c r="AA955" s="727"/>
      <c r="AB955" s="727"/>
      <c r="AC955" s="727"/>
      <c r="AD955" s="727"/>
      <c r="AE955" s="727"/>
      <c r="AF955" s="727"/>
      <c r="AG955" s="727"/>
      <c r="AH955" s="727"/>
      <c r="AI955" s="727"/>
      <c r="AJ955" s="727"/>
      <c r="AK955" s="727"/>
      <c r="AL955" s="727"/>
      <c r="AM955" s="727"/>
      <c r="AN955" s="727"/>
      <c r="AO955" s="727"/>
      <c r="AP955" s="727"/>
      <c r="AQ955" s="727"/>
      <c r="AR955" s="727"/>
      <c r="AS955" s="727"/>
      <c r="AT955" s="727"/>
      <c r="AU955" s="727"/>
      <c r="AV955" s="727"/>
      <c r="AW955" s="727"/>
      <c r="AX955" s="727"/>
      <c r="AY955" s="727"/>
      <c r="AZ955" s="727"/>
      <c r="BA955" s="727"/>
      <c r="BB955" s="727"/>
    </row>
    <row r="956" spans="1:54">
      <c r="A956" s="326"/>
      <c r="B956" s="727"/>
      <c r="C956" s="727"/>
      <c r="D956" s="727"/>
      <c r="E956" s="727"/>
      <c r="F956" s="727"/>
      <c r="G956" s="727"/>
      <c r="H956" s="727"/>
      <c r="I956" s="727"/>
      <c r="J956" s="727"/>
      <c r="K956" s="727"/>
      <c r="L956" s="727"/>
      <c r="M956" s="727"/>
      <c r="N956" s="727"/>
      <c r="O956" s="727"/>
      <c r="P956" s="727"/>
      <c r="Q956" s="727"/>
      <c r="R956" s="727"/>
      <c r="S956" s="727"/>
      <c r="T956" s="727"/>
      <c r="U956" s="727"/>
      <c r="V956" s="727"/>
      <c r="W956" s="727"/>
      <c r="X956" s="727"/>
      <c r="Y956" s="727"/>
      <c r="Z956" s="727"/>
      <c r="AA956" s="727"/>
      <c r="AB956" s="727"/>
      <c r="AC956" s="727"/>
      <c r="AD956" s="727"/>
      <c r="AE956" s="727"/>
      <c r="AF956" s="727"/>
      <c r="AG956" s="727"/>
      <c r="AH956" s="727"/>
      <c r="AI956" s="727"/>
      <c r="AJ956" s="727"/>
      <c r="AK956" s="727"/>
      <c r="AL956" s="727"/>
      <c r="AM956" s="727"/>
      <c r="AN956" s="727"/>
      <c r="AO956" s="727"/>
      <c r="AP956" s="727"/>
      <c r="AQ956" s="727"/>
      <c r="AR956" s="727"/>
      <c r="AS956" s="727"/>
      <c r="AT956" s="727"/>
      <c r="AU956" s="727"/>
      <c r="AV956" s="727"/>
      <c r="AW956" s="727"/>
      <c r="AX956" s="727"/>
      <c r="AY956" s="727"/>
      <c r="AZ956" s="727"/>
      <c r="BA956" s="727"/>
      <c r="BB956" s="727"/>
    </row>
    <row r="957" spans="1:54">
      <c r="A957" s="326"/>
      <c r="B957" s="727"/>
      <c r="C957" s="727"/>
      <c r="D957" s="727"/>
      <c r="E957" s="727"/>
      <c r="F957" s="727"/>
      <c r="G957" s="727"/>
      <c r="H957" s="727"/>
      <c r="I957" s="727"/>
      <c r="J957" s="727"/>
      <c r="K957" s="727"/>
      <c r="L957" s="727"/>
      <c r="M957" s="727"/>
      <c r="N957" s="727"/>
      <c r="O957" s="727"/>
      <c r="P957" s="727"/>
      <c r="Q957" s="727"/>
      <c r="R957" s="727"/>
      <c r="S957" s="727"/>
      <c r="T957" s="727"/>
      <c r="U957" s="727"/>
      <c r="V957" s="727"/>
      <c r="W957" s="727"/>
      <c r="X957" s="727"/>
      <c r="Y957" s="727"/>
      <c r="Z957" s="727"/>
      <c r="AA957" s="727"/>
      <c r="AB957" s="727"/>
      <c r="AC957" s="727"/>
      <c r="AD957" s="727"/>
      <c r="AE957" s="727"/>
      <c r="AF957" s="727"/>
      <c r="AG957" s="727"/>
      <c r="AH957" s="727"/>
      <c r="AI957" s="727"/>
      <c r="AJ957" s="727"/>
      <c r="AK957" s="727"/>
      <c r="AL957" s="727"/>
      <c r="AM957" s="727"/>
      <c r="AN957" s="727"/>
      <c r="AO957" s="727"/>
      <c r="AP957" s="727"/>
      <c r="AQ957" s="727"/>
      <c r="AR957" s="727"/>
      <c r="AS957" s="727"/>
      <c r="AT957" s="727"/>
      <c r="AU957" s="727"/>
      <c r="AV957" s="727"/>
      <c r="AW957" s="727"/>
      <c r="AX957" s="727"/>
      <c r="AY957" s="727"/>
      <c r="AZ957" s="727"/>
      <c r="BA957" s="727"/>
      <c r="BB957" s="727"/>
    </row>
    <row r="958" spans="1:54">
      <c r="A958" s="326"/>
      <c r="B958" s="727"/>
      <c r="C958" s="727"/>
      <c r="D958" s="727"/>
      <c r="E958" s="727"/>
      <c r="F958" s="727"/>
      <c r="G958" s="727"/>
      <c r="H958" s="727"/>
      <c r="I958" s="727"/>
      <c r="J958" s="727"/>
      <c r="K958" s="727"/>
      <c r="L958" s="727"/>
      <c r="M958" s="727"/>
      <c r="N958" s="727"/>
      <c r="O958" s="727"/>
      <c r="P958" s="727"/>
      <c r="Q958" s="727"/>
      <c r="R958" s="727"/>
      <c r="S958" s="727"/>
      <c r="T958" s="727"/>
      <c r="U958" s="727"/>
      <c r="V958" s="727"/>
      <c r="W958" s="727"/>
      <c r="X958" s="727"/>
      <c r="Y958" s="727"/>
      <c r="Z958" s="727"/>
      <c r="AA958" s="727"/>
      <c r="AB958" s="727"/>
      <c r="AC958" s="727"/>
      <c r="AD958" s="727"/>
      <c r="AE958" s="727"/>
      <c r="AF958" s="727"/>
      <c r="AG958" s="727"/>
      <c r="AH958" s="727"/>
      <c r="AI958" s="727"/>
      <c r="AJ958" s="727"/>
      <c r="AK958" s="727"/>
      <c r="AL958" s="727"/>
      <c r="AM958" s="727"/>
      <c r="AN958" s="727"/>
      <c r="AO958" s="727"/>
      <c r="AP958" s="727"/>
      <c r="AQ958" s="727"/>
      <c r="AR958" s="727"/>
      <c r="AS958" s="727"/>
      <c r="AT958" s="727"/>
      <c r="AU958" s="727"/>
      <c r="AV958" s="727"/>
      <c r="AW958" s="727"/>
      <c r="AX958" s="727"/>
      <c r="AY958" s="727"/>
      <c r="AZ958" s="727"/>
      <c r="BA958" s="727"/>
      <c r="BB958" s="727"/>
    </row>
    <row r="959" spans="1:54">
      <c r="A959" s="326"/>
      <c r="B959" s="727"/>
      <c r="C959" s="727"/>
      <c r="D959" s="727"/>
      <c r="E959" s="727"/>
      <c r="F959" s="727"/>
      <c r="G959" s="727"/>
      <c r="H959" s="727"/>
      <c r="I959" s="727"/>
      <c r="J959" s="727"/>
      <c r="K959" s="727"/>
      <c r="L959" s="727"/>
      <c r="M959" s="727"/>
      <c r="N959" s="727"/>
      <c r="O959" s="727"/>
      <c r="P959" s="727"/>
      <c r="Q959" s="727"/>
      <c r="R959" s="727"/>
      <c r="S959" s="727"/>
      <c r="T959" s="727"/>
      <c r="U959" s="727"/>
      <c r="V959" s="727"/>
      <c r="W959" s="727"/>
      <c r="X959" s="727"/>
      <c r="Y959" s="727"/>
      <c r="Z959" s="727"/>
      <c r="AA959" s="727"/>
      <c r="AB959" s="727"/>
      <c r="AC959" s="727"/>
      <c r="AD959" s="727"/>
      <c r="AE959" s="727"/>
      <c r="AF959" s="727"/>
      <c r="AG959" s="727"/>
      <c r="AH959" s="727"/>
      <c r="AI959" s="727"/>
      <c r="AJ959" s="727"/>
      <c r="AK959" s="727"/>
      <c r="AL959" s="727"/>
      <c r="AM959" s="727"/>
      <c r="AN959" s="727"/>
      <c r="AO959" s="727"/>
      <c r="AP959" s="727"/>
      <c r="AQ959" s="727"/>
      <c r="AR959" s="727"/>
      <c r="AS959" s="727"/>
      <c r="AT959" s="727"/>
      <c r="AU959" s="727"/>
      <c r="AV959" s="727"/>
      <c r="AW959" s="727"/>
      <c r="AX959" s="727"/>
      <c r="AY959" s="727"/>
      <c r="AZ959" s="727"/>
      <c r="BA959" s="727"/>
      <c r="BB959" s="727"/>
    </row>
    <row r="960" spans="1:54">
      <c r="A960" s="326"/>
      <c r="B960" s="727"/>
      <c r="C960" s="727"/>
      <c r="D960" s="727"/>
      <c r="E960" s="727"/>
      <c r="F960" s="727"/>
      <c r="G960" s="727"/>
      <c r="H960" s="727"/>
      <c r="I960" s="727"/>
      <c r="J960" s="727"/>
      <c r="K960" s="727"/>
      <c r="L960" s="727"/>
      <c r="M960" s="727"/>
      <c r="N960" s="727"/>
      <c r="O960" s="727"/>
      <c r="P960" s="727"/>
      <c r="Q960" s="727"/>
      <c r="R960" s="727"/>
      <c r="S960" s="727"/>
      <c r="T960" s="727"/>
      <c r="U960" s="727"/>
      <c r="V960" s="727"/>
      <c r="W960" s="727"/>
      <c r="X960" s="727"/>
      <c r="Y960" s="727"/>
      <c r="Z960" s="727"/>
      <c r="AA960" s="727"/>
      <c r="AB960" s="727"/>
      <c r="AC960" s="727"/>
      <c r="AD960" s="727"/>
      <c r="AE960" s="727"/>
      <c r="AF960" s="727"/>
      <c r="AG960" s="727"/>
      <c r="AH960" s="727"/>
      <c r="AI960" s="727"/>
      <c r="AJ960" s="727"/>
      <c r="AK960" s="727"/>
      <c r="AL960" s="727"/>
      <c r="AM960" s="727"/>
      <c r="AN960" s="727"/>
      <c r="AO960" s="727"/>
      <c r="AP960" s="727"/>
      <c r="AQ960" s="727"/>
      <c r="AR960" s="727"/>
      <c r="AS960" s="727"/>
      <c r="AT960" s="727"/>
      <c r="AU960" s="727"/>
      <c r="AV960" s="727"/>
      <c r="AW960" s="727"/>
      <c r="AX960" s="727"/>
      <c r="AY960" s="727"/>
      <c r="AZ960" s="727"/>
      <c r="BA960" s="727"/>
      <c r="BB960" s="727"/>
    </row>
    <row r="961" spans="1:54">
      <c r="A961" s="326"/>
      <c r="B961" s="727"/>
      <c r="C961" s="727"/>
      <c r="D961" s="727"/>
      <c r="E961" s="727"/>
      <c r="F961" s="727"/>
      <c r="G961" s="727"/>
      <c r="H961" s="727"/>
      <c r="I961" s="727"/>
      <c r="J961" s="727"/>
      <c r="K961" s="727"/>
      <c r="L961" s="727"/>
      <c r="M961" s="727"/>
      <c r="N961" s="727"/>
      <c r="O961" s="727"/>
      <c r="P961" s="727"/>
      <c r="Q961" s="727"/>
      <c r="R961" s="727"/>
      <c r="S961" s="727"/>
      <c r="T961" s="727"/>
      <c r="U961" s="727"/>
      <c r="V961" s="727"/>
      <c r="W961" s="727"/>
      <c r="X961" s="727"/>
      <c r="Y961" s="727"/>
      <c r="Z961" s="727"/>
      <c r="AA961" s="727"/>
      <c r="AB961" s="727"/>
      <c r="AC961" s="727"/>
      <c r="AD961" s="727"/>
      <c r="AE961" s="727"/>
      <c r="AF961" s="727"/>
      <c r="AG961" s="727"/>
      <c r="AH961" s="727"/>
      <c r="AI961" s="727"/>
      <c r="AJ961" s="727"/>
      <c r="AK961" s="727"/>
      <c r="AL961" s="727"/>
      <c r="AM961" s="727"/>
      <c r="AN961" s="727"/>
      <c r="AO961" s="727"/>
      <c r="AP961" s="727"/>
      <c r="AQ961" s="727"/>
      <c r="AR961" s="727"/>
      <c r="AS961" s="727"/>
      <c r="AT961" s="727"/>
      <c r="AU961" s="727"/>
      <c r="AV961" s="727"/>
      <c r="AW961" s="727"/>
      <c r="AX961" s="727"/>
      <c r="AY961" s="727"/>
      <c r="AZ961" s="727"/>
      <c r="BA961" s="727"/>
      <c r="BB961" s="727"/>
    </row>
    <row r="962" spans="1:54">
      <c r="A962" s="326"/>
      <c r="B962" s="727"/>
      <c r="C962" s="727"/>
      <c r="D962" s="727"/>
      <c r="E962" s="727"/>
      <c r="F962" s="727"/>
      <c r="G962" s="727"/>
      <c r="H962" s="727"/>
      <c r="I962" s="727"/>
      <c r="J962" s="727"/>
      <c r="K962" s="727"/>
      <c r="L962" s="727"/>
      <c r="M962" s="727"/>
      <c r="N962" s="727"/>
      <c r="O962" s="727"/>
      <c r="P962" s="727"/>
      <c r="Q962" s="727"/>
      <c r="R962" s="727"/>
      <c r="S962" s="727"/>
      <c r="T962" s="727"/>
      <c r="U962" s="727"/>
      <c r="V962" s="727"/>
      <c r="W962" s="727"/>
      <c r="X962" s="727"/>
      <c r="Y962" s="727"/>
      <c r="Z962" s="727"/>
      <c r="AA962" s="727"/>
      <c r="AB962" s="727"/>
      <c r="AC962" s="727"/>
      <c r="AD962" s="727"/>
      <c r="AE962" s="727"/>
      <c r="AF962" s="727"/>
      <c r="AG962" s="727"/>
      <c r="AH962" s="727"/>
      <c r="AI962" s="727"/>
      <c r="AJ962" s="727"/>
      <c r="AK962" s="727"/>
      <c r="AL962" s="727"/>
      <c r="AM962" s="727"/>
      <c r="AN962" s="727"/>
      <c r="AO962" s="727"/>
      <c r="AP962" s="727"/>
      <c r="AQ962" s="727"/>
      <c r="AR962" s="727"/>
      <c r="AS962" s="727"/>
      <c r="AT962" s="727"/>
      <c r="AU962" s="727"/>
      <c r="AV962" s="727"/>
      <c r="AW962" s="727"/>
      <c r="AX962" s="727"/>
      <c r="AY962" s="727"/>
      <c r="AZ962" s="727"/>
      <c r="BA962" s="727"/>
      <c r="BB962" s="727"/>
    </row>
    <row r="963" spans="1:54">
      <c r="A963" s="326"/>
      <c r="B963" s="727"/>
      <c r="C963" s="727"/>
      <c r="D963" s="727"/>
      <c r="E963" s="727"/>
      <c r="F963" s="727"/>
      <c r="G963" s="727"/>
      <c r="H963" s="727"/>
      <c r="I963" s="727"/>
      <c r="J963" s="727"/>
      <c r="K963" s="727"/>
      <c r="L963" s="727"/>
      <c r="M963" s="727"/>
      <c r="N963" s="727"/>
      <c r="O963" s="727"/>
      <c r="P963" s="727"/>
      <c r="Q963" s="727"/>
      <c r="R963" s="727"/>
      <c r="S963" s="727"/>
      <c r="T963" s="727"/>
      <c r="U963" s="727"/>
      <c r="V963" s="727"/>
      <c r="W963" s="727"/>
      <c r="X963" s="727"/>
      <c r="Y963" s="727"/>
      <c r="Z963" s="727"/>
      <c r="AA963" s="727"/>
      <c r="AB963" s="727"/>
      <c r="AC963" s="727"/>
      <c r="AD963" s="727"/>
      <c r="AE963" s="727"/>
      <c r="AF963" s="727"/>
      <c r="AG963" s="727"/>
      <c r="AH963" s="727"/>
      <c r="AI963" s="727"/>
      <c r="AJ963" s="727"/>
      <c r="AK963" s="727"/>
      <c r="AL963" s="727"/>
      <c r="AM963" s="727"/>
      <c r="AN963" s="727"/>
      <c r="AO963" s="727"/>
      <c r="AP963" s="727"/>
      <c r="AQ963" s="727"/>
      <c r="AR963" s="727"/>
      <c r="AS963" s="727"/>
      <c r="AT963" s="727"/>
      <c r="AU963" s="727"/>
      <c r="AV963" s="727"/>
      <c r="AW963" s="727"/>
      <c r="AX963" s="727"/>
      <c r="AY963" s="727"/>
      <c r="AZ963" s="727"/>
      <c r="BA963" s="727"/>
      <c r="BB963" s="727"/>
    </row>
    <row r="964" spans="1:54">
      <c r="A964" s="326"/>
      <c r="B964" s="727"/>
      <c r="C964" s="727"/>
      <c r="D964" s="727"/>
      <c r="E964" s="727"/>
      <c r="F964" s="727"/>
      <c r="G964" s="727"/>
      <c r="H964" s="727"/>
      <c r="I964" s="727"/>
      <c r="J964" s="727"/>
      <c r="K964" s="727"/>
      <c r="L964" s="727"/>
      <c r="M964" s="727"/>
      <c r="N964" s="727"/>
      <c r="O964" s="727"/>
      <c r="P964" s="727"/>
      <c r="Q964" s="727"/>
      <c r="R964" s="727"/>
      <c r="S964" s="727"/>
      <c r="T964" s="727"/>
      <c r="U964" s="727"/>
      <c r="V964" s="727"/>
      <c r="W964" s="727"/>
      <c r="X964" s="727"/>
      <c r="Y964" s="727"/>
      <c r="Z964" s="727"/>
      <c r="AA964" s="727"/>
      <c r="AB964" s="727"/>
      <c r="AC964" s="727"/>
      <c r="AD964" s="727"/>
      <c r="AE964" s="727"/>
      <c r="AF964" s="727"/>
      <c r="AG964" s="727"/>
      <c r="AH964" s="727"/>
      <c r="AI964" s="727"/>
      <c r="AJ964" s="727"/>
      <c r="AK964" s="727"/>
      <c r="AL964" s="727"/>
      <c r="AM964" s="727"/>
      <c r="AN964" s="727"/>
      <c r="AO964" s="727"/>
      <c r="AP964" s="727"/>
      <c r="AQ964" s="727"/>
      <c r="AR964" s="727"/>
      <c r="AS964" s="727"/>
      <c r="AT964" s="727"/>
      <c r="AU964" s="727"/>
      <c r="AV964" s="727"/>
      <c r="AW964" s="727"/>
      <c r="AX964" s="727"/>
      <c r="AY964" s="727"/>
      <c r="AZ964" s="727"/>
      <c r="BA964" s="727"/>
      <c r="BB964" s="727"/>
    </row>
    <row r="965" spans="1:54">
      <c r="A965" s="326"/>
      <c r="B965" s="727"/>
      <c r="C965" s="727"/>
      <c r="D965" s="727"/>
      <c r="E965" s="727"/>
      <c r="F965" s="727"/>
      <c r="G965" s="727"/>
      <c r="H965" s="727"/>
      <c r="I965" s="727"/>
      <c r="J965" s="727"/>
      <c r="K965" s="727"/>
      <c r="L965" s="727"/>
      <c r="M965" s="727"/>
      <c r="N965" s="727"/>
      <c r="O965" s="727"/>
      <c r="P965" s="727"/>
      <c r="Q965" s="727"/>
      <c r="R965" s="727"/>
      <c r="S965" s="727"/>
      <c r="T965" s="727"/>
      <c r="U965" s="727"/>
      <c r="V965" s="727"/>
      <c r="W965" s="727"/>
      <c r="X965" s="727"/>
      <c r="Y965" s="727"/>
      <c r="Z965" s="727"/>
      <c r="AA965" s="727"/>
      <c r="AB965" s="727"/>
      <c r="AC965" s="727"/>
      <c r="AD965" s="727"/>
      <c r="AE965" s="727"/>
      <c r="AF965" s="727"/>
      <c r="AG965" s="727"/>
      <c r="AH965" s="727"/>
      <c r="AI965" s="727"/>
      <c r="AJ965" s="727"/>
      <c r="AK965" s="727"/>
      <c r="AL965" s="727"/>
      <c r="AM965" s="727"/>
      <c r="AN965" s="727"/>
      <c r="AO965" s="727"/>
      <c r="AP965" s="727"/>
      <c r="AQ965" s="727"/>
      <c r="AR965" s="727"/>
      <c r="AS965" s="727"/>
      <c r="AT965" s="727"/>
      <c r="AU965" s="727"/>
      <c r="AV965" s="727"/>
      <c r="AW965" s="727"/>
      <c r="AX965" s="727"/>
      <c r="AY965" s="727"/>
      <c r="AZ965" s="727"/>
      <c r="BA965" s="727"/>
      <c r="BB965" s="727"/>
    </row>
    <row r="966" spans="1:54">
      <c r="A966" s="326"/>
      <c r="B966" s="727"/>
      <c r="C966" s="727"/>
      <c r="D966" s="727"/>
      <c r="E966" s="727"/>
      <c r="F966" s="727"/>
      <c r="G966" s="727"/>
      <c r="H966" s="727"/>
      <c r="I966" s="727"/>
      <c r="J966" s="727"/>
      <c r="K966" s="727"/>
      <c r="L966" s="727"/>
      <c r="M966" s="727"/>
      <c r="N966" s="727"/>
      <c r="O966" s="727"/>
      <c r="P966" s="727"/>
      <c r="Q966" s="727"/>
      <c r="R966" s="727"/>
      <c r="S966" s="727"/>
      <c r="T966" s="727"/>
      <c r="U966" s="727"/>
      <c r="V966" s="727"/>
      <c r="W966" s="727"/>
      <c r="X966" s="727"/>
      <c r="Y966" s="727"/>
      <c r="Z966" s="727"/>
      <c r="AA966" s="727"/>
      <c r="AB966" s="727"/>
      <c r="AC966" s="727"/>
      <c r="AD966" s="727"/>
      <c r="AE966" s="727"/>
      <c r="AF966" s="727"/>
      <c r="AG966" s="727"/>
      <c r="AH966" s="727"/>
      <c r="AI966" s="727"/>
      <c r="AJ966" s="727"/>
      <c r="AK966" s="727"/>
      <c r="AL966" s="727"/>
      <c r="AM966" s="727"/>
      <c r="AN966" s="727"/>
      <c r="AO966" s="727"/>
      <c r="AP966" s="727"/>
      <c r="AQ966" s="727"/>
      <c r="AR966" s="727"/>
      <c r="AS966" s="727"/>
      <c r="AT966" s="727"/>
      <c r="AU966" s="727"/>
      <c r="AV966" s="727"/>
      <c r="AW966" s="727"/>
      <c r="AX966" s="727"/>
      <c r="AY966" s="727"/>
      <c r="AZ966" s="727"/>
      <c r="BA966" s="727"/>
      <c r="BB966" s="727"/>
    </row>
    <row r="967" spans="1:54">
      <c r="A967" s="326"/>
      <c r="B967" s="727"/>
      <c r="C967" s="727"/>
      <c r="D967" s="727"/>
      <c r="E967" s="727"/>
      <c r="F967" s="727"/>
      <c r="G967" s="727"/>
      <c r="H967" s="727"/>
      <c r="I967" s="727"/>
      <c r="J967" s="727"/>
      <c r="K967" s="727"/>
      <c r="L967" s="727"/>
      <c r="M967" s="727"/>
      <c r="N967" s="727"/>
      <c r="O967" s="727"/>
      <c r="P967" s="727"/>
      <c r="Q967" s="727"/>
      <c r="R967" s="727"/>
      <c r="S967" s="727"/>
      <c r="T967" s="727"/>
      <c r="U967" s="727"/>
      <c r="V967" s="727"/>
      <c r="W967" s="727"/>
      <c r="X967" s="727"/>
      <c r="Y967" s="727"/>
      <c r="Z967" s="727"/>
      <c r="AA967" s="727"/>
      <c r="AB967" s="727"/>
      <c r="AC967" s="727"/>
      <c r="AD967" s="727"/>
      <c r="AE967" s="727"/>
      <c r="AF967" s="727"/>
      <c r="AG967" s="727"/>
      <c r="AH967" s="727"/>
      <c r="AI967" s="727"/>
      <c r="AJ967" s="727"/>
      <c r="AK967" s="727"/>
      <c r="AL967" s="727"/>
      <c r="AM967" s="727"/>
      <c r="AN967" s="727"/>
      <c r="AO967" s="727"/>
      <c r="AP967" s="727"/>
      <c r="AQ967" s="727"/>
      <c r="AR967" s="727"/>
      <c r="AS967" s="727"/>
      <c r="AT967" s="727"/>
      <c r="AU967" s="727"/>
      <c r="AV967" s="727"/>
      <c r="AW967" s="727"/>
      <c r="AX967" s="727"/>
      <c r="AY967" s="727"/>
      <c r="AZ967" s="727"/>
      <c r="BA967" s="727"/>
      <c r="BB967" s="727"/>
    </row>
    <row r="968" spans="1:54">
      <c r="A968" s="326"/>
      <c r="B968" s="727"/>
      <c r="C968" s="727"/>
      <c r="D968" s="727"/>
      <c r="E968" s="727"/>
      <c r="F968" s="727"/>
      <c r="G968" s="727"/>
      <c r="H968" s="727"/>
      <c r="I968" s="727"/>
      <c r="J968" s="727"/>
      <c r="K968" s="727"/>
      <c r="L968" s="727"/>
      <c r="M968" s="727"/>
      <c r="N968" s="727"/>
      <c r="O968" s="727"/>
      <c r="P968" s="727"/>
      <c r="Q968" s="727"/>
      <c r="R968" s="727"/>
      <c r="S968" s="727"/>
      <c r="T968" s="727"/>
      <c r="U968" s="727"/>
      <c r="V968" s="727"/>
      <c r="W968" s="727"/>
      <c r="X968" s="727"/>
      <c r="Y968" s="727"/>
      <c r="Z968" s="727"/>
      <c r="AA968" s="727"/>
      <c r="AB968" s="727"/>
      <c r="AC968" s="727"/>
      <c r="AD968" s="727"/>
      <c r="AE968" s="727"/>
      <c r="AF968" s="727"/>
      <c r="AG968" s="727"/>
      <c r="AH968" s="727"/>
      <c r="AI968" s="727"/>
      <c r="AJ968" s="727"/>
      <c r="AK968" s="727"/>
      <c r="AL968" s="727"/>
      <c r="AM968" s="727"/>
      <c r="AN968" s="727"/>
      <c r="AO968" s="727"/>
      <c r="AP968" s="727"/>
      <c r="AQ968" s="727"/>
      <c r="AR968" s="727"/>
      <c r="AS968" s="727"/>
      <c r="AT968" s="727"/>
      <c r="AU968" s="727"/>
      <c r="AV968" s="727"/>
      <c r="AW968" s="727"/>
      <c r="AX968" s="727"/>
      <c r="AY968" s="727"/>
      <c r="AZ968" s="727"/>
      <c r="BA968" s="727"/>
      <c r="BB968" s="727"/>
    </row>
    <row r="969" spans="1:54">
      <c r="A969" s="326"/>
      <c r="B969" s="727"/>
      <c r="C969" s="727"/>
      <c r="D969" s="727"/>
      <c r="E969" s="727"/>
      <c r="F969" s="727"/>
      <c r="G969" s="727"/>
      <c r="H969" s="727"/>
      <c r="I969" s="727"/>
      <c r="J969" s="727"/>
      <c r="K969" s="727"/>
      <c r="L969" s="727"/>
      <c r="M969" s="727"/>
      <c r="N969" s="727"/>
      <c r="O969" s="727"/>
      <c r="P969" s="727"/>
      <c r="Q969" s="727"/>
      <c r="R969" s="727"/>
      <c r="S969" s="727"/>
      <c r="T969" s="727"/>
      <c r="U969" s="727"/>
      <c r="V969" s="727"/>
      <c r="W969" s="727"/>
      <c r="X969" s="727"/>
      <c r="Y969" s="727"/>
      <c r="Z969" s="727"/>
      <c r="AA969" s="727"/>
      <c r="AB969" s="727"/>
      <c r="AC969" s="727"/>
      <c r="AD969" s="727"/>
      <c r="AE969" s="727"/>
      <c r="AF969" s="727"/>
      <c r="AG969" s="727"/>
      <c r="AH969" s="727"/>
      <c r="AI969" s="727"/>
      <c r="AJ969" s="727"/>
      <c r="AK969" s="727"/>
      <c r="AL969" s="727"/>
      <c r="AM969" s="727"/>
      <c r="AN969" s="727"/>
      <c r="AO969" s="727"/>
      <c r="AP969" s="727"/>
      <c r="AQ969" s="727"/>
      <c r="AR969" s="727"/>
      <c r="AS969" s="727"/>
      <c r="AT969" s="727"/>
      <c r="AU969" s="727"/>
      <c r="AV969" s="727"/>
      <c r="AW969" s="727"/>
      <c r="AX969" s="727"/>
      <c r="AY969" s="727"/>
      <c r="AZ969" s="727"/>
      <c r="BA969" s="727"/>
      <c r="BB969" s="727"/>
    </row>
    <row r="970" spans="1:54">
      <c r="A970" s="326"/>
      <c r="B970" s="727"/>
      <c r="C970" s="727"/>
      <c r="D970" s="727"/>
      <c r="E970" s="727"/>
      <c r="F970" s="727"/>
      <c r="G970" s="727"/>
      <c r="H970" s="727"/>
      <c r="I970" s="727"/>
      <c r="J970" s="727"/>
      <c r="K970" s="727"/>
      <c r="L970" s="727"/>
      <c r="M970" s="727"/>
      <c r="N970" s="727"/>
      <c r="O970" s="727"/>
      <c r="P970" s="727"/>
      <c r="Q970" s="727"/>
      <c r="R970" s="727"/>
      <c r="S970" s="727"/>
      <c r="T970" s="727"/>
      <c r="U970" s="727"/>
      <c r="V970" s="727"/>
      <c r="W970" s="727"/>
      <c r="X970" s="727"/>
      <c r="Y970" s="727"/>
      <c r="Z970" s="727"/>
      <c r="AA970" s="727"/>
      <c r="AB970" s="727"/>
      <c r="AC970" s="727"/>
      <c r="AD970" s="727"/>
      <c r="AE970" s="727"/>
      <c r="AF970" s="727"/>
      <c r="AG970" s="727"/>
      <c r="AH970" s="727"/>
      <c r="AI970" s="727"/>
      <c r="AJ970" s="727"/>
      <c r="AK970" s="727"/>
      <c r="AL970" s="727"/>
      <c r="AM970" s="727"/>
      <c r="AN970" s="727"/>
      <c r="AO970" s="727"/>
      <c r="AP970" s="727"/>
      <c r="AQ970" s="727"/>
      <c r="AR970" s="727"/>
      <c r="AS970" s="727"/>
      <c r="AT970" s="727"/>
      <c r="AU970" s="727"/>
      <c r="AV970" s="727"/>
      <c r="AW970" s="727"/>
      <c r="AX970" s="727"/>
      <c r="AY970" s="727"/>
      <c r="AZ970" s="727"/>
      <c r="BA970" s="727"/>
      <c r="BB970" s="727"/>
    </row>
    <row r="971" spans="1:54">
      <c r="A971" s="326"/>
      <c r="B971" s="727"/>
      <c r="C971" s="727"/>
      <c r="D971" s="727"/>
      <c r="E971" s="727"/>
      <c r="F971" s="727"/>
      <c r="G971" s="727"/>
      <c r="H971" s="727"/>
      <c r="I971" s="727"/>
      <c r="J971" s="727"/>
      <c r="K971" s="727"/>
      <c r="L971" s="727"/>
      <c r="M971" s="727"/>
      <c r="N971" s="727"/>
      <c r="O971" s="727"/>
      <c r="P971" s="727"/>
      <c r="Q971" s="727"/>
      <c r="R971" s="727"/>
      <c r="S971" s="727"/>
      <c r="T971" s="727"/>
      <c r="U971" s="727"/>
      <c r="V971" s="727"/>
      <c r="W971" s="727"/>
      <c r="X971" s="727"/>
      <c r="Y971" s="727"/>
      <c r="Z971" s="727"/>
      <c r="AA971" s="727"/>
      <c r="AB971" s="727"/>
      <c r="AC971" s="727"/>
      <c r="AD971" s="727"/>
      <c r="AE971" s="727"/>
      <c r="AF971" s="727"/>
      <c r="AG971" s="727"/>
      <c r="AH971" s="727"/>
      <c r="AI971" s="727"/>
      <c r="AJ971" s="727"/>
      <c r="AK971" s="727"/>
      <c r="AL971" s="727"/>
      <c r="AM971" s="727"/>
      <c r="AN971" s="727"/>
      <c r="AO971" s="727"/>
      <c r="AP971" s="727"/>
      <c r="AQ971" s="727"/>
      <c r="AR971" s="727"/>
      <c r="AS971" s="727"/>
      <c r="AT971" s="727"/>
      <c r="AU971" s="727"/>
      <c r="AV971" s="727"/>
      <c r="AW971" s="727"/>
      <c r="AX971" s="727"/>
      <c r="AY971" s="727"/>
      <c r="AZ971" s="727"/>
      <c r="BA971" s="727"/>
      <c r="BB971" s="727"/>
    </row>
    <row r="972" spans="1:54">
      <c r="A972" s="326"/>
      <c r="B972" s="727"/>
      <c r="C972" s="727"/>
      <c r="D972" s="727"/>
      <c r="E972" s="727"/>
      <c r="F972" s="727"/>
      <c r="G972" s="727"/>
      <c r="H972" s="727"/>
      <c r="I972" s="727"/>
      <c r="J972" s="727"/>
      <c r="K972" s="727"/>
      <c r="L972" s="727"/>
      <c r="M972" s="727"/>
      <c r="N972" s="727"/>
      <c r="O972" s="727"/>
      <c r="P972" s="727"/>
      <c r="Q972" s="727"/>
      <c r="R972" s="727"/>
      <c r="S972" s="727"/>
      <c r="T972" s="727"/>
      <c r="U972" s="727"/>
      <c r="V972" s="727"/>
      <c r="W972" s="727"/>
      <c r="X972" s="727"/>
      <c r="Y972" s="727"/>
      <c r="Z972" s="727"/>
      <c r="AA972" s="727"/>
      <c r="AB972" s="727"/>
      <c r="AC972" s="727"/>
      <c r="AD972" s="727"/>
      <c r="AE972" s="727"/>
      <c r="AF972" s="727"/>
      <c r="AG972" s="727"/>
      <c r="AH972" s="727"/>
      <c r="AI972" s="727"/>
      <c r="AJ972" s="727"/>
      <c r="AK972" s="727"/>
      <c r="AL972" s="727"/>
      <c r="AM972" s="727"/>
      <c r="AN972" s="727"/>
      <c r="AO972" s="727"/>
      <c r="AP972" s="727"/>
      <c r="AQ972" s="727"/>
      <c r="AR972" s="727"/>
      <c r="AS972" s="727"/>
      <c r="AT972" s="727"/>
      <c r="AU972" s="727"/>
      <c r="AV972" s="727"/>
      <c r="AW972" s="727"/>
      <c r="AX972" s="727"/>
      <c r="AY972" s="727"/>
      <c r="AZ972" s="727"/>
      <c r="BA972" s="727"/>
      <c r="BB972" s="727"/>
    </row>
    <row r="973" spans="1:54">
      <c r="A973" s="326"/>
      <c r="B973" s="727"/>
      <c r="C973" s="727"/>
      <c r="D973" s="727"/>
      <c r="E973" s="727"/>
      <c r="F973" s="727"/>
      <c r="G973" s="727"/>
      <c r="H973" s="727"/>
      <c r="I973" s="727"/>
      <c r="J973" s="727"/>
      <c r="K973" s="727"/>
      <c r="L973" s="727"/>
      <c r="M973" s="727"/>
      <c r="N973" s="727"/>
      <c r="O973" s="727"/>
      <c r="P973" s="727"/>
      <c r="Q973" s="727"/>
      <c r="R973" s="727"/>
      <c r="S973" s="727"/>
      <c r="T973" s="727"/>
      <c r="U973" s="727"/>
      <c r="V973" s="727"/>
      <c r="W973" s="727"/>
      <c r="X973" s="727"/>
      <c r="Y973" s="727"/>
      <c r="Z973" s="727"/>
      <c r="AA973" s="727"/>
      <c r="AB973" s="727"/>
      <c r="AC973" s="727"/>
      <c r="AD973" s="727"/>
      <c r="AE973" s="727"/>
      <c r="AF973" s="727"/>
      <c r="AG973" s="727"/>
      <c r="AH973" s="727"/>
      <c r="AI973" s="727"/>
      <c r="AJ973" s="727"/>
      <c r="AK973" s="727"/>
      <c r="AL973" s="727"/>
      <c r="AM973" s="727"/>
      <c r="AN973" s="727"/>
      <c r="AO973" s="727"/>
      <c r="AP973" s="727"/>
      <c r="AQ973" s="727"/>
      <c r="AR973" s="727"/>
      <c r="AS973" s="727"/>
      <c r="AT973" s="727"/>
      <c r="AU973" s="727"/>
      <c r="AV973" s="727"/>
      <c r="AW973" s="727"/>
      <c r="AX973" s="727"/>
      <c r="AY973" s="727"/>
      <c r="AZ973" s="727"/>
      <c r="BA973" s="727"/>
      <c r="BB973" s="727"/>
    </row>
    <row r="974" spans="1:54">
      <c r="A974" s="326"/>
      <c r="B974" s="727"/>
      <c r="C974" s="727"/>
      <c r="D974" s="727"/>
      <c r="E974" s="727"/>
      <c r="F974" s="727"/>
      <c r="G974" s="727"/>
      <c r="H974" s="727"/>
      <c r="I974" s="727"/>
      <c r="J974" s="727"/>
      <c r="K974" s="727"/>
      <c r="L974" s="727"/>
      <c r="M974" s="727"/>
      <c r="N974" s="727"/>
      <c r="O974" s="727"/>
      <c r="P974" s="727"/>
      <c r="Q974" s="727"/>
      <c r="R974" s="727"/>
      <c r="S974" s="727"/>
      <c r="T974" s="727"/>
      <c r="U974" s="727"/>
      <c r="V974" s="727"/>
      <c r="W974" s="727"/>
      <c r="X974" s="727"/>
      <c r="Y974" s="727"/>
      <c r="Z974" s="727"/>
      <c r="AA974" s="727"/>
      <c r="AB974" s="727"/>
      <c r="AC974" s="727"/>
      <c r="AD974" s="727"/>
      <c r="AE974" s="727"/>
      <c r="AF974" s="727"/>
      <c r="AG974" s="727"/>
      <c r="AH974" s="727"/>
      <c r="AI974" s="727"/>
      <c r="AJ974" s="727"/>
      <c r="AK974" s="727"/>
      <c r="AL974" s="727"/>
      <c r="AM974" s="727"/>
      <c r="AN974" s="727"/>
      <c r="AO974" s="727"/>
      <c r="AP974" s="727"/>
      <c r="AQ974" s="727"/>
      <c r="AR974" s="727"/>
      <c r="AS974" s="727"/>
      <c r="AT974" s="727"/>
      <c r="AU974" s="727"/>
      <c r="AV974" s="727"/>
      <c r="AW974" s="727"/>
      <c r="AX974" s="727"/>
      <c r="AY974" s="727"/>
      <c r="AZ974" s="727"/>
      <c r="BA974" s="727"/>
      <c r="BB974" s="727"/>
    </row>
    <row r="975" spans="1:54">
      <c r="A975" s="326"/>
      <c r="B975" s="727"/>
      <c r="C975" s="727"/>
      <c r="D975" s="727"/>
      <c r="E975" s="727"/>
      <c r="F975" s="727"/>
      <c r="G975" s="727"/>
      <c r="H975" s="727"/>
      <c r="I975" s="727"/>
      <c r="J975" s="727"/>
      <c r="K975" s="727"/>
      <c r="L975" s="727"/>
      <c r="M975" s="727"/>
      <c r="N975" s="727"/>
      <c r="O975" s="727"/>
      <c r="P975" s="727"/>
      <c r="Q975" s="727"/>
      <c r="R975" s="727"/>
      <c r="S975" s="727"/>
      <c r="T975" s="727"/>
      <c r="U975" s="727"/>
      <c r="V975" s="727"/>
      <c r="W975" s="727"/>
      <c r="X975" s="727"/>
      <c r="Y975" s="727"/>
      <c r="Z975" s="727"/>
      <c r="AA975" s="727"/>
      <c r="AB975" s="727"/>
      <c r="AC975" s="727"/>
      <c r="AD975" s="727"/>
      <c r="AE975" s="727"/>
      <c r="AF975" s="727"/>
      <c r="AG975" s="727"/>
      <c r="AH975" s="727"/>
      <c r="AI975" s="727"/>
      <c r="AJ975" s="727"/>
      <c r="AK975" s="727"/>
      <c r="AL975" s="727"/>
      <c r="AM975" s="727"/>
      <c r="AN975" s="727"/>
      <c r="AO975" s="727"/>
      <c r="AP975" s="727"/>
      <c r="AQ975" s="727"/>
      <c r="AR975" s="727"/>
      <c r="AS975" s="727"/>
      <c r="AT975" s="727"/>
      <c r="AU975" s="727"/>
      <c r="AV975" s="727"/>
      <c r="AW975" s="727"/>
      <c r="AX975" s="727"/>
      <c r="AY975" s="727"/>
      <c r="AZ975" s="727"/>
      <c r="BA975" s="727"/>
      <c r="BB975" s="727"/>
    </row>
    <row r="976" spans="1:54">
      <c r="A976" s="326"/>
      <c r="B976" s="727"/>
      <c r="C976" s="727"/>
      <c r="D976" s="727"/>
      <c r="E976" s="727"/>
      <c r="F976" s="727"/>
      <c r="G976" s="727"/>
      <c r="H976" s="727"/>
      <c r="I976" s="727"/>
      <c r="J976" s="727"/>
      <c r="K976" s="727"/>
      <c r="L976" s="727"/>
      <c r="M976" s="727"/>
      <c r="N976" s="727"/>
      <c r="O976" s="727"/>
      <c r="P976" s="727"/>
      <c r="Q976" s="727"/>
      <c r="R976" s="727"/>
      <c r="S976" s="727"/>
      <c r="T976" s="727"/>
      <c r="U976" s="727"/>
      <c r="V976" s="727"/>
      <c r="W976" s="727"/>
      <c r="X976" s="727"/>
      <c r="Y976" s="727"/>
      <c r="Z976" s="727"/>
      <c r="AA976" s="727"/>
      <c r="AB976" s="727"/>
      <c r="AC976" s="727"/>
      <c r="AD976" s="727"/>
      <c r="AE976" s="727"/>
      <c r="AF976" s="727"/>
      <c r="AG976" s="727"/>
      <c r="AH976" s="727"/>
      <c r="AI976" s="727"/>
      <c r="AJ976" s="727"/>
      <c r="AK976" s="727"/>
      <c r="AL976" s="727"/>
      <c r="AM976" s="727"/>
      <c r="AN976" s="727"/>
      <c r="AO976" s="727"/>
      <c r="AP976" s="727"/>
      <c r="AQ976" s="727"/>
      <c r="AR976" s="727"/>
      <c r="AS976" s="727"/>
      <c r="AT976" s="727"/>
      <c r="AU976" s="727"/>
      <c r="AV976" s="727"/>
      <c r="AW976" s="727"/>
      <c r="AX976" s="727"/>
      <c r="AY976" s="727"/>
      <c r="AZ976" s="727"/>
      <c r="BA976" s="727"/>
      <c r="BB976" s="727"/>
    </row>
    <row r="977" spans="1:54">
      <c r="A977" s="326"/>
      <c r="B977" s="727"/>
      <c r="C977" s="727"/>
      <c r="D977" s="727"/>
      <c r="E977" s="727"/>
      <c r="F977" s="727"/>
      <c r="G977" s="727"/>
      <c r="H977" s="727"/>
      <c r="I977" s="727"/>
      <c r="J977" s="727"/>
      <c r="K977" s="727"/>
      <c r="L977" s="727"/>
      <c r="M977" s="727"/>
      <c r="N977" s="727"/>
      <c r="O977" s="727"/>
      <c r="P977" s="727"/>
      <c r="Q977" s="727"/>
      <c r="R977" s="727"/>
      <c r="S977" s="727"/>
      <c r="T977" s="727"/>
      <c r="U977" s="727"/>
      <c r="V977" s="727"/>
      <c r="W977" s="727"/>
      <c r="X977" s="727"/>
      <c r="Y977" s="727"/>
      <c r="Z977" s="727"/>
      <c r="AA977" s="727"/>
      <c r="AB977" s="727"/>
      <c r="AC977" s="727"/>
      <c r="AD977" s="727"/>
      <c r="AE977" s="727"/>
      <c r="AF977" s="727"/>
      <c r="AG977" s="727"/>
      <c r="AH977" s="727"/>
      <c r="AI977" s="727"/>
      <c r="AJ977" s="727"/>
      <c r="AK977" s="727"/>
      <c r="AL977" s="727"/>
      <c r="AM977" s="727"/>
      <c r="AN977" s="727"/>
      <c r="AO977" s="727"/>
      <c r="AP977" s="727"/>
      <c r="AQ977" s="727"/>
      <c r="AR977" s="727"/>
      <c r="AS977" s="727"/>
      <c r="AT977" s="727"/>
      <c r="AU977" s="727"/>
      <c r="AV977" s="727"/>
      <c r="AW977" s="727"/>
      <c r="AX977" s="727"/>
      <c r="AY977" s="727"/>
      <c r="AZ977" s="727"/>
      <c r="BA977" s="727"/>
      <c r="BB977" s="727"/>
    </row>
    <row r="978" spans="1:54">
      <c r="A978" s="326"/>
      <c r="B978" s="727"/>
      <c r="C978" s="727"/>
      <c r="D978" s="727"/>
      <c r="E978" s="727"/>
      <c r="F978" s="727"/>
      <c r="G978" s="727"/>
      <c r="H978" s="727"/>
      <c r="I978" s="727"/>
      <c r="J978" s="727"/>
      <c r="K978" s="727"/>
      <c r="L978" s="727"/>
      <c r="M978" s="727"/>
      <c r="N978" s="727"/>
      <c r="O978" s="727"/>
      <c r="P978" s="727"/>
      <c r="Q978" s="727"/>
      <c r="R978" s="727"/>
      <c r="S978" s="727"/>
      <c r="T978" s="727"/>
      <c r="U978" s="727"/>
      <c r="V978" s="727"/>
      <c r="W978" s="727"/>
      <c r="X978" s="727"/>
      <c r="Y978" s="727"/>
      <c r="Z978" s="727"/>
      <c r="AA978" s="727"/>
      <c r="AB978" s="727"/>
      <c r="AC978" s="727"/>
      <c r="AD978" s="727"/>
      <c r="AE978" s="727"/>
      <c r="AF978" s="727"/>
      <c r="AG978" s="727"/>
      <c r="AH978" s="727"/>
      <c r="AI978" s="727"/>
      <c r="AJ978" s="727"/>
      <c r="AK978" s="727"/>
      <c r="AL978" s="727"/>
      <c r="AM978" s="727"/>
      <c r="AN978" s="727"/>
      <c r="AO978" s="727"/>
      <c r="AP978" s="727"/>
      <c r="AQ978" s="727"/>
      <c r="AR978" s="727"/>
      <c r="AS978" s="727"/>
      <c r="AT978" s="727"/>
      <c r="AU978" s="727"/>
      <c r="AV978" s="727"/>
      <c r="AW978" s="727"/>
      <c r="AX978" s="727"/>
      <c r="AY978" s="727"/>
      <c r="AZ978" s="727"/>
      <c r="BA978" s="727"/>
      <c r="BB978" s="727"/>
    </row>
    <row r="979" spans="1:54">
      <c r="A979" s="326"/>
      <c r="B979" s="727"/>
      <c r="C979" s="727"/>
      <c r="D979" s="727"/>
      <c r="E979" s="727"/>
      <c r="F979" s="727"/>
      <c r="G979" s="727"/>
      <c r="H979" s="727"/>
      <c r="I979" s="727"/>
      <c r="J979" s="727"/>
      <c r="K979" s="727"/>
      <c r="L979" s="727"/>
      <c r="M979" s="727"/>
      <c r="N979" s="727"/>
      <c r="O979" s="727"/>
      <c r="P979" s="727"/>
      <c r="Q979" s="727"/>
      <c r="R979" s="727"/>
      <c r="S979" s="727"/>
      <c r="T979" s="727"/>
      <c r="U979" s="727"/>
      <c r="V979" s="727"/>
      <c r="W979" s="727"/>
      <c r="X979" s="727"/>
      <c r="Y979" s="727"/>
      <c r="Z979" s="727"/>
      <c r="AA979" s="727"/>
      <c r="AB979" s="727"/>
      <c r="AC979" s="727"/>
      <c r="AD979" s="727"/>
      <c r="AE979" s="727"/>
      <c r="AF979" s="727"/>
      <c r="AG979" s="727"/>
      <c r="AH979" s="727"/>
      <c r="AI979" s="727"/>
      <c r="AJ979" s="727"/>
      <c r="AK979" s="727"/>
      <c r="AL979" s="727"/>
      <c r="AM979" s="727"/>
      <c r="AN979" s="727"/>
      <c r="AO979" s="727"/>
      <c r="AP979" s="727"/>
      <c r="AQ979" s="727"/>
      <c r="AR979" s="727"/>
      <c r="AS979" s="727"/>
      <c r="AT979" s="727"/>
      <c r="AU979" s="727"/>
      <c r="AV979" s="727"/>
      <c r="AW979" s="727"/>
      <c r="AX979" s="727"/>
      <c r="AY979" s="727"/>
      <c r="AZ979" s="727"/>
      <c r="BA979" s="727"/>
      <c r="BB979" s="727"/>
    </row>
    <row r="980" spans="1:54">
      <c r="A980" s="326"/>
      <c r="B980" s="727"/>
      <c r="C980" s="727"/>
      <c r="D980" s="727"/>
      <c r="E980" s="727"/>
      <c r="F980" s="727"/>
      <c r="G980" s="727"/>
      <c r="H980" s="727"/>
      <c r="I980" s="727"/>
      <c r="J980" s="727"/>
      <c r="K980" s="727"/>
      <c r="L980" s="727"/>
      <c r="M980" s="727"/>
      <c r="N980" s="727"/>
      <c r="O980" s="727"/>
      <c r="P980" s="727"/>
      <c r="Q980" s="727"/>
      <c r="R980" s="727"/>
      <c r="S980" s="727"/>
      <c r="T980" s="727"/>
      <c r="U980" s="727"/>
      <c r="V980" s="727"/>
      <c r="W980" s="727"/>
      <c r="X980" s="727"/>
      <c r="Y980" s="727"/>
      <c r="Z980" s="727"/>
      <c r="AA980" s="727"/>
      <c r="AB980" s="727"/>
      <c r="AC980" s="727"/>
      <c r="AD980" s="727"/>
      <c r="AE980" s="727"/>
      <c r="AF980" s="727"/>
      <c r="AG980" s="727"/>
      <c r="AH980" s="727"/>
      <c r="AI980" s="727"/>
      <c r="AJ980" s="727"/>
      <c r="AK980" s="727"/>
      <c r="AL980" s="727"/>
      <c r="AM980" s="727"/>
      <c r="AN980" s="727"/>
      <c r="AO980" s="727"/>
      <c r="AP980" s="727"/>
      <c r="AQ980" s="727"/>
      <c r="AR980" s="727"/>
      <c r="AS980" s="727"/>
      <c r="AT980" s="727"/>
      <c r="AU980" s="727"/>
      <c r="AV980" s="727"/>
      <c r="AW980" s="727"/>
      <c r="AX980" s="727"/>
      <c r="AY980" s="727"/>
      <c r="AZ980" s="727"/>
      <c r="BA980" s="727"/>
      <c r="BB980" s="727"/>
    </row>
    <row r="981" spans="1:54">
      <c r="A981" s="326"/>
      <c r="B981" s="727"/>
      <c r="C981" s="727"/>
      <c r="D981" s="727"/>
      <c r="E981" s="727"/>
      <c r="F981" s="727"/>
      <c r="G981" s="727"/>
      <c r="H981" s="727"/>
      <c r="I981" s="727"/>
      <c r="J981" s="727"/>
      <c r="K981" s="727"/>
      <c r="L981" s="727"/>
      <c r="M981" s="727"/>
      <c r="N981" s="727"/>
      <c r="O981" s="727"/>
      <c r="P981" s="727"/>
      <c r="Q981" s="727"/>
      <c r="R981" s="727"/>
      <c r="S981" s="727"/>
      <c r="T981" s="727"/>
      <c r="U981" s="727"/>
      <c r="V981" s="727"/>
      <c r="W981" s="727"/>
      <c r="X981" s="727"/>
      <c r="Y981" s="727"/>
      <c r="Z981" s="727"/>
      <c r="AA981" s="727"/>
      <c r="AB981" s="727"/>
      <c r="AC981" s="727"/>
      <c r="AD981" s="727"/>
      <c r="AE981" s="727"/>
      <c r="AF981" s="727"/>
      <c r="AG981" s="727"/>
      <c r="AH981" s="727"/>
      <c r="AI981" s="727"/>
      <c r="AJ981" s="727"/>
      <c r="AK981" s="727"/>
      <c r="AL981" s="727"/>
      <c r="AM981" s="727"/>
      <c r="AN981" s="727"/>
      <c r="AO981" s="727"/>
      <c r="AP981" s="727"/>
      <c r="AQ981" s="727"/>
      <c r="AR981" s="727"/>
      <c r="AS981" s="727"/>
      <c r="AT981" s="727"/>
      <c r="AU981" s="727"/>
      <c r="AV981" s="727"/>
      <c r="AW981" s="727"/>
      <c r="AX981" s="727"/>
      <c r="AY981" s="727"/>
      <c r="AZ981" s="727"/>
      <c r="BA981" s="727"/>
      <c r="BB981" s="727"/>
    </row>
    <row r="982" spans="1:54">
      <c r="A982" s="326"/>
      <c r="B982" s="727"/>
      <c r="C982" s="727"/>
      <c r="D982" s="727"/>
      <c r="E982" s="727"/>
      <c r="F982" s="727"/>
      <c r="G982" s="727"/>
      <c r="H982" s="727"/>
      <c r="I982" s="727"/>
      <c r="J982" s="727"/>
      <c r="K982" s="727"/>
      <c r="L982" s="727"/>
      <c r="M982" s="727"/>
      <c r="N982" s="727"/>
      <c r="O982" s="727"/>
      <c r="P982" s="727"/>
      <c r="Q982" s="727"/>
      <c r="R982" s="727"/>
      <c r="S982" s="727"/>
      <c r="T982" s="727"/>
      <c r="U982" s="727"/>
      <c r="V982" s="727"/>
      <c r="W982" s="727"/>
      <c r="X982" s="727"/>
      <c r="Y982" s="727"/>
      <c r="Z982" s="727"/>
      <c r="AA982" s="727"/>
      <c r="AB982" s="727"/>
      <c r="AC982" s="727"/>
      <c r="AD982" s="727"/>
      <c r="AE982" s="727"/>
      <c r="AF982" s="727"/>
      <c r="AG982" s="727"/>
      <c r="AH982" s="727"/>
      <c r="AI982" s="727"/>
      <c r="AJ982" s="727"/>
      <c r="AK982" s="727"/>
      <c r="AL982" s="727"/>
      <c r="AM982" s="727"/>
      <c r="AN982" s="727"/>
      <c r="AO982" s="727"/>
      <c r="AP982" s="727"/>
      <c r="AQ982" s="727"/>
      <c r="AR982" s="727"/>
      <c r="AS982" s="727"/>
      <c r="AT982" s="727"/>
      <c r="AU982" s="727"/>
      <c r="AV982" s="727"/>
      <c r="AW982" s="727"/>
      <c r="AX982" s="727"/>
      <c r="AY982" s="727"/>
      <c r="AZ982" s="727"/>
      <c r="BA982" s="727"/>
      <c r="BB982" s="727"/>
    </row>
    <row r="983" spans="1:54">
      <c r="A983" s="326"/>
      <c r="B983" s="727"/>
      <c r="C983" s="727"/>
      <c r="D983" s="727"/>
      <c r="E983" s="727"/>
      <c r="F983" s="727"/>
      <c r="G983" s="727"/>
      <c r="H983" s="727"/>
      <c r="I983" s="727"/>
      <c r="J983" s="727"/>
      <c r="K983" s="727"/>
      <c r="L983" s="727"/>
      <c r="M983" s="727"/>
      <c r="N983" s="727"/>
      <c r="O983" s="727"/>
      <c r="P983" s="727"/>
      <c r="Q983" s="727"/>
      <c r="R983" s="727"/>
      <c r="S983" s="727"/>
      <c r="T983" s="727"/>
      <c r="U983" s="727"/>
      <c r="V983" s="727"/>
      <c r="W983" s="727"/>
      <c r="X983" s="727"/>
      <c r="Y983" s="727"/>
      <c r="Z983" s="727"/>
      <c r="AA983" s="727"/>
      <c r="AB983" s="727"/>
      <c r="AC983" s="727"/>
      <c r="AD983" s="727"/>
      <c r="AE983" s="727"/>
      <c r="AF983" s="727"/>
      <c r="AG983" s="727"/>
      <c r="AH983" s="727"/>
      <c r="AI983" s="727"/>
      <c r="AJ983" s="727"/>
      <c r="AK983" s="727"/>
      <c r="AL983" s="727"/>
      <c r="AM983" s="727"/>
      <c r="AN983" s="727"/>
      <c r="AO983" s="727"/>
      <c r="AP983" s="727"/>
      <c r="AQ983" s="727"/>
      <c r="AR983" s="727"/>
      <c r="AS983" s="727"/>
      <c r="AT983" s="727"/>
      <c r="AU983" s="727"/>
      <c r="AV983" s="727"/>
      <c r="AW983" s="727"/>
      <c r="AX983" s="727"/>
      <c r="AY983" s="727"/>
      <c r="AZ983" s="727"/>
      <c r="BA983" s="727"/>
      <c r="BB983" s="727"/>
    </row>
    <row r="984" spans="1:54">
      <c r="A984" s="326"/>
      <c r="B984" s="727"/>
      <c r="C984" s="727"/>
      <c r="D984" s="727"/>
      <c r="E984" s="727"/>
      <c r="F984" s="727"/>
      <c r="G984" s="727"/>
      <c r="H984" s="727"/>
      <c r="I984" s="727"/>
      <c r="J984" s="727"/>
      <c r="K984" s="727"/>
      <c r="L984" s="727"/>
      <c r="M984" s="727"/>
      <c r="N984" s="727"/>
      <c r="O984" s="727"/>
      <c r="P984" s="727"/>
      <c r="Q984" s="727"/>
      <c r="R984" s="727"/>
      <c r="S984" s="727"/>
      <c r="T984" s="727"/>
      <c r="U984" s="727"/>
      <c r="V984" s="727"/>
      <c r="W984" s="727"/>
      <c r="X984" s="727"/>
      <c r="Y984" s="727"/>
      <c r="Z984" s="727"/>
      <c r="AA984" s="727"/>
      <c r="AB984" s="727"/>
      <c r="AC984" s="727"/>
      <c r="AD984" s="727"/>
      <c r="AE984" s="727"/>
      <c r="AF984" s="727"/>
      <c r="AG984" s="727"/>
      <c r="AH984" s="727"/>
      <c r="AI984" s="727"/>
      <c r="AJ984" s="727"/>
      <c r="AK984" s="727"/>
      <c r="AL984" s="727"/>
      <c r="AM984" s="727"/>
      <c r="AN984" s="727"/>
      <c r="AO984" s="727"/>
      <c r="AP984" s="727"/>
      <c r="AQ984" s="727"/>
      <c r="AR984" s="727"/>
      <c r="AS984" s="727"/>
      <c r="AT984" s="727"/>
      <c r="AU984" s="727"/>
      <c r="AV984" s="727"/>
      <c r="AW984" s="727"/>
      <c r="AX984" s="727"/>
      <c r="AY984" s="727"/>
      <c r="AZ984" s="727"/>
      <c r="BA984" s="727"/>
      <c r="BB984" s="727"/>
    </row>
    <row r="985" spans="1:54">
      <c r="A985" s="326"/>
      <c r="B985" s="727"/>
      <c r="C985" s="727"/>
      <c r="D985" s="727"/>
      <c r="E985" s="727"/>
      <c r="F985" s="727"/>
      <c r="G985" s="727"/>
      <c r="H985" s="727"/>
      <c r="I985" s="727"/>
      <c r="J985" s="727"/>
      <c r="K985" s="727"/>
      <c r="L985" s="727"/>
      <c r="M985" s="727"/>
      <c r="N985" s="727"/>
      <c r="O985" s="727"/>
      <c r="P985" s="727"/>
      <c r="Q985" s="727"/>
      <c r="R985" s="727"/>
      <c r="S985" s="727"/>
      <c r="T985" s="727"/>
      <c r="U985" s="727"/>
      <c r="V985" s="727"/>
      <c r="W985" s="727"/>
      <c r="X985" s="727"/>
      <c r="Y985" s="727"/>
      <c r="Z985" s="727"/>
      <c r="AA985" s="727"/>
      <c r="AB985" s="727"/>
      <c r="AC985" s="727"/>
      <c r="AD985" s="727"/>
      <c r="AE985" s="727"/>
      <c r="AF985" s="727"/>
      <c r="AG985" s="727"/>
      <c r="AH985" s="727"/>
      <c r="AI985" s="727"/>
      <c r="AJ985" s="727"/>
      <c r="AK985" s="727"/>
      <c r="AL985" s="727"/>
      <c r="AM985" s="727"/>
      <c r="AN985" s="727"/>
      <c r="AO985" s="727"/>
      <c r="AP985" s="727"/>
      <c r="AQ985" s="727"/>
      <c r="AR985" s="727"/>
      <c r="AS985" s="727"/>
      <c r="AT985" s="727"/>
      <c r="AU985" s="727"/>
      <c r="AV985" s="727"/>
      <c r="AW985" s="727"/>
      <c r="AX985" s="727"/>
      <c r="AY985" s="727"/>
      <c r="AZ985" s="727"/>
      <c r="BA985" s="727"/>
      <c r="BB985" s="727"/>
    </row>
    <row r="986" spans="1:54">
      <c r="A986" s="326"/>
      <c r="B986" s="727"/>
      <c r="C986" s="727"/>
      <c r="D986" s="727"/>
      <c r="E986" s="727"/>
      <c r="F986" s="727"/>
      <c r="G986" s="727"/>
      <c r="H986" s="727"/>
      <c r="I986" s="727"/>
      <c r="J986" s="727"/>
      <c r="K986" s="727"/>
      <c r="L986" s="727"/>
      <c r="M986" s="727"/>
      <c r="N986" s="727"/>
      <c r="O986" s="727"/>
      <c r="P986" s="727"/>
      <c r="Q986" s="727"/>
      <c r="R986" s="727"/>
      <c r="S986" s="727"/>
      <c r="T986" s="727"/>
      <c r="U986" s="727"/>
      <c r="V986" s="727"/>
      <c r="W986" s="727"/>
      <c r="X986" s="727"/>
      <c r="Y986" s="727"/>
      <c r="Z986" s="727"/>
      <c r="AA986" s="727"/>
      <c r="AB986" s="727"/>
      <c r="AC986" s="727"/>
      <c r="AD986" s="727"/>
      <c r="AE986" s="727"/>
      <c r="AF986" s="727"/>
      <c r="AG986" s="727"/>
      <c r="AH986" s="727"/>
      <c r="AI986" s="727"/>
      <c r="AJ986" s="727"/>
      <c r="AK986" s="727"/>
      <c r="AL986" s="727"/>
      <c r="AM986" s="727"/>
      <c r="AN986" s="727"/>
      <c r="AO986" s="727"/>
      <c r="AP986" s="727"/>
      <c r="AQ986" s="727"/>
      <c r="AR986" s="727"/>
      <c r="AS986" s="727"/>
      <c r="AT986" s="727"/>
      <c r="AU986" s="727"/>
      <c r="AV986" s="727"/>
      <c r="AW986" s="727"/>
      <c r="AX986" s="727"/>
      <c r="AY986" s="727"/>
      <c r="AZ986" s="727"/>
      <c r="BA986" s="727"/>
      <c r="BB986" s="727"/>
    </row>
    <row r="987" spans="1:54">
      <c r="A987" s="326"/>
      <c r="B987" s="727"/>
      <c r="C987" s="727"/>
      <c r="D987" s="727"/>
      <c r="E987" s="727"/>
      <c r="F987" s="727"/>
      <c r="G987" s="727"/>
      <c r="H987" s="727"/>
      <c r="I987" s="727"/>
      <c r="J987" s="727"/>
      <c r="K987" s="727"/>
      <c r="L987" s="727"/>
      <c r="M987" s="727"/>
      <c r="N987" s="727"/>
      <c r="O987" s="727"/>
      <c r="P987" s="727"/>
      <c r="Q987" s="727"/>
      <c r="R987" s="727"/>
      <c r="S987" s="727"/>
      <c r="T987" s="727"/>
      <c r="U987" s="727"/>
      <c r="V987" s="727"/>
      <c r="W987" s="727"/>
      <c r="X987" s="727"/>
      <c r="Y987" s="727"/>
      <c r="Z987" s="727"/>
      <c r="AA987" s="727"/>
      <c r="AB987" s="727"/>
      <c r="AC987" s="727"/>
      <c r="AD987" s="727"/>
      <c r="AE987" s="727"/>
      <c r="AF987" s="727"/>
      <c r="AG987" s="727"/>
      <c r="AH987" s="727"/>
      <c r="AI987" s="727"/>
      <c r="AJ987" s="727"/>
      <c r="AK987" s="727"/>
      <c r="AL987" s="727"/>
      <c r="AM987" s="727"/>
      <c r="AN987" s="727"/>
      <c r="AO987" s="727"/>
      <c r="AP987" s="727"/>
      <c r="AQ987" s="727"/>
      <c r="AR987" s="727"/>
      <c r="AS987" s="727"/>
      <c r="AT987" s="727"/>
      <c r="AU987" s="727"/>
      <c r="AV987" s="727"/>
      <c r="AW987" s="727"/>
      <c r="AX987" s="727"/>
      <c r="AY987" s="727"/>
      <c r="AZ987" s="727"/>
      <c r="BA987" s="727"/>
      <c r="BB987" s="727"/>
    </row>
    <row r="988" spans="1:54">
      <c r="A988" s="326"/>
      <c r="B988" s="727"/>
      <c r="C988" s="727"/>
      <c r="D988" s="727"/>
      <c r="E988" s="727"/>
      <c r="F988" s="727"/>
      <c r="G988" s="727"/>
      <c r="H988" s="727"/>
      <c r="I988" s="727"/>
      <c r="J988" s="727"/>
      <c r="K988" s="727"/>
      <c r="L988" s="727"/>
      <c r="M988" s="727"/>
      <c r="N988" s="727"/>
      <c r="O988" s="727"/>
      <c r="P988" s="727"/>
      <c r="Q988" s="727"/>
      <c r="R988" s="727"/>
      <c r="S988" s="727"/>
      <c r="T988" s="727"/>
      <c r="U988" s="727"/>
      <c r="V988" s="727"/>
      <c r="W988" s="727"/>
      <c r="X988" s="727"/>
      <c r="Y988" s="727"/>
      <c r="Z988" s="727"/>
      <c r="AA988" s="727"/>
      <c r="AB988" s="727"/>
      <c r="AC988" s="727"/>
      <c r="AD988" s="727"/>
      <c r="AE988" s="727"/>
      <c r="AF988" s="727"/>
      <c r="AG988" s="727"/>
      <c r="AH988" s="727"/>
      <c r="AI988" s="727"/>
      <c r="AJ988" s="727"/>
      <c r="AK988" s="727"/>
      <c r="AL988" s="727"/>
      <c r="AM988" s="727"/>
      <c r="AN988" s="727"/>
      <c r="AO988" s="727"/>
      <c r="AP988" s="727"/>
      <c r="AQ988" s="727"/>
      <c r="AR988" s="727"/>
      <c r="AS988" s="727"/>
      <c r="AT988" s="727"/>
      <c r="AU988" s="727"/>
      <c r="AV988" s="727"/>
      <c r="AW988" s="727"/>
      <c r="AX988" s="727"/>
      <c r="AY988" s="727"/>
      <c r="AZ988" s="727"/>
      <c r="BA988" s="727"/>
      <c r="BB988" s="727"/>
    </row>
    <row r="989" spans="1:54">
      <c r="A989" s="326"/>
      <c r="B989" s="727"/>
      <c r="C989" s="727"/>
      <c r="D989" s="727"/>
      <c r="E989" s="727"/>
      <c r="F989" s="727"/>
      <c r="G989" s="727"/>
      <c r="H989" s="727"/>
      <c r="I989" s="727"/>
      <c r="J989" s="727"/>
      <c r="K989" s="727"/>
      <c r="L989" s="727"/>
      <c r="M989" s="727"/>
      <c r="N989" s="727"/>
      <c r="O989" s="727"/>
      <c r="P989" s="727"/>
      <c r="Q989" s="727"/>
      <c r="R989" s="727"/>
      <c r="S989" s="727"/>
      <c r="T989" s="727"/>
      <c r="U989" s="727"/>
      <c r="V989" s="727"/>
      <c r="W989" s="727"/>
      <c r="X989" s="727"/>
      <c r="Y989" s="727"/>
      <c r="Z989" s="727"/>
      <c r="AA989" s="727"/>
      <c r="AB989" s="727"/>
      <c r="AC989" s="727"/>
      <c r="AD989" s="727"/>
      <c r="AE989" s="727"/>
      <c r="AF989" s="727"/>
      <c r="AG989" s="727"/>
      <c r="AH989" s="727"/>
      <c r="AI989" s="727"/>
      <c r="AJ989" s="727"/>
      <c r="AK989" s="727"/>
      <c r="AL989" s="727"/>
      <c r="AM989" s="727"/>
      <c r="AN989" s="727"/>
      <c r="AO989" s="727"/>
      <c r="AP989" s="727"/>
      <c r="AQ989" s="727"/>
      <c r="AR989" s="727"/>
      <c r="AS989" s="727"/>
      <c r="AT989" s="727"/>
      <c r="AU989" s="727"/>
      <c r="AV989" s="727"/>
      <c r="AW989" s="727"/>
      <c r="AX989" s="727"/>
      <c r="AY989" s="727"/>
      <c r="AZ989" s="727"/>
      <c r="BA989" s="727"/>
      <c r="BB989" s="727"/>
    </row>
    <row r="990" spans="1:54">
      <c r="A990" s="326"/>
      <c r="B990" s="727"/>
      <c r="C990" s="727"/>
      <c r="D990" s="727"/>
      <c r="E990" s="727"/>
      <c r="F990" s="727"/>
      <c r="G990" s="727"/>
      <c r="H990" s="727"/>
      <c r="I990" s="727"/>
      <c r="J990" s="727"/>
      <c r="K990" s="727"/>
      <c r="L990" s="727"/>
      <c r="M990" s="727"/>
      <c r="N990" s="727"/>
      <c r="O990" s="727"/>
      <c r="P990" s="727"/>
      <c r="Q990" s="727"/>
      <c r="R990" s="727"/>
      <c r="S990" s="727"/>
      <c r="T990" s="727"/>
      <c r="U990" s="727"/>
      <c r="V990" s="727"/>
      <c r="W990" s="727"/>
      <c r="X990" s="727"/>
      <c r="Y990" s="727"/>
      <c r="Z990" s="727"/>
      <c r="AA990" s="727"/>
      <c r="AB990" s="727"/>
      <c r="AC990" s="727"/>
      <c r="AD990" s="727"/>
      <c r="AE990" s="727"/>
      <c r="AF990" s="727"/>
      <c r="AG990" s="727"/>
      <c r="AH990" s="727"/>
      <c r="AI990" s="727"/>
      <c r="AJ990" s="727"/>
      <c r="AK990" s="727"/>
      <c r="AL990" s="727"/>
      <c r="AM990" s="727"/>
      <c r="AN990" s="727"/>
      <c r="AO990" s="727"/>
      <c r="AP990" s="727"/>
      <c r="AQ990" s="727"/>
      <c r="AR990" s="727"/>
      <c r="AS990" s="727"/>
      <c r="AT990" s="727"/>
      <c r="AU990" s="727"/>
      <c r="AV990" s="727"/>
      <c r="AW990" s="727"/>
      <c r="AX990" s="727"/>
      <c r="AY990" s="727"/>
      <c r="AZ990" s="727"/>
      <c r="BA990" s="727"/>
      <c r="BB990" s="727"/>
    </row>
    <row r="991" spans="1:54">
      <c r="A991" s="326"/>
      <c r="B991" s="727"/>
      <c r="C991" s="727"/>
      <c r="D991" s="727"/>
      <c r="E991" s="727"/>
      <c r="F991" s="727"/>
      <c r="G991" s="727"/>
      <c r="H991" s="727"/>
      <c r="I991" s="727"/>
      <c r="J991" s="727"/>
      <c r="K991" s="727"/>
      <c r="L991" s="727"/>
      <c r="M991" s="727"/>
      <c r="N991" s="727"/>
      <c r="O991" s="727"/>
      <c r="P991" s="727"/>
      <c r="Q991" s="727"/>
      <c r="R991" s="727"/>
      <c r="S991" s="727"/>
      <c r="T991" s="727"/>
      <c r="U991" s="727"/>
      <c r="V991" s="727"/>
      <c r="W991" s="727"/>
      <c r="X991" s="727"/>
      <c r="Y991" s="727"/>
      <c r="Z991" s="727"/>
      <c r="AA991" s="727"/>
      <c r="AB991" s="727"/>
      <c r="AC991" s="727"/>
      <c r="AD991" s="727"/>
      <c r="AE991" s="727"/>
      <c r="AF991" s="727"/>
      <c r="AG991" s="727"/>
      <c r="AH991" s="727"/>
      <c r="AI991" s="727"/>
      <c r="AJ991" s="727"/>
      <c r="AK991" s="727"/>
      <c r="AL991" s="727"/>
      <c r="AM991" s="727"/>
      <c r="AN991" s="727"/>
      <c r="AO991" s="727"/>
      <c r="AP991" s="727"/>
      <c r="AQ991" s="727"/>
      <c r="AR991" s="727"/>
      <c r="AS991" s="727"/>
      <c r="AT991" s="727"/>
      <c r="AU991" s="727"/>
      <c r="AV991" s="727"/>
      <c r="AW991" s="727"/>
      <c r="AX991" s="727"/>
      <c r="AY991" s="727"/>
      <c r="AZ991" s="727"/>
      <c r="BA991" s="727"/>
      <c r="BB991" s="727"/>
    </row>
    <row r="992" spans="1:54">
      <c r="A992" s="326"/>
      <c r="B992" s="727"/>
      <c r="C992" s="727"/>
      <c r="D992" s="727"/>
      <c r="E992" s="727"/>
      <c r="F992" s="727"/>
      <c r="G992" s="727"/>
      <c r="H992" s="727"/>
      <c r="I992" s="727"/>
      <c r="J992" s="727"/>
      <c r="K992" s="727"/>
      <c r="L992" s="727"/>
      <c r="M992" s="727"/>
      <c r="N992" s="727"/>
      <c r="O992" s="727"/>
      <c r="P992" s="727"/>
      <c r="Q992" s="727"/>
      <c r="R992" s="727"/>
      <c r="S992" s="727"/>
      <c r="T992" s="727"/>
      <c r="U992" s="727"/>
      <c r="V992" s="727"/>
      <c r="W992" s="727"/>
      <c r="X992" s="727"/>
      <c r="Y992" s="727"/>
      <c r="Z992" s="727"/>
      <c r="AA992" s="727"/>
      <c r="AB992" s="727"/>
      <c r="AC992" s="727"/>
      <c r="AD992" s="727"/>
      <c r="AE992" s="727"/>
      <c r="AF992" s="727"/>
      <c r="AG992" s="727"/>
      <c r="AH992" s="727"/>
      <c r="AI992" s="727"/>
      <c r="AJ992" s="727"/>
      <c r="AK992" s="727"/>
      <c r="AL992" s="727"/>
      <c r="AM992" s="727"/>
      <c r="AN992" s="727"/>
      <c r="AO992" s="727"/>
      <c r="AP992" s="727"/>
      <c r="AQ992" s="727"/>
      <c r="AR992" s="727"/>
      <c r="AS992" s="727"/>
      <c r="AT992" s="727"/>
      <c r="AU992" s="727"/>
      <c r="AV992" s="727"/>
      <c r="AW992" s="727"/>
      <c r="AX992" s="727"/>
      <c r="AY992" s="727"/>
      <c r="AZ992" s="727"/>
      <c r="BA992" s="727"/>
      <c r="BB992" s="727"/>
    </row>
    <row r="993" spans="1:54">
      <c r="A993" s="326"/>
      <c r="B993" s="727"/>
      <c r="C993" s="727"/>
      <c r="D993" s="727"/>
      <c r="E993" s="727"/>
      <c r="F993" s="727"/>
      <c r="G993" s="727"/>
      <c r="H993" s="727"/>
      <c r="I993" s="727"/>
      <c r="J993" s="727"/>
      <c r="K993" s="727"/>
      <c r="L993" s="727"/>
      <c r="M993" s="727"/>
      <c r="N993" s="727"/>
      <c r="O993" s="727"/>
      <c r="P993" s="727"/>
      <c r="Q993" s="727"/>
      <c r="R993" s="727"/>
      <c r="S993" s="727"/>
      <c r="T993" s="727"/>
      <c r="U993" s="727"/>
      <c r="V993" s="727"/>
      <c r="W993" s="727"/>
      <c r="X993" s="727"/>
      <c r="Y993" s="727"/>
      <c r="Z993" s="727"/>
      <c r="AA993" s="727"/>
      <c r="AB993" s="727"/>
      <c r="AC993" s="727"/>
      <c r="AD993" s="727"/>
      <c r="AE993" s="727"/>
      <c r="AF993" s="727"/>
      <c r="AG993" s="727"/>
      <c r="AH993" s="727"/>
      <c r="AI993" s="727"/>
      <c r="AJ993" s="727"/>
      <c r="AK993" s="727"/>
      <c r="AL993" s="727"/>
      <c r="AM993" s="727"/>
      <c r="AN993" s="727"/>
      <c r="AO993" s="727"/>
      <c r="AP993" s="727"/>
      <c r="AQ993" s="727"/>
      <c r="AR993" s="727"/>
      <c r="AS993" s="727"/>
      <c r="AT993" s="727"/>
      <c r="AU993" s="727"/>
      <c r="AV993" s="727"/>
      <c r="AW993" s="727"/>
      <c r="AX993" s="727"/>
      <c r="AY993" s="727"/>
      <c r="AZ993" s="727"/>
      <c r="BA993" s="727"/>
      <c r="BB993" s="727"/>
    </row>
    <row r="994" spans="1:54">
      <c r="A994" s="326"/>
      <c r="B994" s="727"/>
      <c r="C994" s="727"/>
      <c r="D994" s="727"/>
      <c r="E994" s="727"/>
      <c r="F994" s="727"/>
      <c r="G994" s="727"/>
      <c r="H994" s="727"/>
      <c r="I994" s="727"/>
      <c r="J994" s="727"/>
      <c r="K994" s="727"/>
      <c r="L994" s="727"/>
      <c r="M994" s="727"/>
      <c r="N994" s="727"/>
      <c r="O994" s="727"/>
      <c r="P994" s="727"/>
      <c r="Q994" s="727"/>
      <c r="R994" s="727"/>
      <c r="S994" s="727"/>
      <c r="T994" s="727"/>
      <c r="U994" s="727"/>
      <c r="V994" s="727"/>
      <c r="W994" s="727"/>
      <c r="X994" s="727"/>
      <c r="Y994" s="727"/>
      <c r="Z994" s="727"/>
      <c r="AA994" s="727"/>
      <c r="AB994" s="727"/>
      <c r="AC994" s="727"/>
      <c r="AD994" s="727"/>
      <c r="AE994" s="727"/>
      <c r="AF994" s="727"/>
      <c r="AG994" s="727"/>
      <c r="AH994" s="727"/>
      <c r="AI994" s="727"/>
      <c r="AJ994" s="727"/>
      <c r="AK994" s="727"/>
      <c r="AL994" s="727"/>
      <c r="AM994" s="727"/>
      <c r="AN994" s="727"/>
      <c r="AO994" s="727"/>
      <c r="AP994" s="727"/>
      <c r="AQ994" s="727"/>
      <c r="AR994" s="727"/>
      <c r="AS994" s="727"/>
      <c r="AT994" s="727"/>
      <c r="AU994" s="727"/>
      <c r="AV994" s="727"/>
      <c r="AW994" s="727"/>
      <c r="AX994" s="727"/>
      <c r="AY994" s="727"/>
      <c r="AZ994" s="727"/>
      <c r="BA994" s="727"/>
      <c r="BB994" s="727"/>
    </row>
    <row r="995" spans="1:54">
      <c r="A995" s="326"/>
      <c r="B995" s="727"/>
      <c r="C995" s="727"/>
      <c r="D995" s="727"/>
      <c r="E995" s="727"/>
      <c r="F995" s="727"/>
      <c r="G995" s="727"/>
      <c r="H995" s="727"/>
      <c r="I995" s="727"/>
      <c r="J995" s="727"/>
      <c r="K995" s="727"/>
      <c r="L995" s="727"/>
      <c r="M995" s="727"/>
      <c r="N995" s="727"/>
      <c r="O995" s="727"/>
      <c r="P995" s="727"/>
      <c r="Q995" s="727"/>
      <c r="R995" s="727"/>
      <c r="S995" s="727"/>
      <c r="T995" s="727"/>
      <c r="U995" s="727"/>
      <c r="V995" s="727"/>
      <c r="W995" s="727"/>
      <c r="X995" s="727"/>
      <c r="Y995" s="727"/>
      <c r="Z995" s="727"/>
      <c r="AA995" s="727"/>
      <c r="AB995" s="727"/>
      <c r="AC995" s="727"/>
      <c r="AD995" s="727"/>
      <c r="AE995" s="727"/>
      <c r="AF995" s="727"/>
      <c r="AG995" s="727"/>
      <c r="AH995" s="727"/>
      <c r="AI995" s="727"/>
      <c r="AJ995" s="727"/>
      <c r="AK995" s="727"/>
      <c r="AL995" s="727"/>
      <c r="AM995" s="727"/>
      <c r="AN995" s="727"/>
      <c r="AO995" s="727"/>
      <c r="AP995" s="727"/>
      <c r="AQ995" s="727"/>
      <c r="AR995" s="727"/>
      <c r="AS995" s="727"/>
      <c r="AT995" s="727"/>
      <c r="AU995" s="727"/>
      <c r="AV995" s="727"/>
      <c r="AW995" s="727"/>
      <c r="AX995" s="727"/>
      <c r="AY995" s="727"/>
      <c r="AZ995" s="727"/>
      <c r="BA995" s="727"/>
      <c r="BB995" s="727"/>
    </row>
    <row r="996" spans="1:54">
      <c r="A996" s="326"/>
      <c r="B996" s="727"/>
      <c r="C996" s="727"/>
      <c r="D996" s="727"/>
      <c r="E996" s="727"/>
      <c r="F996" s="727"/>
      <c r="G996" s="727"/>
      <c r="H996" s="727"/>
      <c r="I996" s="727"/>
      <c r="J996" s="727"/>
      <c r="K996" s="727"/>
      <c r="L996" s="727"/>
      <c r="M996" s="727"/>
      <c r="N996" s="727"/>
      <c r="O996" s="727"/>
      <c r="P996" s="727"/>
      <c r="Q996" s="727"/>
      <c r="R996" s="727"/>
      <c r="S996" s="727"/>
      <c r="T996" s="727"/>
      <c r="U996" s="727"/>
      <c r="V996" s="727"/>
      <c r="W996" s="727"/>
      <c r="X996" s="727"/>
      <c r="Y996" s="727"/>
      <c r="Z996" s="727"/>
      <c r="AA996" s="727"/>
      <c r="AB996" s="727"/>
      <c r="AC996" s="727"/>
      <c r="AD996" s="727"/>
      <c r="AE996" s="727"/>
      <c r="AF996" s="727"/>
      <c r="AG996" s="727"/>
      <c r="AH996" s="727"/>
      <c r="AI996" s="727"/>
      <c r="AJ996" s="727"/>
      <c r="AK996" s="727"/>
      <c r="AL996" s="727"/>
      <c r="AM996" s="727"/>
      <c r="AN996" s="727"/>
      <c r="AO996" s="727"/>
      <c r="AP996" s="727"/>
      <c r="AQ996" s="727"/>
      <c r="AR996" s="727"/>
      <c r="AS996" s="727"/>
      <c r="AT996" s="727"/>
      <c r="AU996" s="727"/>
      <c r="AV996" s="727"/>
      <c r="AW996" s="727"/>
      <c r="AX996" s="727"/>
      <c r="AY996" s="727"/>
      <c r="AZ996" s="727"/>
      <c r="BA996" s="727"/>
      <c r="BB996" s="727"/>
    </row>
    <row r="997" spans="1:54">
      <c r="A997" s="326"/>
      <c r="B997" s="727"/>
      <c r="C997" s="727"/>
      <c r="D997" s="727"/>
      <c r="E997" s="727"/>
      <c r="F997" s="727"/>
      <c r="G997" s="727"/>
      <c r="H997" s="727"/>
      <c r="I997" s="727"/>
      <c r="J997" s="727"/>
      <c r="K997" s="727"/>
      <c r="L997" s="727"/>
      <c r="M997" s="727"/>
      <c r="N997" s="727"/>
      <c r="O997" s="727"/>
      <c r="P997" s="727"/>
      <c r="Q997" s="727"/>
      <c r="R997" s="727"/>
      <c r="S997" s="727"/>
      <c r="T997" s="727"/>
      <c r="U997" s="727"/>
      <c r="V997" s="727"/>
      <c r="W997" s="727"/>
      <c r="X997" s="727"/>
      <c r="Y997" s="727"/>
      <c r="Z997" s="727"/>
      <c r="AA997" s="727"/>
      <c r="AB997" s="727"/>
      <c r="AC997" s="727"/>
      <c r="AD997" s="727"/>
      <c r="AE997" s="727"/>
      <c r="AF997" s="727"/>
      <c r="AG997" s="727"/>
      <c r="AH997" s="727"/>
      <c r="AI997" s="727"/>
      <c r="AJ997" s="727"/>
      <c r="AK997" s="727"/>
      <c r="AL997" s="727"/>
      <c r="AM997" s="727"/>
      <c r="AN997" s="727"/>
      <c r="AO997" s="727"/>
      <c r="AP997" s="727"/>
      <c r="AQ997" s="727"/>
      <c r="AR997" s="727"/>
      <c r="AS997" s="727"/>
      <c r="AT997" s="727"/>
      <c r="AU997" s="727"/>
      <c r="AV997" s="727"/>
      <c r="AW997" s="727"/>
      <c r="AX997" s="727"/>
      <c r="AY997" s="727"/>
      <c r="AZ997" s="727"/>
      <c r="BA997" s="727"/>
      <c r="BB997" s="727"/>
    </row>
    <row r="998" spans="1:54">
      <c r="A998" s="326"/>
      <c r="B998" s="727"/>
      <c r="C998" s="727"/>
      <c r="D998" s="727"/>
      <c r="E998" s="727"/>
      <c r="F998" s="727"/>
      <c r="G998" s="727"/>
      <c r="H998" s="727"/>
      <c r="I998" s="727"/>
      <c r="J998" s="727"/>
      <c r="K998" s="727"/>
      <c r="L998" s="727"/>
      <c r="M998" s="727"/>
      <c r="N998" s="727"/>
      <c r="O998" s="727"/>
      <c r="P998" s="727"/>
      <c r="Q998" s="727"/>
      <c r="R998" s="727"/>
      <c r="S998" s="727"/>
      <c r="T998" s="727"/>
      <c r="U998" s="727"/>
      <c r="V998" s="727"/>
      <c r="W998" s="727"/>
      <c r="X998" s="727"/>
      <c r="Y998" s="727"/>
      <c r="Z998" s="727"/>
      <c r="AA998" s="727"/>
      <c r="AB998" s="727"/>
      <c r="AC998" s="727"/>
      <c r="AD998" s="727"/>
      <c r="AE998" s="727"/>
      <c r="AF998" s="727"/>
      <c r="AG998" s="727"/>
      <c r="AH998" s="727"/>
      <c r="AI998" s="727"/>
      <c r="AJ998" s="727"/>
      <c r="AK998" s="727"/>
      <c r="AL998" s="727"/>
      <c r="AM998" s="727"/>
      <c r="AN998" s="727"/>
      <c r="AO998" s="727"/>
      <c r="AP998" s="727"/>
      <c r="AQ998" s="727"/>
      <c r="AR998" s="727"/>
      <c r="AS998" s="727"/>
      <c r="AT998" s="727"/>
      <c r="AU998" s="727"/>
      <c r="AV998" s="727"/>
      <c r="AW998" s="727"/>
      <c r="AX998" s="727"/>
      <c r="AY998" s="727"/>
      <c r="AZ998" s="727"/>
      <c r="BA998" s="727"/>
      <c r="BB998" s="727"/>
    </row>
    <row r="999" spans="1:54">
      <c r="A999" s="326"/>
      <c r="B999" s="727"/>
      <c r="C999" s="727"/>
      <c r="D999" s="727"/>
      <c r="E999" s="727"/>
      <c r="F999" s="727"/>
      <c r="G999" s="727"/>
      <c r="H999" s="727"/>
      <c r="I999" s="727"/>
      <c r="J999" s="727"/>
      <c r="K999" s="727"/>
      <c r="L999" s="727"/>
      <c r="M999" s="727"/>
      <c r="N999" s="727"/>
      <c r="O999" s="727"/>
      <c r="P999" s="727"/>
      <c r="Q999" s="727"/>
      <c r="R999" s="727"/>
      <c r="S999" s="727"/>
      <c r="T999" s="727"/>
      <c r="U999" s="727"/>
      <c r="V999" s="727"/>
      <c r="W999" s="727"/>
      <c r="X999" s="727"/>
      <c r="Y999" s="727"/>
      <c r="Z999" s="727"/>
      <c r="AA999" s="727"/>
      <c r="AB999" s="727"/>
      <c r="AC999" s="727"/>
      <c r="AD999" s="727"/>
      <c r="AE999" s="727"/>
      <c r="AF999" s="727"/>
      <c r="AG999" s="727"/>
      <c r="AH999" s="727"/>
      <c r="AI999" s="727"/>
      <c r="AJ999" s="727"/>
      <c r="AK999" s="727"/>
      <c r="AL999" s="727"/>
      <c r="AM999" s="727"/>
      <c r="AN999" s="727"/>
      <c r="AO999" s="727"/>
      <c r="AP999" s="727"/>
      <c r="AQ999" s="727"/>
      <c r="AR999" s="727"/>
      <c r="AS999" s="727"/>
      <c r="AT999" s="727"/>
      <c r="AU999" s="727"/>
      <c r="AV999" s="727"/>
      <c r="AW999" s="727"/>
      <c r="AX999" s="727"/>
      <c r="AY999" s="727"/>
      <c r="AZ999" s="727"/>
      <c r="BA999" s="727"/>
      <c r="BB999" s="727"/>
    </row>
    <row r="1000" spans="1:54">
      <c r="A1000" s="326"/>
      <c r="B1000" s="727"/>
      <c r="C1000" s="727"/>
      <c r="D1000" s="727"/>
      <c r="E1000" s="727"/>
      <c r="F1000" s="727"/>
      <c r="G1000" s="727"/>
      <c r="H1000" s="727"/>
      <c r="I1000" s="727"/>
      <c r="J1000" s="727"/>
      <c r="K1000" s="727"/>
      <c r="L1000" s="727"/>
      <c r="M1000" s="727"/>
      <c r="N1000" s="727"/>
      <c r="O1000" s="727"/>
      <c r="P1000" s="727"/>
      <c r="Q1000" s="727"/>
      <c r="R1000" s="727"/>
      <c r="S1000" s="727"/>
      <c r="T1000" s="727"/>
      <c r="U1000" s="727"/>
      <c r="V1000" s="727"/>
      <c r="W1000" s="727"/>
      <c r="X1000" s="727"/>
      <c r="Y1000" s="727"/>
      <c r="Z1000" s="727"/>
      <c r="AA1000" s="727"/>
      <c r="AB1000" s="727"/>
      <c r="AC1000" s="727"/>
      <c r="AD1000" s="727"/>
      <c r="AE1000" s="727"/>
      <c r="AF1000" s="727"/>
      <c r="AG1000" s="727"/>
      <c r="AH1000" s="727"/>
      <c r="AI1000" s="727"/>
      <c r="AJ1000" s="727"/>
      <c r="AK1000" s="727"/>
      <c r="AL1000" s="727"/>
      <c r="AM1000" s="727"/>
      <c r="AN1000" s="727"/>
      <c r="AO1000" s="727"/>
      <c r="AP1000" s="727"/>
      <c r="AQ1000" s="727"/>
      <c r="AR1000" s="727"/>
      <c r="AS1000" s="727"/>
      <c r="AT1000" s="727"/>
      <c r="AU1000" s="727"/>
      <c r="AV1000" s="727"/>
      <c r="AW1000" s="727"/>
      <c r="AX1000" s="727"/>
      <c r="AY1000" s="727"/>
      <c r="AZ1000" s="727"/>
      <c r="BA1000" s="727"/>
      <c r="BB1000" s="727"/>
    </row>
    <row r="1001" spans="1:54">
      <c r="A1001" s="326"/>
      <c r="B1001" s="727"/>
      <c r="C1001" s="727"/>
      <c r="D1001" s="727"/>
      <c r="E1001" s="727"/>
      <c r="F1001" s="727"/>
      <c r="G1001" s="727"/>
      <c r="H1001" s="727"/>
      <c r="I1001" s="727"/>
      <c r="J1001" s="727"/>
      <c r="K1001" s="727"/>
      <c r="L1001" s="727"/>
      <c r="M1001" s="727"/>
      <c r="N1001" s="727"/>
      <c r="O1001" s="727"/>
      <c r="P1001" s="727"/>
      <c r="Q1001" s="727"/>
      <c r="R1001" s="727"/>
      <c r="S1001" s="727"/>
      <c r="T1001" s="727"/>
      <c r="U1001" s="727"/>
      <c r="V1001" s="727"/>
      <c r="W1001" s="727"/>
      <c r="X1001" s="727"/>
      <c r="Y1001" s="727"/>
      <c r="Z1001" s="727"/>
      <c r="AA1001" s="727"/>
      <c r="AB1001" s="727"/>
      <c r="AC1001" s="727"/>
      <c r="AD1001" s="727"/>
      <c r="AE1001" s="727"/>
      <c r="AF1001" s="727"/>
      <c r="AG1001" s="727"/>
      <c r="AH1001" s="727"/>
      <c r="AI1001" s="727"/>
      <c r="AJ1001" s="727"/>
      <c r="AK1001" s="727"/>
      <c r="AL1001" s="727"/>
      <c r="AM1001" s="727"/>
      <c r="AN1001" s="727"/>
      <c r="AO1001" s="727"/>
      <c r="AP1001" s="727"/>
      <c r="AQ1001" s="727"/>
      <c r="AR1001" s="727"/>
      <c r="AS1001" s="727"/>
      <c r="AT1001" s="727"/>
      <c r="AU1001" s="727"/>
      <c r="AV1001" s="727"/>
      <c r="AW1001" s="727"/>
      <c r="AX1001" s="727"/>
      <c r="AY1001" s="727"/>
      <c r="AZ1001" s="727"/>
      <c r="BA1001" s="727"/>
      <c r="BB1001" s="727"/>
    </row>
    <row r="1002" spans="1:54">
      <c r="A1002" s="326"/>
      <c r="B1002" s="727"/>
      <c r="C1002" s="727"/>
      <c r="D1002" s="727"/>
      <c r="E1002" s="727"/>
      <c r="F1002" s="727"/>
      <c r="G1002" s="727"/>
      <c r="H1002" s="727"/>
      <c r="I1002" s="727"/>
      <c r="J1002" s="727"/>
      <c r="K1002" s="727"/>
      <c r="L1002" s="727"/>
      <c r="M1002" s="727"/>
      <c r="N1002" s="727"/>
      <c r="O1002" s="727"/>
      <c r="P1002" s="727"/>
      <c r="Q1002" s="727"/>
      <c r="R1002" s="727"/>
      <c r="S1002" s="727"/>
      <c r="T1002" s="727"/>
      <c r="U1002" s="727"/>
      <c r="V1002" s="727"/>
      <c r="W1002" s="727"/>
      <c r="X1002" s="727"/>
      <c r="Y1002" s="727"/>
      <c r="Z1002" s="727"/>
      <c r="AA1002" s="727"/>
      <c r="AB1002" s="727"/>
      <c r="AC1002" s="727"/>
      <c r="AD1002" s="727"/>
      <c r="AE1002" s="727"/>
      <c r="AF1002" s="727"/>
      <c r="AG1002" s="727"/>
      <c r="AH1002" s="727"/>
      <c r="AI1002" s="727"/>
      <c r="AJ1002" s="727"/>
      <c r="AK1002" s="727"/>
      <c r="AL1002" s="727"/>
      <c r="AM1002" s="727"/>
      <c r="AN1002" s="727"/>
      <c r="AO1002" s="727"/>
      <c r="AP1002" s="727"/>
      <c r="AQ1002" s="727"/>
      <c r="AR1002" s="727"/>
      <c r="AS1002" s="727"/>
      <c r="AT1002" s="727"/>
      <c r="AU1002" s="727"/>
      <c r="AV1002" s="727"/>
      <c r="AW1002" s="727"/>
      <c r="AX1002" s="727"/>
      <c r="AY1002" s="727"/>
      <c r="AZ1002" s="727"/>
      <c r="BA1002" s="727"/>
      <c r="BB1002" s="727"/>
    </row>
    <row r="1003" spans="1:54">
      <c r="A1003" s="326"/>
      <c r="B1003" s="727"/>
      <c r="C1003" s="727"/>
      <c r="D1003" s="727"/>
      <c r="E1003" s="727"/>
      <c r="F1003" s="727"/>
      <c r="G1003" s="727"/>
      <c r="H1003" s="727"/>
      <c r="I1003" s="727"/>
      <c r="J1003" s="727"/>
      <c r="K1003" s="727"/>
      <c r="L1003" s="727"/>
      <c r="M1003" s="727"/>
      <c r="N1003" s="727"/>
      <c r="O1003" s="727"/>
      <c r="P1003" s="727"/>
      <c r="Q1003" s="727"/>
      <c r="R1003" s="727"/>
      <c r="S1003" s="727"/>
      <c r="T1003" s="727"/>
      <c r="U1003" s="727"/>
      <c r="V1003" s="727"/>
      <c r="W1003" s="727"/>
      <c r="X1003" s="727"/>
      <c r="Y1003" s="727"/>
      <c r="Z1003" s="727"/>
      <c r="AA1003" s="727"/>
      <c r="AB1003" s="727"/>
      <c r="AC1003" s="727"/>
      <c r="AD1003" s="727"/>
      <c r="AE1003" s="727"/>
      <c r="AF1003" s="727"/>
      <c r="AG1003" s="727"/>
      <c r="AH1003" s="727"/>
      <c r="AI1003" s="727"/>
      <c r="AJ1003" s="727"/>
      <c r="AK1003" s="727"/>
      <c r="AL1003" s="727"/>
      <c r="AM1003" s="727"/>
      <c r="AN1003" s="727"/>
      <c r="AO1003" s="727"/>
      <c r="AP1003" s="727"/>
      <c r="AQ1003" s="727"/>
      <c r="AR1003" s="727"/>
      <c r="AS1003" s="727"/>
      <c r="AT1003" s="727"/>
      <c r="AU1003" s="727"/>
      <c r="AV1003" s="727"/>
      <c r="AW1003" s="727"/>
      <c r="AX1003" s="727"/>
      <c r="AY1003" s="727"/>
      <c r="AZ1003" s="727"/>
      <c r="BA1003" s="727"/>
      <c r="BB1003" s="727"/>
    </row>
    <row r="1004" spans="1:54">
      <c r="A1004" s="326"/>
      <c r="B1004" s="727"/>
      <c r="C1004" s="727"/>
      <c r="D1004" s="727"/>
      <c r="E1004" s="727"/>
      <c r="F1004" s="727"/>
      <c r="G1004" s="727"/>
      <c r="H1004" s="727"/>
      <c r="I1004" s="727"/>
      <c r="J1004" s="727"/>
      <c r="K1004" s="727"/>
      <c r="L1004" s="727"/>
      <c r="M1004" s="727"/>
      <c r="N1004" s="727"/>
      <c r="O1004" s="727"/>
      <c r="P1004" s="727"/>
      <c r="Q1004" s="727"/>
      <c r="R1004" s="727"/>
      <c r="S1004" s="727"/>
      <c r="T1004" s="727"/>
      <c r="U1004" s="727"/>
      <c r="V1004" s="727"/>
      <c r="W1004" s="727"/>
      <c r="X1004" s="727"/>
      <c r="Y1004" s="727"/>
      <c r="Z1004" s="727"/>
      <c r="AA1004" s="727"/>
      <c r="AB1004" s="727"/>
      <c r="AC1004" s="727"/>
      <c r="AD1004" s="727"/>
      <c r="AE1004" s="727"/>
      <c r="AF1004" s="727"/>
      <c r="AG1004" s="727"/>
      <c r="AH1004" s="727"/>
      <c r="AI1004" s="727"/>
      <c r="AJ1004" s="727"/>
      <c r="AK1004" s="727"/>
      <c r="AL1004" s="727"/>
      <c r="AM1004" s="727"/>
      <c r="AN1004" s="727"/>
      <c r="AO1004" s="727"/>
      <c r="AP1004" s="727"/>
      <c r="AQ1004" s="727"/>
      <c r="AR1004" s="727"/>
      <c r="AS1004" s="727"/>
      <c r="AT1004" s="727"/>
      <c r="AU1004" s="727"/>
      <c r="AV1004" s="727"/>
      <c r="AW1004" s="727"/>
      <c r="AX1004" s="727"/>
      <c r="AY1004" s="727"/>
      <c r="AZ1004" s="727"/>
      <c r="BA1004" s="727"/>
      <c r="BB1004" s="727"/>
    </row>
    <row r="1005" spans="1:54">
      <c r="A1005" s="326"/>
      <c r="B1005" s="727"/>
      <c r="C1005" s="727"/>
      <c r="D1005" s="727"/>
      <c r="E1005" s="727"/>
      <c r="F1005" s="727"/>
      <c r="G1005" s="727"/>
      <c r="H1005" s="727"/>
      <c r="I1005" s="727"/>
      <c r="J1005" s="727"/>
      <c r="K1005" s="727"/>
      <c r="L1005" s="727"/>
      <c r="M1005" s="727"/>
      <c r="N1005" s="727"/>
      <c r="O1005" s="727"/>
      <c r="P1005" s="727"/>
      <c r="Q1005" s="727"/>
      <c r="R1005" s="727"/>
      <c r="S1005" s="727"/>
      <c r="T1005" s="727"/>
      <c r="U1005" s="727"/>
      <c r="V1005" s="727"/>
      <c r="W1005" s="727"/>
      <c r="X1005" s="727"/>
      <c r="Y1005" s="727"/>
      <c r="Z1005" s="727"/>
      <c r="AA1005" s="727"/>
      <c r="AB1005" s="727"/>
      <c r="AC1005" s="727"/>
      <c r="AD1005" s="727"/>
      <c r="AE1005" s="727"/>
      <c r="AF1005" s="727"/>
      <c r="AG1005" s="727"/>
      <c r="AH1005" s="727"/>
      <c r="AI1005" s="727"/>
      <c r="AJ1005" s="727"/>
      <c r="AK1005" s="727"/>
      <c r="AL1005" s="727"/>
      <c r="AM1005" s="727"/>
      <c r="AN1005" s="727"/>
      <c r="AO1005" s="727"/>
      <c r="AP1005" s="727"/>
      <c r="AQ1005" s="727"/>
      <c r="AR1005" s="727"/>
      <c r="AS1005" s="727"/>
      <c r="AT1005" s="727"/>
      <c r="AU1005" s="727"/>
      <c r="AV1005" s="727"/>
      <c r="AW1005" s="727"/>
      <c r="AX1005" s="727"/>
      <c r="AY1005" s="727"/>
      <c r="AZ1005" s="727"/>
      <c r="BA1005" s="727"/>
      <c r="BB1005" s="727"/>
    </row>
    <row r="1006" spans="1:54">
      <c r="A1006" s="326"/>
      <c r="B1006" s="727"/>
      <c r="C1006" s="727"/>
      <c r="D1006" s="727"/>
      <c r="E1006" s="727"/>
      <c r="F1006" s="727"/>
      <c r="G1006" s="727"/>
      <c r="H1006" s="727"/>
      <c r="I1006" s="727"/>
      <c r="J1006" s="727"/>
      <c r="K1006" s="727"/>
      <c r="L1006" s="727"/>
      <c r="M1006" s="727"/>
      <c r="N1006" s="727"/>
      <c r="O1006" s="727"/>
      <c r="P1006" s="727"/>
      <c r="Q1006" s="727"/>
      <c r="R1006" s="727"/>
      <c r="S1006" s="727"/>
      <c r="T1006" s="727"/>
      <c r="U1006" s="727"/>
      <c r="V1006" s="727"/>
      <c r="W1006" s="727"/>
      <c r="X1006" s="727"/>
      <c r="Y1006" s="727"/>
      <c r="Z1006" s="727"/>
      <c r="AA1006" s="727"/>
      <c r="AB1006" s="727"/>
      <c r="AC1006" s="727"/>
      <c r="AD1006" s="727"/>
      <c r="AE1006" s="727"/>
      <c r="AF1006" s="727"/>
      <c r="AG1006" s="727"/>
      <c r="AH1006" s="727"/>
      <c r="AI1006" s="727"/>
      <c r="AJ1006" s="727"/>
      <c r="AK1006" s="727"/>
      <c r="AL1006" s="727"/>
      <c r="AM1006" s="727"/>
      <c r="AN1006" s="727"/>
      <c r="AO1006" s="727"/>
      <c r="AP1006" s="727"/>
      <c r="AQ1006" s="727"/>
      <c r="AR1006" s="727"/>
      <c r="AS1006" s="727"/>
      <c r="AT1006" s="727"/>
      <c r="AU1006" s="727"/>
      <c r="AV1006" s="727"/>
      <c r="AW1006" s="727"/>
      <c r="AX1006" s="727"/>
      <c r="AY1006" s="727"/>
      <c r="AZ1006" s="727"/>
      <c r="BA1006" s="727"/>
      <c r="BB1006" s="727"/>
    </row>
    <row r="1007" spans="1:54">
      <c r="A1007" s="326"/>
      <c r="B1007" s="727"/>
      <c r="C1007" s="727"/>
      <c r="D1007" s="727"/>
      <c r="E1007" s="727"/>
      <c r="F1007" s="727"/>
      <c r="G1007" s="727"/>
      <c r="H1007" s="727"/>
      <c r="I1007" s="727"/>
      <c r="J1007" s="727"/>
      <c r="K1007" s="727"/>
      <c r="L1007" s="727"/>
      <c r="M1007" s="727"/>
      <c r="N1007" s="727"/>
      <c r="O1007" s="727"/>
      <c r="P1007" s="727"/>
      <c r="Q1007" s="727"/>
      <c r="R1007" s="727"/>
      <c r="S1007" s="727"/>
      <c r="T1007" s="727"/>
      <c r="U1007" s="727"/>
      <c r="V1007" s="727"/>
      <c r="W1007" s="727"/>
      <c r="X1007" s="727"/>
      <c r="Y1007" s="727"/>
      <c r="Z1007" s="727"/>
      <c r="AA1007" s="727"/>
      <c r="AB1007" s="727"/>
      <c r="AC1007" s="727"/>
      <c r="AD1007" s="727"/>
      <c r="AE1007" s="727"/>
      <c r="AF1007" s="727"/>
      <c r="AG1007" s="727"/>
      <c r="AH1007" s="727"/>
      <c r="AI1007" s="727"/>
      <c r="AJ1007" s="727"/>
      <c r="AK1007" s="727"/>
      <c r="AL1007" s="727"/>
      <c r="AM1007" s="727"/>
      <c r="AN1007" s="727"/>
      <c r="AO1007" s="727"/>
      <c r="AP1007" s="727"/>
      <c r="AQ1007" s="727"/>
      <c r="AR1007" s="727"/>
      <c r="AS1007" s="727"/>
      <c r="AT1007" s="727"/>
      <c r="AU1007" s="727"/>
      <c r="AV1007" s="727"/>
      <c r="AW1007" s="727"/>
      <c r="AX1007" s="727"/>
      <c r="AY1007" s="727"/>
      <c r="AZ1007" s="727"/>
      <c r="BA1007" s="727"/>
      <c r="BB1007" s="727"/>
    </row>
    <row r="1008" spans="1:54">
      <c r="A1008" s="326"/>
      <c r="B1008" s="727"/>
      <c r="C1008" s="727"/>
      <c r="D1008" s="727"/>
      <c r="E1008" s="727"/>
      <c r="F1008" s="727"/>
      <c r="G1008" s="727"/>
      <c r="H1008" s="727"/>
      <c r="I1008" s="727"/>
      <c r="J1008" s="727"/>
      <c r="K1008" s="727"/>
      <c r="L1008" s="727"/>
      <c r="M1008" s="727"/>
      <c r="N1008" s="727"/>
      <c r="O1008" s="727"/>
      <c r="P1008" s="727"/>
      <c r="Q1008" s="727"/>
      <c r="R1008" s="727"/>
      <c r="S1008" s="727"/>
      <c r="T1008" s="727"/>
      <c r="U1008" s="727"/>
      <c r="V1008" s="727"/>
      <c r="W1008" s="727"/>
      <c r="X1008" s="727"/>
      <c r="Y1008" s="727"/>
      <c r="Z1008" s="727"/>
      <c r="AA1008" s="727"/>
      <c r="AB1008" s="727"/>
      <c r="AC1008" s="727"/>
      <c r="AD1008" s="727"/>
      <c r="AE1008" s="727"/>
      <c r="AF1008" s="727"/>
      <c r="AG1008" s="727"/>
      <c r="AH1008" s="727"/>
      <c r="AI1008" s="727"/>
      <c r="AJ1008" s="727"/>
      <c r="AK1008" s="727"/>
      <c r="AL1008" s="727"/>
      <c r="AM1008" s="727"/>
      <c r="AN1008" s="727"/>
      <c r="AO1008" s="727"/>
      <c r="AP1008" s="727"/>
      <c r="AQ1008" s="727"/>
      <c r="AR1008" s="727"/>
      <c r="AS1008" s="727"/>
      <c r="AT1008" s="727"/>
      <c r="AU1008" s="727"/>
      <c r="AV1008" s="727"/>
      <c r="AW1008" s="727"/>
      <c r="AX1008" s="727"/>
      <c r="AY1008" s="727"/>
      <c r="AZ1008" s="727"/>
      <c r="BA1008" s="727"/>
      <c r="BB1008" s="727"/>
    </row>
    <row r="1009" spans="1:54">
      <c r="A1009" s="326"/>
      <c r="B1009" s="727"/>
      <c r="C1009" s="727"/>
      <c r="D1009" s="727"/>
      <c r="E1009" s="727"/>
      <c r="F1009" s="727"/>
      <c r="G1009" s="727"/>
      <c r="H1009" s="727"/>
      <c r="I1009" s="727"/>
      <c r="J1009" s="727"/>
      <c r="K1009" s="727"/>
      <c r="L1009" s="727"/>
      <c r="M1009" s="727"/>
      <c r="N1009" s="727"/>
      <c r="O1009" s="727"/>
      <c r="P1009" s="727"/>
      <c r="Q1009" s="727"/>
      <c r="R1009" s="727"/>
      <c r="S1009" s="727"/>
      <c r="T1009" s="727"/>
      <c r="U1009" s="727"/>
      <c r="V1009" s="727"/>
      <c r="W1009" s="727"/>
      <c r="X1009" s="727"/>
      <c r="Y1009" s="727"/>
      <c r="Z1009" s="727"/>
      <c r="AA1009" s="727"/>
      <c r="AB1009" s="727"/>
      <c r="AC1009" s="727"/>
      <c r="AD1009" s="727"/>
      <c r="AE1009" s="727"/>
      <c r="AF1009" s="727"/>
      <c r="AG1009" s="727"/>
      <c r="AH1009" s="727"/>
      <c r="AI1009" s="727"/>
      <c r="AJ1009" s="727"/>
      <c r="AK1009" s="727"/>
      <c r="AL1009" s="727"/>
      <c r="AM1009" s="727"/>
      <c r="AN1009" s="727"/>
      <c r="AO1009" s="727"/>
      <c r="AP1009" s="727"/>
      <c r="AQ1009" s="727"/>
      <c r="AR1009" s="727"/>
      <c r="AS1009" s="727"/>
      <c r="AT1009" s="727"/>
      <c r="AU1009" s="727"/>
      <c r="AV1009" s="727"/>
      <c r="AW1009" s="727"/>
      <c r="AX1009" s="727"/>
      <c r="AY1009" s="727"/>
      <c r="AZ1009" s="727"/>
      <c r="BA1009" s="727"/>
      <c r="BB1009" s="727"/>
    </row>
    <row r="1010" spans="1:54">
      <c r="A1010" s="326"/>
      <c r="B1010" s="727"/>
      <c r="C1010" s="727"/>
      <c r="D1010" s="727"/>
      <c r="E1010" s="727"/>
      <c r="F1010" s="727"/>
      <c r="G1010" s="727"/>
      <c r="H1010" s="727"/>
      <c r="I1010" s="727"/>
      <c r="J1010" s="727"/>
      <c r="K1010" s="727"/>
      <c r="L1010" s="727"/>
      <c r="M1010" s="727"/>
      <c r="N1010" s="727"/>
      <c r="O1010" s="727"/>
      <c r="P1010" s="727"/>
      <c r="Q1010" s="727"/>
      <c r="R1010" s="727"/>
      <c r="S1010" s="727"/>
      <c r="T1010" s="727"/>
      <c r="U1010" s="727"/>
      <c r="V1010" s="727"/>
      <c r="W1010" s="727"/>
      <c r="X1010" s="727"/>
      <c r="Y1010" s="727"/>
      <c r="Z1010" s="727"/>
      <c r="AA1010" s="727"/>
      <c r="AB1010" s="727"/>
      <c r="AC1010" s="727"/>
      <c r="AD1010" s="727"/>
      <c r="AE1010" s="727"/>
      <c r="AF1010" s="727"/>
      <c r="AG1010" s="727"/>
      <c r="AH1010" s="727"/>
      <c r="AI1010" s="727"/>
      <c r="AJ1010" s="727"/>
      <c r="AK1010" s="727"/>
      <c r="AL1010" s="727"/>
      <c r="AM1010" s="727"/>
      <c r="AN1010" s="727"/>
      <c r="AO1010" s="727"/>
      <c r="AP1010" s="727"/>
      <c r="AQ1010" s="727"/>
      <c r="AR1010" s="727"/>
      <c r="AS1010" s="727"/>
      <c r="AT1010" s="727"/>
      <c r="AU1010" s="727"/>
      <c r="AV1010" s="727"/>
      <c r="AW1010" s="727"/>
      <c r="AX1010" s="727"/>
      <c r="AY1010" s="727"/>
      <c r="AZ1010" s="727"/>
      <c r="BA1010" s="727"/>
      <c r="BB1010" s="727"/>
    </row>
    <row r="1011" spans="1:54">
      <c r="A1011" s="326"/>
      <c r="B1011" s="727"/>
      <c r="C1011" s="727"/>
      <c r="D1011" s="727"/>
      <c r="E1011" s="727"/>
      <c r="F1011" s="727"/>
      <c r="G1011" s="727"/>
      <c r="H1011" s="727"/>
      <c r="I1011" s="727"/>
      <c r="J1011" s="727"/>
      <c r="K1011" s="727"/>
      <c r="L1011" s="727"/>
      <c r="M1011" s="727"/>
      <c r="N1011" s="727"/>
      <c r="O1011" s="727"/>
      <c r="P1011" s="727"/>
      <c r="Q1011" s="727"/>
      <c r="R1011" s="727"/>
      <c r="S1011" s="727"/>
      <c r="T1011" s="727"/>
      <c r="U1011" s="727"/>
      <c r="V1011" s="727"/>
      <c r="W1011" s="727"/>
      <c r="X1011" s="727"/>
      <c r="Y1011" s="727"/>
      <c r="Z1011" s="727"/>
      <c r="AA1011" s="727"/>
      <c r="AB1011" s="727"/>
      <c r="AC1011" s="727"/>
      <c r="AD1011" s="727"/>
      <c r="AE1011" s="727"/>
      <c r="AF1011" s="727"/>
      <c r="AG1011" s="727"/>
      <c r="AH1011" s="727"/>
      <c r="AI1011" s="727"/>
      <c r="AJ1011" s="727"/>
      <c r="AK1011" s="727"/>
      <c r="AL1011" s="727"/>
      <c r="AM1011" s="727"/>
      <c r="AN1011" s="727"/>
      <c r="AO1011" s="727"/>
      <c r="AP1011" s="727"/>
      <c r="AQ1011" s="727"/>
      <c r="AR1011" s="727"/>
      <c r="AS1011" s="727"/>
      <c r="AT1011" s="727"/>
      <c r="AU1011" s="727"/>
      <c r="AV1011" s="727"/>
      <c r="AW1011" s="727"/>
      <c r="AX1011" s="727"/>
      <c r="AY1011" s="727"/>
      <c r="AZ1011" s="727"/>
      <c r="BA1011" s="727"/>
      <c r="BB1011" s="727"/>
    </row>
    <row r="1012" spans="1:54">
      <c r="A1012" s="326"/>
      <c r="B1012" s="727"/>
      <c r="C1012" s="727"/>
      <c r="D1012" s="727"/>
      <c r="E1012" s="727"/>
      <c r="F1012" s="727"/>
      <c r="G1012" s="727"/>
      <c r="H1012" s="727"/>
      <c r="I1012" s="727"/>
      <c r="J1012" s="727"/>
      <c r="K1012" s="727"/>
      <c r="L1012" s="727"/>
      <c r="M1012" s="727"/>
      <c r="N1012" s="727"/>
      <c r="O1012" s="727"/>
      <c r="P1012" s="727"/>
      <c r="Q1012" s="727"/>
      <c r="R1012" s="727"/>
      <c r="S1012" s="727"/>
      <c r="T1012" s="727"/>
      <c r="U1012" s="727"/>
      <c r="V1012" s="727"/>
      <c r="W1012" s="727"/>
      <c r="X1012" s="727"/>
      <c r="Y1012" s="727"/>
      <c r="Z1012" s="727"/>
      <c r="AA1012" s="727"/>
      <c r="AB1012" s="727"/>
      <c r="AC1012" s="727"/>
      <c r="AD1012" s="727"/>
      <c r="AE1012" s="727"/>
      <c r="AF1012" s="727"/>
      <c r="AG1012" s="727"/>
      <c r="AH1012" s="727"/>
      <c r="AI1012" s="727"/>
      <c r="AJ1012" s="727"/>
      <c r="AK1012" s="727"/>
      <c r="AL1012" s="727"/>
      <c r="AM1012" s="727"/>
      <c r="AN1012" s="727"/>
      <c r="AO1012" s="727"/>
      <c r="AP1012" s="727"/>
      <c r="AQ1012" s="727"/>
      <c r="AR1012" s="727"/>
      <c r="AS1012" s="727"/>
      <c r="AT1012" s="727"/>
      <c r="AU1012" s="727"/>
      <c r="AV1012" s="727"/>
      <c r="AW1012" s="727"/>
      <c r="AX1012" s="727"/>
      <c r="AY1012" s="727"/>
      <c r="AZ1012" s="727"/>
      <c r="BA1012" s="727"/>
      <c r="BB1012" s="727"/>
    </row>
    <row r="1013" spans="1:54">
      <c r="A1013" s="326"/>
      <c r="B1013" s="727"/>
      <c r="C1013" s="727"/>
      <c r="D1013" s="727"/>
      <c r="E1013" s="727"/>
      <c r="F1013" s="727"/>
      <c r="G1013" s="727"/>
      <c r="H1013" s="727"/>
      <c r="I1013" s="727"/>
      <c r="J1013" s="727"/>
      <c r="K1013" s="727"/>
      <c r="L1013" s="727"/>
      <c r="M1013" s="727"/>
      <c r="N1013" s="727"/>
      <c r="O1013" s="727"/>
      <c r="P1013" s="727"/>
      <c r="Q1013" s="727"/>
      <c r="R1013" s="727"/>
      <c r="S1013" s="727"/>
      <c r="T1013" s="727"/>
      <c r="U1013" s="727"/>
      <c r="V1013" s="727"/>
      <c r="W1013" s="727"/>
      <c r="X1013" s="727"/>
      <c r="Y1013" s="727"/>
      <c r="Z1013" s="727"/>
      <c r="AA1013" s="727"/>
      <c r="AB1013" s="727"/>
      <c r="AC1013" s="727"/>
      <c r="AD1013" s="727"/>
      <c r="AE1013" s="727"/>
      <c r="AF1013" s="727"/>
      <c r="AG1013" s="727"/>
      <c r="AH1013" s="727"/>
      <c r="AI1013" s="727"/>
      <c r="AJ1013" s="727"/>
      <c r="AK1013" s="727"/>
      <c r="AL1013" s="727"/>
      <c r="AM1013" s="727"/>
      <c r="AN1013" s="727"/>
      <c r="AO1013" s="727"/>
      <c r="AP1013" s="727"/>
      <c r="AQ1013" s="727"/>
      <c r="AR1013" s="727"/>
      <c r="AS1013" s="727"/>
      <c r="AT1013" s="727"/>
      <c r="AU1013" s="727"/>
      <c r="AV1013" s="727"/>
      <c r="AW1013" s="727"/>
      <c r="AX1013" s="727"/>
      <c r="AY1013" s="727"/>
      <c r="AZ1013" s="727"/>
      <c r="BA1013" s="727"/>
      <c r="BB1013" s="727"/>
    </row>
    <row r="1014" spans="1:54">
      <c r="A1014" s="326"/>
      <c r="B1014" s="727"/>
      <c r="C1014" s="727"/>
      <c r="D1014" s="727"/>
      <c r="E1014" s="727"/>
      <c r="F1014" s="727"/>
      <c r="G1014" s="727"/>
      <c r="H1014" s="727"/>
      <c r="I1014" s="727"/>
      <c r="J1014" s="727"/>
      <c r="K1014" s="727"/>
      <c r="L1014" s="727"/>
      <c r="M1014" s="727"/>
      <c r="N1014" s="727"/>
      <c r="O1014" s="727"/>
      <c r="P1014" s="727"/>
      <c r="Q1014" s="727"/>
      <c r="R1014" s="727"/>
      <c r="S1014" s="727"/>
      <c r="T1014" s="727"/>
      <c r="U1014" s="727"/>
      <c r="V1014" s="727"/>
      <c r="W1014" s="727"/>
      <c r="X1014" s="727"/>
      <c r="Y1014" s="727"/>
      <c r="Z1014" s="727"/>
      <c r="AA1014" s="727"/>
      <c r="AB1014" s="727"/>
      <c r="AC1014" s="727"/>
      <c r="AD1014" s="727"/>
      <c r="AE1014" s="727"/>
      <c r="AF1014" s="727"/>
      <c r="AG1014" s="727"/>
      <c r="AH1014" s="727"/>
      <c r="AI1014" s="727"/>
      <c r="AJ1014" s="727"/>
      <c r="AK1014" s="727"/>
      <c r="AL1014" s="727"/>
      <c r="AM1014" s="727"/>
      <c r="AN1014" s="727"/>
      <c r="AO1014" s="727"/>
      <c r="AP1014" s="727"/>
      <c r="AQ1014" s="727"/>
      <c r="AR1014" s="727"/>
      <c r="AS1014" s="727"/>
      <c r="AT1014" s="727"/>
      <c r="AU1014" s="727"/>
      <c r="AV1014" s="727"/>
      <c r="AW1014" s="727"/>
      <c r="AX1014" s="727"/>
      <c r="AY1014" s="727"/>
      <c r="AZ1014" s="727"/>
      <c r="BA1014" s="727"/>
      <c r="BB1014" s="727"/>
    </row>
    <row r="1015" spans="1:54">
      <c r="A1015" s="326"/>
      <c r="B1015" s="727"/>
      <c r="C1015" s="727"/>
      <c r="D1015" s="727"/>
      <c r="E1015" s="727"/>
      <c r="F1015" s="727"/>
      <c r="G1015" s="727"/>
      <c r="H1015" s="727"/>
      <c r="I1015" s="727"/>
      <c r="J1015" s="727"/>
      <c r="K1015" s="727"/>
      <c r="L1015" s="727"/>
      <c r="M1015" s="727"/>
      <c r="N1015" s="727"/>
      <c r="O1015" s="727"/>
      <c r="P1015" s="727"/>
      <c r="Q1015" s="727"/>
      <c r="R1015" s="727"/>
      <c r="S1015" s="727"/>
      <c r="T1015" s="727"/>
      <c r="U1015" s="727"/>
      <c r="V1015" s="727"/>
      <c r="W1015" s="727"/>
      <c r="X1015" s="727"/>
      <c r="Y1015" s="727"/>
      <c r="Z1015" s="727"/>
      <c r="AA1015" s="727"/>
      <c r="AB1015" s="727"/>
      <c r="AC1015" s="727"/>
      <c r="AD1015" s="727"/>
      <c r="AE1015" s="727"/>
      <c r="AF1015" s="727"/>
      <c r="AG1015" s="727"/>
      <c r="AH1015" s="727"/>
      <c r="AI1015" s="727"/>
      <c r="AJ1015" s="727"/>
      <c r="AK1015" s="727"/>
      <c r="AL1015" s="727"/>
      <c r="AM1015" s="727"/>
      <c r="AN1015" s="727"/>
      <c r="AO1015" s="727"/>
      <c r="AP1015" s="727"/>
      <c r="AQ1015" s="727"/>
      <c r="AR1015" s="727"/>
      <c r="AS1015" s="727"/>
      <c r="AT1015" s="727"/>
      <c r="AU1015" s="727"/>
      <c r="AV1015" s="727"/>
      <c r="AW1015" s="727"/>
      <c r="AX1015" s="727"/>
      <c r="AY1015" s="727"/>
      <c r="AZ1015" s="727"/>
      <c r="BA1015" s="727"/>
      <c r="BB1015" s="727"/>
    </row>
    <row r="1016" spans="1:54">
      <c r="A1016" s="326"/>
      <c r="B1016" s="727"/>
      <c r="C1016" s="727"/>
      <c r="D1016" s="727"/>
      <c r="E1016" s="727"/>
      <c r="F1016" s="727"/>
      <c r="G1016" s="727"/>
      <c r="H1016" s="727"/>
      <c r="I1016" s="727"/>
      <c r="J1016" s="727"/>
      <c r="K1016" s="727"/>
      <c r="L1016" s="727"/>
      <c r="M1016" s="727"/>
      <c r="N1016" s="727"/>
      <c r="O1016" s="727"/>
      <c r="P1016" s="727"/>
      <c r="Q1016" s="727"/>
      <c r="R1016" s="727"/>
      <c r="S1016" s="727"/>
      <c r="T1016" s="727"/>
      <c r="U1016" s="727"/>
      <c r="V1016" s="727"/>
      <c r="W1016" s="727"/>
      <c r="X1016" s="727"/>
      <c r="Y1016" s="727"/>
      <c r="Z1016" s="727"/>
      <c r="AA1016" s="727"/>
      <c r="AB1016" s="727"/>
      <c r="AC1016" s="727"/>
      <c r="AD1016" s="727"/>
      <c r="AE1016" s="727"/>
      <c r="AF1016" s="727"/>
      <c r="AG1016" s="727"/>
      <c r="AH1016" s="727"/>
      <c r="AI1016" s="727"/>
      <c r="AJ1016" s="727"/>
      <c r="AK1016" s="727"/>
      <c r="AL1016" s="727"/>
      <c r="AM1016" s="727"/>
      <c r="AN1016" s="727"/>
      <c r="AO1016" s="727"/>
      <c r="AP1016" s="727"/>
      <c r="AQ1016" s="727"/>
      <c r="AR1016" s="727"/>
      <c r="AS1016" s="727"/>
      <c r="AT1016" s="727"/>
      <c r="AU1016" s="727"/>
      <c r="AV1016" s="727"/>
      <c r="AW1016" s="727"/>
      <c r="AX1016" s="727"/>
      <c r="AY1016" s="727"/>
      <c r="AZ1016" s="727"/>
      <c r="BA1016" s="727"/>
      <c r="BB1016" s="727"/>
    </row>
    <row r="1017" spans="1:54">
      <c r="A1017" s="326"/>
      <c r="B1017" s="727"/>
      <c r="C1017" s="727"/>
      <c r="D1017" s="727"/>
      <c r="E1017" s="727"/>
      <c r="F1017" s="727"/>
      <c r="G1017" s="727"/>
      <c r="H1017" s="727"/>
      <c r="I1017" s="727"/>
      <c r="J1017" s="727"/>
      <c r="K1017" s="727"/>
      <c r="L1017" s="727"/>
      <c r="M1017" s="727"/>
      <c r="N1017" s="727"/>
      <c r="O1017" s="727"/>
      <c r="P1017" s="727"/>
      <c r="Q1017" s="727"/>
      <c r="R1017" s="727"/>
      <c r="S1017" s="727"/>
      <c r="T1017" s="727"/>
      <c r="U1017" s="727"/>
      <c r="V1017" s="727"/>
      <c r="W1017" s="727"/>
      <c r="X1017" s="727"/>
      <c r="Y1017" s="727"/>
      <c r="Z1017" s="727"/>
      <c r="AA1017" s="727"/>
      <c r="AB1017" s="727"/>
      <c r="AC1017" s="727"/>
      <c r="AD1017" s="727"/>
      <c r="AE1017" s="727"/>
      <c r="AF1017" s="727"/>
      <c r="AG1017" s="727"/>
      <c r="AH1017" s="727"/>
      <c r="AI1017" s="727"/>
      <c r="AJ1017" s="727"/>
      <c r="AK1017" s="727"/>
      <c r="AL1017" s="727"/>
      <c r="AM1017" s="727"/>
      <c r="AN1017" s="727"/>
      <c r="AO1017" s="727"/>
      <c r="AP1017" s="727"/>
      <c r="AQ1017" s="727"/>
      <c r="AR1017" s="727"/>
      <c r="AS1017" s="727"/>
      <c r="AT1017" s="727"/>
      <c r="AU1017" s="727"/>
      <c r="AV1017" s="727"/>
      <c r="AW1017" s="727"/>
      <c r="AX1017" s="727"/>
      <c r="AY1017" s="727"/>
      <c r="AZ1017" s="727"/>
      <c r="BA1017" s="727"/>
      <c r="BB1017" s="727"/>
    </row>
    <row r="1018" spans="1:54">
      <c r="A1018" s="326"/>
      <c r="B1018" s="727"/>
      <c r="C1018" s="727"/>
      <c r="D1018" s="727"/>
      <c r="E1018" s="727"/>
      <c r="F1018" s="727"/>
      <c r="G1018" s="727"/>
      <c r="H1018" s="727"/>
      <c r="I1018" s="727"/>
      <c r="J1018" s="727"/>
      <c r="K1018" s="727"/>
      <c r="L1018" s="727"/>
      <c r="M1018" s="727"/>
      <c r="N1018" s="727"/>
      <c r="O1018" s="727"/>
      <c r="P1018" s="727"/>
      <c r="Q1018" s="727"/>
      <c r="R1018" s="727"/>
      <c r="S1018" s="727"/>
      <c r="T1018" s="727"/>
      <c r="U1018" s="727"/>
      <c r="V1018" s="727"/>
      <c r="W1018" s="727"/>
      <c r="X1018" s="727"/>
      <c r="Y1018" s="727"/>
      <c r="Z1018" s="727"/>
      <c r="AA1018" s="727"/>
      <c r="AB1018" s="727"/>
      <c r="AC1018" s="727"/>
      <c r="AD1018" s="727"/>
      <c r="AE1018" s="727"/>
      <c r="AF1018" s="727"/>
      <c r="AG1018" s="727"/>
      <c r="AH1018" s="727"/>
      <c r="AI1018" s="727"/>
      <c r="AJ1018" s="727"/>
      <c r="AK1018" s="727"/>
      <c r="AL1018" s="727"/>
      <c r="AM1018" s="727"/>
      <c r="AN1018" s="727"/>
      <c r="AO1018" s="727"/>
      <c r="AP1018" s="727"/>
      <c r="AQ1018" s="727"/>
      <c r="AR1018" s="727"/>
      <c r="AS1018" s="727"/>
      <c r="AT1018" s="727"/>
      <c r="AU1018" s="727"/>
      <c r="AV1018" s="727"/>
      <c r="AW1018" s="727"/>
      <c r="AX1018" s="727"/>
      <c r="AY1018" s="727"/>
      <c r="AZ1018" s="727"/>
      <c r="BA1018" s="727"/>
      <c r="BB1018" s="727"/>
    </row>
    <row r="1019" spans="1:54">
      <c r="A1019" s="326"/>
      <c r="B1019" s="727"/>
      <c r="C1019" s="727"/>
      <c r="D1019" s="727"/>
      <c r="E1019" s="727"/>
      <c r="F1019" s="727"/>
      <c r="G1019" s="727"/>
      <c r="H1019" s="727"/>
      <c r="I1019" s="727"/>
      <c r="J1019" s="727"/>
      <c r="K1019" s="727"/>
      <c r="L1019" s="727"/>
      <c r="M1019" s="727"/>
      <c r="N1019" s="727"/>
      <c r="O1019" s="727"/>
      <c r="P1019" s="727"/>
      <c r="Q1019" s="727"/>
      <c r="R1019" s="727"/>
      <c r="S1019" s="727"/>
      <c r="T1019" s="727"/>
      <c r="U1019" s="727"/>
      <c r="V1019" s="727"/>
      <c r="W1019" s="727"/>
      <c r="X1019" s="727"/>
      <c r="Y1019" s="727"/>
      <c r="Z1019" s="727"/>
      <c r="AA1019" s="727"/>
      <c r="AB1019" s="727"/>
      <c r="AC1019" s="727"/>
      <c r="AD1019" s="727"/>
      <c r="AE1019" s="727"/>
      <c r="AF1019" s="727"/>
      <c r="AG1019" s="727"/>
      <c r="AH1019" s="727"/>
      <c r="AI1019" s="727"/>
      <c r="AJ1019" s="727"/>
      <c r="AK1019" s="727"/>
      <c r="AL1019" s="727"/>
      <c r="AM1019" s="727"/>
      <c r="AN1019" s="727"/>
      <c r="AO1019" s="727"/>
      <c r="AP1019" s="727"/>
      <c r="AQ1019" s="727"/>
      <c r="AR1019" s="727"/>
      <c r="AS1019" s="727"/>
      <c r="AT1019" s="727"/>
      <c r="AU1019" s="727"/>
      <c r="AV1019" s="727"/>
      <c r="AW1019" s="727"/>
      <c r="AX1019" s="727"/>
      <c r="AY1019" s="727"/>
      <c r="AZ1019" s="727"/>
      <c r="BA1019" s="727"/>
      <c r="BB1019" s="727"/>
    </row>
    <row r="1020" spans="1:54">
      <c r="A1020" s="326"/>
      <c r="B1020" s="727"/>
      <c r="C1020" s="727"/>
      <c r="D1020" s="727"/>
      <c r="E1020" s="727"/>
      <c r="F1020" s="727"/>
      <c r="G1020" s="727"/>
      <c r="H1020" s="727"/>
      <c r="I1020" s="727"/>
      <c r="J1020" s="727"/>
      <c r="K1020" s="727"/>
      <c r="L1020" s="727"/>
      <c r="M1020" s="727"/>
      <c r="N1020" s="727"/>
      <c r="O1020" s="727"/>
      <c r="P1020" s="727"/>
      <c r="Q1020" s="727"/>
      <c r="R1020" s="727"/>
      <c r="S1020" s="727"/>
      <c r="T1020" s="727"/>
      <c r="U1020" s="727"/>
      <c r="V1020" s="727"/>
      <c r="W1020" s="727"/>
      <c r="X1020" s="727"/>
      <c r="Y1020" s="727"/>
      <c r="Z1020" s="727"/>
      <c r="AA1020" s="727"/>
      <c r="AB1020" s="727"/>
      <c r="AC1020" s="727"/>
      <c r="AD1020" s="727"/>
      <c r="AE1020" s="727"/>
      <c r="AF1020" s="727"/>
      <c r="AG1020" s="727"/>
      <c r="AH1020" s="727"/>
      <c r="AI1020" s="727"/>
      <c r="AJ1020" s="727"/>
      <c r="AK1020" s="727"/>
      <c r="AL1020" s="727"/>
      <c r="AM1020" s="727"/>
      <c r="AN1020" s="727"/>
      <c r="AO1020" s="727"/>
      <c r="AP1020" s="727"/>
      <c r="AQ1020" s="727"/>
      <c r="AR1020" s="727"/>
      <c r="AS1020" s="727"/>
      <c r="AT1020" s="727"/>
      <c r="AU1020" s="727"/>
      <c r="AV1020" s="727"/>
      <c r="AW1020" s="727"/>
      <c r="AX1020" s="727"/>
      <c r="AY1020" s="727"/>
      <c r="AZ1020" s="727"/>
      <c r="BA1020" s="727"/>
      <c r="BB1020" s="727"/>
    </row>
    <row r="1021" spans="1:54">
      <c r="A1021" s="326"/>
      <c r="B1021" s="727"/>
      <c r="C1021" s="727"/>
      <c r="D1021" s="727"/>
      <c r="E1021" s="727"/>
      <c r="F1021" s="727"/>
      <c r="G1021" s="727"/>
      <c r="H1021" s="727"/>
      <c r="I1021" s="727"/>
      <c r="J1021" s="727"/>
      <c r="K1021" s="727"/>
      <c r="L1021" s="727"/>
      <c r="M1021" s="727"/>
      <c r="N1021" s="727"/>
      <c r="O1021" s="727"/>
      <c r="P1021" s="727"/>
      <c r="Q1021" s="727"/>
      <c r="R1021" s="727"/>
      <c r="S1021" s="727"/>
      <c r="T1021" s="727"/>
      <c r="U1021" s="727"/>
      <c r="V1021" s="727"/>
      <c r="W1021" s="727"/>
      <c r="X1021" s="727"/>
      <c r="Y1021" s="727"/>
      <c r="Z1021" s="727"/>
      <c r="AA1021" s="727"/>
      <c r="AB1021" s="727"/>
      <c r="AC1021" s="727"/>
      <c r="AD1021" s="727"/>
      <c r="AE1021" s="727"/>
      <c r="AF1021" s="727"/>
      <c r="AG1021" s="727"/>
      <c r="AH1021" s="727"/>
      <c r="AI1021" s="727"/>
      <c r="AJ1021" s="727"/>
      <c r="AK1021" s="727"/>
      <c r="AL1021" s="727"/>
      <c r="AM1021" s="727"/>
      <c r="AN1021" s="727"/>
      <c r="AO1021" s="727"/>
      <c r="AP1021" s="727"/>
      <c r="AQ1021" s="727"/>
      <c r="AR1021" s="727"/>
      <c r="AS1021" s="727"/>
      <c r="AT1021" s="727"/>
      <c r="AU1021" s="727"/>
      <c r="AV1021" s="727"/>
      <c r="AW1021" s="727"/>
      <c r="AX1021" s="727"/>
      <c r="AY1021" s="727"/>
      <c r="AZ1021" s="727"/>
      <c r="BA1021" s="727"/>
      <c r="BB1021" s="727"/>
    </row>
    <row r="1022" spans="1:54">
      <c r="A1022" s="326"/>
      <c r="B1022" s="727"/>
      <c r="C1022" s="727"/>
      <c r="D1022" s="727"/>
      <c r="E1022" s="727"/>
      <c r="F1022" s="727"/>
      <c r="G1022" s="727"/>
      <c r="H1022" s="727"/>
      <c r="I1022" s="727"/>
      <c r="J1022" s="727"/>
      <c r="K1022" s="727"/>
      <c r="L1022" s="727"/>
      <c r="M1022" s="727"/>
      <c r="N1022" s="727"/>
      <c r="O1022" s="727"/>
      <c r="P1022" s="727"/>
      <c r="Q1022" s="727"/>
      <c r="R1022" s="727"/>
      <c r="S1022" s="727"/>
      <c r="T1022" s="727"/>
      <c r="U1022" s="727"/>
      <c r="V1022" s="727"/>
      <c r="W1022" s="727"/>
      <c r="X1022" s="727"/>
      <c r="Y1022" s="727"/>
      <c r="Z1022" s="727"/>
      <c r="AA1022" s="727"/>
      <c r="AB1022" s="727"/>
      <c r="AC1022" s="727"/>
      <c r="AD1022" s="727"/>
      <c r="AE1022" s="727"/>
      <c r="AF1022" s="727"/>
      <c r="AG1022" s="727"/>
      <c r="AH1022" s="727"/>
      <c r="AI1022" s="727"/>
      <c r="AJ1022" s="727"/>
      <c r="AK1022" s="727"/>
      <c r="AL1022" s="727"/>
      <c r="AM1022" s="727"/>
      <c r="AN1022" s="727"/>
      <c r="AO1022" s="727"/>
      <c r="AP1022" s="727"/>
      <c r="AQ1022" s="727"/>
      <c r="AR1022" s="727"/>
      <c r="AS1022" s="727"/>
      <c r="AT1022" s="727"/>
      <c r="AU1022" s="727"/>
      <c r="AV1022" s="727"/>
      <c r="AW1022" s="727"/>
      <c r="AX1022" s="727"/>
      <c r="AY1022" s="727"/>
      <c r="AZ1022" s="727"/>
      <c r="BA1022" s="727"/>
      <c r="BB1022" s="727"/>
    </row>
    <row r="1023" spans="1:54">
      <c r="A1023" s="326"/>
      <c r="B1023" s="727"/>
      <c r="C1023" s="727"/>
      <c r="D1023" s="727"/>
      <c r="E1023" s="727"/>
      <c r="F1023" s="727"/>
      <c r="G1023" s="727"/>
      <c r="H1023" s="727"/>
      <c r="I1023" s="727"/>
      <c r="J1023" s="727"/>
      <c r="K1023" s="727"/>
      <c r="L1023" s="727"/>
      <c r="M1023" s="727"/>
      <c r="N1023" s="727"/>
      <c r="O1023" s="727"/>
      <c r="P1023" s="727"/>
      <c r="Q1023" s="727"/>
      <c r="R1023" s="727"/>
      <c r="S1023" s="727"/>
      <c r="T1023" s="727"/>
      <c r="U1023" s="727"/>
      <c r="V1023" s="727"/>
      <c r="W1023" s="727"/>
      <c r="X1023" s="727"/>
      <c r="Y1023" s="727"/>
      <c r="Z1023" s="727"/>
      <c r="AA1023" s="727"/>
      <c r="AB1023" s="727"/>
      <c r="AC1023" s="727"/>
      <c r="AD1023" s="727"/>
      <c r="AE1023" s="727"/>
      <c r="AF1023" s="727"/>
      <c r="AG1023" s="727"/>
      <c r="AH1023" s="727"/>
      <c r="AI1023" s="727"/>
      <c r="AJ1023" s="727"/>
      <c r="AK1023" s="727"/>
      <c r="AL1023" s="727"/>
      <c r="AM1023" s="727"/>
      <c r="AN1023" s="727"/>
      <c r="AO1023" s="727"/>
      <c r="AP1023" s="727"/>
      <c r="AQ1023" s="727"/>
      <c r="AR1023" s="727"/>
      <c r="AS1023" s="727"/>
      <c r="AT1023" s="727"/>
      <c r="AU1023" s="727"/>
      <c r="AV1023" s="727"/>
      <c r="AW1023" s="727"/>
      <c r="AX1023" s="727"/>
      <c r="AY1023" s="727"/>
      <c r="AZ1023" s="727"/>
      <c r="BA1023" s="727"/>
      <c r="BB1023" s="727"/>
    </row>
    <row r="1024" spans="1:54">
      <c r="A1024" s="326"/>
      <c r="B1024" s="727"/>
      <c r="C1024" s="727"/>
      <c r="D1024" s="727"/>
      <c r="E1024" s="727"/>
      <c r="F1024" s="727"/>
      <c r="G1024" s="727"/>
      <c r="H1024" s="727"/>
      <c r="I1024" s="727"/>
      <c r="J1024" s="727"/>
      <c r="K1024" s="727"/>
      <c r="L1024" s="727"/>
      <c r="M1024" s="727"/>
      <c r="N1024" s="727"/>
      <c r="O1024" s="727"/>
      <c r="P1024" s="727"/>
      <c r="Q1024" s="727"/>
      <c r="R1024" s="727"/>
      <c r="S1024" s="727"/>
      <c r="T1024" s="727"/>
      <c r="U1024" s="727"/>
      <c r="V1024" s="727"/>
      <c r="W1024" s="727"/>
      <c r="X1024" s="727"/>
      <c r="Y1024" s="727"/>
      <c r="Z1024" s="727"/>
      <c r="AA1024" s="727"/>
      <c r="AB1024" s="727"/>
      <c r="AC1024" s="727"/>
      <c r="AD1024" s="727"/>
      <c r="AE1024" s="727"/>
      <c r="AF1024" s="727"/>
      <c r="AG1024" s="727"/>
      <c r="AH1024" s="727"/>
      <c r="AI1024" s="727"/>
      <c r="AJ1024" s="727"/>
      <c r="AK1024" s="727"/>
      <c r="AL1024" s="727"/>
      <c r="AM1024" s="727"/>
      <c r="AN1024" s="727"/>
      <c r="AO1024" s="727"/>
      <c r="AP1024" s="727"/>
      <c r="AQ1024" s="727"/>
      <c r="AR1024" s="727"/>
      <c r="AS1024" s="727"/>
      <c r="AT1024" s="727"/>
      <c r="AU1024" s="727"/>
      <c r="AV1024" s="727"/>
      <c r="AW1024" s="727"/>
      <c r="AX1024" s="727"/>
      <c r="AY1024" s="727"/>
      <c r="AZ1024" s="727"/>
      <c r="BA1024" s="727"/>
      <c r="BB1024" s="727"/>
    </row>
    <row r="1025" spans="1:54">
      <c r="A1025" s="326"/>
      <c r="B1025" s="727"/>
      <c r="C1025" s="727"/>
      <c r="D1025" s="727"/>
      <c r="E1025" s="727"/>
      <c r="F1025" s="727"/>
      <c r="G1025" s="727"/>
      <c r="H1025" s="727"/>
      <c r="I1025" s="727"/>
      <c r="J1025" s="727"/>
      <c r="K1025" s="727"/>
      <c r="L1025" s="727"/>
      <c r="M1025" s="727"/>
      <c r="N1025" s="727"/>
      <c r="O1025" s="727"/>
      <c r="P1025" s="727"/>
      <c r="Q1025" s="727"/>
      <c r="R1025" s="727"/>
      <c r="S1025" s="727"/>
      <c r="T1025" s="727"/>
      <c r="U1025" s="727"/>
      <c r="V1025" s="727"/>
      <c r="W1025" s="727"/>
      <c r="X1025" s="727"/>
      <c r="Y1025" s="727"/>
      <c r="Z1025" s="727"/>
      <c r="AA1025" s="727"/>
      <c r="AB1025" s="727"/>
      <c r="AC1025" s="727"/>
      <c r="AD1025" s="727"/>
      <c r="AE1025" s="727"/>
      <c r="AF1025" s="727"/>
      <c r="AG1025" s="727"/>
      <c r="AH1025" s="727"/>
      <c r="AI1025" s="727"/>
      <c r="AJ1025" s="727"/>
      <c r="AK1025" s="727"/>
      <c r="AL1025" s="727"/>
      <c r="AM1025" s="727"/>
      <c r="AN1025" s="727"/>
      <c r="AO1025" s="727"/>
      <c r="AP1025" s="727"/>
      <c r="AQ1025" s="727"/>
      <c r="AR1025" s="727"/>
      <c r="AS1025" s="727"/>
      <c r="AT1025" s="727"/>
      <c r="AU1025" s="727"/>
      <c r="AV1025" s="727"/>
      <c r="AW1025" s="727"/>
      <c r="AX1025" s="727"/>
      <c r="AY1025" s="727"/>
      <c r="AZ1025" s="727"/>
      <c r="BA1025" s="727"/>
      <c r="BB1025" s="727"/>
    </row>
    <row r="1026" spans="1:54">
      <c r="A1026" s="326"/>
      <c r="B1026" s="727"/>
      <c r="C1026" s="727"/>
      <c r="D1026" s="727"/>
      <c r="E1026" s="727"/>
      <c r="F1026" s="727"/>
      <c r="G1026" s="727"/>
      <c r="H1026" s="727"/>
      <c r="I1026" s="727"/>
      <c r="J1026" s="727"/>
      <c r="K1026" s="727"/>
      <c r="L1026" s="727"/>
      <c r="M1026" s="727"/>
      <c r="N1026" s="727"/>
      <c r="O1026" s="727"/>
      <c r="P1026" s="727"/>
      <c r="Q1026" s="727"/>
      <c r="R1026" s="727"/>
      <c r="S1026" s="727"/>
      <c r="T1026" s="727"/>
      <c r="U1026" s="727"/>
      <c r="V1026" s="727"/>
      <c r="W1026" s="727"/>
      <c r="X1026" s="727"/>
      <c r="Y1026" s="727"/>
      <c r="Z1026" s="727"/>
      <c r="AA1026" s="727"/>
      <c r="AB1026" s="727"/>
      <c r="AC1026" s="727"/>
      <c r="AD1026" s="727"/>
      <c r="AE1026" s="727"/>
      <c r="AF1026" s="727"/>
      <c r="AG1026" s="727"/>
      <c r="AH1026" s="727"/>
      <c r="AI1026" s="727"/>
      <c r="AJ1026" s="727"/>
      <c r="AK1026" s="727"/>
      <c r="AL1026" s="727"/>
      <c r="AM1026" s="727"/>
      <c r="AN1026" s="727"/>
      <c r="AO1026" s="727"/>
      <c r="AP1026" s="727"/>
      <c r="AQ1026" s="727"/>
      <c r="AR1026" s="727"/>
      <c r="AS1026" s="727"/>
      <c r="AT1026" s="727"/>
      <c r="AU1026" s="727"/>
      <c r="AV1026" s="727"/>
      <c r="AW1026" s="727"/>
      <c r="AX1026" s="727"/>
      <c r="AY1026" s="727"/>
      <c r="AZ1026" s="727"/>
      <c r="BA1026" s="727"/>
      <c r="BB1026" s="727"/>
    </row>
    <row r="1027" spans="1:54">
      <c r="A1027" s="326"/>
      <c r="B1027" s="727"/>
      <c r="C1027" s="727"/>
      <c r="D1027" s="727"/>
      <c r="E1027" s="727"/>
      <c r="F1027" s="727"/>
      <c r="G1027" s="727"/>
      <c r="H1027" s="727"/>
      <c r="I1027" s="727"/>
      <c r="J1027" s="727"/>
      <c r="K1027" s="727"/>
      <c r="L1027" s="727"/>
      <c r="M1027" s="727"/>
      <c r="N1027" s="727"/>
      <c r="O1027" s="727"/>
      <c r="P1027" s="727"/>
      <c r="Q1027" s="727"/>
      <c r="R1027" s="727"/>
      <c r="S1027" s="727"/>
      <c r="T1027" s="727"/>
      <c r="U1027" s="727"/>
      <c r="V1027" s="727"/>
      <c r="W1027" s="727"/>
      <c r="X1027" s="727"/>
      <c r="Y1027" s="727"/>
      <c r="Z1027" s="727"/>
      <c r="AA1027" s="727"/>
      <c r="AB1027" s="727"/>
      <c r="AC1027" s="727"/>
      <c r="AD1027" s="727"/>
      <c r="AE1027" s="727"/>
      <c r="AF1027" s="727"/>
      <c r="AG1027" s="727"/>
      <c r="AH1027" s="727"/>
      <c r="AI1027" s="727"/>
      <c r="AJ1027" s="727"/>
      <c r="AK1027" s="727"/>
      <c r="AL1027" s="727"/>
      <c r="AM1027" s="727"/>
      <c r="AN1027" s="727"/>
      <c r="AO1027" s="727"/>
      <c r="AP1027" s="727"/>
      <c r="AQ1027" s="727"/>
      <c r="AR1027" s="727"/>
      <c r="AS1027" s="727"/>
      <c r="AT1027" s="727"/>
      <c r="AU1027" s="727"/>
      <c r="AV1027" s="727"/>
      <c r="AW1027" s="727"/>
      <c r="AX1027" s="727"/>
      <c r="AY1027" s="727"/>
      <c r="AZ1027" s="727"/>
      <c r="BA1027" s="727"/>
      <c r="BB1027" s="727"/>
    </row>
    <row r="1028" spans="1:54">
      <c r="A1028" s="326"/>
      <c r="B1028" s="727"/>
      <c r="C1028" s="727"/>
      <c r="D1028" s="727"/>
      <c r="E1028" s="727"/>
      <c r="F1028" s="727"/>
      <c r="G1028" s="727"/>
      <c r="H1028" s="727"/>
      <c r="I1028" s="727"/>
      <c r="J1028" s="727"/>
      <c r="K1028" s="727"/>
      <c r="L1028" s="727"/>
      <c r="M1028" s="727"/>
      <c r="N1028" s="727"/>
      <c r="O1028" s="727"/>
      <c r="P1028" s="727"/>
      <c r="Q1028" s="727"/>
      <c r="R1028" s="727"/>
      <c r="S1028" s="727"/>
      <c r="T1028" s="727"/>
      <c r="U1028" s="727"/>
      <c r="V1028" s="727"/>
      <c r="W1028" s="727"/>
      <c r="X1028" s="727"/>
      <c r="Y1028" s="727"/>
      <c r="Z1028" s="727"/>
      <c r="AA1028" s="727"/>
      <c r="AB1028" s="727"/>
      <c r="AC1028" s="727"/>
      <c r="AD1028" s="727"/>
      <c r="AE1028" s="727"/>
      <c r="AF1028" s="727"/>
      <c r="AG1028" s="727"/>
      <c r="AH1028" s="727"/>
      <c r="AI1028" s="727"/>
      <c r="AJ1028" s="727"/>
      <c r="AK1028" s="727"/>
      <c r="AL1028" s="727"/>
      <c r="AM1028" s="727"/>
      <c r="AN1028" s="727"/>
      <c r="AO1028" s="727"/>
      <c r="AP1028" s="727"/>
      <c r="AQ1028" s="727"/>
      <c r="AR1028" s="727"/>
      <c r="AS1028" s="727"/>
      <c r="AT1028" s="727"/>
      <c r="AU1028" s="727"/>
      <c r="AV1028" s="727"/>
      <c r="AW1028" s="727"/>
      <c r="AX1028" s="727"/>
      <c r="AY1028" s="727"/>
      <c r="AZ1028" s="727"/>
      <c r="BA1028" s="727"/>
      <c r="BB1028" s="727"/>
    </row>
    <row r="1029" spans="1:54">
      <c r="A1029" s="326"/>
      <c r="B1029" s="727"/>
      <c r="C1029" s="727"/>
      <c r="D1029" s="727"/>
      <c r="E1029" s="727"/>
      <c r="F1029" s="727"/>
      <c r="G1029" s="727"/>
      <c r="H1029" s="727"/>
      <c r="I1029" s="727"/>
      <c r="J1029" s="727"/>
      <c r="K1029" s="727"/>
      <c r="L1029" s="727"/>
      <c r="M1029" s="727"/>
      <c r="N1029" s="727"/>
      <c r="O1029" s="727"/>
      <c r="P1029" s="727"/>
      <c r="Q1029" s="727"/>
      <c r="R1029" s="727"/>
      <c r="S1029" s="727"/>
      <c r="T1029" s="727"/>
      <c r="U1029" s="727"/>
      <c r="V1029" s="727"/>
      <c r="W1029" s="727"/>
      <c r="X1029" s="727"/>
      <c r="Y1029" s="727"/>
      <c r="Z1029" s="727"/>
      <c r="AA1029" s="727"/>
      <c r="AB1029" s="727"/>
      <c r="AC1029" s="727"/>
      <c r="AD1029" s="727"/>
      <c r="AE1029" s="727"/>
      <c r="AF1029" s="727"/>
      <c r="AG1029" s="727"/>
      <c r="AH1029" s="727"/>
      <c r="AI1029" s="727"/>
      <c r="AJ1029" s="727"/>
      <c r="AK1029" s="727"/>
      <c r="AL1029" s="727"/>
      <c r="AM1029" s="727"/>
      <c r="AN1029" s="727"/>
      <c r="AO1029" s="727"/>
      <c r="AP1029" s="727"/>
      <c r="AQ1029" s="727"/>
      <c r="AR1029" s="727"/>
      <c r="AS1029" s="727"/>
      <c r="AT1029" s="727"/>
      <c r="AU1029" s="727"/>
      <c r="AV1029" s="727"/>
      <c r="AW1029" s="727"/>
      <c r="AX1029" s="727"/>
      <c r="AY1029" s="727"/>
      <c r="AZ1029" s="727"/>
      <c r="BA1029" s="727"/>
      <c r="BB1029" s="727"/>
    </row>
    <row r="1030" spans="1:54">
      <c r="A1030" s="326"/>
      <c r="B1030" s="727"/>
      <c r="C1030" s="727"/>
      <c r="D1030" s="727"/>
      <c r="E1030" s="727"/>
      <c r="F1030" s="727"/>
      <c r="G1030" s="727"/>
      <c r="H1030" s="727"/>
      <c r="I1030" s="727"/>
      <c r="J1030" s="727"/>
      <c r="K1030" s="727"/>
      <c r="L1030" s="727"/>
      <c r="M1030" s="727"/>
      <c r="N1030" s="727"/>
      <c r="O1030" s="727"/>
      <c r="P1030" s="727"/>
      <c r="Q1030" s="727"/>
      <c r="R1030" s="727"/>
      <c r="S1030" s="727"/>
      <c r="T1030" s="727"/>
      <c r="U1030" s="727"/>
      <c r="V1030" s="727"/>
      <c r="W1030" s="727"/>
      <c r="X1030" s="727"/>
      <c r="Y1030" s="727"/>
      <c r="Z1030" s="727"/>
      <c r="AA1030" s="727"/>
      <c r="AB1030" s="727"/>
      <c r="AC1030" s="727"/>
      <c r="AD1030" s="727"/>
      <c r="AE1030" s="727"/>
      <c r="AF1030" s="727"/>
      <c r="AG1030" s="727"/>
      <c r="AH1030" s="727"/>
      <c r="AI1030" s="727"/>
      <c r="AJ1030" s="727"/>
      <c r="AK1030" s="727"/>
      <c r="AL1030" s="727"/>
      <c r="AM1030" s="727"/>
      <c r="AN1030" s="727"/>
      <c r="AO1030" s="727"/>
      <c r="AP1030" s="727"/>
      <c r="AQ1030" s="727"/>
      <c r="AR1030" s="727"/>
      <c r="AS1030" s="727"/>
      <c r="AT1030" s="727"/>
      <c r="AU1030" s="727"/>
      <c r="AV1030" s="727"/>
      <c r="AW1030" s="727"/>
      <c r="AX1030" s="727"/>
      <c r="AY1030" s="727"/>
      <c r="AZ1030" s="727"/>
      <c r="BA1030" s="727"/>
      <c r="BB1030" s="727"/>
    </row>
    <row r="1031" spans="1:54">
      <c r="A1031" s="326"/>
      <c r="B1031" s="727"/>
      <c r="C1031" s="727"/>
      <c r="D1031" s="727"/>
      <c r="E1031" s="727"/>
      <c r="F1031" s="727"/>
      <c r="G1031" s="727"/>
      <c r="H1031" s="727"/>
      <c r="I1031" s="727"/>
      <c r="J1031" s="727"/>
      <c r="K1031" s="727"/>
      <c r="L1031" s="727"/>
      <c r="M1031" s="727"/>
      <c r="N1031" s="727"/>
      <c r="O1031" s="727"/>
      <c r="P1031" s="727"/>
      <c r="Q1031" s="727"/>
      <c r="R1031" s="727"/>
      <c r="S1031" s="727"/>
      <c r="T1031" s="727"/>
      <c r="U1031" s="727"/>
      <c r="V1031" s="727"/>
      <c r="W1031" s="727"/>
      <c r="X1031" s="727"/>
      <c r="Y1031" s="727"/>
      <c r="Z1031" s="727"/>
      <c r="AA1031" s="727"/>
      <c r="AB1031" s="727"/>
      <c r="AC1031" s="727"/>
      <c r="AD1031" s="727"/>
      <c r="AE1031" s="727"/>
      <c r="AF1031" s="727"/>
      <c r="AG1031" s="727"/>
      <c r="AH1031" s="727"/>
      <c r="AI1031" s="727"/>
      <c r="AJ1031" s="727"/>
      <c r="AK1031" s="727"/>
      <c r="AL1031" s="727"/>
      <c r="AM1031" s="727"/>
      <c r="AN1031" s="727"/>
      <c r="AO1031" s="727"/>
      <c r="AP1031" s="727"/>
      <c r="AQ1031" s="727"/>
      <c r="AR1031" s="727"/>
      <c r="AS1031" s="727"/>
      <c r="AT1031" s="727"/>
      <c r="AU1031" s="727"/>
      <c r="AV1031" s="727"/>
      <c r="AW1031" s="727"/>
      <c r="AX1031" s="727"/>
      <c r="AY1031" s="727"/>
      <c r="AZ1031" s="727"/>
      <c r="BA1031" s="727"/>
      <c r="BB1031" s="727"/>
    </row>
    <row r="1032" spans="1:54">
      <c r="A1032" s="326"/>
      <c r="B1032" s="727"/>
      <c r="C1032" s="727"/>
      <c r="D1032" s="727"/>
      <c r="E1032" s="727"/>
      <c r="F1032" s="727"/>
      <c r="G1032" s="727"/>
      <c r="H1032" s="727"/>
      <c r="I1032" s="727"/>
      <c r="J1032" s="727"/>
      <c r="K1032" s="727"/>
      <c r="L1032" s="727"/>
      <c r="M1032" s="727"/>
      <c r="N1032" s="727"/>
      <c r="O1032" s="727"/>
      <c r="P1032" s="727"/>
      <c r="Q1032" s="727"/>
      <c r="R1032" s="727"/>
      <c r="S1032" s="727"/>
      <c r="T1032" s="727"/>
      <c r="U1032" s="727"/>
      <c r="V1032" s="727"/>
      <c r="W1032" s="727"/>
      <c r="X1032" s="727"/>
      <c r="Y1032" s="727"/>
      <c r="Z1032" s="727"/>
      <c r="AA1032" s="727"/>
      <c r="AB1032" s="727"/>
      <c r="AC1032" s="727"/>
      <c r="AD1032" s="727"/>
      <c r="AE1032" s="727"/>
      <c r="AF1032" s="727"/>
      <c r="AG1032" s="727"/>
      <c r="AH1032" s="727"/>
      <c r="AI1032" s="727"/>
      <c r="AJ1032" s="727"/>
      <c r="AK1032" s="727"/>
      <c r="AL1032" s="727"/>
      <c r="AM1032" s="727"/>
      <c r="AN1032" s="727"/>
      <c r="AO1032" s="727"/>
      <c r="AP1032" s="727"/>
      <c r="AQ1032" s="727"/>
      <c r="AR1032" s="727"/>
      <c r="AS1032" s="727"/>
      <c r="AT1032" s="727"/>
      <c r="AU1032" s="727"/>
      <c r="AV1032" s="727"/>
      <c r="AW1032" s="727"/>
      <c r="AX1032" s="727"/>
      <c r="AY1032" s="727"/>
      <c r="AZ1032" s="727"/>
      <c r="BA1032" s="727"/>
      <c r="BB1032" s="727"/>
    </row>
    <row r="1033" spans="1:54">
      <c r="A1033" s="326"/>
      <c r="B1033" s="727"/>
      <c r="C1033" s="727"/>
      <c r="D1033" s="727"/>
      <c r="E1033" s="727"/>
      <c r="F1033" s="727"/>
      <c r="G1033" s="727"/>
      <c r="H1033" s="727"/>
      <c r="I1033" s="727"/>
      <c r="J1033" s="727"/>
      <c r="K1033" s="727"/>
      <c r="L1033" s="727"/>
      <c r="M1033" s="727"/>
      <c r="N1033" s="727"/>
      <c r="O1033" s="727"/>
      <c r="P1033" s="727"/>
      <c r="Q1033" s="727"/>
      <c r="R1033" s="727"/>
      <c r="S1033" s="727"/>
      <c r="T1033" s="727"/>
      <c r="U1033" s="727"/>
      <c r="V1033" s="727"/>
      <c r="W1033" s="727"/>
      <c r="X1033" s="727"/>
      <c r="Y1033" s="727"/>
      <c r="Z1033" s="727"/>
      <c r="AA1033" s="727"/>
      <c r="AB1033" s="727"/>
      <c r="AC1033" s="727"/>
      <c r="AD1033" s="727"/>
      <c r="AE1033" s="727"/>
      <c r="AF1033" s="727"/>
      <c r="AG1033" s="727"/>
      <c r="AH1033" s="727"/>
      <c r="AI1033" s="727"/>
      <c r="AJ1033" s="727"/>
      <c r="AK1033" s="727"/>
      <c r="AL1033" s="727"/>
      <c r="AM1033" s="727"/>
      <c r="AN1033" s="727"/>
      <c r="AO1033" s="727"/>
      <c r="AP1033" s="727"/>
      <c r="AQ1033" s="727"/>
      <c r="AR1033" s="727"/>
      <c r="AS1033" s="727"/>
      <c r="AT1033" s="727"/>
      <c r="AU1033" s="727"/>
      <c r="AV1033" s="727"/>
      <c r="AW1033" s="727"/>
      <c r="AX1033" s="727"/>
      <c r="AY1033" s="727"/>
      <c r="AZ1033" s="727"/>
      <c r="BA1033" s="727"/>
      <c r="BB1033" s="727"/>
    </row>
    <row r="1034" spans="1:54">
      <c r="A1034" s="326"/>
      <c r="B1034" s="727"/>
      <c r="C1034" s="727"/>
      <c r="D1034" s="727"/>
      <c r="E1034" s="727"/>
      <c r="F1034" s="727"/>
      <c r="G1034" s="727"/>
      <c r="H1034" s="727"/>
      <c r="I1034" s="727"/>
      <c r="J1034" s="727"/>
      <c r="K1034" s="727"/>
      <c r="L1034" s="727"/>
      <c r="M1034" s="727"/>
      <c r="N1034" s="727"/>
      <c r="O1034" s="727"/>
      <c r="P1034" s="727"/>
      <c r="Q1034" s="727"/>
      <c r="R1034" s="727"/>
      <c r="S1034" s="727"/>
      <c r="T1034" s="727"/>
      <c r="U1034" s="727"/>
      <c r="V1034" s="727"/>
      <c r="W1034" s="727"/>
      <c r="X1034" s="727"/>
      <c r="Y1034" s="727"/>
      <c r="Z1034" s="727"/>
      <c r="AA1034" s="727"/>
      <c r="AB1034" s="727"/>
      <c r="AC1034" s="727"/>
      <c r="AD1034" s="727"/>
      <c r="AE1034" s="727"/>
      <c r="AF1034" s="727"/>
      <c r="AG1034" s="727"/>
      <c r="AH1034" s="727"/>
      <c r="AI1034" s="727"/>
      <c r="AJ1034" s="727"/>
      <c r="AK1034" s="727"/>
      <c r="AL1034" s="727"/>
      <c r="AM1034" s="727"/>
      <c r="AN1034" s="727"/>
      <c r="AO1034" s="727"/>
      <c r="AP1034" s="727"/>
      <c r="AQ1034" s="727"/>
      <c r="AR1034" s="727"/>
      <c r="AS1034" s="727"/>
      <c r="AT1034" s="727"/>
      <c r="AU1034" s="727"/>
      <c r="AV1034" s="727"/>
      <c r="AW1034" s="727"/>
      <c r="AX1034" s="727"/>
      <c r="AY1034" s="727"/>
      <c r="AZ1034" s="727"/>
      <c r="BA1034" s="727"/>
      <c r="BB1034" s="727"/>
    </row>
    <row r="1035" spans="1:54">
      <c r="A1035" s="326"/>
      <c r="B1035" s="727"/>
      <c r="C1035" s="727"/>
      <c r="D1035" s="727"/>
      <c r="E1035" s="727"/>
      <c r="F1035" s="727"/>
      <c r="G1035" s="727"/>
      <c r="H1035" s="727"/>
      <c r="I1035" s="727"/>
      <c r="J1035" s="727"/>
      <c r="K1035" s="727"/>
      <c r="L1035" s="727"/>
      <c r="M1035" s="727"/>
      <c r="N1035" s="727"/>
      <c r="O1035" s="727"/>
      <c r="P1035" s="727"/>
      <c r="Q1035" s="727"/>
      <c r="R1035" s="727"/>
      <c r="S1035" s="727"/>
      <c r="T1035" s="727"/>
      <c r="U1035" s="727"/>
      <c r="V1035" s="727"/>
      <c r="W1035" s="727"/>
      <c r="X1035" s="727"/>
      <c r="Y1035" s="727"/>
      <c r="Z1035" s="727"/>
      <c r="AA1035" s="727"/>
      <c r="AB1035" s="727"/>
      <c r="AC1035" s="727"/>
      <c r="AD1035" s="727"/>
      <c r="AE1035" s="727"/>
      <c r="AF1035" s="727"/>
      <c r="AG1035" s="727"/>
      <c r="AH1035" s="727"/>
      <c r="AI1035" s="727"/>
      <c r="AJ1035" s="727"/>
      <c r="AK1035" s="727"/>
      <c r="AL1035" s="727"/>
      <c r="AM1035" s="727"/>
      <c r="AN1035" s="727"/>
      <c r="AO1035" s="727"/>
      <c r="AP1035" s="727"/>
      <c r="AQ1035" s="727"/>
      <c r="AR1035" s="727"/>
      <c r="AS1035" s="727"/>
      <c r="AT1035" s="727"/>
      <c r="AU1035" s="727"/>
      <c r="AV1035" s="727"/>
      <c r="AW1035" s="727"/>
      <c r="AX1035" s="727"/>
      <c r="AY1035" s="727"/>
      <c r="AZ1035" s="727"/>
      <c r="BA1035" s="727"/>
      <c r="BB1035" s="727"/>
    </row>
    <row r="1036" spans="1:54">
      <c r="A1036" s="326"/>
      <c r="B1036" s="727"/>
      <c r="C1036" s="727"/>
      <c r="D1036" s="727"/>
      <c r="E1036" s="727"/>
      <c r="F1036" s="727"/>
      <c r="G1036" s="727"/>
      <c r="H1036" s="727"/>
      <c r="I1036" s="727"/>
      <c r="J1036" s="727"/>
      <c r="K1036" s="727"/>
      <c r="L1036" s="727"/>
      <c r="M1036" s="727"/>
      <c r="N1036" s="727"/>
      <c r="O1036" s="727"/>
      <c r="P1036" s="727"/>
      <c r="Q1036" s="727"/>
      <c r="R1036" s="727"/>
      <c r="S1036" s="727"/>
      <c r="T1036" s="727"/>
      <c r="U1036" s="727"/>
      <c r="V1036" s="727"/>
      <c r="W1036" s="727"/>
      <c r="X1036" s="727"/>
      <c r="Y1036" s="727"/>
      <c r="Z1036" s="727"/>
      <c r="AA1036" s="727"/>
      <c r="AB1036" s="727"/>
      <c r="AC1036" s="727"/>
      <c r="AD1036" s="727"/>
      <c r="AE1036" s="727"/>
      <c r="AF1036" s="727"/>
      <c r="AG1036" s="727"/>
      <c r="AH1036" s="727"/>
      <c r="AI1036" s="727"/>
      <c r="AJ1036" s="727"/>
      <c r="AK1036" s="727"/>
      <c r="AL1036" s="727"/>
      <c r="AM1036" s="727"/>
      <c r="AN1036" s="727"/>
      <c r="AO1036" s="727"/>
      <c r="AP1036" s="727"/>
      <c r="AQ1036" s="727"/>
      <c r="AR1036" s="727"/>
      <c r="AS1036" s="727"/>
      <c r="AT1036" s="727"/>
      <c r="AU1036" s="727"/>
      <c r="AV1036" s="727"/>
      <c r="AW1036" s="727"/>
      <c r="AX1036" s="727"/>
      <c r="AY1036" s="727"/>
      <c r="AZ1036" s="727"/>
      <c r="BA1036" s="727"/>
      <c r="BB1036" s="727"/>
    </row>
    <row r="1037" spans="1:54">
      <c r="A1037" s="326"/>
      <c r="B1037" s="727"/>
      <c r="C1037" s="727"/>
      <c r="D1037" s="727"/>
      <c r="E1037" s="727"/>
      <c r="F1037" s="727"/>
      <c r="G1037" s="727"/>
      <c r="H1037" s="727"/>
      <c r="I1037" s="727"/>
      <c r="J1037" s="727"/>
      <c r="K1037" s="727"/>
      <c r="L1037" s="727"/>
      <c r="M1037" s="727"/>
      <c r="N1037" s="727"/>
      <c r="O1037" s="727"/>
      <c r="P1037" s="727"/>
      <c r="Q1037" s="727"/>
      <c r="R1037" s="727"/>
      <c r="S1037" s="727"/>
      <c r="T1037" s="727"/>
      <c r="U1037" s="727"/>
      <c r="V1037" s="727"/>
      <c r="W1037" s="727"/>
      <c r="X1037" s="727"/>
      <c r="Y1037" s="727"/>
      <c r="Z1037" s="727"/>
      <c r="AA1037" s="727"/>
      <c r="AB1037" s="727"/>
      <c r="AC1037" s="727"/>
      <c r="AD1037" s="727"/>
      <c r="AE1037" s="727"/>
      <c r="AF1037" s="727"/>
      <c r="AG1037" s="727"/>
      <c r="AH1037" s="727"/>
      <c r="AI1037" s="727"/>
      <c r="AJ1037" s="727"/>
      <c r="AK1037" s="727"/>
      <c r="AL1037" s="727"/>
      <c r="AM1037" s="727"/>
      <c r="AN1037" s="727"/>
      <c r="AO1037" s="727"/>
      <c r="AP1037" s="727"/>
      <c r="AQ1037" s="727"/>
      <c r="AR1037" s="727"/>
      <c r="AS1037" s="727"/>
      <c r="AT1037" s="727"/>
      <c r="AU1037" s="727"/>
      <c r="AV1037" s="727"/>
      <c r="AW1037" s="727"/>
      <c r="AX1037" s="727"/>
      <c r="AY1037" s="727"/>
      <c r="AZ1037" s="727"/>
      <c r="BA1037" s="727"/>
      <c r="BB1037" s="727"/>
    </row>
    <row r="1038" spans="1:54">
      <c r="A1038" s="326"/>
      <c r="B1038" s="727"/>
      <c r="C1038" s="727"/>
      <c r="D1038" s="727"/>
      <c r="E1038" s="727"/>
      <c r="F1038" s="727"/>
      <c r="G1038" s="727"/>
      <c r="H1038" s="727"/>
      <c r="I1038" s="727"/>
      <c r="J1038" s="727"/>
      <c r="K1038" s="727"/>
      <c r="L1038" s="727"/>
      <c r="M1038" s="727"/>
      <c r="N1038" s="727"/>
      <c r="O1038" s="727"/>
      <c r="P1038" s="727"/>
      <c r="Q1038" s="727"/>
      <c r="R1038" s="727"/>
      <c r="S1038" s="727"/>
      <c r="T1038" s="727"/>
      <c r="U1038" s="727"/>
      <c r="V1038" s="727"/>
      <c r="W1038" s="727"/>
      <c r="X1038" s="727"/>
      <c r="Y1038" s="727"/>
      <c r="Z1038" s="727"/>
      <c r="AA1038" s="727"/>
      <c r="AB1038" s="727"/>
      <c r="AC1038" s="727"/>
      <c r="AD1038" s="727"/>
      <c r="AE1038" s="727"/>
      <c r="AF1038" s="727"/>
      <c r="AG1038" s="727"/>
      <c r="AH1038" s="727"/>
      <c r="AI1038" s="727"/>
      <c r="AJ1038" s="727"/>
      <c r="AK1038" s="727"/>
      <c r="AL1038" s="727"/>
      <c r="AM1038" s="727"/>
      <c r="AN1038" s="727"/>
      <c r="AO1038" s="727"/>
      <c r="AP1038" s="727"/>
      <c r="AQ1038" s="727"/>
      <c r="AR1038" s="727"/>
      <c r="AS1038" s="727"/>
      <c r="AT1038" s="727"/>
      <c r="AU1038" s="727"/>
      <c r="AV1038" s="727"/>
      <c r="AW1038" s="727"/>
      <c r="AX1038" s="727"/>
      <c r="AY1038" s="727"/>
      <c r="AZ1038" s="727"/>
      <c r="BA1038" s="727"/>
      <c r="BB1038" s="727"/>
    </row>
    <row r="1039" spans="1:54">
      <c r="A1039" s="326"/>
      <c r="B1039" s="727"/>
      <c r="C1039" s="727"/>
      <c r="D1039" s="727"/>
      <c r="E1039" s="727"/>
      <c r="F1039" s="727"/>
      <c r="G1039" s="727"/>
      <c r="H1039" s="727"/>
      <c r="I1039" s="727"/>
      <c r="J1039" s="727"/>
      <c r="K1039" s="727"/>
      <c r="L1039" s="727"/>
      <c r="M1039" s="727"/>
      <c r="N1039" s="727"/>
      <c r="O1039" s="727"/>
      <c r="P1039" s="727"/>
      <c r="Q1039" s="727"/>
      <c r="R1039" s="727"/>
      <c r="S1039" s="727"/>
      <c r="T1039" s="727"/>
      <c r="U1039" s="727"/>
      <c r="V1039" s="727"/>
      <c r="W1039" s="727"/>
      <c r="X1039" s="727"/>
      <c r="Y1039" s="727"/>
      <c r="Z1039" s="727"/>
      <c r="AA1039" s="727"/>
      <c r="AB1039" s="727"/>
      <c r="AC1039" s="727"/>
      <c r="AD1039" s="727"/>
      <c r="AE1039" s="727"/>
      <c r="AF1039" s="727"/>
      <c r="AG1039" s="727"/>
      <c r="AH1039" s="727"/>
      <c r="AI1039" s="727"/>
      <c r="AJ1039" s="727"/>
      <c r="AK1039" s="727"/>
      <c r="AL1039" s="727"/>
      <c r="AM1039" s="727"/>
      <c r="AN1039" s="727"/>
      <c r="AO1039" s="727"/>
      <c r="AP1039" s="727"/>
      <c r="AQ1039" s="727"/>
      <c r="AR1039" s="727"/>
      <c r="AS1039" s="727"/>
      <c r="AT1039" s="727"/>
      <c r="AU1039" s="727"/>
      <c r="AV1039" s="727"/>
      <c r="AW1039" s="727"/>
      <c r="AX1039" s="727"/>
      <c r="AY1039" s="727"/>
      <c r="AZ1039" s="727"/>
      <c r="BA1039" s="727"/>
      <c r="BB1039" s="727"/>
    </row>
    <row r="1040" spans="1:54">
      <c r="A1040" s="326"/>
      <c r="B1040" s="727"/>
      <c r="C1040" s="727"/>
      <c r="D1040" s="727"/>
      <c r="E1040" s="727"/>
      <c r="F1040" s="727"/>
      <c r="G1040" s="727"/>
      <c r="H1040" s="727"/>
      <c r="I1040" s="727"/>
      <c r="J1040" s="727"/>
      <c r="K1040" s="727"/>
      <c r="L1040" s="727"/>
      <c r="M1040" s="727"/>
      <c r="N1040" s="727"/>
      <c r="O1040" s="727"/>
      <c r="P1040" s="727"/>
      <c r="Q1040" s="727"/>
      <c r="R1040" s="727"/>
      <c r="S1040" s="727"/>
      <c r="T1040" s="727"/>
      <c r="U1040" s="727"/>
      <c r="V1040" s="727"/>
      <c r="W1040" s="727"/>
      <c r="X1040" s="727"/>
      <c r="Y1040" s="727"/>
      <c r="Z1040" s="727"/>
      <c r="AA1040" s="727"/>
      <c r="AB1040" s="727"/>
      <c r="AC1040" s="727"/>
      <c r="AD1040" s="727"/>
      <c r="AE1040" s="727"/>
      <c r="AF1040" s="727"/>
      <c r="AG1040" s="727"/>
      <c r="AH1040" s="727"/>
      <c r="AI1040" s="727"/>
      <c r="AJ1040" s="727"/>
      <c r="AK1040" s="727"/>
      <c r="AL1040" s="727"/>
      <c r="AM1040" s="727"/>
      <c r="AN1040" s="727"/>
      <c r="AO1040" s="727"/>
      <c r="AP1040" s="727"/>
      <c r="AQ1040" s="727"/>
      <c r="AR1040" s="727"/>
      <c r="AS1040" s="727"/>
      <c r="AT1040" s="727"/>
      <c r="AU1040" s="727"/>
      <c r="AV1040" s="727"/>
      <c r="AW1040" s="727"/>
      <c r="AX1040" s="727"/>
      <c r="AY1040" s="727"/>
      <c r="AZ1040" s="727"/>
      <c r="BA1040" s="727"/>
      <c r="BB1040" s="727"/>
    </row>
    <row r="1041" spans="1:54">
      <c r="A1041" s="326"/>
      <c r="B1041" s="727"/>
      <c r="C1041" s="727"/>
      <c r="D1041" s="727"/>
      <c r="E1041" s="727"/>
      <c r="F1041" s="727"/>
      <c r="G1041" s="727"/>
      <c r="H1041" s="727"/>
      <c r="I1041" s="727"/>
      <c r="J1041" s="727"/>
      <c r="K1041" s="727"/>
      <c r="L1041" s="727"/>
      <c r="M1041" s="727"/>
      <c r="N1041" s="727"/>
      <c r="O1041" s="727"/>
      <c r="P1041" s="727"/>
      <c r="Q1041" s="727"/>
      <c r="R1041" s="727"/>
      <c r="S1041" s="727"/>
      <c r="T1041" s="727"/>
      <c r="U1041" s="727"/>
      <c r="V1041" s="727"/>
      <c r="W1041" s="727"/>
      <c r="X1041" s="727"/>
      <c r="Y1041" s="727"/>
      <c r="Z1041" s="727"/>
      <c r="AA1041" s="727"/>
      <c r="AB1041" s="727"/>
      <c r="AC1041" s="727"/>
      <c r="AD1041" s="727"/>
      <c r="AE1041" s="727"/>
      <c r="AF1041" s="727"/>
      <c r="AG1041" s="727"/>
      <c r="AH1041" s="727"/>
      <c r="AI1041" s="727"/>
      <c r="AJ1041" s="727"/>
      <c r="AK1041" s="727"/>
      <c r="AL1041" s="727"/>
      <c r="AM1041" s="727"/>
      <c r="AN1041" s="727"/>
      <c r="AO1041" s="727"/>
      <c r="AP1041" s="727"/>
      <c r="AQ1041" s="727"/>
      <c r="AR1041" s="727"/>
      <c r="AS1041" s="727"/>
      <c r="AT1041" s="727"/>
      <c r="AU1041" s="727"/>
      <c r="AV1041" s="727"/>
      <c r="AW1041" s="727"/>
      <c r="AX1041" s="727"/>
      <c r="AY1041" s="727"/>
      <c r="AZ1041" s="727"/>
      <c r="BA1041" s="727"/>
      <c r="BB1041" s="727"/>
    </row>
    <row r="1042" spans="1:54">
      <c r="A1042" s="326"/>
      <c r="B1042" s="727"/>
      <c r="C1042" s="727"/>
      <c r="D1042" s="727"/>
      <c r="E1042" s="727"/>
      <c r="F1042" s="727"/>
      <c r="G1042" s="727"/>
      <c r="H1042" s="727"/>
      <c r="I1042" s="727"/>
      <c r="J1042" s="727"/>
      <c r="K1042" s="727"/>
      <c r="L1042" s="727"/>
      <c r="M1042" s="727"/>
      <c r="N1042" s="727"/>
      <c r="O1042" s="727"/>
      <c r="P1042" s="727"/>
      <c r="Q1042" s="727"/>
      <c r="R1042" s="727"/>
      <c r="S1042" s="727"/>
      <c r="T1042" s="727"/>
      <c r="U1042" s="727"/>
      <c r="V1042" s="727"/>
      <c r="W1042" s="727"/>
      <c r="X1042" s="727"/>
      <c r="Y1042" s="727"/>
      <c r="Z1042" s="727"/>
      <c r="AA1042" s="727"/>
      <c r="AB1042" s="727"/>
      <c r="AC1042" s="727"/>
      <c r="AD1042" s="727"/>
      <c r="AE1042" s="727"/>
      <c r="AF1042" s="727"/>
      <c r="AG1042" s="727"/>
      <c r="AH1042" s="727"/>
      <c r="AI1042" s="727"/>
      <c r="AJ1042" s="727"/>
      <c r="AK1042" s="727"/>
      <c r="AL1042" s="727"/>
      <c r="AM1042" s="727"/>
      <c r="AN1042" s="727"/>
      <c r="AO1042" s="727"/>
      <c r="AP1042" s="727"/>
      <c r="AQ1042" s="727"/>
      <c r="AR1042" s="727"/>
      <c r="AS1042" s="727"/>
      <c r="AT1042" s="727"/>
      <c r="AU1042" s="727"/>
      <c r="AV1042" s="727"/>
      <c r="AW1042" s="727"/>
      <c r="AX1042" s="727"/>
      <c r="AY1042" s="727"/>
      <c r="AZ1042" s="727"/>
      <c r="BA1042" s="727"/>
      <c r="BB1042" s="727"/>
    </row>
    <row r="1043" spans="1:54">
      <c r="A1043" s="326"/>
      <c r="B1043" s="727"/>
      <c r="C1043" s="727"/>
      <c r="D1043" s="727"/>
      <c r="E1043" s="727"/>
      <c r="F1043" s="727"/>
      <c r="G1043" s="727"/>
      <c r="H1043" s="727"/>
      <c r="I1043" s="727"/>
      <c r="J1043" s="727"/>
      <c r="K1043" s="727"/>
      <c r="L1043" s="727"/>
      <c r="M1043" s="727"/>
      <c r="N1043" s="727"/>
      <c r="O1043" s="727"/>
      <c r="P1043" s="727"/>
      <c r="Q1043" s="727"/>
      <c r="R1043" s="727"/>
      <c r="S1043" s="727"/>
      <c r="T1043" s="727"/>
      <c r="U1043" s="727"/>
      <c r="V1043" s="727"/>
      <c r="W1043" s="727"/>
      <c r="X1043" s="727"/>
      <c r="Y1043" s="727"/>
      <c r="Z1043" s="727"/>
      <c r="AA1043" s="727"/>
      <c r="AB1043" s="727"/>
      <c r="AC1043" s="727"/>
      <c r="AD1043" s="727"/>
      <c r="AE1043" s="727"/>
      <c r="AF1043" s="727"/>
      <c r="AG1043" s="727"/>
      <c r="AH1043" s="727"/>
      <c r="AI1043" s="727"/>
      <c r="AJ1043" s="727"/>
      <c r="AK1043" s="727"/>
      <c r="AL1043" s="727"/>
      <c r="AM1043" s="727"/>
      <c r="AN1043" s="727"/>
      <c r="AO1043" s="727"/>
      <c r="AP1043" s="727"/>
      <c r="AQ1043" s="727"/>
      <c r="AR1043" s="727"/>
      <c r="AS1043" s="727"/>
      <c r="AT1043" s="727"/>
      <c r="AU1043" s="727"/>
      <c r="AV1043" s="727"/>
      <c r="AW1043" s="727"/>
      <c r="AX1043" s="727"/>
      <c r="AY1043" s="727"/>
      <c r="AZ1043" s="727"/>
      <c r="BA1043" s="727"/>
      <c r="BB1043" s="727"/>
    </row>
    <row r="1044" spans="1:54">
      <c r="A1044" s="326"/>
      <c r="B1044" s="727"/>
      <c r="C1044" s="727"/>
      <c r="D1044" s="727"/>
      <c r="E1044" s="727"/>
      <c r="F1044" s="727"/>
      <c r="G1044" s="727"/>
      <c r="H1044" s="727"/>
      <c r="I1044" s="727"/>
      <c r="J1044" s="727"/>
      <c r="K1044" s="727"/>
      <c r="L1044" s="727"/>
      <c r="M1044" s="727"/>
      <c r="N1044" s="727"/>
      <c r="O1044" s="727"/>
      <c r="P1044" s="727"/>
      <c r="Q1044" s="727"/>
      <c r="R1044" s="727"/>
      <c r="S1044" s="727"/>
      <c r="T1044" s="727"/>
      <c r="U1044" s="727"/>
      <c r="V1044" s="727"/>
      <c r="W1044" s="727"/>
      <c r="X1044" s="727"/>
      <c r="Y1044" s="727"/>
      <c r="Z1044" s="727"/>
      <c r="AA1044" s="727"/>
      <c r="AB1044" s="727"/>
      <c r="AC1044" s="727"/>
      <c r="AD1044" s="727"/>
      <c r="AE1044" s="727"/>
      <c r="AF1044" s="727"/>
      <c r="AG1044" s="727"/>
      <c r="AH1044" s="727"/>
      <c r="AI1044" s="727"/>
      <c r="AJ1044" s="727"/>
      <c r="AK1044" s="727"/>
      <c r="AL1044" s="727"/>
      <c r="AM1044" s="727"/>
      <c r="AN1044" s="727"/>
      <c r="AO1044" s="727"/>
      <c r="AP1044" s="727"/>
      <c r="AQ1044" s="727"/>
      <c r="AR1044" s="727"/>
      <c r="AS1044" s="727"/>
      <c r="AT1044" s="727"/>
      <c r="AU1044" s="727"/>
      <c r="AV1044" s="727"/>
      <c r="AW1044" s="727"/>
      <c r="AX1044" s="727"/>
      <c r="AY1044" s="727"/>
      <c r="AZ1044" s="727"/>
      <c r="BA1044" s="727"/>
      <c r="BB1044" s="727"/>
    </row>
    <row r="1045" spans="1:54">
      <c r="A1045" s="326"/>
      <c r="B1045" s="727"/>
      <c r="C1045" s="727"/>
      <c r="D1045" s="727"/>
      <c r="E1045" s="727"/>
      <c r="F1045" s="727"/>
      <c r="G1045" s="727"/>
      <c r="H1045" s="727"/>
      <c r="I1045" s="727"/>
      <c r="J1045" s="727"/>
      <c r="K1045" s="727"/>
      <c r="L1045" s="727"/>
      <c r="M1045" s="727"/>
      <c r="N1045" s="727"/>
      <c r="O1045" s="727"/>
      <c r="P1045" s="727"/>
      <c r="Q1045" s="727"/>
      <c r="R1045" s="727"/>
      <c r="S1045" s="727"/>
      <c r="T1045" s="727"/>
      <c r="U1045" s="727"/>
      <c r="V1045" s="727"/>
      <c r="W1045" s="727"/>
      <c r="X1045" s="727"/>
      <c r="Y1045" s="727"/>
      <c r="Z1045" s="727"/>
      <c r="AA1045" s="727"/>
      <c r="AB1045" s="727"/>
      <c r="AC1045" s="727"/>
      <c r="AD1045" s="727"/>
      <c r="AE1045" s="727"/>
      <c r="AF1045" s="727"/>
      <c r="AG1045" s="727"/>
      <c r="AH1045" s="727"/>
      <c r="AI1045" s="727"/>
      <c r="AJ1045" s="727"/>
      <c r="AK1045" s="727"/>
      <c r="AL1045" s="727"/>
      <c r="AM1045" s="727"/>
      <c r="AN1045" s="727"/>
      <c r="AO1045" s="727"/>
      <c r="AP1045" s="727"/>
      <c r="AQ1045" s="727"/>
      <c r="AR1045" s="727"/>
      <c r="AS1045" s="727"/>
      <c r="AT1045" s="727"/>
      <c r="AU1045" s="727"/>
      <c r="AV1045" s="727"/>
      <c r="AW1045" s="727"/>
      <c r="AX1045" s="727"/>
      <c r="AY1045" s="727"/>
      <c r="AZ1045" s="727"/>
      <c r="BA1045" s="727"/>
      <c r="BB1045" s="727"/>
    </row>
    <row r="1046" spans="1:54">
      <c r="A1046" s="326"/>
      <c r="B1046" s="727"/>
      <c r="C1046" s="727"/>
      <c r="D1046" s="727"/>
      <c r="E1046" s="727"/>
      <c r="F1046" s="727"/>
      <c r="G1046" s="727"/>
      <c r="H1046" s="727"/>
      <c r="I1046" s="727"/>
      <c r="J1046" s="727"/>
      <c r="K1046" s="727"/>
      <c r="L1046" s="727"/>
      <c r="M1046" s="727"/>
      <c r="N1046" s="727"/>
      <c r="O1046" s="727"/>
      <c r="P1046" s="727"/>
      <c r="Q1046" s="727"/>
      <c r="R1046" s="727"/>
      <c r="S1046" s="727"/>
      <c r="T1046" s="727"/>
      <c r="U1046" s="727"/>
      <c r="V1046" s="727"/>
      <c r="W1046" s="727"/>
      <c r="X1046" s="727"/>
      <c r="Y1046" s="727"/>
      <c r="Z1046" s="727"/>
      <c r="AA1046" s="727"/>
      <c r="AB1046" s="727"/>
      <c r="AC1046" s="727"/>
      <c r="AD1046" s="727"/>
      <c r="AE1046" s="727"/>
      <c r="AF1046" s="727"/>
      <c r="AG1046" s="727"/>
      <c r="AH1046" s="727"/>
      <c r="AI1046" s="727"/>
      <c r="AJ1046" s="727"/>
      <c r="AK1046" s="727"/>
      <c r="AL1046" s="727"/>
      <c r="AM1046" s="727"/>
      <c r="AN1046" s="727"/>
      <c r="AO1046" s="727"/>
      <c r="AP1046" s="727"/>
      <c r="AQ1046" s="727"/>
      <c r="AR1046" s="727"/>
      <c r="AS1046" s="727"/>
      <c r="AT1046" s="727"/>
      <c r="AU1046" s="727"/>
      <c r="AV1046" s="727"/>
      <c r="AW1046" s="727"/>
      <c r="AX1046" s="727"/>
      <c r="AY1046" s="727"/>
      <c r="AZ1046" s="727"/>
      <c r="BA1046" s="727"/>
      <c r="BB1046" s="727"/>
    </row>
    <row r="1047" spans="1:54">
      <c r="A1047" s="326"/>
      <c r="B1047" s="727"/>
      <c r="C1047" s="727"/>
      <c r="D1047" s="727"/>
      <c r="E1047" s="727"/>
      <c r="F1047" s="727"/>
      <c r="G1047" s="727"/>
      <c r="H1047" s="727"/>
      <c r="I1047" s="727"/>
      <c r="J1047" s="727"/>
      <c r="K1047" s="727"/>
      <c r="L1047" s="727"/>
      <c r="M1047" s="727"/>
      <c r="N1047" s="727"/>
      <c r="O1047" s="727"/>
      <c r="P1047" s="727"/>
      <c r="Q1047" s="727"/>
      <c r="R1047" s="727"/>
      <c r="S1047" s="727"/>
      <c r="T1047" s="727"/>
      <c r="U1047" s="727"/>
      <c r="V1047" s="727"/>
      <c r="W1047" s="727"/>
      <c r="X1047" s="727"/>
      <c r="Y1047" s="727"/>
      <c r="Z1047" s="727"/>
      <c r="AA1047" s="727"/>
      <c r="AB1047" s="727"/>
      <c r="AC1047" s="727"/>
      <c r="AD1047" s="727"/>
      <c r="AE1047" s="727"/>
      <c r="AF1047" s="727"/>
      <c r="AG1047" s="727"/>
      <c r="AH1047" s="727"/>
      <c r="AI1047" s="727"/>
      <c r="AJ1047" s="727"/>
      <c r="AK1047" s="727"/>
      <c r="AL1047" s="727"/>
      <c r="AM1047" s="727"/>
      <c r="AN1047" s="727"/>
      <c r="AO1047" s="727"/>
      <c r="AP1047" s="727"/>
      <c r="AQ1047" s="727"/>
      <c r="AR1047" s="727"/>
      <c r="AS1047" s="727"/>
      <c r="AT1047" s="727"/>
      <c r="AU1047" s="727"/>
      <c r="AV1047" s="727"/>
      <c r="AW1047" s="727"/>
      <c r="AX1047" s="727"/>
      <c r="AY1047" s="727"/>
      <c r="AZ1047" s="727"/>
      <c r="BA1047" s="727"/>
      <c r="BB1047" s="727"/>
    </row>
    <row r="1048" spans="1:54">
      <c r="A1048" s="326"/>
      <c r="B1048" s="727"/>
      <c r="C1048" s="727"/>
      <c r="D1048" s="727"/>
      <c r="E1048" s="727"/>
      <c r="F1048" s="727"/>
      <c r="G1048" s="727"/>
      <c r="H1048" s="727"/>
      <c r="I1048" s="727"/>
      <c r="J1048" s="727"/>
      <c r="K1048" s="727"/>
      <c r="L1048" s="727"/>
      <c r="M1048" s="727"/>
      <c r="N1048" s="727"/>
      <c r="O1048" s="727"/>
      <c r="P1048" s="727"/>
      <c r="Q1048" s="727"/>
      <c r="R1048" s="727"/>
      <c r="S1048" s="727"/>
      <c r="T1048" s="727"/>
      <c r="U1048" s="727"/>
      <c r="V1048" s="727"/>
      <c r="W1048" s="727"/>
      <c r="X1048" s="727"/>
      <c r="Y1048" s="727"/>
      <c r="Z1048" s="727"/>
      <c r="AA1048" s="727"/>
      <c r="AB1048" s="727"/>
      <c r="AC1048" s="727"/>
      <c r="AD1048" s="727"/>
      <c r="AE1048" s="727"/>
      <c r="AF1048" s="727"/>
      <c r="AG1048" s="727"/>
      <c r="AH1048" s="727"/>
      <c r="AI1048" s="727"/>
      <c r="AJ1048" s="727"/>
      <c r="AK1048" s="727"/>
      <c r="AL1048" s="727"/>
      <c r="AM1048" s="727"/>
      <c r="AN1048" s="727"/>
      <c r="AO1048" s="727"/>
      <c r="AP1048" s="727"/>
      <c r="AQ1048" s="727"/>
      <c r="AR1048" s="727"/>
      <c r="AS1048" s="727"/>
      <c r="AT1048" s="727"/>
      <c r="AU1048" s="727"/>
      <c r="AV1048" s="727"/>
      <c r="AW1048" s="727"/>
      <c r="AX1048" s="727"/>
      <c r="AY1048" s="727"/>
      <c r="AZ1048" s="727"/>
      <c r="BA1048" s="727"/>
      <c r="BB1048" s="727"/>
    </row>
    <row r="1049" spans="1:54">
      <c r="A1049" s="326"/>
      <c r="B1049" s="727"/>
      <c r="C1049" s="727"/>
      <c r="D1049" s="727"/>
      <c r="E1049" s="727"/>
      <c r="F1049" s="727"/>
      <c r="G1049" s="727"/>
      <c r="H1049" s="727"/>
      <c r="I1049" s="727"/>
      <c r="J1049" s="727"/>
      <c r="K1049" s="727"/>
      <c r="L1049" s="727"/>
      <c r="M1049" s="727"/>
      <c r="N1049" s="727"/>
      <c r="O1049" s="727"/>
      <c r="P1049" s="727"/>
      <c r="Q1049" s="727"/>
      <c r="R1049" s="727"/>
      <c r="S1049" s="727"/>
      <c r="T1049" s="727"/>
      <c r="U1049" s="727"/>
      <c r="V1049" s="727"/>
      <c r="W1049" s="727"/>
      <c r="X1049" s="727"/>
      <c r="Y1049" s="727"/>
      <c r="Z1049" s="727"/>
      <c r="AA1049" s="727"/>
      <c r="AB1049" s="727"/>
      <c r="AC1049" s="727"/>
      <c r="AD1049" s="727"/>
      <c r="AE1049" s="727"/>
      <c r="AF1049" s="727"/>
      <c r="AG1049" s="727"/>
      <c r="AH1049" s="727"/>
      <c r="AI1049" s="727"/>
      <c r="AJ1049" s="727"/>
      <c r="AK1049" s="727"/>
      <c r="AL1049" s="727"/>
      <c r="AM1049" s="727"/>
      <c r="AN1049" s="727"/>
      <c r="AO1049" s="727"/>
      <c r="AP1049" s="727"/>
      <c r="AQ1049" s="727"/>
      <c r="AR1049" s="727"/>
      <c r="AS1049" s="727"/>
      <c r="AT1049" s="727"/>
      <c r="AU1049" s="727"/>
      <c r="AV1049" s="727"/>
      <c r="AW1049" s="727"/>
      <c r="AX1049" s="727"/>
      <c r="AY1049" s="727"/>
      <c r="AZ1049" s="727"/>
      <c r="BA1049" s="727"/>
      <c r="BB1049" s="727"/>
    </row>
    <row r="1050" spans="1:54">
      <c r="A1050" s="326"/>
      <c r="B1050" s="727"/>
      <c r="C1050" s="727"/>
      <c r="D1050" s="727"/>
      <c r="E1050" s="727"/>
      <c r="F1050" s="727"/>
      <c r="G1050" s="727"/>
      <c r="H1050" s="727"/>
      <c r="I1050" s="727"/>
      <c r="J1050" s="727"/>
      <c r="K1050" s="727"/>
      <c r="L1050" s="727"/>
      <c r="M1050" s="727"/>
      <c r="N1050" s="727"/>
      <c r="O1050" s="727"/>
      <c r="P1050" s="727"/>
      <c r="Q1050" s="727"/>
      <c r="R1050" s="727"/>
      <c r="S1050" s="727"/>
      <c r="T1050" s="727"/>
      <c r="U1050" s="727"/>
      <c r="V1050" s="727"/>
      <c r="W1050" s="727"/>
      <c r="X1050" s="727"/>
      <c r="Y1050" s="727"/>
      <c r="Z1050" s="727"/>
      <c r="AA1050" s="727"/>
      <c r="AB1050" s="727"/>
      <c r="AC1050" s="727"/>
      <c r="AD1050" s="727"/>
      <c r="AE1050" s="727"/>
      <c r="AF1050" s="727"/>
      <c r="AG1050" s="727"/>
      <c r="AH1050" s="727"/>
      <c r="AI1050" s="727"/>
      <c r="AJ1050" s="727"/>
      <c r="AK1050" s="727"/>
      <c r="AL1050" s="727"/>
      <c r="AM1050" s="727"/>
      <c r="AN1050" s="727"/>
      <c r="AO1050" s="727"/>
      <c r="AP1050" s="727"/>
      <c r="AQ1050" s="727"/>
      <c r="AR1050" s="727"/>
      <c r="AS1050" s="727"/>
      <c r="AT1050" s="727"/>
      <c r="AU1050" s="727"/>
      <c r="AV1050" s="727"/>
      <c r="AW1050" s="727"/>
      <c r="AX1050" s="727"/>
      <c r="AY1050" s="727"/>
      <c r="AZ1050" s="727"/>
      <c r="BA1050" s="727"/>
      <c r="BB1050" s="727"/>
    </row>
    <row r="1051" spans="1:54">
      <c r="A1051" s="326"/>
      <c r="B1051" s="727"/>
      <c r="C1051" s="727"/>
      <c r="D1051" s="727"/>
      <c r="E1051" s="727"/>
      <c r="F1051" s="727"/>
      <c r="G1051" s="727"/>
      <c r="H1051" s="727"/>
      <c r="I1051" s="727"/>
      <c r="J1051" s="727"/>
      <c r="K1051" s="727"/>
      <c r="L1051" s="727"/>
      <c r="M1051" s="727"/>
      <c r="N1051" s="727"/>
      <c r="O1051" s="727"/>
      <c r="P1051" s="727"/>
      <c r="Q1051" s="727"/>
      <c r="R1051" s="727"/>
      <c r="S1051" s="727"/>
      <c r="T1051" s="727"/>
      <c r="U1051" s="727"/>
      <c r="V1051" s="727"/>
      <c r="W1051" s="727"/>
      <c r="X1051" s="727"/>
      <c r="Y1051" s="727"/>
      <c r="Z1051" s="727"/>
      <c r="AA1051" s="727"/>
      <c r="AB1051" s="727"/>
      <c r="AC1051" s="727"/>
      <c r="AD1051" s="727"/>
      <c r="AE1051" s="727"/>
      <c r="AF1051" s="727"/>
      <c r="AG1051" s="727"/>
      <c r="AH1051" s="727"/>
      <c r="AI1051" s="727"/>
      <c r="AJ1051" s="727"/>
      <c r="AK1051" s="727"/>
      <c r="AL1051" s="727"/>
      <c r="AM1051" s="727"/>
      <c r="AN1051" s="727"/>
      <c r="AO1051" s="727"/>
      <c r="AP1051" s="727"/>
      <c r="AQ1051" s="727"/>
      <c r="AR1051" s="727"/>
      <c r="AS1051" s="727"/>
      <c r="AT1051" s="727"/>
      <c r="AU1051" s="727"/>
      <c r="AV1051" s="727"/>
      <c r="AW1051" s="727"/>
      <c r="AX1051" s="727"/>
      <c r="AY1051" s="727"/>
      <c r="AZ1051" s="727"/>
      <c r="BA1051" s="727"/>
      <c r="BB1051" s="727"/>
    </row>
    <row r="1052" spans="1:54">
      <c r="A1052" s="326"/>
      <c r="B1052" s="727"/>
      <c r="C1052" s="727"/>
      <c r="D1052" s="727"/>
      <c r="E1052" s="727"/>
      <c r="F1052" s="727"/>
      <c r="G1052" s="727"/>
      <c r="H1052" s="727"/>
      <c r="I1052" s="727"/>
      <c r="J1052" s="727"/>
      <c r="K1052" s="727"/>
      <c r="L1052" s="727"/>
      <c r="M1052" s="727"/>
      <c r="N1052" s="727"/>
      <c r="O1052" s="727"/>
      <c r="P1052" s="727"/>
      <c r="Q1052" s="727"/>
      <c r="R1052" s="727"/>
      <c r="S1052" s="727"/>
      <c r="T1052" s="727"/>
      <c r="U1052" s="727"/>
      <c r="V1052" s="727"/>
      <c r="W1052" s="727"/>
      <c r="X1052" s="727"/>
      <c r="Y1052" s="727"/>
      <c r="Z1052" s="727"/>
      <c r="AA1052" s="727"/>
      <c r="AB1052" s="727"/>
      <c r="AC1052" s="727"/>
      <c r="AD1052" s="727"/>
      <c r="AE1052" s="727"/>
      <c r="AF1052" s="727"/>
      <c r="AG1052" s="727"/>
      <c r="AH1052" s="727"/>
      <c r="AI1052" s="727"/>
      <c r="AJ1052" s="727"/>
      <c r="AK1052" s="727"/>
      <c r="AL1052" s="727"/>
      <c r="AM1052" s="727"/>
      <c r="AN1052" s="727"/>
      <c r="AO1052" s="727"/>
      <c r="AP1052" s="727"/>
      <c r="AQ1052" s="727"/>
      <c r="AR1052" s="727"/>
      <c r="AS1052" s="727"/>
      <c r="AT1052" s="727"/>
      <c r="AU1052" s="727"/>
      <c r="AV1052" s="727"/>
      <c r="AW1052" s="727"/>
      <c r="AX1052" s="727"/>
      <c r="AY1052" s="727"/>
      <c r="AZ1052" s="727"/>
      <c r="BA1052" s="727"/>
      <c r="BB1052" s="727"/>
    </row>
    <row r="1053" spans="1:54">
      <c r="A1053" s="326"/>
      <c r="B1053" s="727"/>
      <c r="C1053" s="727"/>
      <c r="D1053" s="727"/>
      <c r="E1053" s="727"/>
      <c r="F1053" s="727"/>
      <c r="G1053" s="727"/>
      <c r="H1053" s="727"/>
      <c r="I1053" s="727"/>
      <c r="J1053" s="727"/>
      <c r="K1053" s="727"/>
      <c r="L1053" s="727"/>
      <c r="M1053" s="727"/>
      <c r="N1053" s="727"/>
      <c r="O1053" s="727"/>
      <c r="P1053" s="727"/>
      <c r="Q1053" s="727"/>
      <c r="R1053" s="727"/>
      <c r="S1053" s="727"/>
      <c r="T1053" s="727"/>
      <c r="U1053" s="727"/>
      <c r="V1053" s="727"/>
      <c r="W1053" s="727"/>
      <c r="X1053" s="727"/>
      <c r="Y1053" s="727"/>
      <c r="Z1053" s="727"/>
      <c r="AA1053" s="727"/>
      <c r="AB1053" s="727"/>
      <c r="AC1053" s="727"/>
      <c r="AD1053" s="727"/>
      <c r="AE1053" s="727"/>
      <c r="AF1053" s="727"/>
      <c r="AG1053" s="727"/>
      <c r="AH1053" s="727"/>
      <c r="AI1053" s="727"/>
      <c r="AJ1053" s="727"/>
      <c r="AK1053" s="727"/>
      <c r="AL1053" s="727"/>
      <c r="AM1053" s="727"/>
      <c r="AN1053" s="727"/>
      <c r="AO1053" s="727"/>
      <c r="AP1053" s="727"/>
      <c r="AQ1053" s="727"/>
      <c r="AR1053" s="727"/>
      <c r="AS1053" s="727"/>
      <c r="AT1053" s="727"/>
      <c r="AU1053" s="727"/>
      <c r="AV1053" s="727"/>
      <c r="AW1053" s="727"/>
      <c r="AX1053" s="727"/>
      <c r="AY1053" s="727"/>
      <c r="AZ1053" s="727"/>
      <c r="BA1053" s="727"/>
      <c r="BB1053" s="727"/>
    </row>
    <row r="1054" spans="1:54">
      <c r="A1054" s="326"/>
      <c r="B1054" s="727"/>
      <c r="C1054" s="727"/>
      <c r="D1054" s="727"/>
      <c r="E1054" s="727"/>
      <c r="F1054" s="727"/>
      <c r="G1054" s="727"/>
      <c r="H1054" s="727"/>
      <c r="I1054" s="727"/>
      <c r="J1054" s="727"/>
      <c r="K1054" s="727"/>
      <c r="L1054" s="727"/>
      <c r="M1054" s="727"/>
      <c r="N1054" s="727"/>
      <c r="O1054" s="727"/>
      <c r="P1054" s="727"/>
      <c r="Q1054" s="727"/>
      <c r="R1054" s="727"/>
      <c r="S1054" s="727"/>
      <c r="T1054" s="727"/>
      <c r="U1054" s="727"/>
      <c r="V1054" s="727"/>
      <c r="W1054" s="727"/>
      <c r="X1054" s="727"/>
      <c r="Y1054" s="727"/>
      <c r="Z1054" s="727"/>
      <c r="AA1054" s="727"/>
      <c r="AB1054" s="727"/>
      <c r="AC1054" s="727"/>
      <c r="AD1054" s="727"/>
      <c r="AE1054" s="727"/>
      <c r="AF1054" s="727"/>
      <c r="AG1054" s="727"/>
      <c r="AH1054" s="727"/>
      <c r="AI1054" s="727"/>
      <c r="AJ1054" s="727"/>
      <c r="AK1054" s="727"/>
      <c r="AL1054" s="727"/>
      <c r="AM1054" s="727"/>
      <c r="AN1054" s="727"/>
      <c r="AO1054" s="727"/>
      <c r="AP1054" s="727"/>
      <c r="AQ1054" s="727"/>
      <c r="AR1054" s="727"/>
      <c r="AS1054" s="727"/>
      <c r="AT1054" s="727"/>
      <c r="AU1054" s="727"/>
      <c r="AV1054" s="727"/>
      <c r="AW1054" s="727"/>
      <c r="AX1054" s="727"/>
      <c r="AY1054" s="727"/>
      <c r="AZ1054" s="727"/>
      <c r="BA1054" s="727"/>
      <c r="BB1054" s="727"/>
    </row>
    <row r="1055" spans="1:54">
      <c r="A1055" s="326"/>
      <c r="B1055" s="727"/>
      <c r="C1055" s="727"/>
      <c r="D1055" s="727"/>
      <c r="E1055" s="727"/>
      <c r="F1055" s="727"/>
      <c r="G1055" s="727"/>
      <c r="H1055" s="727"/>
      <c r="I1055" s="727"/>
      <c r="J1055" s="727"/>
      <c r="K1055" s="727"/>
      <c r="L1055" s="727"/>
      <c r="M1055" s="727"/>
      <c r="N1055" s="727"/>
      <c r="O1055" s="727"/>
      <c r="P1055" s="727"/>
      <c r="Q1055" s="727"/>
      <c r="R1055" s="727"/>
      <c r="S1055" s="727"/>
      <c r="T1055" s="727"/>
      <c r="U1055" s="727"/>
      <c r="V1055" s="727"/>
      <c r="W1055" s="727"/>
      <c r="X1055" s="727"/>
      <c r="Y1055" s="727"/>
      <c r="Z1055" s="727"/>
      <c r="AA1055" s="727"/>
      <c r="AB1055" s="727"/>
      <c r="AC1055" s="727"/>
      <c r="AD1055" s="727"/>
      <c r="AE1055" s="727"/>
      <c r="AF1055" s="727"/>
      <c r="AG1055" s="727"/>
      <c r="AH1055" s="727"/>
      <c r="AI1055" s="727"/>
      <c r="AJ1055" s="727"/>
      <c r="AK1055" s="727"/>
      <c r="AL1055" s="727"/>
      <c r="AM1055" s="727"/>
      <c r="AN1055" s="727"/>
      <c r="AO1055" s="727"/>
      <c r="AP1055" s="727"/>
      <c r="AQ1055" s="727"/>
      <c r="AR1055" s="727"/>
      <c r="AS1055" s="727"/>
      <c r="AT1055" s="727"/>
      <c r="AU1055" s="727"/>
      <c r="AV1055" s="727"/>
      <c r="AW1055" s="727"/>
      <c r="AX1055" s="727"/>
      <c r="AY1055" s="727"/>
      <c r="AZ1055" s="727"/>
      <c r="BA1055" s="727"/>
      <c r="BB1055" s="727"/>
    </row>
    <row r="1056" spans="1:54">
      <c r="A1056" s="326"/>
      <c r="B1056" s="727"/>
      <c r="C1056" s="727"/>
      <c r="D1056" s="727"/>
      <c r="E1056" s="727"/>
      <c r="F1056" s="727"/>
      <c r="G1056" s="727"/>
      <c r="H1056" s="727"/>
      <c r="I1056" s="727"/>
      <c r="J1056" s="727"/>
      <c r="K1056" s="727"/>
      <c r="L1056" s="727"/>
      <c r="M1056" s="727"/>
      <c r="N1056" s="727"/>
      <c r="O1056" s="727"/>
      <c r="P1056" s="727"/>
      <c r="Q1056" s="727"/>
      <c r="R1056" s="727"/>
      <c r="S1056" s="727"/>
      <c r="T1056" s="727"/>
      <c r="U1056" s="727"/>
      <c r="V1056" s="727"/>
      <c r="W1056" s="727"/>
      <c r="X1056" s="727"/>
      <c r="Y1056" s="727"/>
      <c r="Z1056" s="727"/>
      <c r="AA1056" s="727"/>
      <c r="AB1056" s="727"/>
      <c r="AC1056" s="727"/>
      <c r="AD1056" s="727"/>
      <c r="AE1056" s="727"/>
      <c r="AF1056" s="727"/>
      <c r="AG1056" s="727"/>
      <c r="AH1056" s="727"/>
      <c r="AI1056" s="727"/>
      <c r="AJ1056" s="727"/>
      <c r="AK1056" s="727"/>
      <c r="AL1056" s="727"/>
      <c r="AM1056" s="727"/>
      <c r="AN1056" s="727"/>
      <c r="AO1056" s="727"/>
      <c r="AP1056" s="727"/>
      <c r="AQ1056" s="727"/>
      <c r="AR1056" s="727"/>
      <c r="AS1056" s="727"/>
      <c r="AT1056" s="727"/>
      <c r="AU1056" s="727"/>
      <c r="AV1056" s="727"/>
      <c r="AW1056" s="727"/>
      <c r="AX1056" s="727"/>
      <c r="AY1056" s="727"/>
      <c r="AZ1056" s="727"/>
      <c r="BA1056" s="727"/>
      <c r="BB1056" s="727"/>
    </row>
    <row r="1057" spans="1:54">
      <c r="A1057" s="326"/>
      <c r="B1057" s="727"/>
      <c r="C1057" s="727"/>
      <c r="D1057" s="727"/>
      <c r="E1057" s="727"/>
      <c r="F1057" s="727"/>
      <c r="G1057" s="727"/>
      <c r="H1057" s="727"/>
      <c r="I1057" s="727"/>
      <c r="J1057" s="727"/>
      <c r="K1057" s="727"/>
      <c r="L1057" s="727"/>
      <c r="M1057" s="727"/>
      <c r="N1057" s="727"/>
      <c r="O1057" s="727"/>
      <c r="P1057" s="727"/>
      <c r="Q1057" s="727"/>
      <c r="R1057" s="727"/>
      <c r="S1057" s="727"/>
      <c r="T1057" s="727"/>
      <c r="U1057" s="727"/>
      <c r="V1057" s="727"/>
      <c r="W1057" s="727"/>
      <c r="X1057" s="727"/>
      <c r="Y1057" s="727"/>
      <c r="Z1057" s="727"/>
      <c r="AA1057" s="727"/>
      <c r="AB1057" s="727"/>
      <c r="AC1057" s="727"/>
      <c r="AD1057" s="727"/>
      <c r="AE1057" s="727"/>
      <c r="AF1057" s="727"/>
      <c r="AG1057" s="727"/>
      <c r="AH1057" s="727"/>
      <c r="AI1057" s="727"/>
      <c r="AJ1057" s="727"/>
      <c r="AK1057" s="727"/>
      <c r="AL1057" s="727"/>
      <c r="AM1057" s="727"/>
      <c r="AN1057" s="727"/>
      <c r="AO1057" s="727"/>
      <c r="AP1057" s="727"/>
      <c r="AQ1057" s="727"/>
      <c r="AR1057" s="727"/>
      <c r="AS1057" s="727"/>
      <c r="AT1057" s="727"/>
      <c r="AU1057" s="727"/>
      <c r="AV1057" s="727"/>
      <c r="AW1057" s="727"/>
      <c r="AX1057" s="727"/>
      <c r="AY1057" s="727"/>
      <c r="AZ1057" s="727"/>
      <c r="BA1057" s="727"/>
      <c r="BB1057" s="727"/>
    </row>
    <row r="1058" spans="1:54">
      <c r="A1058" s="326"/>
      <c r="B1058" s="727"/>
      <c r="C1058" s="727"/>
      <c r="D1058" s="727"/>
      <c r="E1058" s="727"/>
      <c r="F1058" s="727"/>
      <c r="G1058" s="727"/>
      <c r="H1058" s="727"/>
      <c r="I1058" s="727"/>
      <c r="J1058" s="727"/>
      <c r="K1058" s="727"/>
      <c r="L1058" s="727"/>
      <c r="M1058" s="727"/>
      <c r="N1058" s="727"/>
      <c r="O1058" s="727"/>
      <c r="P1058" s="727"/>
      <c r="Q1058" s="727"/>
      <c r="R1058" s="727"/>
      <c r="S1058" s="727"/>
      <c r="T1058" s="727"/>
      <c r="U1058" s="727"/>
      <c r="V1058" s="727"/>
      <c r="W1058" s="727"/>
      <c r="X1058" s="727"/>
      <c r="Y1058" s="727"/>
      <c r="Z1058" s="727"/>
      <c r="AA1058" s="727"/>
      <c r="AB1058" s="727"/>
      <c r="AC1058" s="727"/>
      <c r="AD1058" s="727"/>
      <c r="AE1058" s="727"/>
      <c r="AF1058" s="727"/>
      <c r="AG1058" s="727"/>
      <c r="AH1058" s="727"/>
      <c r="AI1058" s="727"/>
      <c r="AJ1058" s="727"/>
      <c r="AK1058" s="727"/>
      <c r="AL1058" s="727"/>
      <c r="AM1058" s="727"/>
      <c r="AN1058" s="727"/>
      <c r="AO1058" s="727"/>
      <c r="AP1058" s="727"/>
      <c r="AQ1058" s="727"/>
      <c r="AR1058" s="727"/>
      <c r="AS1058" s="727"/>
      <c r="AT1058" s="727"/>
      <c r="AU1058" s="727"/>
      <c r="AV1058" s="727"/>
      <c r="AW1058" s="727"/>
      <c r="AX1058" s="727"/>
      <c r="AY1058" s="727"/>
      <c r="AZ1058" s="727"/>
      <c r="BA1058" s="727"/>
      <c r="BB1058" s="727"/>
    </row>
    <row r="1059" spans="1:54">
      <c r="A1059" s="326"/>
      <c r="B1059" s="727"/>
      <c r="C1059" s="727"/>
      <c r="D1059" s="727"/>
      <c r="E1059" s="727"/>
      <c r="F1059" s="727"/>
      <c r="G1059" s="727"/>
      <c r="H1059" s="727"/>
      <c r="I1059" s="727"/>
      <c r="J1059" s="727"/>
      <c r="K1059" s="727"/>
      <c r="L1059" s="727"/>
      <c r="M1059" s="727"/>
      <c r="N1059" s="727"/>
      <c r="O1059" s="727"/>
      <c r="P1059" s="727"/>
      <c r="Q1059" s="727"/>
      <c r="R1059" s="727"/>
      <c r="S1059" s="727"/>
      <c r="T1059" s="727"/>
      <c r="U1059" s="727"/>
      <c r="V1059" s="727"/>
      <c r="W1059" s="727"/>
      <c r="X1059" s="727"/>
      <c r="Y1059" s="727"/>
      <c r="Z1059" s="727"/>
      <c r="AA1059" s="727"/>
      <c r="AB1059" s="727"/>
      <c r="AC1059" s="727"/>
      <c r="AD1059" s="727"/>
      <c r="AE1059" s="727"/>
      <c r="AF1059" s="727"/>
      <c r="AG1059" s="727"/>
      <c r="AH1059" s="727"/>
      <c r="AI1059" s="727"/>
      <c r="AJ1059" s="727"/>
      <c r="AK1059" s="727"/>
      <c r="AL1059" s="727"/>
      <c r="AM1059" s="727"/>
      <c r="AN1059" s="727"/>
      <c r="AO1059" s="727"/>
      <c r="AP1059" s="727"/>
      <c r="AQ1059" s="727"/>
      <c r="AR1059" s="727"/>
      <c r="AS1059" s="727"/>
      <c r="AT1059" s="727"/>
      <c r="AU1059" s="727"/>
      <c r="AV1059" s="727"/>
      <c r="AW1059" s="727"/>
      <c r="AX1059" s="727"/>
      <c r="AY1059" s="727"/>
      <c r="AZ1059" s="727"/>
      <c r="BA1059" s="727"/>
      <c r="BB1059" s="727"/>
    </row>
    <row r="1060" spans="1:54">
      <c r="A1060" s="326"/>
      <c r="B1060" s="727"/>
      <c r="C1060" s="727"/>
      <c r="D1060" s="727"/>
      <c r="E1060" s="727"/>
      <c r="F1060" s="727"/>
      <c r="G1060" s="727"/>
      <c r="H1060" s="727"/>
      <c r="I1060" s="727"/>
      <c r="J1060" s="727"/>
      <c r="K1060" s="727"/>
      <c r="L1060" s="727"/>
      <c r="M1060" s="727"/>
      <c r="N1060" s="727"/>
      <c r="O1060" s="727"/>
      <c r="P1060" s="727"/>
      <c r="Q1060" s="727"/>
      <c r="R1060" s="727"/>
      <c r="S1060" s="727"/>
      <c r="T1060" s="727"/>
      <c r="U1060" s="727"/>
      <c r="V1060" s="727"/>
      <c r="W1060" s="727"/>
      <c r="X1060" s="727"/>
      <c r="Y1060" s="727"/>
      <c r="Z1060" s="727"/>
      <c r="AA1060" s="727"/>
      <c r="AB1060" s="727"/>
      <c r="AC1060" s="727"/>
      <c r="AD1060" s="727"/>
      <c r="AE1060" s="727"/>
      <c r="AF1060" s="727"/>
      <c r="AG1060" s="727"/>
      <c r="AH1060" s="727"/>
      <c r="AI1060" s="727"/>
      <c r="AJ1060" s="727"/>
      <c r="AK1060" s="727"/>
      <c r="AL1060" s="727"/>
      <c r="AM1060" s="727"/>
      <c r="AN1060" s="727"/>
      <c r="AO1060" s="727"/>
      <c r="AP1060" s="727"/>
      <c r="AQ1060" s="727"/>
      <c r="AR1060" s="727"/>
      <c r="AS1060" s="727"/>
      <c r="AT1060" s="727"/>
      <c r="AU1060" s="727"/>
      <c r="AV1060" s="727"/>
      <c r="AW1060" s="727"/>
      <c r="AX1060" s="727"/>
      <c r="AY1060" s="727"/>
      <c r="AZ1060" s="727"/>
      <c r="BA1060" s="727"/>
      <c r="BB1060" s="727"/>
    </row>
    <row r="1061" spans="1:54">
      <c r="A1061" s="326"/>
      <c r="B1061" s="727"/>
      <c r="C1061" s="727"/>
      <c r="D1061" s="727"/>
      <c r="E1061" s="727"/>
      <c r="F1061" s="727"/>
      <c r="G1061" s="727"/>
      <c r="H1061" s="727"/>
      <c r="I1061" s="727"/>
      <c r="J1061" s="727"/>
      <c r="K1061" s="727"/>
      <c r="L1061" s="727"/>
      <c r="M1061" s="727"/>
      <c r="N1061" s="727"/>
      <c r="O1061" s="727"/>
      <c r="P1061" s="727"/>
      <c r="Q1061" s="727"/>
      <c r="R1061" s="727"/>
      <c r="S1061" s="727"/>
      <c r="T1061" s="727"/>
      <c r="U1061" s="727"/>
      <c r="V1061" s="727"/>
      <c r="W1061" s="727"/>
      <c r="X1061" s="727"/>
      <c r="Y1061" s="727"/>
      <c r="Z1061" s="727"/>
      <c r="AA1061" s="727"/>
      <c r="AB1061" s="727"/>
      <c r="AC1061" s="727"/>
      <c r="AD1061" s="727"/>
      <c r="AE1061" s="727"/>
      <c r="AF1061" s="727"/>
      <c r="AG1061" s="727"/>
      <c r="AH1061" s="727"/>
      <c r="AI1061" s="727"/>
      <c r="AJ1061" s="727"/>
      <c r="AK1061" s="727"/>
      <c r="AL1061" s="727"/>
      <c r="AM1061" s="727"/>
      <c r="AN1061" s="727"/>
      <c r="AO1061" s="727"/>
      <c r="AP1061" s="727"/>
      <c r="AQ1061" s="727"/>
      <c r="AR1061" s="727"/>
      <c r="AS1061" s="727"/>
      <c r="AT1061" s="727"/>
      <c r="AU1061" s="727"/>
      <c r="AV1061" s="727"/>
      <c r="AW1061" s="727"/>
      <c r="AX1061" s="727"/>
      <c r="AY1061" s="727"/>
      <c r="AZ1061" s="727"/>
      <c r="BA1061" s="727"/>
      <c r="BB1061" s="727"/>
    </row>
    <row r="1062" spans="1:54">
      <c r="A1062" s="326"/>
      <c r="B1062" s="727"/>
      <c r="C1062" s="727"/>
      <c r="D1062" s="727"/>
      <c r="E1062" s="727"/>
      <c r="F1062" s="727"/>
      <c r="G1062" s="727"/>
      <c r="H1062" s="727"/>
      <c r="I1062" s="727"/>
      <c r="J1062" s="727"/>
      <c r="K1062" s="727"/>
      <c r="L1062" s="727"/>
      <c r="M1062" s="727"/>
      <c r="N1062" s="727"/>
      <c r="O1062" s="727"/>
      <c r="P1062" s="727"/>
      <c r="Q1062" s="727"/>
      <c r="R1062" s="727"/>
      <c r="S1062" s="727"/>
      <c r="T1062" s="727"/>
      <c r="U1062" s="727"/>
      <c r="V1062" s="727"/>
      <c r="W1062" s="727"/>
      <c r="X1062" s="727"/>
      <c r="Y1062" s="727"/>
      <c r="Z1062" s="727"/>
      <c r="AA1062" s="727"/>
      <c r="AB1062" s="727"/>
      <c r="AC1062" s="727"/>
      <c r="AD1062" s="727"/>
      <c r="AE1062" s="727"/>
      <c r="AF1062" s="727"/>
      <c r="AG1062" s="727"/>
      <c r="AH1062" s="727"/>
      <c r="AI1062" s="727"/>
      <c r="AJ1062" s="727"/>
      <c r="AK1062" s="727"/>
      <c r="AL1062" s="727"/>
      <c r="AM1062" s="727"/>
      <c r="AN1062" s="727"/>
      <c r="AO1062" s="727"/>
      <c r="AP1062" s="727"/>
      <c r="AQ1062" s="727"/>
      <c r="AR1062" s="727"/>
      <c r="AS1062" s="727"/>
      <c r="AT1062" s="727"/>
      <c r="AU1062" s="727"/>
      <c r="AV1062" s="727"/>
      <c r="AW1062" s="727"/>
      <c r="AX1062" s="727"/>
      <c r="AY1062" s="727"/>
      <c r="AZ1062" s="727"/>
      <c r="BA1062" s="727"/>
      <c r="BB1062" s="727"/>
    </row>
    <row r="1063" spans="1:54">
      <c r="A1063" s="326"/>
      <c r="B1063" s="727"/>
      <c r="C1063" s="727"/>
      <c r="D1063" s="727"/>
      <c r="E1063" s="727"/>
      <c r="F1063" s="727"/>
      <c r="G1063" s="727"/>
      <c r="H1063" s="727"/>
      <c r="I1063" s="727"/>
      <c r="J1063" s="727"/>
      <c r="K1063" s="727"/>
      <c r="L1063" s="727"/>
      <c r="M1063" s="727"/>
      <c r="N1063" s="727"/>
      <c r="O1063" s="727"/>
      <c r="P1063" s="727"/>
      <c r="Q1063" s="727"/>
      <c r="R1063" s="727"/>
      <c r="S1063" s="727"/>
      <c r="T1063" s="727"/>
      <c r="U1063" s="727"/>
      <c r="V1063" s="727"/>
      <c r="W1063" s="727"/>
      <c r="X1063" s="727"/>
      <c r="Y1063" s="727"/>
      <c r="Z1063" s="727"/>
      <c r="AA1063" s="727"/>
      <c r="AB1063" s="727"/>
      <c r="AC1063" s="727"/>
      <c r="AD1063" s="727"/>
      <c r="AE1063" s="727"/>
      <c r="AF1063" s="727"/>
      <c r="AG1063" s="727"/>
      <c r="AH1063" s="727"/>
      <c r="AI1063" s="727"/>
      <c r="AJ1063" s="727"/>
      <c r="AK1063" s="727"/>
      <c r="AL1063" s="727"/>
      <c r="AM1063" s="727"/>
      <c r="AN1063" s="727"/>
      <c r="AO1063" s="727"/>
      <c r="AP1063" s="727"/>
      <c r="AQ1063" s="727"/>
      <c r="AR1063" s="727"/>
      <c r="AS1063" s="727"/>
      <c r="AT1063" s="727"/>
      <c r="AU1063" s="727"/>
      <c r="AV1063" s="727"/>
      <c r="AW1063" s="727"/>
      <c r="AX1063" s="727"/>
      <c r="AY1063" s="727"/>
      <c r="AZ1063" s="727"/>
      <c r="BA1063" s="727"/>
      <c r="BB1063" s="727"/>
    </row>
    <row r="1064" spans="1:54">
      <c r="A1064" s="326"/>
      <c r="B1064" s="727"/>
      <c r="C1064" s="727"/>
      <c r="D1064" s="727"/>
      <c r="E1064" s="727"/>
      <c r="F1064" s="727"/>
      <c r="G1064" s="727"/>
      <c r="H1064" s="727"/>
      <c r="I1064" s="727"/>
      <c r="J1064" s="727"/>
      <c r="K1064" s="727"/>
      <c r="L1064" s="727"/>
      <c r="M1064" s="727"/>
      <c r="N1064" s="727"/>
      <c r="O1064" s="727"/>
      <c r="P1064" s="727"/>
      <c r="Q1064" s="727"/>
      <c r="R1064" s="727"/>
      <c r="S1064" s="727"/>
      <c r="T1064" s="727"/>
      <c r="U1064" s="727"/>
      <c r="V1064" s="727"/>
      <c r="W1064" s="727"/>
      <c r="X1064" s="727"/>
      <c r="Y1064" s="727"/>
      <c r="Z1064" s="727"/>
      <c r="AA1064" s="727"/>
      <c r="AB1064" s="727"/>
      <c r="AC1064" s="727"/>
      <c r="AD1064" s="727"/>
      <c r="AE1064" s="727"/>
      <c r="AF1064" s="727"/>
      <c r="AG1064" s="727"/>
      <c r="AH1064" s="727"/>
      <c r="AI1064" s="727"/>
      <c r="AJ1064" s="727"/>
      <c r="AK1064" s="727"/>
      <c r="AL1064" s="727"/>
      <c r="AM1064" s="727"/>
      <c r="AN1064" s="727"/>
      <c r="AO1064" s="727"/>
      <c r="AP1064" s="727"/>
      <c r="AQ1064" s="727"/>
      <c r="AR1064" s="727"/>
      <c r="AS1064" s="727"/>
      <c r="AT1064" s="727"/>
      <c r="AU1064" s="727"/>
      <c r="AV1064" s="727"/>
      <c r="AW1064" s="727"/>
      <c r="AX1064" s="727"/>
      <c r="AY1064" s="727"/>
      <c r="AZ1064" s="727"/>
      <c r="BA1064" s="727"/>
      <c r="BB1064" s="727"/>
    </row>
    <row r="1065" spans="1:54">
      <c r="A1065" s="326"/>
      <c r="B1065" s="727"/>
      <c r="C1065" s="727"/>
      <c r="D1065" s="727"/>
      <c r="E1065" s="727"/>
      <c r="F1065" s="727"/>
      <c r="G1065" s="727"/>
      <c r="H1065" s="727"/>
      <c r="I1065" s="727"/>
      <c r="J1065" s="727"/>
      <c r="K1065" s="727"/>
      <c r="L1065" s="727"/>
      <c r="M1065" s="727"/>
      <c r="N1065" s="727"/>
      <c r="O1065" s="727"/>
      <c r="P1065" s="727"/>
      <c r="Q1065" s="727"/>
      <c r="R1065" s="727"/>
      <c r="S1065" s="727"/>
      <c r="T1065" s="727"/>
      <c r="U1065" s="727"/>
      <c r="V1065" s="727"/>
      <c r="W1065" s="727"/>
      <c r="X1065" s="727"/>
      <c r="Y1065" s="727"/>
      <c r="Z1065" s="727"/>
      <c r="AA1065" s="727"/>
      <c r="AB1065" s="727"/>
      <c r="AC1065" s="727"/>
      <c r="AD1065" s="727"/>
      <c r="AE1065" s="727"/>
      <c r="AF1065" s="727"/>
      <c r="AG1065" s="727"/>
      <c r="AH1065" s="727"/>
      <c r="AI1065" s="727"/>
      <c r="AJ1065" s="727"/>
      <c r="AK1065" s="727"/>
      <c r="AL1065" s="727"/>
      <c r="AM1065" s="727"/>
      <c r="AN1065" s="727"/>
      <c r="AO1065" s="727"/>
      <c r="AP1065" s="727"/>
      <c r="AQ1065" s="727"/>
      <c r="AR1065" s="727"/>
      <c r="AS1065" s="727"/>
      <c r="AT1065" s="727"/>
      <c r="AU1065" s="727"/>
      <c r="AV1065" s="727"/>
      <c r="AW1065" s="727"/>
      <c r="AX1065" s="727"/>
      <c r="AY1065" s="727"/>
      <c r="AZ1065" s="727"/>
      <c r="BA1065" s="727"/>
      <c r="BB1065" s="727"/>
    </row>
    <row r="1066" spans="1:54">
      <c r="A1066" s="326"/>
      <c r="B1066" s="727"/>
      <c r="C1066" s="727"/>
      <c r="D1066" s="727"/>
      <c r="E1066" s="727"/>
      <c r="F1066" s="727"/>
      <c r="G1066" s="727"/>
      <c r="H1066" s="727"/>
      <c r="I1066" s="727"/>
      <c r="J1066" s="727"/>
      <c r="K1066" s="727"/>
      <c r="L1066" s="727"/>
      <c r="M1066" s="727"/>
      <c r="N1066" s="727"/>
      <c r="O1066" s="727"/>
      <c r="P1066" s="727"/>
      <c r="Q1066" s="727"/>
      <c r="R1066" s="727"/>
      <c r="S1066" s="727"/>
      <c r="T1066" s="727"/>
      <c r="U1066" s="727"/>
      <c r="V1066" s="727"/>
      <c r="W1066" s="727"/>
      <c r="X1066" s="727"/>
      <c r="Y1066" s="727"/>
      <c r="Z1066" s="727"/>
      <c r="AA1066" s="727"/>
      <c r="AB1066" s="727"/>
      <c r="AC1066" s="727"/>
      <c r="AD1066" s="727"/>
      <c r="AE1066" s="727"/>
      <c r="AF1066" s="727"/>
      <c r="AG1066" s="727"/>
      <c r="AH1066" s="727"/>
      <c r="AI1066" s="727"/>
      <c r="AJ1066" s="727"/>
      <c r="AK1066" s="727"/>
      <c r="AL1066" s="727"/>
      <c r="AM1066" s="727"/>
      <c r="AN1066" s="727"/>
      <c r="AO1066" s="727"/>
      <c r="AP1066" s="727"/>
      <c r="AQ1066" s="727"/>
      <c r="AR1066" s="727"/>
      <c r="AS1066" s="727"/>
      <c r="AT1066" s="727"/>
      <c r="AU1066" s="727"/>
      <c r="AV1066" s="727"/>
      <c r="AW1066" s="727"/>
      <c r="AX1066" s="727"/>
      <c r="AY1066" s="727"/>
      <c r="AZ1066" s="727"/>
      <c r="BA1066" s="727"/>
      <c r="BB1066" s="727"/>
    </row>
    <row r="1067" spans="1:54">
      <c r="A1067" s="326"/>
      <c r="B1067" s="727"/>
      <c r="C1067" s="727"/>
      <c r="D1067" s="727"/>
      <c r="E1067" s="727"/>
      <c r="F1067" s="727"/>
      <c r="G1067" s="727"/>
      <c r="H1067" s="727"/>
      <c r="I1067" s="727"/>
      <c r="J1067" s="727"/>
      <c r="K1067" s="727"/>
      <c r="L1067" s="727"/>
      <c r="M1067" s="727"/>
      <c r="N1067" s="727"/>
      <c r="O1067" s="727"/>
      <c r="P1067" s="727"/>
      <c r="Q1067" s="727"/>
      <c r="R1067" s="727"/>
      <c r="S1067" s="727"/>
      <c r="T1067" s="727"/>
      <c r="U1067" s="727"/>
      <c r="V1067" s="727"/>
      <c r="W1067" s="727"/>
      <c r="X1067" s="727"/>
      <c r="Y1067" s="727"/>
      <c r="Z1067" s="727"/>
      <c r="AA1067" s="727"/>
      <c r="AB1067" s="727"/>
      <c r="AC1067" s="727"/>
      <c r="AD1067" s="727"/>
      <c r="AE1067" s="727"/>
      <c r="AF1067" s="727"/>
      <c r="AG1067" s="727"/>
      <c r="AH1067" s="727"/>
      <c r="AI1067" s="727"/>
      <c r="AJ1067" s="727"/>
      <c r="AK1067" s="727"/>
      <c r="AL1067" s="727"/>
      <c r="AM1067" s="727"/>
      <c r="AN1067" s="727"/>
      <c r="AO1067" s="727"/>
      <c r="AP1067" s="727"/>
      <c r="AQ1067" s="727"/>
      <c r="AR1067" s="727"/>
      <c r="AS1067" s="727"/>
      <c r="AT1067" s="727"/>
      <c r="AU1067" s="727"/>
      <c r="AV1067" s="727"/>
      <c r="AW1067" s="727"/>
      <c r="AX1067" s="727"/>
      <c r="AY1067" s="727"/>
      <c r="AZ1067" s="727"/>
      <c r="BA1067" s="727"/>
      <c r="BB1067" s="727"/>
    </row>
    <row r="1068" spans="1:54">
      <c r="A1068" s="326"/>
      <c r="B1068" s="727"/>
      <c r="C1068" s="727"/>
      <c r="D1068" s="727"/>
      <c r="E1068" s="727"/>
      <c r="F1068" s="727"/>
      <c r="G1068" s="727"/>
      <c r="H1068" s="727"/>
      <c r="I1068" s="727"/>
      <c r="J1068" s="727"/>
      <c r="K1068" s="727"/>
      <c r="L1068" s="727"/>
      <c r="M1068" s="727"/>
      <c r="N1068" s="727"/>
      <c r="O1068" s="727"/>
      <c r="P1068" s="727"/>
      <c r="Q1068" s="727"/>
      <c r="R1068" s="727"/>
      <c r="S1068" s="727"/>
      <c r="T1068" s="727"/>
      <c r="U1068" s="727"/>
      <c r="V1068" s="727"/>
      <c r="W1068" s="727"/>
      <c r="X1068" s="727"/>
      <c r="Y1068" s="727"/>
      <c r="Z1068" s="727"/>
      <c r="AA1068" s="727"/>
      <c r="AB1068" s="727"/>
      <c r="AC1068" s="727"/>
      <c r="AD1068" s="727"/>
      <c r="AE1068" s="727"/>
      <c r="AF1068" s="727"/>
      <c r="AG1068" s="727"/>
      <c r="AH1068" s="727"/>
      <c r="AI1068" s="727"/>
      <c r="AJ1068" s="727"/>
      <c r="AK1068" s="727"/>
      <c r="AL1068" s="727"/>
      <c r="AM1068" s="727"/>
      <c r="AN1068" s="727"/>
      <c r="AO1068" s="727"/>
      <c r="AP1068" s="727"/>
      <c r="AQ1068" s="727"/>
      <c r="AR1068" s="727"/>
      <c r="AS1068" s="727"/>
      <c r="AT1068" s="727"/>
      <c r="AU1068" s="727"/>
      <c r="AV1068" s="727"/>
      <c r="AW1068" s="727"/>
      <c r="AX1068" s="727"/>
      <c r="AY1068" s="727"/>
      <c r="AZ1068" s="727"/>
      <c r="BA1068" s="727"/>
      <c r="BB1068" s="727"/>
    </row>
    <row r="1069" spans="1:54">
      <c r="A1069" s="326"/>
      <c r="B1069" s="727"/>
      <c r="C1069" s="727"/>
      <c r="D1069" s="727"/>
      <c r="E1069" s="727"/>
      <c r="F1069" s="727"/>
      <c r="G1069" s="727"/>
      <c r="H1069" s="727"/>
      <c r="I1069" s="727"/>
      <c r="J1069" s="727"/>
      <c r="K1069" s="727"/>
      <c r="L1069" s="727"/>
      <c r="M1069" s="727"/>
      <c r="N1069" s="727"/>
      <c r="O1069" s="727"/>
      <c r="P1069" s="727"/>
      <c r="Q1069" s="727"/>
      <c r="R1069" s="727"/>
      <c r="S1069" s="727"/>
      <c r="T1069" s="727"/>
      <c r="U1069" s="727"/>
      <c r="V1069" s="727"/>
      <c r="W1069" s="727"/>
      <c r="X1069" s="727"/>
      <c r="Y1069" s="727"/>
      <c r="Z1069" s="727"/>
      <c r="AA1069" s="727"/>
      <c r="AB1069" s="727"/>
      <c r="AC1069" s="727"/>
      <c r="AD1069" s="727"/>
      <c r="AE1069" s="727"/>
      <c r="AF1069" s="727"/>
      <c r="AG1069" s="727"/>
      <c r="AH1069" s="727"/>
      <c r="AI1069" s="727"/>
      <c r="AJ1069" s="727"/>
      <c r="AK1069" s="727"/>
      <c r="AL1069" s="727"/>
      <c r="AM1069" s="727"/>
      <c r="AN1069" s="727"/>
      <c r="AO1069" s="727"/>
      <c r="AP1069" s="727"/>
      <c r="AQ1069" s="727"/>
      <c r="AR1069" s="727"/>
      <c r="AS1069" s="727"/>
      <c r="AT1069" s="727"/>
      <c r="AU1069" s="727"/>
      <c r="AV1069" s="727"/>
      <c r="AW1069" s="727"/>
      <c r="AX1069" s="727"/>
      <c r="AY1069" s="727"/>
      <c r="AZ1069" s="727"/>
      <c r="BA1069" s="727"/>
      <c r="BB1069" s="727"/>
    </row>
    <row r="1070" spans="1:54">
      <c r="A1070" s="326"/>
      <c r="B1070" s="727"/>
      <c r="C1070" s="727"/>
      <c r="D1070" s="727"/>
      <c r="E1070" s="727"/>
      <c r="F1070" s="727"/>
      <c r="G1070" s="727"/>
      <c r="H1070" s="727"/>
      <c r="I1070" s="727"/>
      <c r="J1070" s="727"/>
      <c r="K1070" s="727"/>
      <c r="L1070" s="727"/>
      <c r="M1070" s="727"/>
      <c r="N1070" s="727"/>
      <c r="O1070" s="727"/>
      <c r="P1070" s="727"/>
      <c r="Q1070" s="727"/>
      <c r="R1070" s="727"/>
      <c r="S1070" s="727"/>
      <c r="T1070" s="727"/>
      <c r="U1070" s="727"/>
      <c r="V1070" s="727"/>
      <c r="W1070" s="727"/>
      <c r="X1070" s="727"/>
      <c r="Y1070" s="727"/>
      <c r="Z1070" s="727"/>
      <c r="AA1070" s="727"/>
      <c r="AB1070" s="727"/>
      <c r="AC1070" s="727"/>
      <c r="AD1070" s="727"/>
      <c r="AE1070" s="727"/>
      <c r="AF1070" s="727"/>
      <c r="AG1070" s="727"/>
      <c r="AH1070" s="727"/>
      <c r="AI1070" s="727"/>
      <c r="AJ1070" s="727"/>
      <c r="AK1070" s="727"/>
      <c r="AL1070" s="727"/>
      <c r="AM1070" s="727"/>
      <c r="AN1070" s="727"/>
      <c r="AO1070" s="727"/>
      <c r="AP1070" s="727"/>
      <c r="AQ1070" s="727"/>
      <c r="AR1070" s="727"/>
      <c r="AS1070" s="727"/>
      <c r="AT1070" s="727"/>
      <c r="AU1070" s="727"/>
      <c r="AV1070" s="727"/>
      <c r="AW1070" s="727"/>
      <c r="AX1070" s="727"/>
      <c r="AY1070" s="727"/>
      <c r="AZ1070" s="727"/>
      <c r="BA1070" s="727"/>
      <c r="BB1070" s="727"/>
    </row>
    <row r="1071" spans="1:54">
      <c r="A1071" s="326"/>
      <c r="B1071" s="727"/>
      <c r="C1071" s="727"/>
      <c r="D1071" s="727"/>
      <c r="E1071" s="727"/>
      <c r="F1071" s="727"/>
      <c r="G1071" s="727"/>
      <c r="H1071" s="727"/>
      <c r="I1071" s="727"/>
      <c r="J1071" s="727"/>
      <c r="K1071" s="727"/>
      <c r="L1071" s="727"/>
      <c r="M1071" s="727"/>
      <c r="N1071" s="727"/>
      <c r="O1071" s="727"/>
      <c r="P1071" s="727"/>
      <c r="Q1071" s="727"/>
      <c r="R1071" s="727"/>
      <c r="S1071" s="727"/>
      <c r="T1071" s="727"/>
      <c r="U1071" s="727"/>
      <c r="V1071" s="727"/>
      <c r="W1071" s="727"/>
      <c r="X1071" s="727"/>
      <c r="Y1071" s="727"/>
      <c r="Z1071" s="727"/>
      <c r="AA1071" s="727"/>
      <c r="AB1071" s="727"/>
      <c r="AC1071" s="727"/>
      <c r="AD1071" s="727"/>
      <c r="AE1071" s="727"/>
      <c r="AF1071" s="727"/>
      <c r="AG1071" s="727"/>
      <c r="AH1071" s="727"/>
      <c r="AI1071" s="727"/>
      <c r="AJ1071" s="727"/>
      <c r="AK1071" s="727"/>
      <c r="AL1071" s="727"/>
      <c r="AM1071" s="727"/>
      <c r="AN1071" s="727"/>
      <c r="AO1071" s="727"/>
      <c r="AP1071" s="727"/>
      <c r="AQ1071" s="727"/>
      <c r="AR1071" s="727"/>
      <c r="AS1071" s="727"/>
      <c r="AT1071" s="727"/>
      <c r="AU1071" s="727"/>
      <c r="AV1071" s="727"/>
      <c r="AW1071" s="727"/>
      <c r="AX1071" s="727"/>
      <c r="AY1071" s="727"/>
      <c r="AZ1071" s="727"/>
      <c r="BA1071" s="727"/>
      <c r="BB1071" s="727"/>
    </row>
    <row r="1072" spans="1:54">
      <c r="A1072" s="326"/>
      <c r="B1072" s="727"/>
      <c r="C1072" s="727"/>
      <c r="D1072" s="727"/>
      <c r="E1072" s="727"/>
      <c r="F1072" s="727"/>
      <c r="G1072" s="727"/>
      <c r="H1072" s="727"/>
      <c r="I1072" s="727"/>
      <c r="J1072" s="727"/>
      <c r="K1072" s="727"/>
      <c r="L1072" s="727"/>
      <c r="M1072" s="727"/>
      <c r="N1072" s="727"/>
      <c r="O1072" s="727"/>
      <c r="P1072" s="727"/>
      <c r="Q1072" s="727"/>
      <c r="R1072" s="727"/>
      <c r="S1072" s="727"/>
      <c r="T1072" s="727"/>
      <c r="U1072" s="727"/>
      <c r="V1072" s="727"/>
      <c r="W1072" s="727"/>
      <c r="X1072" s="727"/>
      <c r="Y1072" s="727"/>
      <c r="Z1072" s="727"/>
      <c r="AA1072" s="727"/>
      <c r="AB1072" s="727"/>
      <c r="AC1072" s="727"/>
      <c r="AD1072" s="727"/>
      <c r="AE1072" s="727"/>
      <c r="AF1072" s="727"/>
      <c r="AG1072" s="727"/>
      <c r="AH1072" s="727"/>
      <c r="AI1072" s="727"/>
      <c r="AJ1072" s="727"/>
      <c r="AK1072" s="727"/>
      <c r="AL1072" s="727"/>
      <c r="AM1072" s="727"/>
      <c r="AN1072" s="727"/>
      <c r="AO1072" s="727"/>
      <c r="AP1072" s="727"/>
      <c r="AQ1072" s="727"/>
      <c r="AR1072" s="727"/>
      <c r="AS1072" s="727"/>
      <c r="AT1072" s="727"/>
      <c r="AU1072" s="727"/>
      <c r="AV1072" s="727"/>
      <c r="AW1072" s="727"/>
      <c r="AX1072" s="727"/>
      <c r="AY1072" s="727"/>
      <c r="AZ1072" s="727"/>
      <c r="BA1072" s="727"/>
      <c r="BB1072" s="727"/>
    </row>
    <row r="1073" spans="1:54">
      <c r="A1073" s="326"/>
      <c r="B1073" s="727"/>
      <c r="C1073" s="727"/>
      <c r="D1073" s="727"/>
      <c r="E1073" s="727"/>
      <c r="F1073" s="727"/>
      <c r="G1073" s="727"/>
      <c r="H1073" s="727"/>
      <c r="I1073" s="727"/>
      <c r="J1073" s="727"/>
      <c r="K1073" s="727"/>
      <c r="L1073" s="727"/>
      <c r="M1073" s="727"/>
      <c r="N1073" s="727"/>
      <c r="O1073" s="727"/>
      <c r="P1073" s="727"/>
      <c r="Q1073" s="727"/>
      <c r="R1073" s="727"/>
      <c r="S1073" s="727"/>
      <c r="T1073" s="727"/>
      <c r="U1073" s="727"/>
      <c r="V1073" s="727"/>
      <c r="W1073" s="727"/>
      <c r="X1073" s="727"/>
      <c r="Y1073" s="727"/>
      <c r="Z1073" s="727"/>
      <c r="AA1073" s="727"/>
      <c r="AB1073" s="727"/>
      <c r="AC1073" s="727"/>
      <c r="AD1073" s="727"/>
      <c r="AE1073" s="727"/>
      <c r="AF1073" s="727"/>
      <c r="AG1073" s="727"/>
      <c r="AH1073" s="727"/>
      <c r="AI1073" s="727"/>
      <c r="AJ1073" s="727"/>
      <c r="AK1073" s="727"/>
      <c r="AL1073" s="727"/>
      <c r="AM1073" s="727"/>
      <c r="AN1073" s="727"/>
      <c r="AO1073" s="727"/>
      <c r="AP1073" s="727"/>
      <c r="AQ1073" s="727"/>
      <c r="AR1073" s="727"/>
      <c r="AS1073" s="727"/>
      <c r="AT1073" s="727"/>
      <c r="AU1073" s="727"/>
      <c r="AV1073" s="727"/>
      <c r="AW1073" s="727"/>
      <c r="AX1073" s="727"/>
      <c r="AY1073" s="727"/>
      <c r="AZ1073" s="727"/>
      <c r="BA1073" s="727"/>
      <c r="BB1073" s="727"/>
    </row>
    <row r="1074" spans="1:54">
      <c r="A1074" s="326"/>
      <c r="B1074" s="727"/>
      <c r="C1074" s="727"/>
      <c r="D1074" s="727"/>
      <c r="E1074" s="727"/>
      <c r="F1074" s="727"/>
      <c r="G1074" s="727"/>
      <c r="H1074" s="727"/>
      <c r="I1074" s="727"/>
      <c r="J1074" s="727"/>
      <c r="K1074" s="727"/>
      <c r="L1074" s="727"/>
      <c r="M1074" s="727"/>
      <c r="N1074" s="727"/>
      <c r="O1074" s="727"/>
      <c r="P1074" s="727"/>
      <c r="Q1074" s="727"/>
      <c r="R1074" s="727"/>
      <c r="S1074" s="727"/>
      <c r="T1074" s="727"/>
      <c r="U1074" s="727"/>
      <c r="V1074" s="727"/>
      <c r="W1074" s="727"/>
      <c r="X1074" s="727"/>
      <c r="Y1074" s="727"/>
      <c r="Z1074" s="727"/>
      <c r="AA1074" s="727"/>
      <c r="AB1074" s="727"/>
      <c r="AC1074" s="727"/>
      <c r="AD1074" s="727"/>
      <c r="AE1074" s="727"/>
      <c r="AF1074" s="727"/>
      <c r="AG1074" s="727"/>
      <c r="AH1074" s="727"/>
      <c r="AI1074" s="727"/>
      <c r="AJ1074" s="727"/>
      <c r="AK1074" s="727"/>
      <c r="AL1074" s="727"/>
      <c r="AM1074" s="727"/>
      <c r="AN1074" s="727"/>
      <c r="AO1074" s="727"/>
      <c r="AP1074" s="727"/>
      <c r="AQ1074" s="727"/>
      <c r="AR1074" s="727"/>
      <c r="AS1074" s="727"/>
      <c r="AT1074" s="727"/>
      <c r="AU1074" s="727"/>
      <c r="AV1074" s="727"/>
      <c r="AW1074" s="727"/>
      <c r="AX1074" s="727"/>
      <c r="AY1074" s="727"/>
      <c r="AZ1074" s="727"/>
      <c r="BA1074" s="727"/>
      <c r="BB1074" s="727"/>
    </row>
    <row r="1075" spans="1:54">
      <c r="A1075" s="326"/>
      <c r="B1075" s="727"/>
      <c r="C1075" s="727"/>
      <c r="D1075" s="727"/>
      <c r="E1075" s="727"/>
      <c r="F1075" s="727"/>
      <c r="G1075" s="727"/>
      <c r="H1075" s="727"/>
      <c r="I1075" s="727"/>
      <c r="J1075" s="727"/>
      <c r="K1075" s="727"/>
      <c r="L1075" s="727"/>
      <c r="M1075" s="727"/>
      <c r="N1075" s="727"/>
      <c r="O1075" s="727"/>
      <c r="P1075" s="727"/>
      <c r="Q1075" s="727"/>
      <c r="R1075" s="727"/>
      <c r="S1075" s="727"/>
      <c r="T1075" s="727"/>
      <c r="U1075" s="727"/>
      <c r="V1075" s="727"/>
      <c r="W1075" s="727"/>
      <c r="X1075" s="727"/>
      <c r="Y1075" s="727"/>
      <c r="Z1075" s="727"/>
      <c r="AA1075" s="727"/>
      <c r="AB1075" s="727"/>
      <c r="AC1075" s="727"/>
      <c r="AD1075" s="727"/>
      <c r="AE1075" s="727"/>
      <c r="AF1075" s="727"/>
      <c r="AG1075" s="727"/>
      <c r="AH1075" s="727"/>
      <c r="AI1075" s="727"/>
      <c r="AJ1075" s="727"/>
      <c r="AK1075" s="727"/>
      <c r="AL1075" s="727"/>
      <c r="AM1075" s="727"/>
      <c r="AN1075" s="727"/>
      <c r="AO1075" s="727"/>
      <c r="AP1075" s="727"/>
      <c r="AQ1075" s="727"/>
      <c r="AR1075" s="727"/>
      <c r="AS1075" s="727"/>
      <c r="AT1075" s="727"/>
      <c r="AU1075" s="727"/>
      <c r="AV1075" s="727"/>
      <c r="AW1075" s="727"/>
      <c r="AX1075" s="727"/>
      <c r="AY1075" s="727"/>
      <c r="AZ1075" s="727"/>
      <c r="BA1075" s="727"/>
      <c r="BB1075" s="727"/>
    </row>
    <row r="1076" spans="1:54">
      <c r="A1076" s="326"/>
      <c r="B1076" s="727"/>
      <c r="C1076" s="727"/>
      <c r="D1076" s="727"/>
      <c r="E1076" s="727"/>
      <c r="F1076" s="727"/>
      <c r="G1076" s="727"/>
      <c r="H1076" s="727"/>
      <c r="I1076" s="727"/>
      <c r="J1076" s="727"/>
      <c r="K1076" s="727"/>
      <c r="L1076" s="727"/>
      <c r="M1076" s="727"/>
      <c r="N1076" s="727"/>
      <c r="O1076" s="727"/>
      <c r="P1076" s="727"/>
      <c r="Q1076" s="727"/>
      <c r="R1076" s="727"/>
      <c r="S1076" s="727"/>
      <c r="T1076" s="727"/>
      <c r="U1076" s="727"/>
      <c r="V1076" s="727"/>
      <c r="W1076" s="727"/>
      <c r="X1076" s="727"/>
      <c r="Y1076" s="727"/>
      <c r="Z1076" s="727"/>
      <c r="AA1076" s="727"/>
      <c r="AB1076" s="727"/>
      <c r="AC1076" s="727"/>
      <c r="AD1076" s="727"/>
      <c r="AE1076" s="727"/>
      <c r="AF1076" s="727"/>
      <c r="AG1076" s="727"/>
      <c r="AH1076" s="727"/>
      <c r="AI1076" s="727"/>
      <c r="AJ1076" s="727"/>
      <c r="AK1076" s="727"/>
      <c r="AL1076" s="727"/>
      <c r="AM1076" s="727"/>
      <c r="AN1076" s="727"/>
      <c r="AO1076" s="727"/>
      <c r="AP1076" s="727"/>
      <c r="AQ1076" s="727"/>
      <c r="AR1076" s="727"/>
      <c r="AS1076" s="727"/>
      <c r="AT1076" s="727"/>
      <c r="AU1076" s="727"/>
      <c r="AV1076" s="727"/>
      <c r="AW1076" s="727"/>
      <c r="AX1076" s="727"/>
      <c r="AY1076" s="727"/>
      <c r="AZ1076" s="727"/>
      <c r="BA1076" s="727"/>
      <c r="BB1076" s="727"/>
    </row>
    <row r="1077" spans="1:54">
      <c r="A1077" s="326"/>
      <c r="B1077" s="727"/>
      <c r="C1077" s="727"/>
      <c r="D1077" s="727"/>
      <c r="E1077" s="727"/>
      <c r="F1077" s="727"/>
      <c r="G1077" s="727"/>
      <c r="H1077" s="727"/>
      <c r="I1077" s="727"/>
      <c r="J1077" s="727"/>
      <c r="K1077" s="727"/>
      <c r="L1077" s="727"/>
      <c r="M1077" s="727"/>
      <c r="N1077" s="727"/>
      <c r="O1077" s="727"/>
      <c r="P1077" s="727"/>
      <c r="Q1077" s="727"/>
      <c r="R1077" s="727"/>
      <c r="S1077" s="727"/>
      <c r="T1077" s="727"/>
      <c r="U1077" s="727"/>
      <c r="V1077" s="727"/>
      <c r="W1077" s="727"/>
      <c r="X1077" s="727"/>
      <c r="Y1077" s="727"/>
      <c r="Z1077" s="727"/>
      <c r="AA1077" s="727"/>
      <c r="AB1077" s="727"/>
      <c r="AC1077" s="727"/>
      <c r="AD1077" s="727"/>
      <c r="AE1077" s="727"/>
      <c r="AF1077" s="727"/>
      <c r="AG1077" s="727"/>
      <c r="AH1077" s="727"/>
      <c r="AI1077" s="727"/>
      <c r="AJ1077" s="727"/>
      <c r="AK1077" s="727"/>
      <c r="AL1077" s="727"/>
      <c r="AM1077" s="727"/>
      <c r="AN1077" s="727"/>
      <c r="AO1077" s="727"/>
      <c r="AP1077" s="727"/>
      <c r="AQ1077" s="727"/>
      <c r="AR1077" s="727"/>
      <c r="AS1077" s="727"/>
      <c r="AT1077" s="727"/>
      <c r="AU1077" s="727"/>
      <c r="AV1077" s="727"/>
      <c r="AW1077" s="727"/>
      <c r="AX1077" s="727"/>
      <c r="AY1077" s="727"/>
      <c r="AZ1077" s="727"/>
      <c r="BA1077" s="727"/>
      <c r="BB1077" s="727"/>
    </row>
    <row r="1078" spans="1:54">
      <c r="A1078" s="326"/>
      <c r="B1078" s="727"/>
      <c r="C1078" s="727"/>
      <c r="D1078" s="727"/>
      <c r="E1078" s="727"/>
      <c r="F1078" s="727"/>
      <c r="G1078" s="727"/>
      <c r="H1078" s="727"/>
      <c r="I1078" s="727"/>
      <c r="J1078" s="727"/>
      <c r="K1078" s="727"/>
      <c r="L1078" s="727"/>
      <c r="M1078" s="727"/>
      <c r="N1078" s="727"/>
      <c r="O1078" s="727"/>
      <c r="P1078" s="727"/>
      <c r="Q1078" s="727"/>
      <c r="R1078" s="727"/>
      <c r="S1078" s="727"/>
      <c r="T1078" s="727"/>
      <c r="U1078" s="727"/>
      <c r="V1078" s="727"/>
      <c r="W1078" s="727"/>
      <c r="X1078" s="727"/>
      <c r="Y1078" s="727"/>
      <c r="Z1078" s="727"/>
      <c r="AA1078" s="727"/>
      <c r="AB1078" s="727"/>
      <c r="AC1078" s="727"/>
      <c r="AD1078" s="727"/>
      <c r="AE1078" s="727"/>
      <c r="AF1078" s="727"/>
      <c r="AG1078" s="727"/>
      <c r="AH1078" s="727"/>
      <c r="AI1078" s="727"/>
      <c r="AJ1078" s="727"/>
      <c r="AK1078" s="727"/>
      <c r="AL1078" s="727"/>
      <c r="AM1078" s="727"/>
      <c r="AN1078" s="727"/>
      <c r="AO1078" s="727"/>
      <c r="AP1078" s="727"/>
      <c r="AQ1078" s="727"/>
      <c r="AR1078" s="727"/>
      <c r="AS1078" s="727"/>
      <c r="AT1078" s="727"/>
      <c r="AU1078" s="727"/>
      <c r="AV1078" s="727"/>
      <c r="AW1078" s="727"/>
      <c r="AX1078" s="727"/>
      <c r="AY1078" s="727"/>
      <c r="AZ1078" s="727"/>
      <c r="BA1078" s="727"/>
      <c r="BB1078" s="727"/>
    </row>
    <row r="1079" spans="1:54">
      <c r="A1079" s="326"/>
      <c r="B1079" s="727"/>
      <c r="C1079" s="727"/>
      <c r="D1079" s="727"/>
      <c r="E1079" s="727"/>
      <c r="F1079" s="727"/>
      <c r="G1079" s="727"/>
      <c r="H1079" s="727"/>
      <c r="I1079" s="727"/>
      <c r="J1079" s="727"/>
      <c r="K1079" s="727"/>
      <c r="L1079" s="727"/>
      <c r="M1079" s="727"/>
      <c r="N1079" s="727"/>
      <c r="O1079" s="727"/>
      <c r="P1079" s="727"/>
      <c r="Q1079" s="727"/>
      <c r="R1079" s="727"/>
      <c r="S1079" s="727"/>
      <c r="T1079" s="727"/>
      <c r="U1079" s="727"/>
      <c r="V1079" s="727"/>
      <c r="W1079" s="727"/>
      <c r="X1079" s="727"/>
      <c r="Y1079" s="727"/>
      <c r="Z1079" s="727"/>
      <c r="AA1079" s="727"/>
      <c r="AB1079" s="727"/>
      <c r="AC1079" s="727"/>
      <c r="AD1079" s="727"/>
      <c r="AE1079" s="727"/>
      <c r="AF1079" s="727"/>
      <c r="AG1079" s="727"/>
      <c r="AH1079" s="727"/>
      <c r="AI1079" s="727"/>
      <c r="AJ1079" s="727"/>
      <c r="AK1079" s="727"/>
      <c r="AL1079" s="727"/>
      <c r="AM1079" s="727"/>
      <c r="AN1079" s="727"/>
      <c r="AO1079" s="727"/>
      <c r="AP1079" s="727"/>
      <c r="AQ1079" s="727"/>
      <c r="AR1079" s="727"/>
      <c r="AS1079" s="727"/>
      <c r="AT1079" s="727"/>
      <c r="AU1079" s="727"/>
      <c r="AV1079" s="727"/>
      <c r="AW1079" s="727"/>
      <c r="AX1079" s="727"/>
      <c r="AY1079" s="727"/>
      <c r="AZ1079" s="727"/>
      <c r="BA1079" s="727"/>
      <c r="BB1079" s="727"/>
    </row>
    <row r="1080" spans="1:54">
      <c r="A1080" s="326"/>
      <c r="B1080" s="727"/>
      <c r="C1080" s="727"/>
      <c r="D1080" s="727"/>
      <c r="E1080" s="727"/>
      <c r="F1080" s="727"/>
      <c r="G1080" s="727"/>
      <c r="H1080" s="727"/>
      <c r="I1080" s="727"/>
      <c r="J1080" s="727"/>
      <c r="K1080" s="727"/>
      <c r="L1080" s="727"/>
      <c r="M1080" s="727"/>
      <c r="N1080" s="727"/>
      <c r="O1080" s="727"/>
      <c r="P1080" s="727"/>
      <c r="Q1080" s="727"/>
      <c r="R1080" s="727"/>
      <c r="S1080" s="727"/>
      <c r="T1080" s="727"/>
      <c r="U1080" s="727"/>
      <c r="V1080" s="727"/>
      <c r="W1080" s="727"/>
      <c r="X1080" s="727"/>
      <c r="Y1080" s="727"/>
      <c r="Z1080" s="727"/>
      <c r="AA1080" s="727"/>
      <c r="AB1080" s="727"/>
      <c r="AC1080" s="727"/>
      <c r="AD1080" s="727"/>
      <c r="AE1080" s="727"/>
      <c r="AF1080" s="727"/>
      <c r="AG1080" s="727"/>
      <c r="AH1080" s="727"/>
      <c r="AI1080" s="727"/>
      <c r="AJ1080" s="727"/>
      <c r="AK1080" s="727"/>
      <c r="AL1080" s="727"/>
      <c r="AM1080" s="727"/>
      <c r="AN1080" s="727"/>
      <c r="AO1080" s="727"/>
      <c r="AP1080" s="727"/>
      <c r="AQ1080" s="727"/>
      <c r="AR1080" s="727"/>
      <c r="AS1080" s="727"/>
      <c r="AT1080" s="727"/>
      <c r="AU1080" s="727"/>
      <c r="AV1080" s="727"/>
      <c r="AW1080" s="727"/>
      <c r="AX1080" s="727"/>
      <c r="AY1080" s="727"/>
      <c r="AZ1080" s="727"/>
      <c r="BA1080" s="727"/>
      <c r="BB1080" s="727"/>
    </row>
    <row r="1081" spans="1:54">
      <c r="A1081" s="326"/>
      <c r="B1081" s="727"/>
      <c r="C1081" s="727"/>
      <c r="D1081" s="727"/>
      <c r="E1081" s="727"/>
      <c r="F1081" s="727"/>
      <c r="G1081" s="727"/>
      <c r="H1081" s="727"/>
      <c r="I1081" s="727"/>
      <c r="J1081" s="727"/>
      <c r="K1081" s="727"/>
      <c r="L1081" s="727"/>
      <c r="M1081" s="727"/>
      <c r="N1081" s="727"/>
      <c r="O1081" s="727"/>
      <c r="P1081" s="727"/>
      <c r="Q1081" s="727"/>
      <c r="R1081" s="727"/>
      <c r="S1081" s="727"/>
      <c r="T1081" s="727"/>
      <c r="U1081" s="727"/>
      <c r="V1081" s="727"/>
      <c r="W1081" s="727"/>
      <c r="X1081" s="727"/>
      <c r="Y1081" s="727"/>
      <c r="Z1081" s="727"/>
      <c r="AA1081" s="727"/>
      <c r="AB1081" s="727"/>
      <c r="AC1081" s="727"/>
      <c r="AD1081" s="727"/>
      <c r="AE1081" s="727"/>
      <c r="AF1081" s="727"/>
      <c r="AG1081" s="727"/>
      <c r="AH1081" s="727"/>
      <c r="AI1081" s="727"/>
      <c r="AJ1081" s="727"/>
      <c r="AK1081" s="727"/>
      <c r="AL1081" s="727"/>
      <c r="AM1081" s="727"/>
      <c r="AN1081" s="727"/>
      <c r="AO1081" s="727"/>
      <c r="AP1081" s="727"/>
      <c r="AQ1081" s="727"/>
      <c r="AR1081" s="727"/>
      <c r="AS1081" s="727"/>
      <c r="AT1081" s="727"/>
      <c r="AU1081" s="727"/>
      <c r="AV1081" s="727"/>
      <c r="AW1081" s="727"/>
      <c r="AX1081" s="727"/>
      <c r="AY1081" s="727"/>
      <c r="AZ1081" s="727"/>
      <c r="BA1081" s="727"/>
      <c r="BB1081" s="727"/>
    </row>
    <row r="1082" spans="1:54">
      <c r="A1082" s="326"/>
      <c r="B1082" s="727"/>
      <c r="C1082" s="727"/>
      <c r="D1082" s="727"/>
      <c r="E1082" s="727"/>
      <c r="F1082" s="727"/>
      <c r="G1082" s="727"/>
      <c r="H1082" s="727"/>
      <c r="I1082" s="727"/>
      <c r="J1082" s="727"/>
      <c r="K1082" s="727"/>
      <c r="L1082" s="727"/>
      <c r="M1082" s="727"/>
      <c r="N1082" s="727"/>
      <c r="O1082" s="727"/>
      <c r="P1082" s="727"/>
      <c r="Q1082" s="727"/>
      <c r="R1082" s="727"/>
      <c r="S1082" s="727"/>
      <c r="T1082" s="727"/>
      <c r="U1082" s="727"/>
      <c r="V1082" s="727"/>
      <c r="W1082" s="727"/>
      <c r="X1082" s="727"/>
      <c r="Y1082" s="727"/>
      <c r="Z1082" s="727"/>
      <c r="AA1082" s="727"/>
      <c r="AB1082" s="727"/>
      <c r="AC1082" s="727"/>
      <c r="AD1082" s="727"/>
      <c r="AE1082" s="727"/>
      <c r="AF1082" s="727"/>
      <c r="AG1082" s="727"/>
      <c r="AH1082" s="727"/>
      <c r="AI1082" s="727"/>
      <c r="AJ1082" s="727"/>
      <c r="AK1082" s="727"/>
      <c r="AL1082" s="727"/>
      <c r="AM1082" s="727"/>
      <c r="AN1082" s="727"/>
      <c r="AO1082" s="727"/>
      <c r="AP1082" s="727"/>
      <c r="AQ1082" s="727"/>
      <c r="AR1082" s="727"/>
      <c r="AS1082" s="727"/>
      <c r="AT1082" s="727"/>
      <c r="AU1082" s="727"/>
      <c r="AV1082" s="727"/>
      <c r="AW1082" s="727"/>
      <c r="AX1082" s="727"/>
      <c r="AY1082" s="727"/>
      <c r="AZ1082" s="727"/>
      <c r="BA1082" s="727"/>
      <c r="BB1082" s="727"/>
    </row>
    <row r="1083" spans="1:54">
      <c r="A1083" s="326"/>
      <c r="B1083" s="727"/>
      <c r="C1083" s="727"/>
      <c r="D1083" s="727"/>
      <c r="E1083" s="727"/>
      <c r="F1083" s="727"/>
      <c r="G1083" s="727"/>
      <c r="H1083" s="727"/>
      <c r="I1083" s="727"/>
      <c r="J1083" s="727"/>
      <c r="K1083" s="727"/>
      <c r="L1083" s="727"/>
      <c r="M1083" s="727"/>
      <c r="N1083" s="727"/>
      <c r="O1083" s="727"/>
      <c r="P1083" s="727"/>
      <c r="Q1083" s="727"/>
      <c r="R1083" s="727"/>
      <c r="S1083" s="727"/>
      <c r="T1083" s="727"/>
      <c r="U1083" s="727"/>
      <c r="V1083" s="727"/>
      <c r="W1083" s="727"/>
      <c r="X1083" s="727"/>
      <c r="Y1083" s="727"/>
      <c r="Z1083" s="727"/>
      <c r="AA1083" s="727"/>
      <c r="AB1083" s="727"/>
      <c r="AC1083" s="727"/>
      <c r="AD1083" s="727"/>
      <c r="AE1083" s="727"/>
      <c r="AF1083" s="727"/>
      <c r="AG1083" s="727"/>
      <c r="AH1083" s="727"/>
      <c r="AI1083" s="727"/>
      <c r="AJ1083" s="727"/>
      <c r="AK1083" s="727"/>
      <c r="AL1083" s="727"/>
      <c r="AM1083" s="727"/>
      <c r="AN1083" s="727"/>
      <c r="AO1083" s="727"/>
      <c r="AP1083" s="727"/>
      <c r="AQ1083" s="727"/>
      <c r="AR1083" s="727"/>
      <c r="AS1083" s="727"/>
      <c r="AT1083" s="727"/>
      <c r="AU1083" s="727"/>
      <c r="AV1083" s="727"/>
      <c r="AW1083" s="727"/>
      <c r="AX1083" s="727"/>
      <c r="AY1083" s="727"/>
      <c r="AZ1083" s="727"/>
      <c r="BA1083" s="727"/>
      <c r="BB1083" s="727"/>
    </row>
    <row r="1084" spans="1:54">
      <c r="A1084" s="326"/>
      <c r="B1084" s="727"/>
      <c r="C1084" s="727"/>
      <c r="D1084" s="727"/>
      <c r="E1084" s="727"/>
      <c r="F1084" s="727"/>
      <c r="G1084" s="727"/>
      <c r="H1084" s="727"/>
      <c r="I1084" s="727"/>
      <c r="J1084" s="727"/>
      <c r="K1084" s="727"/>
      <c r="L1084" s="727"/>
      <c r="M1084" s="727"/>
      <c r="N1084" s="727"/>
      <c r="O1084" s="727"/>
      <c r="P1084" s="727"/>
      <c r="Q1084" s="727"/>
      <c r="R1084" s="727"/>
      <c r="S1084" s="727"/>
      <c r="T1084" s="727"/>
      <c r="U1084" s="727"/>
      <c r="V1084" s="727"/>
      <c r="W1084" s="727"/>
      <c r="X1084" s="727"/>
      <c r="Y1084" s="727"/>
      <c r="Z1084" s="727"/>
      <c r="AA1084" s="727"/>
      <c r="AB1084" s="727"/>
      <c r="AC1084" s="727"/>
      <c r="AD1084" s="727"/>
      <c r="AE1084" s="727"/>
      <c r="AF1084" s="727"/>
      <c r="AG1084" s="727"/>
      <c r="AH1084" s="727"/>
      <c r="AI1084" s="727"/>
      <c r="AJ1084" s="727"/>
      <c r="AK1084" s="727"/>
      <c r="AL1084" s="727"/>
      <c r="AM1084" s="727"/>
      <c r="AN1084" s="727"/>
      <c r="AO1084" s="727"/>
      <c r="AP1084" s="727"/>
      <c r="AQ1084" s="727"/>
      <c r="AR1084" s="727"/>
      <c r="AS1084" s="727"/>
      <c r="AT1084" s="727"/>
      <c r="AU1084" s="727"/>
      <c r="AV1084" s="727"/>
      <c r="AW1084" s="727"/>
      <c r="AX1084" s="727"/>
      <c r="AY1084" s="727"/>
      <c r="AZ1084" s="727"/>
      <c r="BA1084" s="727"/>
      <c r="BB1084" s="727"/>
    </row>
    <row r="1085" spans="1:54">
      <c r="A1085" s="326"/>
      <c r="B1085" s="727"/>
      <c r="C1085" s="727"/>
      <c r="D1085" s="727"/>
      <c r="E1085" s="727"/>
      <c r="F1085" s="727"/>
      <c r="G1085" s="727"/>
      <c r="H1085" s="727"/>
      <c r="I1085" s="727"/>
      <c r="J1085" s="727"/>
      <c r="K1085" s="727"/>
      <c r="L1085" s="727"/>
      <c r="M1085" s="727"/>
      <c r="N1085" s="727"/>
      <c r="O1085" s="727"/>
      <c r="P1085" s="727"/>
      <c r="Q1085" s="727"/>
      <c r="R1085" s="727"/>
      <c r="S1085" s="727"/>
      <c r="T1085" s="727"/>
      <c r="U1085" s="727"/>
      <c r="V1085" s="727"/>
      <c r="W1085" s="727"/>
      <c r="X1085" s="727"/>
      <c r="Y1085" s="727"/>
      <c r="Z1085" s="727"/>
      <c r="AA1085" s="727"/>
      <c r="AB1085" s="727"/>
      <c r="AC1085" s="727"/>
      <c r="AD1085" s="727"/>
      <c r="AE1085" s="727"/>
      <c r="AF1085" s="727"/>
      <c r="AG1085" s="727"/>
      <c r="AH1085" s="727"/>
      <c r="AI1085" s="727"/>
      <c r="AJ1085" s="727"/>
      <c r="AK1085" s="727"/>
      <c r="AL1085" s="727"/>
      <c r="AM1085" s="727"/>
      <c r="AN1085" s="727"/>
      <c r="AO1085" s="727"/>
      <c r="AP1085" s="727"/>
      <c r="AQ1085" s="727"/>
      <c r="AR1085" s="727"/>
      <c r="AS1085" s="727"/>
      <c r="AT1085" s="727"/>
      <c r="AU1085" s="727"/>
      <c r="AV1085" s="727"/>
      <c r="AW1085" s="727"/>
      <c r="AX1085" s="727"/>
      <c r="AY1085" s="727"/>
      <c r="AZ1085" s="727"/>
      <c r="BA1085" s="727"/>
      <c r="BB1085" s="727"/>
    </row>
    <row r="1086" spans="1:54">
      <c r="A1086" s="326"/>
      <c r="B1086" s="727"/>
      <c r="C1086" s="727"/>
      <c r="D1086" s="727"/>
      <c r="E1086" s="727"/>
      <c r="F1086" s="727"/>
      <c r="G1086" s="727"/>
      <c r="H1086" s="727"/>
      <c r="I1086" s="727"/>
      <c r="J1086" s="727"/>
      <c r="K1086" s="727"/>
      <c r="L1086" s="727"/>
      <c r="M1086" s="727"/>
      <c r="N1086" s="727"/>
      <c r="O1086" s="727"/>
      <c r="P1086" s="727"/>
      <c r="Q1086" s="727"/>
      <c r="R1086" s="727"/>
      <c r="S1086" s="727"/>
      <c r="T1086" s="727"/>
      <c r="U1086" s="727"/>
      <c r="V1086" s="727"/>
      <c r="W1086" s="727"/>
      <c r="X1086" s="727"/>
      <c r="Y1086" s="727"/>
      <c r="Z1086" s="727"/>
      <c r="AA1086" s="727"/>
      <c r="AB1086" s="727"/>
      <c r="AC1086" s="727"/>
      <c r="AD1086" s="727"/>
      <c r="AE1086" s="727"/>
      <c r="AF1086" s="727"/>
      <c r="AG1086" s="727"/>
      <c r="AH1086" s="727"/>
      <c r="AI1086" s="727"/>
      <c r="AJ1086" s="727"/>
      <c r="AK1086" s="727"/>
      <c r="AL1086" s="727"/>
      <c r="AM1086" s="727"/>
      <c r="AN1086" s="727"/>
      <c r="AO1086" s="727"/>
      <c r="AP1086" s="727"/>
      <c r="AQ1086" s="727"/>
      <c r="AR1086" s="727"/>
      <c r="AS1086" s="727"/>
      <c r="AT1086" s="727"/>
      <c r="AU1086" s="727"/>
      <c r="AV1086" s="727"/>
      <c r="AW1086" s="727"/>
      <c r="AX1086" s="727"/>
      <c r="AY1086" s="727"/>
      <c r="AZ1086" s="727"/>
      <c r="BA1086" s="727"/>
      <c r="BB1086" s="727"/>
    </row>
    <row r="1087" spans="1:54">
      <c r="A1087" s="326"/>
      <c r="B1087" s="727"/>
      <c r="C1087" s="727"/>
      <c r="D1087" s="727"/>
      <c r="E1087" s="727"/>
      <c r="F1087" s="727"/>
      <c r="G1087" s="727"/>
      <c r="H1087" s="727"/>
      <c r="I1087" s="727"/>
      <c r="J1087" s="727"/>
      <c r="K1087" s="727"/>
      <c r="L1087" s="727"/>
      <c r="M1087" s="727"/>
      <c r="N1087" s="727"/>
      <c r="O1087" s="727"/>
      <c r="P1087" s="727"/>
      <c r="Q1087" s="727"/>
      <c r="R1087" s="727"/>
      <c r="S1087" s="727"/>
      <c r="T1087" s="727"/>
      <c r="U1087" s="727"/>
      <c r="V1087" s="727"/>
      <c r="W1087" s="727"/>
      <c r="X1087" s="727"/>
      <c r="Y1087" s="727"/>
      <c r="Z1087" s="727"/>
      <c r="AA1087" s="727"/>
      <c r="AB1087" s="727"/>
      <c r="AC1087" s="727"/>
      <c r="AD1087" s="727"/>
      <c r="AE1087" s="727"/>
      <c r="AF1087" s="727"/>
      <c r="AG1087" s="727"/>
      <c r="AH1087" s="727"/>
      <c r="AI1087" s="727"/>
      <c r="AJ1087" s="727"/>
      <c r="AK1087" s="727"/>
      <c r="AL1087" s="727"/>
      <c r="AM1087" s="727"/>
      <c r="AN1087" s="727"/>
      <c r="AO1087" s="727"/>
      <c r="AP1087" s="727"/>
      <c r="AQ1087" s="727"/>
      <c r="AR1087" s="727"/>
      <c r="AS1087" s="727"/>
      <c r="AT1087" s="727"/>
      <c r="AU1087" s="727"/>
      <c r="AV1087" s="727"/>
      <c r="AW1087" s="727"/>
      <c r="AX1087" s="727"/>
      <c r="AY1087" s="727"/>
      <c r="AZ1087" s="727"/>
      <c r="BA1087" s="727"/>
      <c r="BB1087" s="727"/>
    </row>
  </sheetData>
  <mergeCells count="14">
    <mergeCell ref="C110:O111"/>
    <mergeCell ref="K67:L67"/>
    <mergeCell ref="M67:N67"/>
    <mergeCell ref="C67:C68"/>
    <mergeCell ref="B67:B68"/>
    <mergeCell ref="F67:F68"/>
    <mergeCell ref="D67:E67"/>
    <mergeCell ref="G67:H67"/>
    <mergeCell ref="I67:J67"/>
    <mergeCell ref="F10:G10"/>
    <mergeCell ref="D10:E10"/>
    <mergeCell ref="H10:J10"/>
    <mergeCell ref="K10:M10"/>
    <mergeCell ref="N10:O10"/>
  </mergeCells>
  <conditionalFormatting sqref="C120:AG122 C152:AG152 C155:AG157">
    <cfRule type="cellIs" dxfId="47" priority="65" operator="equal">
      <formula>0</formula>
    </cfRule>
  </conditionalFormatting>
  <conditionalFormatting sqref="C153:AG153">
    <cfRule type="cellIs" dxfId="46" priority="64" operator="equal">
      <formula>0</formula>
    </cfRule>
  </conditionalFormatting>
  <conditionalFormatting sqref="C117:AG117">
    <cfRule type="cellIs" dxfId="45" priority="61" operator="equal">
      <formula>0</formula>
    </cfRule>
  </conditionalFormatting>
  <conditionalFormatting sqref="C123:AG124">
    <cfRule type="cellIs" dxfId="44" priority="57" operator="equal">
      <formula>0</formula>
    </cfRule>
  </conditionalFormatting>
  <conditionalFormatting sqref="C125:AG125">
    <cfRule type="cellIs" dxfId="43" priority="53" operator="equal">
      <formula>0</formula>
    </cfRule>
  </conditionalFormatting>
  <conditionalFormatting sqref="C128:AG128">
    <cfRule type="cellIs" dxfId="42" priority="50" operator="equal">
      <formula>0</formula>
    </cfRule>
  </conditionalFormatting>
  <conditionalFormatting sqref="C126:AG127">
    <cfRule type="cellIs" dxfId="41" priority="51" operator="equal">
      <formula>0</formula>
    </cfRule>
  </conditionalFormatting>
  <conditionalFormatting sqref="C158:AG160">
    <cfRule type="cellIs" dxfId="40" priority="45" operator="equal">
      <formula>0</formula>
    </cfRule>
  </conditionalFormatting>
  <conditionalFormatting sqref="C161:AG161">
    <cfRule type="cellIs" dxfId="39" priority="43" operator="equal">
      <formula>0</formula>
    </cfRule>
  </conditionalFormatting>
  <conditionalFormatting sqref="C162:AG162">
    <cfRule type="cellIs" dxfId="38" priority="40" operator="equal">
      <formula>0</formula>
    </cfRule>
  </conditionalFormatting>
  <conditionalFormatting sqref="C4">
    <cfRule type="cellIs" dxfId="37" priority="38" stopIfTrue="1" operator="equal">
      <formula>0</formula>
    </cfRule>
  </conditionalFormatting>
  <conditionalFormatting sqref="C194:AG194">
    <cfRule type="cellIs" dxfId="36" priority="30" operator="equal">
      <formula>0</formula>
    </cfRule>
  </conditionalFormatting>
  <conditionalFormatting sqref="C171:AG171">
    <cfRule type="cellIs" dxfId="35" priority="29" operator="equal">
      <formula>0</formula>
    </cfRule>
  </conditionalFormatting>
  <conditionalFormatting sqref="C193:AG193">
    <cfRule type="cellIs" dxfId="34" priority="31" operator="equal">
      <formula>0</formula>
    </cfRule>
  </conditionalFormatting>
  <conditionalFormatting sqref="C174:AG175">
    <cfRule type="cellIs" dxfId="33" priority="28" operator="equal">
      <formula>0</formula>
    </cfRule>
  </conditionalFormatting>
  <conditionalFormatting sqref="C186:AG186">
    <cfRule type="cellIs" dxfId="32" priority="32" operator="equal">
      <formula>0</formula>
    </cfRule>
  </conditionalFormatting>
  <conditionalFormatting sqref="C180:AG181">
    <cfRule type="cellIs" dxfId="31" priority="25" operator="equal">
      <formula>0</formula>
    </cfRule>
  </conditionalFormatting>
  <conditionalFormatting sqref="C177:AG177">
    <cfRule type="cellIs" dxfId="30" priority="26" operator="equal">
      <formula>0</formula>
    </cfRule>
  </conditionalFormatting>
  <conditionalFormatting sqref="C183:AG184">
    <cfRule type="cellIs" dxfId="29" priority="22" operator="equal">
      <formula>0</formula>
    </cfRule>
  </conditionalFormatting>
  <conditionalFormatting sqref="C176:AG176">
    <cfRule type="cellIs" dxfId="28" priority="24" operator="equal">
      <formula>0</formula>
    </cfRule>
  </conditionalFormatting>
  <conditionalFormatting sqref="C182:AG182">
    <cfRule type="cellIs" dxfId="27" priority="23" operator="equal">
      <formula>0</formula>
    </cfRule>
  </conditionalFormatting>
  <conditionalFormatting sqref="C185:AG185">
    <cfRule type="cellIs" dxfId="26" priority="21" operator="equal">
      <formula>0</formula>
    </cfRule>
  </conditionalFormatting>
  <conditionalFormatting sqref="C187:AG188">
    <cfRule type="cellIs" dxfId="25" priority="20" operator="equal">
      <formula>0</formula>
    </cfRule>
  </conditionalFormatting>
  <conditionalFormatting sqref="C189:AG189">
    <cfRule type="cellIs" dxfId="24" priority="19" operator="equal">
      <formula>0</formula>
    </cfRule>
  </conditionalFormatting>
  <conditionalFormatting sqref="C190:AG190">
    <cfRule type="cellIs" dxfId="23" priority="17" operator="equal">
      <formula>0</formula>
    </cfRule>
  </conditionalFormatting>
  <conditionalFormatting sqref="C191:AG191">
    <cfRule type="cellIs" dxfId="22" priority="16" operator="equal">
      <formula>0</formula>
    </cfRule>
  </conditionalFormatting>
  <conditionalFormatting sqref="C192:AG192">
    <cfRule type="cellIs" dxfId="21" priority="15" operator="equal">
      <formula>0</formula>
    </cfRule>
  </conditionalFormatting>
  <conditionalFormatting sqref="C165:AG165">
    <cfRule type="cellIs" dxfId="20" priority="14" operator="equal">
      <formula>0</formula>
    </cfRule>
  </conditionalFormatting>
  <conditionalFormatting sqref="C140:AG140">
    <cfRule type="cellIs" dxfId="19" priority="11" operator="equal">
      <formula>0</formula>
    </cfRule>
  </conditionalFormatting>
  <conditionalFormatting sqref="I5">
    <cfRule type="cellIs" dxfId="18" priority="10" operator="equal">
      <formula>0</formula>
    </cfRule>
  </conditionalFormatting>
  <conditionalFormatting sqref="C154:AG154">
    <cfRule type="cellIs" dxfId="17" priority="8" operator="equal">
      <formula>0</formula>
    </cfRule>
  </conditionalFormatting>
  <conditionalFormatting sqref="C145:AG145">
    <cfRule type="cellIs" dxfId="16" priority="1" operator="equal">
      <formula>0</formula>
    </cfRule>
  </conditionalFormatting>
  <conditionalFormatting sqref="C141:AG141">
    <cfRule type="cellIs" dxfId="15" priority="7" operator="equal">
      <formula>0</formula>
    </cfRule>
  </conditionalFormatting>
  <conditionalFormatting sqref="C142:AG142">
    <cfRule type="cellIs" dxfId="14" priority="6" operator="equal">
      <formula>0</formula>
    </cfRule>
  </conditionalFormatting>
  <conditionalFormatting sqref="C143:AG143">
    <cfRule type="cellIs" dxfId="13" priority="5" operator="equal">
      <formula>0</formula>
    </cfRule>
  </conditionalFormatting>
  <conditionalFormatting sqref="C144:AG144">
    <cfRule type="cellIs" dxfId="12" priority="4" operator="equal">
      <formula>0</formula>
    </cfRule>
  </conditionalFormatting>
  <conditionalFormatting sqref="C146:AG146">
    <cfRule type="cellIs" dxfId="11" priority="3" operator="equal">
      <formula>0</formula>
    </cfRule>
  </conditionalFormatting>
  <conditionalFormatting sqref="C147:AG147">
    <cfRule type="cellIs" dxfId="10" priority="2" operator="equal">
      <formula>0</formula>
    </cfRule>
  </conditionalFormatting>
  <hyperlinks>
    <hyperlink ref="D61" r:id="rId1"/>
    <hyperlink ref="F109" r:id="rId2"/>
  </hyperlinks>
  <pageMargins left="0.7" right="0.7" top="0.75" bottom="0.75" header="0.3" footer="0.3"/>
  <pageSetup paperSize="9" scale="26" orientation="landscape" r:id="rId3"/>
  <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66FFFF"/>
    <pageSetUpPr fitToPage="1"/>
  </sheetPr>
  <dimension ref="A1:AH71"/>
  <sheetViews>
    <sheetView topLeftCell="A7" workbookViewId="0">
      <selection activeCell="F24" sqref="F24"/>
    </sheetView>
  </sheetViews>
  <sheetFormatPr defaultColWidth="9.33203125" defaultRowHeight="14.4"/>
  <cols>
    <col min="1" max="1" width="36.6640625" style="2" customWidth="1"/>
    <col min="2" max="2" width="13.6640625" style="2" customWidth="1"/>
    <col min="3" max="3" width="12" style="2" bestFit="1" customWidth="1"/>
    <col min="4" max="4" width="9.33203125" style="2" customWidth="1"/>
    <col min="5" max="16384" width="9.33203125" style="2"/>
  </cols>
  <sheetData>
    <row r="1" spans="1:34" s="100" customFormat="1" ht="23.4">
      <c r="A1" s="99" t="s">
        <v>251</v>
      </c>
    </row>
    <row r="2" spans="1:34" s="100" customFormat="1">
      <c r="A2" s="101"/>
    </row>
    <row r="3" spans="1:34" s="100" customFormat="1">
      <c r="A3" s="101" t="s">
        <v>232</v>
      </c>
    </row>
    <row r="4" spans="1:34" s="100" customFormat="1">
      <c r="A4" s="102" t="s">
        <v>2</v>
      </c>
    </row>
    <row r="5" spans="1:34" s="100" customFormat="1">
      <c r="A5" s="102" t="s">
        <v>0</v>
      </c>
    </row>
    <row r="6" spans="1:34" s="100" customFormat="1">
      <c r="A6" s="102" t="s">
        <v>1</v>
      </c>
    </row>
    <row r="7" spans="1:34" s="100" customFormat="1">
      <c r="A7" s="102"/>
    </row>
    <row r="8" spans="1:34" ht="15" thickBot="1">
      <c r="A8" s="96" t="s">
        <v>52</v>
      </c>
      <c r="B8" s="100"/>
      <c r="C8" s="100"/>
      <c r="D8" s="100"/>
      <c r="E8" s="100"/>
      <c r="F8" s="100"/>
      <c r="G8" s="100"/>
      <c r="H8" s="100"/>
      <c r="I8" s="103"/>
      <c r="J8" s="100"/>
      <c r="K8" s="104" t="s">
        <v>73</v>
      </c>
      <c r="L8" s="100"/>
      <c r="M8" s="100"/>
      <c r="N8" s="100"/>
      <c r="O8" s="100"/>
      <c r="P8" s="100"/>
      <c r="Q8" s="100"/>
      <c r="R8" s="100"/>
      <c r="S8" s="100"/>
      <c r="T8" s="100"/>
      <c r="U8" s="100"/>
      <c r="V8" s="100"/>
      <c r="W8" s="100"/>
      <c r="X8" s="100"/>
      <c r="Y8" s="100"/>
      <c r="Z8" s="100"/>
      <c r="AA8" s="100"/>
      <c r="AB8" s="100"/>
      <c r="AC8" s="100"/>
      <c r="AD8" s="100"/>
      <c r="AE8" s="100"/>
      <c r="AF8" s="100"/>
      <c r="AG8" s="100"/>
      <c r="AH8" s="100"/>
    </row>
    <row r="9" spans="1:34" ht="18">
      <c r="A9" s="112" t="s">
        <v>231</v>
      </c>
      <c r="B9" s="113"/>
      <c r="C9" s="931" t="str">
        <f>'Project-definition'!B9</f>
        <v>Hotrock exploration</v>
      </c>
      <c r="D9" s="100"/>
      <c r="E9" s="100"/>
      <c r="F9" s="100"/>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row>
    <row r="10" spans="1:34">
      <c r="A10" s="114" t="s">
        <v>3</v>
      </c>
      <c r="B10" s="16" t="s">
        <v>64</v>
      </c>
      <c r="C10" s="115"/>
      <c r="D10" s="100"/>
      <c r="E10" s="104" t="s">
        <v>29</v>
      </c>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H10" s="100"/>
    </row>
    <row r="11" spans="1:34">
      <c r="A11" s="116" t="s">
        <v>40</v>
      </c>
      <c r="B11" s="109" t="s">
        <v>4</v>
      </c>
      <c r="C11" s="932">
        <v>24</v>
      </c>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row>
    <row r="12" spans="1:34">
      <c r="A12" s="116" t="s">
        <v>41</v>
      </c>
      <c r="B12" s="109" t="s">
        <v>5</v>
      </c>
      <c r="C12" s="932">
        <v>1500</v>
      </c>
      <c r="D12" s="100"/>
      <c r="E12" s="81"/>
      <c r="F12" s="2" t="s">
        <v>450</v>
      </c>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row>
    <row r="13" spans="1:34">
      <c r="A13" s="116" t="s">
        <v>42</v>
      </c>
      <c r="B13" s="109" t="s">
        <v>6</v>
      </c>
      <c r="C13" s="291">
        <v>3000</v>
      </c>
      <c r="D13" s="100"/>
      <c r="E13" s="5"/>
      <c r="F13" s="100" t="s">
        <v>250</v>
      </c>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row>
    <row r="14" spans="1:34">
      <c r="A14" s="116" t="s">
        <v>43</v>
      </c>
      <c r="B14" s="110" t="s">
        <v>10</v>
      </c>
      <c r="C14" s="290">
        <v>0.1</v>
      </c>
      <c r="D14" s="100"/>
      <c r="E14" s="3"/>
      <c r="F14" s="105" t="s">
        <v>249</v>
      </c>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row>
    <row r="15" spans="1:34">
      <c r="A15" s="116" t="s">
        <v>44</v>
      </c>
      <c r="B15" s="110" t="s">
        <v>10</v>
      </c>
      <c r="C15" s="117">
        <f>C14*2.5</f>
        <v>0.25</v>
      </c>
      <c r="D15" s="103"/>
      <c r="E15" s="100"/>
      <c r="F15" s="100"/>
      <c r="G15" s="100"/>
      <c r="H15" s="100"/>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row>
    <row r="16" spans="1:34">
      <c r="A16" s="116" t="s">
        <v>45</v>
      </c>
      <c r="B16" s="109" t="s">
        <v>28</v>
      </c>
      <c r="C16" s="291">
        <v>0.85</v>
      </c>
      <c r="D16" s="100"/>
      <c r="E16" s="105"/>
      <c r="F16" s="105"/>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row>
    <row r="17" spans="1:34">
      <c r="A17" s="116" t="s">
        <v>46</v>
      </c>
      <c r="B17" s="111" t="s">
        <v>7</v>
      </c>
      <c r="C17" s="291">
        <v>295</v>
      </c>
      <c r="D17" s="131" t="str">
        <f>IF(C17&lt;180,"Sarmiento method does not apply!","")</f>
        <v/>
      </c>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row>
    <row r="18" spans="1:34">
      <c r="A18" s="116" t="s">
        <v>47</v>
      </c>
      <c r="B18" s="109" t="s">
        <v>6</v>
      </c>
      <c r="C18" s="118">
        <f>Cashflow!AM6</f>
        <v>723.05</v>
      </c>
      <c r="D18" s="103"/>
      <c r="E18" s="100"/>
      <c r="F18" s="100"/>
      <c r="G18" s="100"/>
      <c r="H18" s="100"/>
      <c r="I18" s="100"/>
      <c r="J18" s="100"/>
      <c r="K18" s="100"/>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row>
    <row r="19" spans="1:34">
      <c r="A19" s="116" t="s">
        <v>48</v>
      </c>
      <c r="B19" s="110" t="s">
        <v>10</v>
      </c>
      <c r="C19" s="933">
        <v>0.13949999999999999</v>
      </c>
      <c r="D19" s="15">
        <f>0.95*E19</f>
        <v>0.13252499999999998</v>
      </c>
      <c r="E19" s="5">
        <f>($H$49+($H$48-$H$49)/($E$48-$E$49)*(C17-$E$49))/100</f>
        <v>0.13949999999999999</v>
      </c>
      <c r="F19" s="5">
        <f>1.05*E19</f>
        <v>0.14647499999999999</v>
      </c>
      <c r="G19" s="103"/>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row>
    <row r="20" spans="1:34">
      <c r="A20" s="116" t="s">
        <v>49</v>
      </c>
      <c r="B20" s="109" t="s">
        <v>28</v>
      </c>
      <c r="C20" s="118">
        <f>Cashflow!AM5/1000</f>
        <v>5.6325000000000003</v>
      </c>
      <c r="D20" s="103"/>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row>
    <row r="21" spans="1:34">
      <c r="A21" s="116" t="s">
        <v>50</v>
      </c>
      <c r="B21" s="109" t="s">
        <v>8</v>
      </c>
      <c r="C21" s="291">
        <f>Cashflow!AA19</f>
        <v>50</v>
      </c>
      <c r="D21" s="100"/>
      <c r="E21" s="100"/>
      <c r="F21" s="100"/>
      <c r="G21" s="100"/>
      <c r="H21" s="100"/>
      <c r="I21" s="100"/>
      <c r="J21" s="100"/>
      <c r="K21" s="100"/>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row>
    <row r="22" spans="1:34">
      <c r="A22" s="116" t="s">
        <v>62</v>
      </c>
      <c r="B22" s="110" t="s">
        <v>10</v>
      </c>
      <c r="C22" s="293">
        <v>0.95</v>
      </c>
      <c r="D22" s="100"/>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row>
    <row r="23" spans="1:34">
      <c r="A23" s="116" t="s">
        <v>51</v>
      </c>
      <c r="B23" s="111" t="s">
        <v>7</v>
      </c>
      <c r="C23" s="895">
        <f>Cashflow!AM8</f>
        <v>151.67804603364539</v>
      </c>
      <c r="D23" s="100"/>
      <c r="E23" s="100"/>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row>
    <row r="24" spans="1:34">
      <c r="A24" s="116" t="s">
        <v>63</v>
      </c>
      <c r="B24" s="109" t="s">
        <v>475</v>
      </c>
      <c r="C24" s="119">
        <f>C11*10^6*C12*((C13*C16*(1-C14)*(C17-C23))+(C14*C18*C20*(C17-C23)))/10^15</f>
        <v>13.942543829059533</v>
      </c>
      <c r="D24" s="100"/>
      <c r="E24" s="100"/>
      <c r="F24" s="100"/>
      <c r="G24" s="100"/>
      <c r="H24" s="100"/>
      <c r="I24" s="100"/>
      <c r="J24" s="100"/>
      <c r="K24" s="100"/>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row>
    <row r="25" spans="1:34" ht="15" thickBot="1">
      <c r="A25" s="120" t="s">
        <v>65</v>
      </c>
      <c r="B25" s="121" t="s">
        <v>9</v>
      </c>
      <c r="C25" s="122">
        <f>C24*C15*C19/(C22*C21*364.25*24*3600)*10^12</f>
        <v>325.27397884144108</v>
      </c>
      <c r="D25" s="100"/>
      <c r="E25" s="100"/>
      <c r="F25" s="100"/>
      <c r="G25" s="100"/>
      <c r="H25" s="100"/>
      <c r="I25" s="100"/>
      <c r="J25" s="100"/>
      <c r="K25" s="100"/>
      <c r="L25" s="100"/>
      <c r="M25" s="100"/>
      <c r="N25" s="100"/>
      <c r="O25" s="100"/>
      <c r="P25" s="100"/>
      <c r="Q25" s="100"/>
      <c r="R25" s="100"/>
      <c r="S25" s="100"/>
      <c r="T25" s="100"/>
      <c r="U25" s="100"/>
      <c r="V25" s="100"/>
      <c r="W25" s="100"/>
      <c r="X25" s="100"/>
      <c r="Y25" s="100"/>
      <c r="Z25" s="100"/>
      <c r="AA25" s="100"/>
      <c r="AB25" s="100"/>
      <c r="AC25" s="100"/>
      <c r="AD25" s="100"/>
      <c r="AE25" s="100"/>
      <c r="AF25" s="100"/>
      <c r="AG25" s="100"/>
      <c r="AH25" s="100"/>
    </row>
    <row r="26" spans="1:34">
      <c r="A26" s="100"/>
      <c r="B26" s="100"/>
      <c r="C26" s="100"/>
      <c r="D26" s="103"/>
      <c r="E26" s="100"/>
      <c r="F26" s="100"/>
      <c r="G26" s="100"/>
      <c r="H26" s="100"/>
      <c r="I26" s="100"/>
      <c r="J26" s="100"/>
      <c r="K26" s="100"/>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row>
    <row r="27" spans="1:34">
      <c r="A27" s="100"/>
      <c r="B27" s="100"/>
      <c r="C27" s="100"/>
      <c r="D27" s="100"/>
      <c r="E27" s="100"/>
      <c r="F27" s="100"/>
      <c r="G27" s="100"/>
      <c r="H27" s="100"/>
      <c r="I27" s="100"/>
      <c r="J27" s="100"/>
      <c r="K27" s="100"/>
      <c r="L27" s="100"/>
      <c r="M27" s="100"/>
      <c r="N27" s="100"/>
      <c r="O27" s="100"/>
      <c r="P27" s="100"/>
      <c r="Q27" s="100"/>
      <c r="R27" s="100"/>
      <c r="S27" s="100"/>
      <c r="T27" s="100"/>
      <c r="U27" s="100"/>
      <c r="V27" s="100"/>
      <c r="W27" s="100"/>
      <c r="X27" s="100"/>
      <c r="Y27" s="100"/>
      <c r="Z27" s="100"/>
      <c r="AA27" s="100"/>
      <c r="AB27" s="100"/>
      <c r="AC27" s="100"/>
      <c r="AD27" s="100"/>
      <c r="AE27" s="100"/>
      <c r="AF27" s="100"/>
      <c r="AG27" s="100"/>
      <c r="AH27" s="100"/>
    </row>
    <row r="28" spans="1:34">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row>
    <row r="29" spans="1:34">
      <c r="A29" s="100"/>
      <c r="B29" s="100"/>
      <c r="C29" s="100"/>
      <c r="D29" s="100"/>
      <c r="E29" s="100"/>
      <c r="F29" s="100"/>
      <c r="G29" s="100"/>
      <c r="H29" s="100"/>
      <c r="I29" s="100"/>
      <c r="J29" s="100"/>
      <c r="K29" s="10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row>
    <row r="30" spans="1:34">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row>
    <row r="31" spans="1:34">
      <c r="A31" s="100"/>
      <c r="B31" s="100"/>
      <c r="C31" s="100"/>
      <c r="D31" s="100"/>
      <c r="E31" s="100"/>
      <c r="F31" s="100"/>
      <c r="G31" s="100"/>
      <c r="H31" s="100"/>
      <c r="I31" s="100"/>
      <c r="J31" s="100"/>
      <c r="K31" s="100"/>
      <c r="L31" s="100"/>
      <c r="M31" s="100"/>
      <c r="N31" s="100"/>
      <c r="O31" s="100"/>
      <c r="P31" s="100"/>
      <c r="Q31" s="100"/>
      <c r="R31" s="100"/>
      <c r="S31" s="100"/>
      <c r="T31" s="100"/>
      <c r="U31" s="100"/>
      <c r="V31" s="100"/>
      <c r="W31" s="100"/>
      <c r="X31" s="100"/>
      <c r="Y31" s="100"/>
      <c r="Z31" s="100"/>
      <c r="AA31" s="100"/>
      <c r="AB31" s="100"/>
      <c r="AC31" s="100"/>
      <c r="AD31" s="100"/>
      <c r="AE31" s="100"/>
      <c r="AF31" s="100"/>
      <c r="AG31" s="100"/>
      <c r="AH31" s="100"/>
    </row>
    <row r="32" spans="1:34">
      <c r="A32" s="100"/>
      <c r="B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row>
    <row r="33" spans="1:34">
      <c r="A33" s="100"/>
      <c r="B33" s="100"/>
      <c r="C33" s="100"/>
      <c r="D33" s="100"/>
      <c r="E33" s="100"/>
      <c r="F33" s="100"/>
      <c r="G33" s="100"/>
      <c r="H33" s="100"/>
      <c r="I33" s="100"/>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row>
    <row r="34" spans="1:34">
      <c r="A34" s="100"/>
      <c r="B34" s="100"/>
      <c r="C34" s="100"/>
      <c r="D34" s="100"/>
      <c r="E34" s="100"/>
      <c r="F34" s="100"/>
      <c r="G34" s="100"/>
      <c r="H34" s="100"/>
      <c r="I34" s="100"/>
      <c r="J34" s="100"/>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row>
    <row r="35" spans="1:34">
      <c r="A35" s="100"/>
      <c r="B35" s="100"/>
      <c r="C35" s="100"/>
      <c r="D35" s="100"/>
      <c r="E35" s="100"/>
      <c r="F35" s="100"/>
      <c r="G35" s="100"/>
      <c r="H35" s="100"/>
      <c r="I35" s="100"/>
      <c r="J35" s="100"/>
      <c r="K35" s="100"/>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row>
    <row r="36" spans="1:34">
      <c r="A36" s="100"/>
      <c r="B36" s="100"/>
      <c r="C36" s="100"/>
      <c r="D36" s="100"/>
      <c r="E36" s="100"/>
      <c r="F36" s="100"/>
      <c r="G36" s="100"/>
      <c r="H36" s="100"/>
      <c r="I36" s="100"/>
      <c r="J36" s="100"/>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row>
    <row r="37" spans="1:34">
      <c r="A37" s="100"/>
      <c r="B37" s="100"/>
      <c r="C37" s="100"/>
      <c r="D37" s="100"/>
      <c r="E37" s="100"/>
      <c r="F37" s="100"/>
      <c r="G37" s="100"/>
      <c r="H37" s="100"/>
      <c r="I37" s="100"/>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row>
    <row r="38" spans="1:34">
      <c r="A38" s="100"/>
      <c r="B38" s="100"/>
      <c r="C38" s="100"/>
      <c r="D38" s="100"/>
      <c r="E38" s="100"/>
      <c r="F38" s="100"/>
      <c r="G38" s="100"/>
      <c r="H38" s="100"/>
      <c r="I38" s="100"/>
      <c r="J38" s="100"/>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row>
    <row r="39" spans="1:34">
      <c r="A39" s="100"/>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row>
    <row r="40" spans="1:34">
      <c r="A40" s="100"/>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row>
    <row r="41" spans="1:34">
      <c r="A41" s="100"/>
      <c r="B41" s="100"/>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row>
    <row r="42" spans="1:34">
      <c r="A42" s="100"/>
      <c r="B42" s="100"/>
      <c r="C42" s="100"/>
      <c r="D42" s="100"/>
      <c r="E42" s="100"/>
      <c r="F42" s="10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row>
    <row r="43" spans="1:34">
      <c r="A43" s="100"/>
      <c r="B43" s="100"/>
      <c r="C43" s="100"/>
      <c r="D43" s="100"/>
      <c r="E43" s="100"/>
      <c r="F43" s="100"/>
      <c r="G43" s="100"/>
      <c r="H43" s="100"/>
      <c r="I43" s="100"/>
      <c r="J43" s="100"/>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row>
    <row r="44" spans="1:34">
      <c r="A44" s="100"/>
      <c r="B44" s="100"/>
      <c r="C44" s="100"/>
      <c r="D44" s="100"/>
      <c r="E44" s="100"/>
      <c r="F44" s="100"/>
      <c r="G44" s="100"/>
      <c r="H44" s="100"/>
      <c r="I44" s="100"/>
      <c r="J44" s="100"/>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row>
    <row r="45" spans="1:34">
      <c r="A45" s="106" t="s">
        <v>38</v>
      </c>
      <c r="B45" s="100"/>
      <c r="C45" s="100"/>
      <c r="D45" s="100"/>
      <c r="E45" s="100"/>
      <c r="F45" s="100"/>
      <c r="G45" s="100"/>
      <c r="H45" s="100"/>
      <c r="I45" s="100"/>
      <c r="J45" s="100"/>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row>
    <row r="46" spans="1:34">
      <c r="A46" s="100" t="s">
        <v>36</v>
      </c>
      <c r="B46" s="100"/>
      <c r="C46" s="100"/>
      <c r="D46" s="103" t="s">
        <v>37</v>
      </c>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c r="AC46" s="100"/>
      <c r="AD46" s="100"/>
      <c r="AE46" s="100"/>
      <c r="AF46" s="100"/>
      <c r="AG46" s="100"/>
      <c r="AH46" s="100"/>
    </row>
    <row r="47" spans="1:34">
      <c r="A47" s="103" t="s">
        <v>39</v>
      </c>
      <c r="B47" s="100"/>
      <c r="C47" s="100"/>
      <c r="D47" s="107" t="s">
        <v>35</v>
      </c>
      <c r="E47" s="5">
        <f>($H$49+($H$48-$H$49)/($E$48-$E$49)*(C17-$E$49))/100</f>
        <v>0.13949999999999999</v>
      </c>
      <c r="F47" s="100"/>
      <c r="G47" s="100"/>
      <c r="H47" s="100"/>
      <c r="I47" s="100"/>
      <c r="J47" s="100"/>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row>
    <row r="48" spans="1:34">
      <c r="A48" s="100"/>
      <c r="B48" s="100"/>
      <c r="C48" s="100"/>
      <c r="D48" s="107" t="s">
        <v>30</v>
      </c>
      <c r="E48" s="3">
        <v>300</v>
      </c>
      <c r="F48" s="108" t="s">
        <v>7</v>
      </c>
      <c r="G48" s="107" t="s">
        <v>31</v>
      </c>
      <c r="H48" s="3">
        <v>14.2</v>
      </c>
      <c r="I48" s="100" t="s">
        <v>34</v>
      </c>
      <c r="J48" s="100"/>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row>
    <row r="49" spans="1:34">
      <c r="A49" s="100"/>
      <c r="B49" s="100"/>
      <c r="C49" s="100"/>
      <c r="D49" s="107" t="s">
        <v>32</v>
      </c>
      <c r="E49" s="3">
        <v>200</v>
      </c>
      <c r="F49" s="108" t="s">
        <v>7</v>
      </c>
      <c r="G49" s="107" t="s">
        <v>33</v>
      </c>
      <c r="H49" s="3">
        <v>9.1999999999999993</v>
      </c>
      <c r="I49" s="100" t="s">
        <v>34</v>
      </c>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row>
    <row r="50" spans="1:34">
      <c r="A50" s="100"/>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row>
    <row r="51" spans="1:34">
      <c r="A51" s="100"/>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row>
    <row r="52" spans="1:34">
      <c r="A52" s="100"/>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row>
    <row r="53" spans="1:34">
      <c r="A53" s="100"/>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row>
    <row r="54" spans="1:34">
      <c r="A54" s="100"/>
      <c r="B54" s="100"/>
      <c r="C54" s="100"/>
      <c r="D54" s="103" t="s">
        <v>392</v>
      </c>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row>
    <row r="55" spans="1:34">
      <c r="A55" s="100"/>
      <c r="B55" s="100"/>
      <c r="C55" s="100"/>
      <c r="D55" s="107" t="s">
        <v>393</v>
      </c>
      <c r="E55" s="5">
        <f>(($H$56-$H$57)/($E$56-$E$57))/100</f>
        <v>2.5000000000000001E-2</v>
      </c>
      <c r="F55" s="100"/>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row>
    <row r="56" spans="1:34">
      <c r="A56" s="100"/>
      <c r="B56" s="100"/>
      <c r="C56" s="100"/>
      <c r="D56" s="107" t="s">
        <v>30</v>
      </c>
      <c r="E56" s="3">
        <v>20</v>
      </c>
      <c r="F56" s="100" t="s">
        <v>34</v>
      </c>
      <c r="G56" s="107" t="s">
        <v>31</v>
      </c>
      <c r="H56" s="3">
        <v>50</v>
      </c>
      <c r="I56" s="100" t="s">
        <v>34</v>
      </c>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row>
    <row r="57" spans="1:34">
      <c r="A57" s="100"/>
      <c r="B57" s="100"/>
      <c r="C57" s="100"/>
      <c r="D57" s="107" t="s">
        <v>32</v>
      </c>
      <c r="E57" s="3">
        <v>0</v>
      </c>
      <c r="F57" s="100" t="s">
        <v>34</v>
      </c>
      <c r="G57" s="107" t="s">
        <v>33</v>
      </c>
      <c r="H57" s="3">
        <v>0</v>
      </c>
      <c r="I57" s="100" t="s">
        <v>34</v>
      </c>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row>
    <row r="58" spans="1:34">
      <c r="A58" s="100"/>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row>
    <row r="59" spans="1:34">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row>
    <row r="60" spans="1:34">
      <c r="A60" s="100"/>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row>
    <row r="61" spans="1:34">
      <c r="A61" s="100"/>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row>
    <row r="62" spans="1:34">
      <c r="A62" s="100"/>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row>
    <row r="63" spans="1:34">
      <c r="A63" s="100"/>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row>
    <row r="64" spans="1:34">
      <c r="A64" s="100"/>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row>
    <row r="65" spans="1:34">
      <c r="A65" s="100"/>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row>
    <row r="66" spans="1:34">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row>
    <row r="67" spans="1:34">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row>
    <row r="68" spans="1:34">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row>
    <row r="69" spans="1:34">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row>
    <row r="70" spans="1:34">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row>
    <row r="71" spans="1:34">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row>
  </sheetData>
  <conditionalFormatting sqref="E12">
    <cfRule type="cellIs" dxfId="9" priority="4" stopIfTrue="1" operator="equal">
      <formula>0</formula>
    </cfRule>
  </conditionalFormatting>
  <conditionalFormatting sqref="C12">
    <cfRule type="cellIs" dxfId="8" priority="3" stopIfTrue="1" operator="equal">
      <formula>0</formula>
    </cfRule>
  </conditionalFormatting>
  <conditionalFormatting sqref="C11">
    <cfRule type="cellIs" dxfId="7" priority="2" stopIfTrue="1" operator="equal">
      <formula>0</formula>
    </cfRule>
  </conditionalFormatting>
  <conditionalFormatting sqref="C9">
    <cfRule type="cellIs" dxfId="6" priority="1" stopIfTrue="1" operator="equal">
      <formula>0</formula>
    </cfRule>
  </conditionalFormatting>
  <pageMargins left="0.7" right="0.7" top="0.75" bottom="0.75" header="0.3" footer="0.3"/>
  <pageSetup paperSize="9" scale="37" orientation="landscape" r:id="rId1"/>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66FFFF"/>
    <pageSetUpPr fitToPage="1"/>
  </sheetPr>
  <dimension ref="A1:AR1007"/>
  <sheetViews>
    <sheetView workbookViewId="0"/>
  </sheetViews>
  <sheetFormatPr defaultRowHeight="14.4"/>
  <cols>
    <col min="22" max="22" width="11.5546875" customWidth="1"/>
  </cols>
  <sheetData>
    <row r="1" spans="1:44">
      <c r="A1" s="100"/>
      <c r="B1" s="100" t="s">
        <v>872</v>
      </c>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row>
    <row r="2" spans="1:44">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row>
    <row r="3" spans="1:44">
      <c r="A3" s="100"/>
      <c r="B3" s="100"/>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row>
    <row r="4" spans="1:44">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row>
    <row r="5" spans="1:44">
      <c r="A5" s="100"/>
      <c r="B5" s="100"/>
      <c r="C5" s="100"/>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row>
    <row r="6" spans="1:44">
      <c r="A6" s="100"/>
      <c r="B6" s="100"/>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row>
    <row r="7" spans="1:44">
      <c r="A7" s="100"/>
      <c r="B7" s="100"/>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row>
    <row r="8" spans="1:44">
      <c r="A8" s="100"/>
      <c r="B8" s="100"/>
      <c r="C8" s="100"/>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row>
    <row r="9" spans="1:44">
      <c r="A9" s="100"/>
      <c r="B9" s="100"/>
      <c r="C9" s="100"/>
      <c r="D9" s="100"/>
      <c r="E9" s="100"/>
      <c r="F9" s="100"/>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row>
    <row r="10" spans="1:44">
      <c r="A10" s="100"/>
      <c r="B10" s="100"/>
      <c r="C10" s="100"/>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row>
    <row r="11" spans="1:44">
      <c r="A11" s="100"/>
      <c r="B11" s="100"/>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row>
    <row r="12" spans="1:44">
      <c r="A12" s="100"/>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row>
    <row r="13" spans="1:44">
      <c r="A13" s="100"/>
      <c r="B13" s="100"/>
      <c r="C13" s="100"/>
      <c r="D13" s="100"/>
      <c r="E13" s="100"/>
      <c r="F13" s="100"/>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row>
    <row r="14" spans="1:44">
      <c r="A14" s="100"/>
      <c r="B14" s="100"/>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row>
    <row r="15" spans="1:44">
      <c r="A15" s="100"/>
      <c r="B15" s="100"/>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row>
    <row r="16" spans="1:44">
      <c r="A16" s="100"/>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row>
    <row r="17" spans="1:44">
      <c r="A17" s="100"/>
      <c r="B17" s="100"/>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row>
    <row r="18" spans="1:44">
      <c r="A18" s="100"/>
      <c r="B18" s="100"/>
      <c r="C18" s="100"/>
      <c r="D18" s="100"/>
      <c r="E18" s="100"/>
      <c r="F18" s="100"/>
      <c r="G18" s="100"/>
      <c r="H18" s="100"/>
      <c r="I18" s="100"/>
      <c r="J18" s="100"/>
      <c r="K18" s="100"/>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row>
    <row r="19" spans="1:44">
      <c r="A19" s="100"/>
      <c r="B19" s="100"/>
      <c r="C19" s="100"/>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row>
    <row r="20" spans="1:44">
      <c r="A20" s="100"/>
      <c r="B20" s="100"/>
      <c r="C20" s="100"/>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row>
    <row r="21" spans="1:44">
      <c r="A21" s="100"/>
      <c r="B21" s="100"/>
      <c r="C21" s="100"/>
      <c r="D21" s="100"/>
      <c r="E21" s="100"/>
      <c r="F21" s="100"/>
      <c r="G21" s="100"/>
      <c r="H21" s="100"/>
      <c r="I21" s="100"/>
      <c r="J21" s="100"/>
      <c r="K21" s="100"/>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row>
    <row r="22" spans="1:44">
      <c r="A22" s="100"/>
      <c r="B22" s="100"/>
      <c r="C22" s="100"/>
      <c r="D22" s="100"/>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row>
    <row r="23" spans="1:44">
      <c r="A23" s="100"/>
      <c r="B23" s="100"/>
      <c r="C23" s="100"/>
      <c r="D23" s="100"/>
      <c r="E23" s="100"/>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row>
    <row r="24" spans="1:44">
      <c r="A24" s="100"/>
      <c r="B24" s="100"/>
      <c r="C24" s="100"/>
      <c r="D24" s="100"/>
      <c r="E24" s="100"/>
      <c r="F24" s="100"/>
      <c r="G24" s="100"/>
      <c r="H24" s="100"/>
      <c r="I24" s="100"/>
      <c r="J24" s="100"/>
      <c r="K24" s="100"/>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row>
    <row r="25" spans="1:44">
      <c r="A25" s="100"/>
      <c r="B25" s="100"/>
      <c r="C25" s="100"/>
      <c r="D25" s="100"/>
      <c r="E25" s="100"/>
      <c r="F25" s="100"/>
      <c r="G25" s="100"/>
      <c r="H25" s="100"/>
      <c r="I25" s="100"/>
      <c r="J25" s="100"/>
      <c r="K25" s="100"/>
      <c r="L25" s="100"/>
      <c r="M25" s="100"/>
      <c r="N25" s="100"/>
      <c r="O25" s="100"/>
      <c r="P25" s="100"/>
      <c r="Q25" s="100"/>
      <c r="R25" s="100"/>
      <c r="S25" s="100"/>
      <c r="T25" s="100"/>
      <c r="U25" s="100"/>
      <c r="V25" s="100"/>
      <c r="W25" s="100"/>
      <c r="X25" s="100"/>
      <c r="Y25" s="100"/>
      <c r="Z25" s="100"/>
      <c r="AA25" s="100"/>
      <c r="AB25" s="100"/>
      <c r="AC25" s="100"/>
      <c r="AD25" s="100"/>
      <c r="AE25" s="100"/>
      <c r="AF25" s="100"/>
      <c r="AG25" s="100"/>
      <c r="AH25" s="100"/>
      <c r="AI25" s="100"/>
      <c r="AJ25" s="100"/>
      <c r="AK25" s="100"/>
      <c r="AL25" s="100"/>
      <c r="AM25" s="100"/>
      <c r="AN25" s="100"/>
      <c r="AO25" s="100"/>
      <c r="AP25" s="100"/>
      <c r="AQ25" s="100"/>
      <c r="AR25" s="100"/>
    </row>
    <row r="26" spans="1:44">
      <c r="A26" s="100"/>
      <c r="B26" s="100"/>
      <c r="C26" s="100"/>
      <c r="D26" s="100"/>
      <c r="E26" s="100"/>
      <c r="F26" s="100"/>
      <c r="G26" s="100"/>
      <c r="H26" s="100"/>
      <c r="I26" s="100"/>
      <c r="J26" s="100"/>
      <c r="K26" s="100"/>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row>
    <row r="27" spans="1:44">
      <c r="A27" s="100"/>
      <c r="B27" s="100"/>
      <c r="C27" s="100"/>
      <c r="D27" s="100"/>
      <c r="E27" s="100"/>
      <c r="F27" s="100"/>
      <c r="G27" s="100"/>
      <c r="H27" s="100"/>
      <c r="I27" s="100"/>
      <c r="J27" s="100"/>
      <c r="K27" s="100"/>
      <c r="L27" s="10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row>
    <row r="28" spans="1:44">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row>
    <row r="29" spans="1:44">
      <c r="A29" s="100"/>
      <c r="B29" s="100"/>
      <c r="C29" s="100"/>
      <c r="D29" s="100"/>
      <c r="E29" s="100"/>
      <c r="F29" s="100"/>
      <c r="G29" s="100"/>
      <c r="H29" s="100"/>
      <c r="I29" s="100"/>
      <c r="J29" s="100"/>
      <c r="K29" s="10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row>
    <row r="30" spans="1:44">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row>
    <row r="31" spans="1:44">
      <c r="A31" s="100"/>
      <c r="B31" s="100"/>
      <c r="C31" s="100"/>
      <c r="D31" s="100"/>
      <c r="E31" s="100"/>
      <c r="F31" s="100"/>
      <c r="G31" s="100"/>
      <c r="H31" s="100"/>
      <c r="I31" s="100"/>
      <c r="J31" s="100"/>
      <c r="K31" s="100"/>
      <c r="L31" s="100"/>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row>
    <row r="32" spans="1:44">
      <c r="A32" s="100"/>
      <c r="B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row>
    <row r="33" spans="1:44">
      <c r="A33" s="100"/>
      <c r="B33" s="100"/>
      <c r="C33" s="100"/>
      <c r="D33" s="100"/>
      <c r="E33" s="100"/>
      <c r="F33" s="100"/>
      <c r="G33" s="100"/>
      <c r="H33" s="100"/>
      <c r="I33" s="100"/>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row>
    <row r="34" spans="1:44">
      <c r="A34" s="100"/>
      <c r="B34" s="100"/>
      <c r="C34" s="100"/>
      <c r="D34" s="100"/>
      <c r="E34" s="100"/>
      <c r="F34" s="100"/>
      <c r="G34" s="100"/>
      <c r="H34" s="100"/>
      <c r="I34" s="100"/>
      <c r="J34" s="100"/>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row>
    <row r="35" spans="1:44">
      <c r="A35" s="100"/>
      <c r="B35" s="100"/>
      <c r="C35" s="100"/>
      <c r="D35" s="100"/>
      <c r="E35" s="100"/>
      <c r="F35" s="100"/>
      <c r="G35" s="100"/>
      <c r="H35" s="100"/>
      <c r="I35" s="100"/>
      <c r="J35" s="100"/>
      <c r="K35" s="100"/>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row>
    <row r="36" spans="1:44">
      <c r="A36" s="100"/>
      <c r="B36" s="100"/>
      <c r="C36" s="100"/>
      <c r="D36" s="100"/>
      <c r="E36" s="100"/>
      <c r="F36" s="100"/>
      <c r="G36" s="100"/>
      <c r="H36" s="100"/>
      <c r="I36" s="100"/>
      <c r="J36" s="100"/>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row>
    <row r="37" spans="1:44">
      <c r="A37" s="100"/>
      <c r="B37" s="100"/>
      <c r="C37" s="100"/>
      <c r="D37" s="100"/>
      <c r="E37" s="100"/>
      <c r="F37" s="100"/>
      <c r="G37" s="100"/>
      <c r="H37" s="100"/>
      <c r="I37" s="100"/>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row>
    <row r="38" spans="1:44">
      <c r="A38" s="100"/>
      <c r="B38" s="100"/>
      <c r="C38" s="100"/>
      <c r="D38" s="100"/>
      <c r="E38" s="100"/>
      <c r="F38" s="100"/>
      <c r="G38" s="100"/>
      <c r="H38" s="100"/>
      <c r="I38" s="100"/>
      <c r="J38" s="100"/>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row>
    <row r="39" spans="1:44">
      <c r="A39" s="100"/>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row>
    <row r="40" spans="1:44">
      <c r="A40" s="100"/>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row>
    <row r="41" spans="1:44">
      <c r="A41" s="100"/>
      <c r="B41" s="100"/>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row>
    <row r="42" spans="1:44">
      <c r="A42" s="100"/>
      <c r="B42" s="100"/>
      <c r="C42" s="100"/>
      <c r="D42" s="100"/>
      <c r="E42" s="100"/>
      <c r="F42" s="10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row>
    <row r="43" spans="1:44">
      <c r="A43" s="100"/>
      <c r="B43" s="100"/>
      <c r="C43" s="100"/>
      <c r="D43" s="100"/>
      <c r="E43" s="100"/>
      <c r="F43" s="100"/>
      <c r="G43" s="100"/>
      <c r="H43" s="100"/>
      <c r="I43" s="100"/>
      <c r="J43" s="100"/>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row>
    <row r="44" spans="1:44">
      <c r="A44" s="100"/>
      <c r="B44" s="100"/>
      <c r="C44" s="100"/>
      <c r="D44" s="100"/>
      <c r="E44" s="100"/>
      <c r="F44" s="100"/>
      <c r="G44" s="100"/>
      <c r="H44" s="100"/>
      <c r="I44" s="100"/>
      <c r="J44" s="100"/>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row>
    <row r="45" spans="1:44">
      <c r="A45" s="100"/>
      <c r="B45" s="100"/>
      <c r="C45" s="100"/>
      <c r="D45" s="100"/>
      <c r="E45" s="100"/>
      <c r="F45" s="100"/>
      <c r="G45" s="100"/>
      <c r="H45" s="100"/>
      <c r="I45" s="100"/>
      <c r="J45" s="100"/>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row>
    <row r="46" spans="1:44">
      <c r="A46" s="100"/>
      <c r="B46" s="100"/>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row>
    <row r="47" spans="1:44">
      <c r="A47" s="100"/>
      <c r="B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row>
    <row r="48" spans="1:44">
      <c r="A48" s="100"/>
      <c r="B48" s="100"/>
      <c r="C48" s="100"/>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row>
    <row r="49" spans="1:44">
      <c r="A49" s="100"/>
      <c r="B49" s="100"/>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row>
    <row r="50" spans="1:44">
      <c r="A50" s="100"/>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row>
    <row r="51" spans="1:44">
      <c r="A51" s="100"/>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row>
    <row r="52" spans="1:44">
      <c r="A52" s="100"/>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row>
    <row r="53" spans="1:44">
      <c r="A53" s="100"/>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row>
    <row r="54" spans="1:44">
      <c r="A54" s="100"/>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row>
    <row r="55" spans="1:44">
      <c r="A55" s="100"/>
      <c r="B55" s="100"/>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row>
    <row r="56" spans="1:44">
      <c r="A56" s="100"/>
      <c r="B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row>
    <row r="57" spans="1:44" ht="30" customHeight="1">
      <c r="A57" s="100"/>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row>
    <row r="58" spans="1:44">
      <c r="A58" s="100"/>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row>
    <row r="59" spans="1:44">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row>
    <row r="60" spans="1:44">
      <c r="A60" s="100"/>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row>
    <row r="61" spans="1:44">
      <c r="A61" s="100"/>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row>
    <row r="62" spans="1:44">
      <c r="A62" s="100"/>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row>
    <row r="63" spans="1:44">
      <c r="A63" s="100"/>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row>
    <row r="64" spans="1:44">
      <c r="A64" s="100"/>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row>
    <row r="65" spans="1:44">
      <c r="A65" s="100"/>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row>
    <row r="66" spans="1:44">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row>
    <row r="67" spans="1:44">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row>
    <row r="68" spans="1:44">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row>
    <row r="69" spans="1:44">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row>
    <row r="70" spans="1:44">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row>
    <row r="71" spans="1:44">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row>
    <row r="72" spans="1:44">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row>
    <row r="73" spans="1:44">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row>
    <row r="74" spans="1:44">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row>
    <row r="75" spans="1:44">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row>
    <row r="76" spans="1:44">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row>
    <row r="77" spans="1:44">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row>
    <row r="78" spans="1:44">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row>
    <row r="79" spans="1:44">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row>
    <row r="80" spans="1:44">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row>
    <row r="81" spans="1:44">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row>
    <row r="82" spans="1:44" ht="15" customHeight="1">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row>
    <row r="83" spans="1:44">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row>
    <row r="84" spans="1:44">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row>
    <row r="85" spans="1:44">
      <c r="A85" s="100"/>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row>
    <row r="86" spans="1:44">
      <c r="A86" s="100"/>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row>
    <row r="87" spans="1:44">
      <c r="A87" s="100"/>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row>
    <row r="88" spans="1:44">
      <c r="A88" s="100"/>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row>
    <row r="89" spans="1:44">
      <c r="A89" s="100"/>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row>
    <row r="90" spans="1:44">
      <c r="A90" s="100"/>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row>
    <row r="91" spans="1:44">
      <c r="A91" s="100"/>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row>
    <row r="92" spans="1:44">
      <c r="A92" s="100"/>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row>
    <row r="93" spans="1:44">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row>
    <row r="94" spans="1:44">
      <c r="A94" s="100"/>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row>
    <row r="95" spans="1:44">
      <c r="A95" s="100"/>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row>
    <row r="96" spans="1:44">
      <c r="A96" s="100"/>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row>
    <row r="97" spans="1:44">
      <c r="A97" s="100"/>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row>
    <row r="98" spans="1:44">
      <c r="A98" s="100"/>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row>
    <row r="99" spans="1:44">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row>
    <row r="100" spans="1:44" ht="15" customHeight="1">
      <c r="A100" s="100"/>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row>
    <row r="101" spans="1:44">
      <c r="A101" s="100"/>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row>
    <row r="102" spans="1:44">
      <c r="A102" s="100"/>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row>
    <row r="103" spans="1:44">
      <c r="A103" s="100"/>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row>
    <row r="104" spans="1:44">
      <c r="A104" s="100"/>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row>
    <row r="105" spans="1:44">
      <c r="A105" s="100"/>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row>
    <row r="106" spans="1:44">
      <c r="A106" s="100"/>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row>
    <row r="107" spans="1:44">
      <c r="A107" s="100"/>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row>
    <row r="108" spans="1:44">
      <c r="A108" s="100"/>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row>
    <row r="109" spans="1:44">
      <c r="A109" s="100"/>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row>
    <row r="110" spans="1:44">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row>
    <row r="111" spans="1:44">
      <c r="A111" s="100"/>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row>
    <row r="112" spans="1:44">
      <c r="A112" s="100"/>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row>
    <row r="113" spans="1:44">
      <c r="A113" s="100"/>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row>
    <row r="114" spans="1:44">
      <c r="A114" s="100"/>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row>
    <row r="115" spans="1:44">
      <c r="A115" s="100"/>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row>
    <row r="116" spans="1:44">
      <c r="A116" s="100"/>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row>
    <row r="117" spans="1:44">
      <c r="A117" s="100"/>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row>
    <row r="118" spans="1:44">
      <c r="A118" s="100"/>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row>
    <row r="119" spans="1:44">
      <c r="A119" s="100"/>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row>
    <row r="120" spans="1:44">
      <c r="A120" s="100"/>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row>
    <row r="121" spans="1:44">
      <c r="A121" s="100"/>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row>
    <row r="122" spans="1:44">
      <c r="A122" s="100"/>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row>
    <row r="123" spans="1:44">
      <c r="A123" s="100"/>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row>
    <row r="124" spans="1:44">
      <c r="A124" s="100"/>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row>
    <row r="125" spans="1:44">
      <c r="A125" s="100"/>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row>
    <row r="126" spans="1:44">
      <c r="A126" s="100"/>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row>
    <row r="127" spans="1:44">
      <c r="A127" s="100"/>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row>
    <row r="128" spans="1:44">
      <c r="A128" s="100"/>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row>
    <row r="129" spans="1:44">
      <c r="A129" s="100"/>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row>
    <row r="130" spans="1:44">
      <c r="A130" s="100"/>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row>
    <row r="131" spans="1:44">
      <c r="A131" s="100"/>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row>
    <row r="132" spans="1:44">
      <c r="A132" s="100"/>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row>
    <row r="133" spans="1:44">
      <c r="A133" s="100"/>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row>
    <row r="134" spans="1:44">
      <c r="A134" s="100"/>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row>
    <row r="135" spans="1:44">
      <c r="A135" s="100"/>
      <c r="B135" s="100"/>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row>
    <row r="136" spans="1:44">
      <c r="A136" s="100"/>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row>
    <row r="137" spans="1:44">
      <c r="A137" s="100"/>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row>
    <row r="138" spans="1:44">
      <c r="A138" s="100"/>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row>
    <row r="139" spans="1:44">
      <c r="A139" s="100"/>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row>
    <row r="140" spans="1:44">
      <c r="A140" s="100"/>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row>
    <row r="141" spans="1:44">
      <c r="A141" s="100"/>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row>
    <row r="142" spans="1:44">
      <c r="A142" s="100"/>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row>
    <row r="143" spans="1:44">
      <c r="A143" s="100"/>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row>
    <row r="144" spans="1:44">
      <c r="A144" s="100"/>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row>
    <row r="145" spans="1:44">
      <c r="A145" s="100"/>
      <c r="B145" s="100"/>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row>
    <row r="146" spans="1:44">
      <c r="A146" s="100"/>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row>
    <row r="147" spans="1:44">
      <c r="A147" s="100"/>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row>
    <row r="148" spans="1:44">
      <c r="A148" s="100"/>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row>
    <row r="149" spans="1:44">
      <c r="A149" s="100"/>
      <c r="B149" s="100"/>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row>
    <row r="150" spans="1:44">
      <c r="A150" s="100"/>
      <c r="B150" s="100"/>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row>
    <row r="151" spans="1:44">
      <c r="A151" s="100"/>
      <c r="B151" s="100"/>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row>
    <row r="152" spans="1:44">
      <c r="A152" s="100"/>
      <c r="B152" s="100"/>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row>
    <row r="153" spans="1:44">
      <c r="A153" s="100"/>
      <c r="B153" s="100"/>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row>
    <row r="154" spans="1:44">
      <c r="A154" s="100"/>
      <c r="B154" s="100"/>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row>
    <row r="155" spans="1:44">
      <c r="A155" s="100"/>
      <c r="B155" s="100"/>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row>
    <row r="156" spans="1:44">
      <c r="A156" s="100"/>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row>
    <row r="157" spans="1:44">
      <c r="A157" s="100"/>
      <c r="B157" s="100"/>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row>
    <row r="158" spans="1:44">
      <c r="A158" s="100"/>
      <c r="B158" s="100"/>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row>
    <row r="159" spans="1:44">
      <c r="A159" s="100"/>
      <c r="B159" s="100"/>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row>
    <row r="160" spans="1:44">
      <c r="A160" s="100"/>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row>
    <row r="161" spans="1:44">
      <c r="A161" s="100"/>
      <c r="B161" s="100"/>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row>
    <row r="162" spans="1:44">
      <c r="A162" s="100"/>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row>
    <row r="163" spans="1:44">
      <c r="A163" s="100"/>
      <c r="B163" s="100"/>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row>
    <row r="164" spans="1:44">
      <c r="A164" s="100"/>
      <c r="B164" s="100"/>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row>
    <row r="165" spans="1:44">
      <c r="A165" s="100"/>
      <c r="B165" s="100"/>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row>
    <row r="166" spans="1:44">
      <c r="A166" s="100"/>
      <c r="B166" s="100"/>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row>
    <row r="167" spans="1:44">
      <c r="A167" s="100"/>
      <c r="B167" s="100"/>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row>
    <row r="168" spans="1:44">
      <c r="A168" s="100"/>
      <c r="B168" s="100"/>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row>
    <row r="169" spans="1:44">
      <c r="A169" s="100"/>
      <c r="B169" s="100"/>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row>
    <row r="170" spans="1:44">
      <c r="A170" s="100"/>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row>
    <row r="171" spans="1:44">
      <c r="A171" s="100"/>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row>
    <row r="172" spans="1:44">
      <c r="A172" s="100"/>
      <c r="B172" s="100"/>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row>
    <row r="173" spans="1:44">
      <c r="A173" s="100"/>
      <c r="B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row>
    <row r="174" spans="1:44">
      <c r="A174" s="100"/>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row>
    <row r="175" spans="1:44">
      <c r="A175" s="100"/>
      <c r="B175" s="100"/>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row>
    <row r="176" spans="1:44">
      <c r="A176" s="100"/>
      <c r="B176" s="100"/>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row>
    <row r="177" spans="1:44">
      <c r="A177" s="100"/>
      <c r="B177" s="100"/>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row>
    <row r="178" spans="1:44">
      <c r="A178" s="100"/>
      <c r="B178" s="100"/>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row>
    <row r="179" spans="1:44">
      <c r="A179" s="100"/>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row>
    <row r="180" spans="1:44">
      <c r="A180" s="100"/>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row>
    <row r="181" spans="1:44">
      <c r="A181" s="100"/>
      <c r="B181" s="100"/>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row>
    <row r="182" spans="1:44">
      <c r="A182" s="100"/>
      <c r="B182" s="100"/>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row>
    <row r="183" spans="1:44">
      <c r="A183" s="100"/>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row>
    <row r="184" spans="1:44">
      <c r="A184" s="100"/>
      <c r="B184" s="100"/>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row>
    <row r="185" spans="1:44">
      <c r="A185" s="100"/>
      <c r="B185" s="100"/>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row>
    <row r="186" spans="1:44">
      <c r="A186" s="100"/>
      <c r="B186" s="100"/>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row>
    <row r="187" spans="1:44">
      <c r="A187" s="100"/>
      <c r="B187" s="100"/>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row>
    <row r="188" spans="1:44">
      <c r="A188" s="100"/>
      <c r="B188" s="100"/>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row>
    <row r="189" spans="1:44">
      <c r="A189" s="100"/>
      <c r="B189" s="100"/>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row>
    <row r="190" spans="1:44">
      <c r="A190" s="100"/>
      <c r="B190" s="100"/>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row>
    <row r="191" spans="1:44">
      <c r="A191" s="100"/>
      <c r="B191" s="100"/>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row>
    <row r="192" spans="1:44">
      <c r="A192" s="100"/>
      <c r="B192" s="100"/>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row>
    <row r="193" spans="1:44">
      <c r="A193" s="100"/>
      <c r="B193" s="100"/>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row>
    <row r="194" spans="1:44">
      <c r="A194" s="100"/>
      <c r="B194" s="100"/>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row>
    <row r="195" spans="1:44">
      <c r="A195" s="100"/>
      <c r="B195" s="100"/>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row>
    <row r="196" spans="1:44">
      <c r="A196" s="100"/>
      <c r="B196" s="100"/>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row>
    <row r="197" spans="1:44">
      <c r="A197" s="100"/>
      <c r="B197" s="100"/>
      <c r="C197" s="100"/>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row>
    <row r="198" spans="1:44">
      <c r="A198" s="100"/>
      <c r="B198" s="100"/>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row>
    <row r="199" spans="1:44">
      <c r="A199" s="100"/>
      <c r="B199" s="100"/>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row>
    <row r="200" spans="1:44">
      <c r="A200" s="100"/>
      <c r="B200" s="100"/>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row>
    <row r="201" spans="1:44">
      <c r="A201" s="100"/>
      <c r="B201" s="100"/>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row>
    <row r="202" spans="1:44">
      <c r="A202" s="100"/>
      <c r="B202" s="100"/>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row>
    <row r="203" spans="1:44">
      <c r="A203" s="100"/>
      <c r="B203" s="100"/>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row>
    <row r="204" spans="1:44">
      <c r="A204" s="100"/>
      <c r="B204" s="100"/>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row>
    <row r="205" spans="1:44">
      <c r="A205" s="100"/>
      <c r="B205" s="100"/>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row>
    <row r="206" spans="1:44">
      <c r="A206" s="100"/>
      <c r="B206" s="100"/>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row>
    <row r="207" spans="1:44">
      <c r="A207" s="100"/>
      <c r="B207" s="100"/>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row>
    <row r="208" spans="1:44">
      <c r="A208" s="100"/>
      <c r="B208" s="100"/>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row>
    <row r="209" spans="1:44">
      <c r="A209" s="100"/>
      <c r="B209" s="100"/>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row>
    <row r="210" spans="1:44">
      <c r="A210" s="100"/>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row>
    <row r="211" spans="1:44">
      <c r="A211" s="100"/>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row>
    <row r="212" spans="1:44">
      <c r="A212" s="100"/>
      <c r="B212" s="100"/>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row>
    <row r="213" spans="1:44">
      <c r="A213" s="100"/>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row>
    <row r="214" spans="1:44">
      <c r="A214" s="100"/>
      <c r="B214" s="100"/>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row>
    <row r="215" spans="1:44">
      <c r="A215" s="100"/>
      <c r="B215" s="100"/>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row>
    <row r="216" spans="1:44">
      <c r="A216" s="100"/>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row>
    <row r="217" spans="1:44">
      <c r="A217" s="100"/>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row>
    <row r="218" spans="1:44">
      <c r="A218" s="100"/>
      <c r="B218" s="100"/>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row>
    <row r="219" spans="1:44">
      <c r="A219" s="100"/>
      <c r="B219" s="100"/>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row>
    <row r="220" spans="1:44">
      <c r="A220" s="100"/>
      <c r="B220" s="100"/>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row>
    <row r="221" spans="1:44">
      <c r="A221" s="100"/>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row>
    <row r="222" spans="1:44">
      <c r="A222" s="100"/>
      <c r="B222" s="100"/>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row>
    <row r="223" spans="1:44">
      <c r="A223" s="100"/>
      <c r="B223" s="100"/>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row>
    <row r="224" spans="1:44">
      <c r="A224" s="100"/>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row>
    <row r="225" spans="1:44">
      <c r="A225" s="100"/>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row>
    <row r="226" spans="1:44">
      <c r="A226" s="100"/>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row>
    <row r="227" spans="1:44">
      <c r="A227" s="100"/>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row>
    <row r="228" spans="1:44">
      <c r="A228" s="100"/>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row>
    <row r="229" spans="1:44">
      <c r="A229" s="100"/>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row>
    <row r="230" spans="1:44">
      <c r="A230" s="100"/>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row>
    <row r="231" spans="1:44">
      <c r="A231" s="100"/>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row>
    <row r="232" spans="1:44">
      <c r="A232" s="100"/>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row>
    <row r="233" spans="1:44">
      <c r="A233" s="100"/>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row>
    <row r="234" spans="1:44">
      <c r="A234" s="100"/>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row>
    <row r="235" spans="1:44">
      <c r="A235" s="100"/>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row>
    <row r="236" spans="1:44">
      <c r="A236" s="100"/>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row>
    <row r="237" spans="1:44">
      <c r="A237" s="100"/>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row>
    <row r="238" spans="1:44">
      <c r="A238" s="100"/>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row>
    <row r="239" spans="1:44">
      <c r="A239" s="100"/>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row>
    <row r="240" spans="1:44">
      <c r="A240" s="100"/>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row>
    <row r="241" spans="1:44">
      <c r="A241" s="100"/>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row>
    <row r="242" spans="1:44">
      <c r="A242" s="100"/>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row>
    <row r="243" spans="1:44">
      <c r="A243" s="100"/>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row>
    <row r="244" spans="1:44">
      <c r="A244" s="100"/>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row>
    <row r="245" spans="1:44">
      <c r="A245" s="100"/>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row>
    <row r="246" spans="1:44">
      <c r="A246" s="100"/>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row>
    <row r="247" spans="1:44">
      <c r="A247" s="100"/>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row>
    <row r="248" spans="1:44">
      <c r="A248" s="100"/>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row>
    <row r="249" spans="1:44">
      <c r="A249" s="100"/>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row>
    <row r="250" spans="1:44">
      <c r="A250" s="100"/>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row>
    <row r="251" spans="1:44">
      <c r="A251" s="100"/>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row>
    <row r="252" spans="1:44">
      <c r="A252" s="100"/>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row>
    <row r="253" spans="1:44">
      <c r="A253" s="100"/>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row>
    <row r="254" spans="1:44">
      <c r="A254" s="100"/>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row>
    <row r="255" spans="1:44">
      <c r="A255" s="100"/>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row>
    <row r="256" spans="1:44">
      <c r="A256" s="100"/>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row>
    <row r="257" spans="1:44">
      <c r="A257" s="100"/>
      <c r="B257" s="100"/>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row>
    <row r="258" spans="1:44">
      <c r="A258" s="100"/>
      <c r="B258" s="100"/>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row>
    <row r="259" spans="1:44">
      <c r="A259" s="100"/>
      <c r="B259" s="100"/>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row>
    <row r="260" spans="1:44">
      <c r="A260" s="100"/>
      <c r="B260" s="100"/>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row>
    <row r="261" spans="1:44">
      <c r="A261" s="100"/>
      <c r="B261" s="100"/>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row>
    <row r="262" spans="1:44">
      <c r="A262" s="100"/>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row>
    <row r="263" spans="1:44">
      <c r="A263" s="100"/>
      <c r="B263" s="100"/>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row>
    <row r="264" spans="1:44">
      <c r="A264" s="100"/>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row>
    <row r="265" spans="1:44">
      <c r="A265" s="100"/>
      <c r="B265" s="100"/>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row>
    <row r="266" spans="1:44">
      <c r="A266" s="100"/>
      <c r="B266" s="100"/>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row>
    <row r="267" spans="1:44">
      <c r="A267" s="100"/>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row>
    <row r="268" spans="1:44">
      <c r="A268" s="100"/>
      <c r="B268" s="100"/>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row>
    <row r="269" spans="1:44">
      <c r="A269" s="100"/>
      <c r="B269" s="100"/>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row>
    <row r="270" spans="1:44">
      <c r="A270" s="100"/>
      <c r="B270" s="100"/>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row>
    <row r="271" spans="1:44">
      <c r="A271" s="100"/>
      <c r="B271" s="100"/>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row>
    <row r="272" spans="1:44">
      <c r="A272" s="100"/>
      <c r="B272" s="100"/>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row>
    <row r="273" spans="1:44">
      <c r="A273" s="100"/>
      <c r="B273" s="100"/>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row>
    <row r="274" spans="1:44">
      <c r="A274" s="100"/>
      <c r="B274" s="100"/>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row>
    <row r="275" spans="1:44">
      <c r="A275" s="100"/>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row>
    <row r="276" spans="1:44">
      <c r="A276" s="100"/>
      <c r="B276" s="100"/>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row>
    <row r="277" spans="1:44">
      <c r="A277" s="100"/>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row>
    <row r="278" spans="1:44">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row>
    <row r="279" spans="1:44">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row>
    <row r="280" spans="1:44">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row>
    <row r="281" spans="1:44">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row>
    <row r="282" spans="1:44">
      <c r="A282" s="100"/>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row>
    <row r="283" spans="1:44">
      <c r="A283" s="100"/>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row>
    <row r="284" spans="1:44">
      <c r="A284" s="100"/>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row>
    <row r="285" spans="1:44">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row>
    <row r="286" spans="1:44">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row>
    <row r="287" spans="1:44">
      <c r="A287" s="100"/>
      <c r="B287" s="100"/>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row>
    <row r="288" spans="1:44">
      <c r="A288" s="100"/>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row>
    <row r="289" spans="1:44">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row>
    <row r="290" spans="1:44">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row>
    <row r="291" spans="1:44">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row>
    <row r="292" spans="1:44">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row>
    <row r="293" spans="1:44">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row>
    <row r="294" spans="1:44">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row>
    <row r="295" spans="1:44">
      <c r="A295" s="100"/>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row>
    <row r="296" spans="1:44">
      <c r="A296" s="100"/>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row>
    <row r="297" spans="1:44">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row>
    <row r="298" spans="1:44">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row>
    <row r="299" spans="1:44">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row>
    <row r="300" spans="1:44">
      <c r="A300" s="100"/>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row>
    <row r="301" spans="1:44">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row>
    <row r="302" spans="1:44">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row>
    <row r="303" spans="1:44">
      <c r="A303" s="100"/>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row>
    <row r="304" spans="1:44">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row>
    <row r="305" spans="1:44">
      <c r="A305" s="100"/>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row>
    <row r="306" spans="1:44">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row>
    <row r="307" spans="1:44">
      <c r="A307" s="100"/>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row>
    <row r="308" spans="1:44">
      <c r="A308" s="100"/>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row>
    <row r="309" spans="1:44">
      <c r="A309" s="100"/>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row>
    <row r="310" spans="1:44">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row>
    <row r="311" spans="1:44">
      <c r="A311" s="100"/>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row>
    <row r="312" spans="1:44">
      <c r="A312" s="100"/>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row>
    <row r="313" spans="1:44">
      <c r="A313" s="100"/>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row>
    <row r="314" spans="1:44">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row>
    <row r="315" spans="1:44">
      <c r="A315" s="100"/>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row>
    <row r="316" spans="1:44">
      <c r="A316" s="100"/>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row>
    <row r="317" spans="1:44">
      <c r="A317" s="100"/>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row>
    <row r="318" spans="1:44">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row>
    <row r="319" spans="1:44">
      <c r="A319" s="100"/>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row>
    <row r="320" spans="1:44">
      <c r="A320" s="100"/>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row>
    <row r="321" spans="1:44">
      <c r="A321" s="100"/>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row>
    <row r="322" spans="1:44">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row>
    <row r="323" spans="1:44">
      <c r="A323" s="100"/>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row>
    <row r="324" spans="1:44">
      <c r="A324" s="100"/>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row>
    <row r="325" spans="1:44">
      <c r="A325" s="100"/>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row>
    <row r="326" spans="1:44">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row>
    <row r="327" spans="1:44">
      <c r="A327" s="100"/>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row>
    <row r="328" spans="1:44">
      <c r="A328" s="100"/>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row>
    <row r="329" spans="1:44">
      <c r="A329" s="100"/>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row>
    <row r="330" spans="1:44">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row>
    <row r="331" spans="1:44">
      <c r="A331" s="100"/>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row>
    <row r="332" spans="1:44">
      <c r="A332" s="100"/>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row>
    <row r="333" spans="1:44">
      <c r="A333" s="100"/>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row>
    <row r="334" spans="1:44">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row>
    <row r="335" spans="1:44">
      <c r="A335" s="100"/>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row>
    <row r="336" spans="1:44">
      <c r="A336" s="100"/>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row>
    <row r="337" spans="1:44">
      <c r="A337" s="100"/>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row>
    <row r="338" spans="1:44">
      <c r="A338" s="100"/>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row>
    <row r="339" spans="1:44">
      <c r="A339" s="100"/>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row>
    <row r="340" spans="1:44">
      <c r="A340" s="100"/>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row>
    <row r="341" spans="1:44">
      <c r="A341" s="100"/>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row>
    <row r="342" spans="1:44">
      <c r="A342" s="100"/>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row>
    <row r="343" spans="1:44">
      <c r="A343" s="100"/>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row>
    <row r="344" spans="1:44">
      <c r="A344" s="100"/>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row>
    <row r="345" spans="1:44">
      <c r="A345" s="100"/>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row>
    <row r="346" spans="1:44">
      <c r="A346" s="100"/>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row>
    <row r="347" spans="1:44">
      <c r="A347" s="100"/>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row>
    <row r="348" spans="1:44">
      <c r="A348" s="100"/>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row>
    <row r="349" spans="1:44">
      <c r="A349" s="100"/>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row>
    <row r="350" spans="1:44">
      <c r="A350" s="100"/>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row>
    <row r="351" spans="1:44">
      <c r="A351" s="100"/>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row>
    <row r="352" spans="1:44">
      <c r="A352" s="100"/>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row>
    <row r="353" spans="1:44">
      <c r="A353" s="100"/>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row>
    <row r="354" spans="1:44">
      <c r="A354" s="100"/>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row>
    <row r="355" spans="1:44">
      <c r="A355" s="100"/>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row>
    <row r="356" spans="1:44">
      <c r="A356" s="100"/>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row>
    <row r="357" spans="1:44">
      <c r="A357" s="100"/>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row>
    <row r="358" spans="1:44">
      <c r="A358" s="100"/>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row>
    <row r="359" spans="1:44">
      <c r="A359" s="100"/>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row>
    <row r="360" spans="1:44">
      <c r="A360" s="100"/>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row>
    <row r="361" spans="1:44">
      <c r="A361" s="100"/>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row>
    <row r="362" spans="1:44">
      <c r="A362" s="100"/>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row>
    <row r="363" spans="1:44">
      <c r="A363" s="100"/>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row>
    <row r="364" spans="1:44">
      <c r="A364" s="100"/>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row>
    <row r="365" spans="1:44">
      <c r="A365" s="100"/>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row>
    <row r="366" spans="1:44">
      <c r="A366" s="100"/>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row>
    <row r="367" spans="1:44">
      <c r="A367" s="100"/>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row>
    <row r="368" spans="1:44">
      <c r="A368" s="100"/>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row>
    <row r="369" spans="1:44">
      <c r="A369" s="100"/>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row>
    <row r="370" spans="1:44">
      <c r="A370" s="100"/>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row>
    <row r="371" spans="1:44">
      <c r="A371" s="100"/>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row>
    <row r="372" spans="1:44">
      <c r="A372" s="100"/>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row>
    <row r="373" spans="1:44">
      <c r="A373" s="100"/>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row>
    <row r="374" spans="1:44">
      <c r="A374" s="100"/>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row>
    <row r="375" spans="1:44">
      <c r="A375" s="100"/>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row>
    <row r="376" spans="1:44">
      <c r="A376" s="100"/>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row>
    <row r="377" spans="1:44">
      <c r="A377" s="100"/>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row>
    <row r="378" spans="1:44">
      <c r="A378" s="100"/>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row>
    <row r="379" spans="1:44">
      <c r="A379" s="100"/>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row>
    <row r="380" spans="1:44">
      <c r="A380" s="100"/>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row>
    <row r="381" spans="1:44">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row>
    <row r="382" spans="1:44">
      <c r="A382" s="100"/>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row>
    <row r="383" spans="1:44">
      <c r="A383" s="100"/>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row>
    <row r="384" spans="1:44">
      <c r="A384" s="100"/>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row>
    <row r="385" spans="1:44">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row>
    <row r="386" spans="1:44">
      <c r="A386" s="100"/>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row>
    <row r="387" spans="1:44">
      <c r="A387" s="100"/>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row>
    <row r="388" spans="1:44">
      <c r="A388" s="100"/>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row>
    <row r="389" spans="1:44">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row>
    <row r="390" spans="1:44">
      <c r="A390" s="100"/>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row>
    <row r="391" spans="1:44">
      <c r="A391" s="100"/>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row>
    <row r="392" spans="1:44">
      <c r="A392" s="100"/>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row>
    <row r="393" spans="1:44">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row>
    <row r="394" spans="1:44">
      <c r="A394" s="100"/>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row>
    <row r="395" spans="1:44">
      <c r="A395" s="100"/>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row>
    <row r="396" spans="1:44">
      <c r="A396" s="100"/>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row>
    <row r="397" spans="1:44">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row>
    <row r="398" spans="1:44">
      <c r="A398" s="100"/>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row>
    <row r="399" spans="1:44">
      <c r="A399" s="100"/>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row>
    <row r="400" spans="1:44">
      <c r="A400" s="100"/>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row>
    <row r="401" spans="1:44">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row>
    <row r="402" spans="1:44">
      <c r="A402" s="100"/>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row>
    <row r="403" spans="1:44">
      <c r="A403" s="100"/>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row>
    <row r="404" spans="1:44">
      <c r="A404" s="100"/>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row>
    <row r="405" spans="1:44">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row>
    <row r="406" spans="1:44">
      <c r="A406" s="100"/>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row>
    <row r="407" spans="1:44">
      <c r="A407" s="100"/>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row>
    <row r="408" spans="1:44">
      <c r="A408" s="100"/>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row>
    <row r="409" spans="1:44">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row>
    <row r="410" spans="1:44">
      <c r="A410" s="100"/>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row>
    <row r="411" spans="1:44">
      <c r="A411" s="100"/>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row>
    <row r="412" spans="1:44">
      <c r="A412" s="100"/>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row>
    <row r="413" spans="1:44">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row>
    <row r="414" spans="1:44">
      <c r="A414" s="100"/>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row>
    <row r="415" spans="1:44">
      <c r="A415" s="100"/>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row>
    <row r="416" spans="1:44">
      <c r="A416" s="100"/>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row>
    <row r="417" spans="1:44">
      <c r="A417" s="100"/>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row>
    <row r="418" spans="1:44">
      <c r="A418" s="100"/>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row>
    <row r="419" spans="1:44">
      <c r="A419" s="100"/>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row>
    <row r="420" spans="1:44">
      <c r="A420" s="100"/>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row>
    <row r="421" spans="1:44">
      <c r="A421" s="100"/>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row>
    <row r="422" spans="1:44">
      <c r="A422" s="100"/>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row>
    <row r="423" spans="1:44">
      <c r="A423" s="100"/>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row>
    <row r="424" spans="1:44">
      <c r="A424" s="100"/>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row>
    <row r="425" spans="1:44">
      <c r="A425" s="100"/>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row>
    <row r="426" spans="1:44">
      <c r="A426" s="100"/>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row>
    <row r="427" spans="1:44">
      <c r="A427" s="100"/>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row>
    <row r="428" spans="1:44">
      <c r="A428" s="100"/>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row>
    <row r="429" spans="1:44">
      <c r="A429" s="100"/>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row>
    <row r="430" spans="1:44">
      <c r="A430" s="100"/>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row>
    <row r="431" spans="1:44">
      <c r="A431" s="100"/>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row>
    <row r="432" spans="1:44">
      <c r="A432" s="100"/>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row>
    <row r="433" spans="1:44">
      <c r="A433" s="100"/>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row>
    <row r="434" spans="1:44">
      <c r="A434" s="100"/>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row>
    <row r="435" spans="1:44">
      <c r="A435" s="100"/>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row>
    <row r="436" spans="1:44">
      <c r="A436" s="100"/>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row>
    <row r="437" spans="1:44">
      <c r="A437" s="100"/>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row>
    <row r="438" spans="1:44">
      <c r="A438" s="100"/>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row>
    <row r="439" spans="1:44">
      <c r="A439" s="100"/>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row>
    <row r="440" spans="1:44">
      <c r="A440" s="100"/>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row>
    <row r="441" spans="1:44">
      <c r="A441" s="100"/>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row>
    <row r="442" spans="1:44">
      <c r="A442" s="100"/>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row>
    <row r="443" spans="1:44">
      <c r="A443" s="100"/>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row>
    <row r="444" spans="1:44">
      <c r="A444" s="100"/>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row>
    <row r="445" spans="1:44">
      <c r="A445" s="100"/>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row>
    <row r="446" spans="1:44">
      <c r="A446" s="100"/>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row>
    <row r="447" spans="1:44">
      <c r="A447" s="100"/>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row>
    <row r="448" spans="1:44">
      <c r="A448" s="100"/>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row>
    <row r="449" spans="1:44">
      <c r="A449" s="100"/>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row>
    <row r="450" spans="1:44">
      <c r="A450" s="100"/>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row>
    <row r="451" spans="1:44">
      <c r="A451" s="100"/>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row>
    <row r="452" spans="1:44">
      <c r="A452" s="100"/>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row>
    <row r="453" spans="1:44">
      <c r="A453" s="100"/>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row>
    <row r="454" spans="1:44">
      <c r="A454" s="100"/>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row>
    <row r="455" spans="1:44">
      <c r="A455" s="100"/>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row>
    <row r="456" spans="1:44">
      <c r="A456" s="100"/>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row>
    <row r="457" spans="1:44">
      <c r="A457" s="100"/>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row>
    <row r="458" spans="1:44">
      <c r="A458" s="100"/>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row>
    <row r="459" spans="1:44">
      <c r="A459" s="100"/>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row>
    <row r="460" spans="1:44">
      <c r="A460" s="100"/>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row>
    <row r="461" spans="1:44">
      <c r="A461" s="100"/>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row>
    <row r="462" spans="1:44">
      <c r="A462" s="100"/>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row>
    <row r="463" spans="1:44">
      <c r="A463" s="100"/>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row>
    <row r="464" spans="1:44">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row>
    <row r="465" spans="1:44">
      <c r="A465" s="100"/>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row>
    <row r="466" spans="1:44">
      <c r="A466" s="100"/>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row>
    <row r="467" spans="1:44">
      <c r="A467" s="100"/>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row>
    <row r="468" spans="1:44">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row>
    <row r="469" spans="1:44">
      <c r="A469" s="100"/>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row>
    <row r="470" spans="1:44">
      <c r="A470" s="100"/>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row>
    <row r="471" spans="1:44">
      <c r="A471" s="100"/>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row>
    <row r="472" spans="1:44">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row>
    <row r="473" spans="1:44">
      <c r="A473" s="100"/>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row>
    <row r="474" spans="1:44">
      <c r="A474" s="100"/>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row>
    <row r="475" spans="1:44">
      <c r="A475" s="100"/>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row>
    <row r="476" spans="1:44">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row>
    <row r="477" spans="1:44">
      <c r="A477" s="100"/>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row>
    <row r="478" spans="1:44">
      <c r="A478" s="100"/>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row>
    <row r="479" spans="1:44">
      <c r="A479" s="100"/>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row>
    <row r="480" spans="1:44">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row>
    <row r="481" spans="1:44">
      <c r="A481" s="100"/>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row>
    <row r="482" spans="1:44">
      <c r="A482" s="100"/>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row>
    <row r="483" spans="1:44">
      <c r="A483" s="100"/>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row>
    <row r="484" spans="1:44">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row>
    <row r="485" spans="1:44">
      <c r="A485" s="100"/>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row>
    <row r="486" spans="1:44">
      <c r="A486" s="100"/>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row>
    <row r="487" spans="1:44">
      <c r="A487" s="100"/>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row>
    <row r="488" spans="1:44">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row>
    <row r="489" spans="1:44">
      <c r="A489" s="100"/>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row>
    <row r="490" spans="1:44">
      <c r="A490" s="100"/>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row>
    <row r="491" spans="1:44">
      <c r="A491" s="100"/>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row>
    <row r="492" spans="1:44">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row>
    <row r="493" spans="1:44">
      <c r="A493" s="100"/>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row>
    <row r="494" spans="1:44">
      <c r="A494" s="100"/>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row>
    <row r="495" spans="1:44">
      <c r="A495" s="100"/>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row>
    <row r="496" spans="1:44">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row>
    <row r="497" spans="1:44">
      <c r="A497" s="100"/>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row>
    <row r="498" spans="1:44">
      <c r="A498" s="100"/>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row>
    <row r="499" spans="1:44">
      <c r="A499" s="100"/>
      <c r="B499" s="100"/>
      <c r="C499" s="100"/>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row>
    <row r="500" spans="1:44">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row>
    <row r="501" spans="1:44">
      <c r="A501" s="100"/>
      <c r="B501" s="100"/>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row>
    <row r="502" spans="1:44">
      <c r="A502" s="100"/>
      <c r="B502" s="100"/>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row>
    <row r="503" spans="1:44">
      <c r="A503" s="100"/>
      <c r="B503" s="100"/>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row>
    <row r="504" spans="1:44">
      <c r="A504" s="100"/>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row>
    <row r="505" spans="1:44">
      <c r="A505" s="100"/>
      <c r="B505" s="100"/>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row>
    <row r="506" spans="1:44">
      <c r="A506" s="100"/>
      <c r="B506" s="100"/>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row>
    <row r="507" spans="1:44">
      <c r="A507" s="100"/>
      <c r="B507" s="100"/>
      <c r="C507" s="100"/>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row>
    <row r="508" spans="1:44">
      <c r="A508" s="100"/>
      <c r="B508" s="100"/>
      <c r="C508" s="100"/>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row>
    <row r="509" spans="1:44">
      <c r="A509" s="100"/>
      <c r="B509" s="100"/>
      <c r="C509" s="100"/>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row>
    <row r="510" spans="1:44">
      <c r="A510" s="100"/>
      <c r="B510" s="100"/>
      <c r="C510" s="100"/>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c r="AR510" s="100"/>
    </row>
    <row r="511" spans="1:44">
      <c r="A511" s="100"/>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row>
    <row r="512" spans="1:44">
      <c r="A512" s="100"/>
      <c r="B512" s="100"/>
      <c r="C512" s="100"/>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row>
    <row r="513" spans="1:44">
      <c r="A513" s="100"/>
      <c r="B513" s="100"/>
      <c r="C513" s="100"/>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row>
    <row r="514" spans="1:44">
      <c r="A514" s="100"/>
      <c r="B514" s="100"/>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row>
    <row r="515" spans="1:44">
      <c r="A515" s="100"/>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row>
    <row r="516" spans="1:44">
      <c r="A516" s="100"/>
      <c r="B516" s="100"/>
      <c r="C516" s="100"/>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row>
    <row r="517" spans="1:44">
      <c r="A517" s="100"/>
      <c r="B517" s="100"/>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row>
    <row r="518" spans="1:44">
      <c r="A518" s="100"/>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row>
    <row r="519" spans="1:44">
      <c r="A519" s="100"/>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row>
    <row r="520" spans="1:44">
      <c r="A520" s="100"/>
      <c r="B520" s="100"/>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row>
    <row r="521" spans="1:44">
      <c r="A521" s="100"/>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row>
    <row r="522" spans="1:44">
      <c r="A522" s="100"/>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row>
    <row r="523" spans="1:44">
      <c r="A523" s="100"/>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row>
    <row r="524" spans="1:44">
      <c r="A524" s="100"/>
      <c r="B524" s="100"/>
      <c r="C524" s="100"/>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row>
    <row r="525" spans="1:44">
      <c r="A525" s="100"/>
      <c r="B525" s="100"/>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row>
    <row r="526" spans="1:44">
      <c r="A526" s="100"/>
      <c r="B526" s="100"/>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row>
    <row r="527" spans="1:44">
      <c r="A527" s="100"/>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row>
    <row r="528" spans="1:44">
      <c r="A528" s="100"/>
      <c r="B528" s="100"/>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row>
    <row r="529" spans="1:44">
      <c r="A529" s="100"/>
      <c r="B529" s="100"/>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row>
    <row r="530" spans="1:44">
      <c r="A530" s="100"/>
      <c r="B530" s="100"/>
      <c r="C530" s="100"/>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row>
    <row r="531" spans="1:44">
      <c r="A531" s="100"/>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row>
    <row r="532" spans="1:44">
      <c r="A532" s="100"/>
      <c r="B532" s="100"/>
      <c r="C532" s="100"/>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row>
    <row r="533" spans="1:44">
      <c r="A533" s="100"/>
      <c r="B533" s="100"/>
      <c r="C533" s="100"/>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row>
    <row r="534" spans="1:44">
      <c r="A534" s="100"/>
      <c r="B534" s="100"/>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row>
    <row r="535" spans="1:44">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row>
    <row r="536" spans="1:44">
      <c r="A536" s="100"/>
      <c r="B536" s="100"/>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row>
    <row r="537" spans="1:44">
      <c r="A537" s="100"/>
      <c r="B537" s="100"/>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row>
    <row r="538" spans="1:44">
      <c r="A538" s="100"/>
      <c r="B538" s="100"/>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row>
    <row r="539" spans="1:44">
      <c r="A539" s="100"/>
      <c r="B539" s="100"/>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row>
    <row r="540" spans="1:44">
      <c r="A540" s="100"/>
      <c r="B540" s="100"/>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row>
    <row r="541" spans="1:44">
      <c r="A541" s="100"/>
      <c r="B541" s="100"/>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row>
    <row r="542" spans="1:44">
      <c r="A542" s="100"/>
      <c r="B542" s="100"/>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row>
    <row r="543" spans="1:44">
      <c r="A543" s="100"/>
      <c r="B543" s="100"/>
      <c r="C543" s="100"/>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c r="AR543" s="100"/>
    </row>
    <row r="544" spans="1:44">
      <c r="A544" s="100"/>
      <c r="B544" s="100"/>
      <c r="C544" s="100"/>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c r="AR544" s="100"/>
    </row>
    <row r="545" spans="1:44">
      <c r="A545" s="100"/>
      <c r="B545" s="100"/>
      <c r="C545" s="100"/>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c r="AR545" s="100"/>
    </row>
    <row r="546" spans="1:44">
      <c r="A546" s="100"/>
      <c r="B546" s="100"/>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c r="AR546" s="100"/>
    </row>
    <row r="547" spans="1:44">
      <c r="A547" s="100"/>
      <c r="B547" s="100"/>
      <c r="C547" s="100"/>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c r="AR547" s="100"/>
    </row>
    <row r="548" spans="1:44">
      <c r="A548" s="100"/>
      <c r="B548" s="100"/>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row>
    <row r="549" spans="1:44">
      <c r="A549" s="100"/>
      <c r="B549" s="100"/>
      <c r="C549" s="100"/>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c r="AR549" s="100"/>
    </row>
    <row r="550" spans="1:44">
      <c r="A550" s="100"/>
      <c r="B550" s="100"/>
      <c r="C550" s="100"/>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c r="AR550" s="100"/>
    </row>
    <row r="551" spans="1:44">
      <c r="A551" s="100"/>
      <c r="B551" s="100"/>
      <c r="C551" s="100"/>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row>
    <row r="552" spans="1:44">
      <c r="A552" s="100"/>
      <c r="B552" s="100"/>
      <c r="C552" s="100"/>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row>
    <row r="553" spans="1:44">
      <c r="A553" s="100"/>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row>
    <row r="554" spans="1:44">
      <c r="A554" s="100"/>
      <c r="B554" s="100"/>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c r="AR554" s="100"/>
    </row>
    <row r="555" spans="1:44">
      <c r="A555" s="100"/>
      <c r="B555" s="100"/>
      <c r="C555" s="100"/>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row>
    <row r="556" spans="1:44">
      <c r="A556" s="100"/>
      <c r="B556" s="100"/>
      <c r="C556" s="100"/>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row>
    <row r="557" spans="1:44">
      <c r="A557" s="100"/>
      <c r="B557" s="100"/>
      <c r="C557" s="100"/>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c r="AR557" s="100"/>
    </row>
    <row r="558" spans="1:44">
      <c r="A558" s="100"/>
      <c r="B558" s="100"/>
      <c r="C558" s="100"/>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c r="AR558" s="100"/>
    </row>
    <row r="559" spans="1:44">
      <c r="A559" s="100"/>
      <c r="B559" s="100"/>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row>
    <row r="560" spans="1:44">
      <c r="A560" s="100"/>
      <c r="B560" s="100"/>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c r="AR560" s="100"/>
    </row>
    <row r="561" spans="1:44">
      <c r="A561" s="100"/>
      <c r="B561" s="100"/>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row>
    <row r="562" spans="1:44">
      <c r="A562" s="100"/>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c r="AR562" s="100"/>
    </row>
    <row r="563" spans="1:44">
      <c r="A563" s="100"/>
      <c r="B563" s="100"/>
      <c r="C563" s="100"/>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c r="AR563" s="100"/>
    </row>
    <row r="564" spans="1:44">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c r="AR564" s="100"/>
    </row>
    <row r="565" spans="1:44">
      <c r="A565" s="100"/>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c r="AR565" s="100"/>
    </row>
    <row r="566" spans="1:44">
      <c r="A566" s="100"/>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c r="AR566" s="100"/>
    </row>
    <row r="567" spans="1:44">
      <c r="A567" s="100"/>
      <c r="B567" s="100"/>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row>
    <row r="568" spans="1:44">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row>
    <row r="569" spans="1:44">
      <c r="A569" s="100"/>
      <c r="B569" s="100"/>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row>
    <row r="570" spans="1:44">
      <c r="A570" s="100"/>
      <c r="B570" s="100"/>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row>
    <row r="571" spans="1:44">
      <c r="A571" s="100"/>
      <c r="B571" s="100"/>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row>
    <row r="572" spans="1:44">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c r="AR572" s="100"/>
    </row>
    <row r="573" spans="1:44">
      <c r="A573" s="100"/>
      <c r="B573" s="100"/>
      <c r="C573" s="100"/>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row>
    <row r="574" spans="1:44">
      <c r="A574" s="100"/>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row>
    <row r="575" spans="1:44">
      <c r="A575" s="100"/>
      <c r="B575" s="100"/>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row>
    <row r="576" spans="1:44">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row>
    <row r="577" spans="1:44">
      <c r="A577" s="100"/>
      <c r="B577" s="100"/>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row>
    <row r="578" spans="1:44">
      <c r="A578" s="100"/>
      <c r="B578" s="100"/>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row>
    <row r="579" spans="1:44">
      <c r="A579" s="100"/>
      <c r="B579" s="100"/>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row>
    <row r="580" spans="1:44">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row>
    <row r="581" spans="1:44">
      <c r="A581" s="100"/>
      <c r="B581" s="100"/>
      <c r="C581" s="100"/>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row>
    <row r="582" spans="1:44">
      <c r="A582" s="100"/>
      <c r="B582" s="100"/>
      <c r="C582" s="100"/>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c r="AR582" s="100"/>
    </row>
    <row r="583" spans="1:44">
      <c r="A583" s="100"/>
      <c r="B583" s="100"/>
      <c r="C583" s="100"/>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c r="AR583" s="100"/>
    </row>
    <row r="584" spans="1:44">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c r="AR584" s="100"/>
    </row>
    <row r="585" spans="1:44">
      <c r="A585" s="100"/>
      <c r="B585" s="100"/>
      <c r="C585" s="100"/>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c r="AR585" s="100"/>
    </row>
    <row r="586" spans="1:44">
      <c r="A586" s="100"/>
      <c r="B586" s="100"/>
      <c r="C586" s="100"/>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row>
    <row r="587" spans="1:44">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row>
    <row r="588" spans="1:44">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row>
    <row r="589" spans="1:44">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row>
    <row r="590" spans="1:44">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row>
    <row r="591" spans="1:44">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c r="AR591" s="100"/>
    </row>
    <row r="592" spans="1:44">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c r="AR592" s="100"/>
    </row>
    <row r="593" spans="1:44">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row>
    <row r="594" spans="1:44">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c r="AR594" s="100"/>
    </row>
    <row r="595" spans="1:44">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row>
    <row r="596" spans="1:44">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c r="AR596" s="100"/>
    </row>
    <row r="597" spans="1:44">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c r="AR597" s="100"/>
    </row>
    <row r="598" spans="1:44">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row>
    <row r="599" spans="1:44">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row>
    <row r="600" spans="1:44">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row>
    <row r="601" spans="1:44">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row>
    <row r="602" spans="1:44">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row>
    <row r="603" spans="1:44">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row>
    <row r="604" spans="1:44">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c r="AR604" s="100"/>
    </row>
    <row r="605" spans="1:44">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c r="AR605" s="100"/>
    </row>
    <row r="606" spans="1:44">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c r="AR606" s="100"/>
    </row>
    <row r="607" spans="1:44">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c r="AR607" s="100"/>
    </row>
    <row r="608" spans="1:44">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row>
    <row r="609" spans="1:44">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row>
    <row r="610" spans="1:44">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row>
    <row r="611" spans="1:44">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row>
    <row r="612" spans="1:44">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row>
    <row r="613" spans="1:44">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row>
    <row r="614" spans="1:44">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row>
    <row r="615" spans="1:44">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row>
    <row r="616" spans="1:44">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row>
    <row r="617" spans="1:44">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row>
    <row r="618" spans="1:44">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row>
    <row r="619" spans="1:44">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c r="AR619" s="100"/>
    </row>
    <row r="620" spans="1:44">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c r="AR620" s="100"/>
    </row>
    <row r="621" spans="1:44">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c r="AR621" s="100"/>
    </row>
    <row r="622" spans="1:44">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row>
    <row r="623" spans="1:44">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c r="AR623" s="100"/>
    </row>
    <row r="624" spans="1:44">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c r="AR624" s="100"/>
    </row>
    <row r="625" spans="1:44">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c r="AR625" s="100"/>
    </row>
    <row r="626" spans="1:44">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c r="AR626" s="100"/>
    </row>
    <row r="627" spans="1:44">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c r="AR627" s="100"/>
    </row>
    <row r="628" spans="1:44">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c r="AR628" s="100"/>
    </row>
    <row r="629" spans="1:44">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row>
    <row r="630" spans="1:44">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c r="AR630" s="100"/>
    </row>
    <row r="631" spans="1:44">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row>
    <row r="632" spans="1:44">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c r="AR632" s="100"/>
    </row>
    <row r="633" spans="1:44">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c r="AR633" s="100"/>
    </row>
    <row r="634" spans="1:44">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c r="AR634" s="100"/>
    </row>
    <row r="635" spans="1:44">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c r="AR635" s="100"/>
    </row>
    <row r="636" spans="1:44">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c r="AR636" s="100"/>
    </row>
    <row r="637" spans="1:44">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row>
    <row r="638" spans="1:44">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row>
    <row r="639" spans="1:44">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row>
    <row r="640" spans="1:44">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row>
    <row r="641" spans="1:44">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row>
    <row r="642" spans="1:44">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c r="AR642" s="100"/>
    </row>
    <row r="643" spans="1:44">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c r="AR643" s="100"/>
    </row>
    <row r="644" spans="1:44">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row>
    <row r="645" spans="1:44">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c r="AR645" s="100"/>
    </row>
    <row r="646" spans="1:44">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row>
    <row r="647" spans="1:44">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row>
    <row r="648" spans="1:44">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row>
    <row r="649" spans="1:44">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row>
    <row r="650" spans="1:44">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row>
    <row r="651" spans="1:44">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c r="AR651" s="100"/>
    </row>
    <row r="652" spans="1:44">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c r="AR652" s="100"/>
    </row>
    <row r="653" spans="1:44">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c r="AR653" s="100"/>
    </row>
    <row r="654" spans="1:44">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c r="AR654" s="100"/>
    </row>
    <row r="655" spans="1:44">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c r="AR655" s="100"/>
    </row>
    <row r="656" spans="1:44">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c r="AR656" s="100"/>
    </row>
    <row r="657" spans="1:44">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c r="AR657" s="100"/>
    </row>
    <row r="658" spans="1:44">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c r="AR658" s="100"/>
    </row>
    <row r="659" spans="1:44">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c r="AR659" s="100"/>
    </row>
    <row r="660" spans="1:44">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c r="AR660" s="100"/>
    </row>
    <row r="661" spans="1:44">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c r="AR661" s="100"/>
    </row>
    <row r="662" spans="1:44">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c r="AR662" s="100"/>
    </row>
    <row r="663" spans="1:44">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c r="AR663" s="100"/>
    </row>
    <row r="664" spans="1:44">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c r="AR664" s="100"/>
    </row>
    <row r="665" spans="1:44">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c r="AR665" s="100"/>
    </row>
    <row r="666" spans="1:44">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c r="AR666" s="100"/>
    </row>
    <row r="667" spans="1:44">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row>
    <row r="668" spans="1:44">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row>
    <row r="669" spans="1:44">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row>
    <row r="670" spans="1:44">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row>
    <row r="671" spans="1:44">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row>
    <row r="672" spans="1:44">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row>
    <row r="673" spans="1:44">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row>
    <row r="674" spans="1:44">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row>
    <row r="675" spans="1:44">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row>
    <row r="676" spans="1:44">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row>
    <row r="677" spans="1:44">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row>
    <row r="678" spans="1:44">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row>
    <row r="679" spans="1:44">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row>
    <row r="680" spans="1:44">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row>
    <row r="681" spans="1:44">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row>
    <row r="682" spans="1:44">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row>
    <row r="683" spans="1:44">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row>
    <row r="684" spans="1:44">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row>
    <row r="685" spans="1:44">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row>
    <row r="686" spans="1:44">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row>
    <row r="687" spans="1:44">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row>
    <row r="688" spans="1:44">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row>
    <row r="689" spans="1:31">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row>
    <row r="690" spans="1:31">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row>
    <row r="691" spans="1:31">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row>
    <row r="692" spans="1:31">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row>
    <row r="693" spans="1:31">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row>
    <row r="694" spans="1:31">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row>
    <row r="695" spans="1:31">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row>
    <row r="696" spans="1:31">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row>
    <row r="697" spans="1:31">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row>
    <row r="698" spans="1:31">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row>
    <row r="699" spans="1:31">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row>
    <row r="700" spans="1:31">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row>
    <row r="701" spans="1:31">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row>
    <row r="702" spans="1:31">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row>
    <row r="703" spans="1:31">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row>
    <row r="704" spans="1:31">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row>
    <row r="705" spans="1:31">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row>
    <row r="706" spans="1:31">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row>
    <row r="707" spans="1:31">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row>
    <row r="708" spans="1:31">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row>
    <row r="709" spans="1:31">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row>
    <row r="710" spans="1:31">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row>
    <row r="711" spans="1:31">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row>
    <row r="712" spans="1:31">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row>
    <row r="713" spans="1:31">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row>
    <row r="714" spans="1:31">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row>
    <row r="715" spans="1:31">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row>
    <row r="716" spans="1:31">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row>
    <row r="717" spans="1:31">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row>
    <row r="718" spans="1:31">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row>
    <row r="719" spans="1:31">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row>
    <row r="720" spans="1:31">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row>
    <row r="721" spans="1:31">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row>
    <row r="722" spans="1:31">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row>
    <row r="723" spans="1:31">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row>
    <row r="724" spans="1:31">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row>
    <row r="725" spans="1:31">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row>
    <row r="726" spans="1:31">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row>
    <row r="727" spans="1:31">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row>
    <row r="728" spans="1:31">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row>
    <row r="729" spans="1:31">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row>
    <row r="730" spans="1:31">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row>
    <row r="731" spans="1:31">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row>
    <row r="732" spans="1:31">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row>
    <row r="733" spans="1:31">
      <c r="A733" s="100"/>
      <c r="B733" s="100"/>
      <c r="C733" s="100"/>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row>
    <row r="734" spans="1:31">
      <c r="A734" s="100"/>
      <c r="B734" s="100"/>
      <c r="C734" s="100"/>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row>
    <row r="735" spans="1:31">
      <c r="A735" s="100"/>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row>
    <row r="736" spans="1:31">
      <c r="A736" s="100"/>
      <c r="B736" s="100"/>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row>
    <row r="737" spans="1:31">
      <c r="A737" s="100"/>
      <c r="B737" s="100"/>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row>
    <row r="738" spans="1:31">
      <c r="A738" s="100"/>
      <c r="B738" s="100"/>
      <c r="C738" s="100"/>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row>
    <row r="739" spans="1:31">
      <c r="A739" s="100"/>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row>
    <row r="740" spans="1:31">
      <c r="A740" s="100"/>
      <c r="B740" s="100"/>
      <c r="C740" s="100"/>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row>
    <row r="741" spans="1:31">
      <c r="A741" s="100"/>
      <c r="B741" s="100"/>
      <c r="C741" s="100"/>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row>
    <row r="742" spans="1:31">
      <c r="A742" s="100"/>
      <c r="B742" s="100"/>
      <c r="C742" s="100"/>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row>
    <row r="743" spans="1:31">
      <c r="A743" s="100"/>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row>
    <row r="744" spans="1:31">
      <c r="A744" s="100"/>
      <c r="B744" s="100"/>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row>
    <row r="745" spans="1:31">
      <c r="A745" s="100"/>
      <c r="B745" s="100"/>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row>
    <row r="746" spans="1:31">
      <c r="A746" s="100"/>
      <c r="B746" s="100"/>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row>
    <row r="747" spans="1:31">
      <c r="A747" s="100"/>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row>
    <row r="748" spans="1:31">
      <c r="A748" s="100"/>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row>
    <row r="749" spans="1:31">
      <c r="A749" s="100"/>
      <c r="B749" s="100"/>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row>
    <row r="750" spans="1:31">
      <c r="A750" s="100"/>
      <c r="B750" s="100"/>
      <c r="C750" s="100"/>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row>
    <row r="751" spans="1:31">
      <c r="A751" s="100"/>
      <c r="B751" s="100"/>
      <c r="C751" s="100"/>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row>
    <row r="752" spans="1:31">
      <c r="A752" s="100"/>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row>
    <row r="753" spans="1:31">
      <c r="A753" s="100"/>
      <c r="B753" s="100"/>
      <c r="C753" s="100"/>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row>
    <row r="754" spans="1:31">
      <c r="A754" s="100"/>
      <c r="B754" s="100"/>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row>
    <row r="755" spans="1:31">
      <c r="A755" s="100"/>
      <c r="B755" s="100"/>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row>
    <row r="756" spans="1:31">
      <c r="A756" s="100"/>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row>
    <row r="757" spans="1:31">
      <c r="A757" s="100"/>
      <c r="B757" s="100"/>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row>
    <row r="758" spans="1:31">
      <c r="A758" s="100"/>
      <c r="B758" s="100"/>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row>
    <row r="759" spans="1:31">
      <c r="A759" s="100"/>
      <c r="B759" s="100"/>
      <c r="C759" s="100"/>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row>
    <row r="760" spans="1:31">
      <c r="A760" s="100"/>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row>
    <row r="761" spans="1:31">
      <c r="A761" s="100"/>
      <c r="B761" s="100"/>
      <c r="C761" s="100"/>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row>
    <row r="762" spans="1:31">
      <c r="A762" s="100"/>
      <c r="B762" s="100"/>
      <c r="C762" s="100"/>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row>
    <row r="763" spans="1:31">
      <c r="A763" s="100"/>
      <c r="B763" s="100"/>
      <c r="C763" s="100"/>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row>
    <row r="764" spans="1:31">
      <c r="A764" s="100"/>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row>
    <row r="765" spans="1:31">
      <c r="A765" s="100"/>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row>
    <row r="766" spans="1:31">
      <c r="A766" s="100"/>
      <c r="B766" s="100"/>
      <c r="C766" s="100"/>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row>
    <row r="767" spans="1:31">
      <c r="A767" s="100"/>
      <c r="B767" s="100"/>
      <c r="C767" s="100"/>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row>
    <row r="768" spans="1:31">
      <c r="A768" s="100"/>
      <c r="B768" s="100"/>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row>
    <row r="769" spans="1:31">
      <c r="A769" s="100"/>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row>
    <row r="770" spans="1:31">
      <c r="A770" s="100"/>
      <c r="B770" s="100"/>
      <c r="C770" s="100"/>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row>
    <row r="771" spans="1:31">
      <c r="A771" s="100"/>
      <c r="B771" s="100"/>
      <c r="C771" s="100"/>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row>
    <row r="772" spans="1:31">
      <c r="A772" s="100"/>
      <c r="B772" s="100"/>
      <c r="C772" s="100"/>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row>
    <row r="773" spans="1:31">
      <c r="A773" s="100"/>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row>
    <row r="774" spans="1:31">
      <c r="A774" s="100"/>
      <c r="B774" s="100"/>
      <c r="C774" s="100"/>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c r="AA774" s="100"/>
      <c r="AB774" s="100"/>
      <c r="AC774" s="100"/>
      <c r="AD774" s="100"/>
      <c r="AE774" s="100"/>
    </row>
    <row r="775" spans="1:31">
      <c r="A775" s="100"/>
      <c r="B775" s="100"/>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c r="AA775" s="100"/>
      <c r="AB775" s="100"/>
      <c r="AC775" s="100"/>
      <c r="AD775" s="100"/>
      <c r="AE775" s="100"/>
    </row>
    <row r="776" spans="1:31">
      <c r="A776" s="100"/>
      <c r="B776" s="100"/>
      <c r="C776" s="100"/>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c r="AA776" s="100"/>
      <c r="AB776" s="100"/>
      <c r="AC776" s="100"/>
      <c r="AD776" s="100"/>
      <c r="AE776" s="100"/>
    </row>
    <row r="777" spans="1:31">
      <c r="A777" s="100"/>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row>
    <row r="778" spans="1:31">
      <c r="A778" s="100"/>
      <c r="B778" s="100"/>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c r="AA778" s="100"/>
      <c r="AB778" s="100"/>
      <c r="AC778" s="100"/>
      <c r="AD778" s="100"/>
      <c r="AE778" s="100"/>
    </row>
    <row r="779" spans="1:31">
      <c r="A779" s="100"/>
      <c r="B779" s="100"/>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c r="AA779" s="100"/>
      <c r="AB779" s="100"/>
      <c r="AC779" s="100"/>
      <c r="AD779" s="100"/>
      <c r="AE779" s="100"/>
    </row>
    <row r="780" spans="1:31">
      <c r="A780" s="100"/>
      <c r="B780" s="100"/>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c r="AA780" s="100"/>
      <c r="AB780" s="100"/>
      <c r="AC780" s="100"/>
      <c r="AD780" s="100"/>
      <c r="AE780" s="100"/>
    </row>
    <row r="781" spans="1:31">
      <c r="A781" s="100"/>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c r="AA781" s="100"/>
      <c r="AB781" s="100"/>
      <c r="AC781" s="100"/>
      <c r="AD781" s="100"/>
      <c r="AE781" s="100"/>
    </row>
    <row r="782" spans="1:31">
      <c r="A782" s="100"/>
      <c r="B782" s="100"/>
      <c r="C782" s="100"/>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c r="AA782" s="100"/>
      <c r="AB782" s="100"/>
      <c r="AC782" s="100"/>
      <c r="AD782" s="100"/>
      <c r="AE782" s="100"/>
    </row>
    <row r="783" spans="1:31">
      <c r="A783" s="100"/>
      <c r="B783" s="100"/>
      <c r="C783" s="100"/>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c r="AA783" s="100"/>
      <c r="AB783" s="100"/>
      <c r="AC783" s="100"/>
      <c r="AD783" s="100"/>
      <c r="AE783" s="100"/>
    </row>
    <row r="784" spans="1:31">
      <c r="A784" s="100"/>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row>
    <row r="785" spans="1:31">
      <c r="A785" s="100"/>
      <c r="B785" s="100"/>
      <c r="C785" s="100"/>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row>
    <row r="786" spans="1:31">
      <c r="A786" s="100"/>
      <c r="B786" s="100"/>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row>
    <row r="787" spans="1:31">
      <c r="A787" s="100"/>
      <c r="B787" s="100"/>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row>
    <row r="788" spans="1:31">
      <c r="A788" s="100"/>
      <c r="B788" s="100"/>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row>
    <row r="789" spans="1:31">
      <c r="A789" s="100"/>
      <c r="B789" s="100"/>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row>
    <row r="790" spans="1:31">
      <c r="A790" s="100"/>
      <c r="B790" s="100"/>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row>
    <row r="791" spans="1:31">
      <c r="A791" s="100"/>
      <c r="B791" s="100"/>
      <c r="C791" s="100"/>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row>
    <row r="792" spans="1:31">
      <c r="A792" s="100"/>
      <c r="B792" s="100"/>
      <c r="C792" s="100"/>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row>
    <row r="793" spans="1:31">
      <c r="A793" s="100"/>
      <c r="B793" s="100"/>
      <c r="C793" s="100"/>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row>
    <row r="794" spans="1:31">
      <c r="A794" s="100"/>
      <c r="B794" s="100"/>
      <c r="C794" s="100"/>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row>
    <row r="795" spans="1:31">
      <c r="A795" s="100"/>
      <c r="B795" s="100"/>
      <c r="C795" s="100"/>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row>
    <row r="796" spans="1:31">
      <c r="A796" s="100"/>
      <c r="B796" s="100"/>
      <c r="C796" s="100"/>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row>
    <row r="797" spans="1:31">
      <c r="A797" s="100"/>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row>
    <row r="798" spans="1:31">
      <c r="A798" s="100"/>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row>
    <row r="799" spans="1:31">
      <c r="A799" s="100"/>
      <c r="B799" s="100"/>
      <c r="C799" s="100"/>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row>
    <row r="800" spans="1:31">
      <c r="A800" s="100"/>
      <c r="B800" s="100"/>
      <c r="C800" s="100"/>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row>
    <row r="801" spans="1:31">
      <c r="A801" s="100"/>
      <c r="B801" s="100"/>
      <c r="C801" s="100"/>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row>
    <row r="802" spans="1:31">
      <c r="A802" s="100"/>
      <c r="B802" s="100"/>
      <c r="C802" s="100"/>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row>
    <row r="803" spans="1:31">
      <c r="A803" s="100"/>
      <c r="B803" s="100"/>
      <c r="C803" s="100"/>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row>
    <row r="804" spans="1:31">
      <c r="A804" s="100"/>
      <c r="B804" s="100"/>
      <c r="C804" s="100"/>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row>
    <row r="805" spans="1:31">
      <c r="A805" s="100"/>
      <c r="B805" s="100"/>
      <c r="C805" s="100"/>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row>
    <row r="806" spans="1:31">
      <c r="A806" s="100"/>
      <c r="B806" s="100"/>
      <c r="C806" s="100"/>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row>
    <row r="807" spans="1:31">
      <c r="A807" s="100"/>
      <c r="B807" s="100"/>
      <c r="C807" s="100"/>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row>
    <row r="808" spans="1:31">
      <c r="A808" s="100"/>
      <c r="B808" s="100"/>
      <c r="C808" s="100"/>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row>
    <row r="809" spans="1:31">
      <c r="A809" s="100"/>
      <c r="B809" s="100"/>
      <c r="C809" s="100"/>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row>
    <row r="810" spans="1:31">
      <c r="A810" s="100"/>
      <c r="B810" s="100"/>
      <c r="C810" s="100"/>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row>
    <row r="811" spans="1:31">
      <c r="A811" s="100"/>
      <c r="B811" s="100"/>
      <c r="C811" s="100"/>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row>
    <row r="812" spans="1:31">
      <c r="A812" s="100"/>
      <c r="B812" s="100"/>
      <c r="C812" s="100"/>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row>
    <row r="813" spans="1:31">
      <c r="A813" s="100"/>
      <c r="B813" s="100"/>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row>
    <row r="814" spans="1:31">
      <c r="A814" s="100"/>
      <c r="B814" s="100"/>
      <c r="C814" s="100"/>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row>
    <row r="815" spans="1:31">
      <c r="A815" s="100"/>
      <c r="B815" s="100"/>
      <c r="C815" s="100"/>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row>
    <row r="816" spans="1:31">
      <c r="A816" s="100"/>
      <c r="B816" s="100"/>
      <c r="C816" s="100"/>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row>
    <row r="817" spans="1:31">
      <c r="A817" s="100"/>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row>
    <row r="818" spans="1:31">
      <c r="A818" s="100"/>
      <c r="B818" s="100"/>
      <c r="C818" s="100"/>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c r="AA818" s="100"/>
      <c r="AB818" s="100"/>
      <c r="AC818" s="100"/>
      <c r="AD818" s="100"/>
      <c r="AE818" s="100"/>
    </row>
    <row r="819" spans="1:31">
      <c r="A819" s="100"/>
      <c r="B819" s="100"/>
      <c r="C819" s="100"/>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c r="AA819" s="100"/>
      <c r="AB819" s="100"/>
      <c r="AC819" s="100"/>
      <c r="AD819" s="100"/>
      <c r="AE819" s="100"/>
    </row>
    <row r="820" spans="1:31">
      <c r="A820" s="100"/>
      <c r="B820" s="100"/>
      <c r="C820" s="100"/>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c r="AA820" s="100"/>
      <c r="AB820" s="100"/>
      <c r="AC820" s="100"/>
      <c r="AD820" s="100"/>
      <c r="AE820" s="100"/>
    </row>
    <row r="821" spans="1:31">
      <c r="A821" s="100"/>
      <c r="B821" s="100"/>
      <c r="C821" s="100"/>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c r="AA821" s="100"/>
      <c r="AB821" s="100"/>
      <c r="AC821" s="100"/>
      <c r="AD821" s="100"/>
      <c r="AE821" s="100"/>
    </row>
    <row r="822" spans="1:31">
      <c r="A822" s="100"/>
      <c r="B822" s="100"/>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c r="AA822" s="100"/>
      <c r="AB822" s="100"/>
      <c r="AC822" s="100"/>
      <c r="AD822" s="100"/>
      <c r="AE822" s="100"/>
    </row>
    <row r="823" spans="1:31">
      <c r="A823" s="100"/>
      <c r="B823" s="100"/>
      <c r="C823" s="100"/>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c r="AA823" s="100"/>
      <c r="AB823" s="100"/>
      <c r="AC823" s="100"/>
      <c r="AD823" s="100"/>
      <c r="AE823" s="100"/>
    </row>
    <row r="824" spans="1:31">
      <c r="A824" s="100"/>
      <c r="B824" s="100"/>
      <c r="C824" s="100"/>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c r="AA824" s="100"/>
      <c r="AB824" s="100"/>
      <c r="AC824" s="100"/>
      <c r="AD824" s="100"/>
      <c r="AE824" s="100"/>
    </row>
    <row r="825" spans="1:31">
      <c r="A825" s="100"/>
      <c r="B825" s="100"/>
      <c r="C825" s="100"/>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c r="AA825" s="100"/>
      <c r="AB825" s="100"/>
      <c r="AC825" s="100"/>
      <c r="AD825" s="100"/>
      <c r="AE825" s="100"/>
    </row>
    <row r="826" spans="1:31">
      <c r="A826" s="100"/>
      <c r="B826" s="100"/>
      <c r="C826" s="100"/>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c r="AA826" s="100"/>
      <c r="AB826" s="100"/>
      <c r="AC826" s="100"/>
      <c r="AD826" s="100"/>
      <c r="AE826" s="100"/>
    </row>
    <row r="827" spans="1:31">
      <c r="A827" s="100"/>
      <c r="B827" s="100"/>
      <c r="C827" s="100"/>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c r="AA827" s="100"/>
      <c r="AB827" s="100"/>
      <c r="AC827" s="100"/>
      <c r="AD827" s="100"/>
      <c r="AE827" s="100"/>
    </row>
    <row r="828" spans="1:31">
      <c r="A828" s="100"/>
      <c r="B828" s="100"/>
      <c r="C828" s="100"/>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c r="AA828" s="100"/>
      <c r="AB828" s="100"/>
      <c r="AC828" s="100"/>
      <c r="AD828" s="100"/>
      <c r="AE828" s="100"/>
    </row>
    <row r="829" spans="1:31">
      <c r="A829" s="100"/>
      <c r="B829" s="100"/>
      <c r="C829" s="100"/>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c r="AA829" s="100"/>
      <c r="AB829" s="100"/>
      <c r="AC829" s="100"/>
      <c r="AD829" s="100"/>
      <c r="AE829" s="100"/>
    </row>
    <row r="830" spans="1:31">
      <c r="A830" s="100"/>
      <c r="B830" s="100"/>
      <c r="C830" s="100"/>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c r="AA830" s="100"/>
      <c r="AB830" s="100"/>
      <c r="AC830" s="100"/>
      <c r="AD830" s="100"/>
      <c r="AE830" s="100"/>
    </row>
    <row r="831" spans="1:31">
      <c r="A831" s="100"/>
      <c r="B831" s="100"/>
      <c r="C831" s="100"/>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c r="AA831" s="100"/>
      <c r="AB831" s="100"/>
      <c r="AC831" s="100"/>
      <c r="AD831" s="100"/>
      <c r="AE831" s="100"/>
    </row>
    <row r="832" spans="1:31">
      <c r="A832" s="100"/>
      <c r="B832" s="100"/>
      <c r="C832" s="100"/>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c r="AA832" s="100"/>
      <c r="AB832" s="100"/>
      <c r="AC832" s="100"/>
      <c r="AD832" s="100"/>
      <c r="AE832" s="100"/>
    </row>
    <row r="833" spans="1:31">
      <c r="A833" s="100"/>
      <c r="B833" s="100"/>
      <c r="C833" s="100"/>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c r="AA833" s="100"/>
      <c r="AB833" s="100"/>
      <c r="AC833" s="100"/>
      <c r="AD833" s="100"/>
      <c r="AE833" s="100"/>
    </row>
    <row r="834" spans="1:31">
      <c r="A834" s="100"/>
      <c r="B834" s="100"/>
      <c r="C834" s="100"/>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c r="AA834" s="100"/>
      <c r="AB834" s="100"/>
      <c r="AC834" s="100"/>
      <c r="AD834" s="100"/>
      <c r="AE834" s="100"/>
    </row>
    <row r="835" spans="1:31">
      <c r="A835" s="100"/>
      <c r="B835" s="100"/>
      <c r="C835" s="100"/>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c r="AA835" s="100"/>
      <c r="AB835" s="100"/>
      <c r="AC835" s="100"/>
      <c r="AD835" s="100"/>
      <c r="AE835" s="100"/>
    </row>
    <row r="836" spans="1:31">
      <c r="A836" s="100"/>
      <c r="B836" s="100"/>
      <c r="C836" s="100"/>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c r="AA836" s="100"/>
      <c r="AB836" s="100"/>
      <c r="AC836" s="100"/>
      <c r="AD836" s="100"/>
      <c r="AE836" s="100"/>
    </row>
    <row r="837" spans="1:31">
      <c r="A837" s="100"/>
      <c r="B837" s="100"/>
      <c r="C837" s="100"/>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c r="AA837" s="100"/>
      <c r="AB837" s="100"/>
      <c r="AC837" s="100"/>
      <c r="AD837" s="100"/>
      <c r="AE837" s="100"/>
    </row>
    <row r="838" spans="1:31">
      <c r="A838" s="100"/>
      <c r="B838" s="100"/>
      <c r="C838" s="100"/>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c r="AA838" s="100"/>
      <c r="AB838" s="100"/>
      <c r="AC838" s="100"/>
      <c r="AD838" s="100"/>
      <c r="AE838" s="100"/>
    </row>
    <row r="839" spans="1:31">
      <c r="A839" s="100"/>
      <c r="B839" s="100"/>
      <c r="C839" s="100"/>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c r="AA839" s="100"/>
      <c r="AB839" s="100"/>
      <c r="AC839" s="100"/>
      <c r="AD839" s="100"/>
      <c r="AE839" s="100"/>
    </row>
    <row r="840" spans="1:31">
      <c r="A840" s="100"/>
      <c r="B840" s="100"/>
      <c r="C840" s="100"/>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c r="AA840" s="100"/>
      <c r="AB840" s="100"/>
      <c r="AC840" s="100"/>
      <c r="AD840" s="100"/>
      <c r="AE840" s="100"/>
    </row>
    <row r="841" spans="1:31">
      <c r="A841" s="100"/>
      <c r="B841" s="100"/>
      <c r="C841" s="100"/>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c r="AA841" s="100"/>
      <c r="AB841" s="100"/>
      <c r="AC841" s="100"/>
      <c r="AD841" s="100"/>
      <c r="AE841" s="100"/>
    </row>
    <row r="842" spans="1:31">
      <c r="A842" s="100"/>
      <c r="B842" s="100"/>
      <c r="C842" s="100"/>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c r="AA842" s="100"/>
      <c r="AB842" s="100"/>
      <c r="AC842" s="100"/>
      <c r="AD842" s="100"/>
      <c r="AE842" s="100"/>
    </row>
    <row r="843" spans="1:31">
      <c r="A843" s="100"/>
      <c r="B843" s="100"/>
      <c r="C843" s="100"/>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c r="AA843" s="100"/>
      <c r="AB843" s="100"/>
      <c r="AC843" s="100"/>
      <c r="AD843" s="100"/>
      <c r="AE843" s="100"/>
    </row>
    <row r="844" spans="1:31">
      <c r="A844" s="100"/>
      <c r="B844" s="100"/>
      <c r="C844" s="100"/>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c r="AA844" s="100"/>
      <c r="AB844" s="100"/>
      <c r="AC844" s="100"/>
      <c r="AD844" s="100"/>
      <c r="AE844" s="100"/>
    </row>
    <row r="845" spans="1:31">
      <c r="A845" s="100"/>
      <c r="B845" s="100"/>
      <c r="C845" s="100"/>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c r="AA845" s="100"/>
      <c r="AB845" s="100"/>
      <c r="AC845" s="100"/>
      <c r="AD845" s="100"/>
      <c r="AE845" s="100"/>
    </row>
    <row r="846" spans="1:31">
      <c r="A846" s="100"/>
      <c r="B846" s="100"/>
      <c r="C846" s="100"/>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c r="AA846" s="100"/>
      <c r="AB846" s="100"/>
      <c r="AC846" s="100"/>
      <c r="AD846" s="100"/>
      <c r="AE846" s="100"/>
    </row>
    <row r="847" spans="1:31">
      <c r="A847" s="100"/>
      <c r="B847" s="100"/>
      <c r="C847" s="100"/>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c r="AA847" s="100"/>
      <c r="AB847" s="100"/>
      <c r="AC847" s="100"/>
      <c r="AD847" s="100"/>
      <c r="AE847" s="100"/>
    </row>
    <row r="848" spans="1:31">
      <c r="A848" s="100"/>
      <c r="B848" s="100"/>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c r="AA848" s="100"/>
      <c r="AB848" s="100"/>
      <c r="AC848" s="100"/>
      <c r="AD848" s="100"/>
      <c r="AE848" s="100"/>
    </row>
    <row r="849" spans="1:31">
      <c r="A849" s="100"/>
      <c r="B849" s="100"/>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c r="AA849" s="100"/>
      <c r="AB849" s="100"/>
      <c r="AC849" s="100"/>
      <c r="AD849" s="100"/>
      <c r="AE849" s="100"/>
    </row>
    <row r="850" spans="1:31">
      <c r="A850" s="100"/>
      <c r="B850" s="100"/>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c r="AA850" s="100"/>
      <c r="AB850" s="100"/>
      <c r="AC850" s="100"/>
      <c r="AD850" s="100"/>
      <c r="AE850" s="100"/>
    </row>
    <row r="851" spans="1:31">
      <c r="A851" s="100"/>
      <c r="B851" s="100"/>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c r="AA851" s="100"/>
      <c r="AB851" s="100"/>
      <c r="AC851" s="100"/>
      <c r="AD851" s="100"/>
      <c r="AE851" s="100"/>
    </row>
    <row r="852" spans="1:31">
      <c r="A852" s="100"/>
      <c r="B852" s="100"/>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c r="AA852" s="100"/>
      <c r="AB852" s="100"/>
      <c r="AC852" s="100"/>
      <c r="AD852" s="100"/>
      <c r="AE852" s="100"/>
    </row>
    <row r="853" spans="1:31">
      <c r="A853" s="100"/>
      <c r="B853" s="100"/>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c r="AA853" s="100"/>
      <c r="AB853" s="100"/>
      <c r="AC853" s="100"/>
      <c r="AD853" s="100"/>
      <c r="AE853" s="100"/>
    </row>
    <row r="854" spans="1:31">
      <c r="A854" s="100"/>
      <c r="B854" s="100"/>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c r="AA854" s="100"/>
      <c r="AB854" s="100"/>
      <c r="AC854" s="100"/>
      <c r="AD854" s="100"/>
      <c r="AE854" s="100"/>
    </row>
    <row r="855" spans="1:31">
      <c r="A855" s="100"/>
      <c r="B855" s="100"/>
      <c r="C855" s="100"/>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c r="AA855" s="100"/>
      <c r="AB855" s="100"/>
      <c r="AC855" s="100"/>
      <c r="AD855" s="100"/>
      <c r="AE855" s="100"/>
    </row>
    <row r="856" spans="1:31">
      <c r="A856" s="100"/>
      <c r="B856" s="100"/>
      <c r="C856" s="100"/>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c r="AA856" s="100"/>
      <c r="AB856" s="100"/>
      <c r="AC856" s="100"/>
      <c r="AD856" s="100"/>
      <c r="AE856" s="100"/>
    </row>
    <row r="857" spans="1:31">
      <c r="A857" s="100"/>
      <c r="B857" s="100"/>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c r="AA857" s="100"/>
      <c r="AB857" s="100"/>
      <c r="AC857" s="100"/>
      <c r="AD857" s="100"/>
      <c r="AE857" s="100"/>
    </row>
    <row r="858" spans="1:31">
      <c r="A858" s="100"/>
      <c r="B858" s="100"/>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c r="AA858" s="100"/>
      <c r="AB858" s="100"/>
      <c r="AC858" s="100"/>
      <c r="AD858" s="100"/>
      <c r="AE858" s="100"/>
    </row>
    <row r="859" spans="1:31">
      <c r="A859" s="100"/>
      <c r="B859" s="100"/>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c r="AA859" s="100"/>
      <c r="AB859" s="100"/>
      <c r="AC859" s="100"/>
      <c r="AD859" s="100"/>
      <c r="AE859" s="100"/>
    </row>
    <row r="860" spans="1:31">
      <c r="A860" s="100"/>
      <c r="B860" s="100"/>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c r="AA860" s="100"/>
      <c r="AB860" s="100"/>
      <c r="AC860" s="100"/>
      <c r="AD860" s="100"/>
      <c r="AE860" s="100"/>
    </row>
    <row r="861" spans="1:31">
      <c r="A861" s="100"/>
      <c r="B861" s="100"/>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c r="AA861" s="100"/>
      <c r="AB861" s="100"/>
      <c r="AC861" s="100"/>
      <c r="AD861" s="100"/>
      <c r="AE861" s="100"/>
    </row>
    <row r="862" spans="1:31">
      <c r="A862" s="100"/>
      <c r="B862" s="100"/>
      <c r="C862" s="100"/>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c r="AA862" s="100"/>
      <c r="AB862" s="100"/>
      <c r="AC862" s="100"/>
      <c r="AD862" s="100"/>
      <c r="AE862" s="100"/>
    </row>
    <row r="863" spans="1:31">
      <c r="A863" s="100"/>
      <c r="B863" s="100"/>
      <c r="C863" s="100"/>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c r="AA863" s="100"/>
      <c r="AB863" s="100"/>
      <c r="AC863" s="100"/>
      <c r="AD863" s="100"/>
      <c r="AE863" s="100"/>
    </row>
    <row r="864" spans="1:31">
      <c r="A864" s="100"/>
      <c r="B864" s="100"/>
      <c r="C864" s="100"/>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c r="AA864" s="100"/>
      <c r="AB864" s="100"/>
      <c r="AC864" s="100"/>
      <c r="AD864" s="100"/>
      <c r="AE864" s="100"/>
    </row>
    <row r="865" spans="1:31">
      <c r="A865" s="100"/>
      <c r="B865" s="100"/>
      <c r="C865" s="100"/>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c r="AA865" s="100"/>
      <c r="AB865" s="100"/>
      <c r="AC865" s="100"/>
      <c r="AD865" s="100"/>
      <c r="AE865" s="100"/>
    </row>
    <row r="866" spans="1:31">
      <c r="A866" s="100"/>
      <c r="B866" s="100"/>
      <c r="C866" s="100"/>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c r="AA866" s="100"/>
      <c r="AB866" s="100"/>
      <c r="AC866" s="100"/>
      <c r="AD866" s="100"/>
      <c r="AE866" s="100"/>
    </row>
    <row r="867" spans="1:31">
      <c r="A867" s="100"/>
      <c r="B867" s="100"/>
      <c r="C867" s="100"/>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c r="AA867" s="100"/>
      <c r="AB867" s="100"/>
      <c r="AC867" s="100"/>
      <c r="AD867" s="100"/>
      <c r="AE867" s="100"/>
    </row>
    <row r="868" spans="1:31">
      <c r="A868" s="100"/>
      <c r="B868" s="100"/>
      <c r="C868" s="100"/>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c r="AA868" s="100"/>
      <c r="AB868" s="100"/>
      <c r="AC868" s="100"/>
      <c r="AD868" s="100"/>
      <c r="AE868" s="100"/>
    </row>
    <row r="869" spans="1:31">
      <c r="A869" s="100"/>
      <c r="B869" s="100"/>
      <c r="C869" s="100"/>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c r="AA869" s="100"/>
      <c r="AB869" s="100"/>
      <c r="AC869" s="100"/>
      <c r="AD869" s="100"/>
      <c r="AE869" s="100"/>
    </row>
    <row r="870" spans="1:31">
      <c r="A870" s="100"/>
      <c r="B870" s="100"/>
      <c r="C870" s="100"/>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c r="AA870" s="100"/>
      <c r="AB870" s="100"/>
      <c r="AC870" s="100"/>
      <c r="AD870" s="100"/>
      <c r="AE870" s="100"/>
    </row>
    <row r="871" spans="1:31">
      <c r="A871" s="100"/>
      <c r="B871" s="100"/>
      <c r="C871" s="100"/>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c r="AA871" s="100"/>
      <c r="AB871" s="100"/>
      <c r="AC871" s="100"/>
      <c r="AD871" s="100"/>
      <c r="AE871" s="100"/>
    </row>
    <row r="872" spans="1:31">
      <c r="A872" s="100"/>
      <c r="B872" s="100"/>
      <c r="C872" s="100"/>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c r="AA872" s="100"/>
      <c r="AB872" s="100"/>
      <c r="AC872" s="100"/>
      <c r="AD872" s="100"/>
      <c r="AE872" s="100"/>
    </row>
    <row r="873" spans="1:31">
      <c r="A873" s="100"/>
      <c r="B873" s="100"/>
      <c r="C873" s="100"/>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c r="AA873" s="100"/>
      <c r="AB873" s="100"/>
      <c r="AC873" s="100"/>
      <c r="AD873" s="100"/>
      <c r="AE873" s="100"/>
    </row>
    <row r="874" spans="1:31">
      <c r="A874" s="100"/>
      <c r="B874" s="100"/>
      <c r="C874" s="100"/>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c r="AA874" s="100"/>
      <c r="AB874" s="100"/>
      <c r="AC874" s="100"/>
      <c r="AD874" s="100"/>
      <c r="AE874" s="100"/>
    </row>
    <row r="875" spans="1:31">
      <c r="A875" s="100"/>
      <c r="B875" s="100"/>
      <c r="C875" s="100"/>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c r="AA875" s="100"/>
      <c r="AB875" s="100"/>
      <c r="AC875" s="100"/>
      <c r="AD875" s="100"/>
      <c r="AE875" s="100"/>
    </row>
    <row r="876" spans="1:31">
      <c r="A876" s="100"/>
      <c r="B876" s="100"/>
      <c r="C876" s="100"/>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c r="AA876" s="100"/>
      <c r="AB876" s="100"/>
      <c r="AC876" s="100"/>
      <c r="AD876" s="100"/>
      <c r="AE876" s="100"/>
    </row>
    <row r="877" spans="1:31">
      <c r="A877" s="100"/>
      <c r="B877" s="100"/>
      <c r="C877" s="100"/>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c r="AA877" s="100"/>
      <c r="AB877" s="100"/>
      <c r="AC877" s="100"/>
      <c r="AD877" s="100"/>
      <c r="AE877" s="100"/>
    </row>
    <row r="878" spans="1:31">
      <c r="A878" s="100"/>
      <c r="B878" s="100"/>
      <c r="C878" s="100"/>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c r="AA878" s="100"/>
      <c r="AB878" s="100"/>
      <c r="AC878" s="100"/>
      <c r="AD878" s="100"/>
      <c r="AE878" s="100"/>
    </row>
    <row r="879" spans="1:31">
      <c r="A879" s="100"/>
      <c r="B879" s="100"/>
      <c r="C879" s="100"/>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c r="AA879" s="100"/>
      <c r="AB879" s="100"/>
      <c r="AC879" s="100"/>
      <c r="AD879" s="100"/>
      <c r="AE879" s="100"/>
    </row>
    <row r="880" spans="1:31">
      <c r="A880" s="100"/>
      <c r="B880" s="100"/>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c r="AA880" s="100"/>
      <c r="AB880" s="100"/>
      <c r="AC880" s="100"/>
      <c r="AD880" s="100"/>
      <c r="AE880" s="100"/>
    </row>
    <row r="881" spans="1:31">
      <c r="A881" s="100"/>
      <c r="B881" s="100"/>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c r="AA881" s="100"/>
      <c r="AB881" s="100"/>
      <c r="AC881" s="100"/>
      <c r="AD881" s="100"/>
      <c r="AE881" s="100"/>
    </row>
    <row r="882" spans="1:31">
      <c r="A882" s="100"/>
      <c r="B882" s="100"/>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c r="AA882" s="100"/>
      <c r="AB882" s="100"/>
      <c r="AC882" s="100"/>
      <c r="AD882" s="100"/>
      <c r="AE882" s="100"/>
    </row>
    <row r="883" spans="1:31">
      <c r="A883" s="100"/>
      <c r="B883" s="100"/>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c r="AA883" s="100"/>
      <c r="AB883" s="100"/>
      <c r="AC883" s="100"/>
      <c r="AD883" s="100"/>
      <c r="AE883" s="100"/>
    </row>
    <row r="884" spans="1:31">
      <c r="A884" s="100"/>
      <c r="B884" s="100"/>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c r="AA884" s="100"/>
      <c r="AB884" s="100"/>
      <c r="AC884" s="100"/>
      <c r="AD884" s="100"/>
      <c r="AE884" s="100"/>
    </row>
    <row r="885" spans="1:31">
      <c r="A885" s="100"/>
      <c r="B885" s="100"/>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c r="AA885" s="100"/>
      <c r="AB885" s="100"/>
      <c r="AC885" s="100"/>
      <c r="AD885" s="100"/>
      <c r="AE885" s="100"/>
    </row>
    <row r="886" spans="1:31">
      <c r="A886" s="100"/>
      <c r="B886" s="100"/>
      <c r="C886" s="100"/>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c r="AA886" s="100"/>
      <c r="AB886" s="100"/>
      <c r="AC886" s="100"/>
      <c r="AD886" s="100"/>
      <c r="AE886" s="100"/>
    </row>
    <row r="887" spans="1:31">
      <c r="A887" s="100"/>
      <c r="B887" s="100"/>
      <c r="C887" s="100"/>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c r="AA887" s="100"/>
      <c r="AB887" s="100"/>
      <c r="AC887" s="100"/>
      <c r="AD887" s="100"/>
      <c r="AE887" s="100"/>
    </row>
    <row r="888" spans="1:31">
      <c r="A888" s="100"/>
      <c r="B888" s="100"/>
      <c r="C888" s="100"/>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c r="AA888" s="100"/>
      <c r="AB888" s="100"/>
      <c r="AC888" s="100"/>
      <c r="AD888" s="100"/>
      <c r="AE888" s="100"/>
    </row>
    <row r="889" spans="1:31">
      <c r="A889" s="100"/>
      <c r="B889" s="100"/>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c r="AA889" s="100"/>
      <c r="AB889" s="100"/>
      <c r="AC889" s="100"/>
      <c r="AD889" s="100"/>
      <c r="AE889" s="100"/>
    </row>
    <row r="890" spans="1:31">
      <c r="A890" s="100"/>
      <c r="B890" s="100"/>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c r="AA890" s="100"/>
      <c r="AB890" s="100"/>
      <c r="AC890" s="100"/>
      <c r="AD890" s="100"/>
      <c r="AE890" s="100"/>
    </row>
    <row r="891" spans="1:31">
      <c r="A891" s="100"/>
      <c r="B891" s="100"/>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c r="AA891" s="100"/>
      <c r="AB891" s="100"/>
      <c r="AC891" s="100"/>
      <c r="AD891" s="100"/>
      <c r="AE891" s="100"/>
    </row>
    <row r="892" spans="1:31">
      <c r="A892" s="100"/>
      <c r="B892" s="100"/>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c r="AA892" s="100"/>
      <c r="AB892" s="100"/>
      <c r="AC892" s="100"/>
      <c r="AD892" s="100"/>
      <c r="AE892" s="100"/>
    </row>
    <row r="893" spans="1:31">
      <c r="A893" s="100"/>
      <c r="B893" s="100"/>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c r="AA893" s="100"/>
      <c r="AB893" s="100"/>
      <c r="AC893" s="100"/>
      <c r="AD893" s="100"/>
      <c r="AE893" s="100"/>
    </row>
    <row r="894" spans="1:31">
      <c r="A894" s="100"/>
      <c r="B894" s="100"/>
      <c r="C894" s="100"/>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c r="AA894" s="100"/>
      <c r="AB894" s="100"/>
      <c r="AC894" s="100"/>
      <c r="AD894" s="100"/>
      <c r="AE894" s="100"/>
    </row>
    <row r="895" spans="1:31">
      <c r="A895" s="100"/>
      <c r="B895" s="100"/>
      <c r="C895" s="100"/>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c r="AA895" s="100"/>
      <c r="AB895" s="100"/>
      <c r="AC895" s="100"/>
      <c r="AD895" s="100"/>
      <c r="AE895" s="100"/>
    </row>
    <row r="896" spans="1:31">
      <c r="A896" s="100"/>
      <c r="B896" s="100"/>
      <c r="C896" s="100"/>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c r="AA896" s="100"/>
      <c r="AB896" s="100"/>
      <c r="AC896" s="100"/>
      <c r="AD896" s="100"/>
      <c r="AE896" s="100"/>
    </row>
    <row r="897" spans="1:31">
      <c r="A897" s="100"/>
      <c r="B897" s="100"/>
      <c r="C897" s="100"/>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c r="AA897" s="100"/>
      <c r="AB897" s="100"/>
      <c r="AC897" s="100"/>
      <c r="AD897" s="100"/>
      <c r="AE897" s="100"/>
    </row>
    <row r="898" spans="1:31">
      <c r="A898" s="100"/>
      <c r="B898" s="100"/>
      <c r="C898" s="100"/>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c r="AA898" s="100"/>
      <c r="AB898" s="100"/>
      <c r="AC898" s="100"/>
      <c r="AD898" s="100"/>
      <c r="AE898" s="100"/>
    </row>
    <row r="899" spans="1:31">
      <c r="A899" s="100"/>
      <c r="B899" s="100"/>
      <c r="C899" s="100"/>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c r="AA899" s="100"/>
      <c r="AB899" s="100"/>
      <c r="AC899" s="100"/>
      <c r="AD899" s="100"/>
      <c r="AE899" s="100"/>
    </row>
    <row r="900" spans="1:31">
      <c r="A900" s="100"/>
      <c r="B900" s="100"/>
      <c r="C900" s="100"/>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c r="AA900" s="100"/>
      <c r="AB900" s="100"/>
      <c r="AC900" s="100"/>
      <c r="AD900" s="100"/>
      <c r="AE900" s="100"/>
    </row>
    <row r="901" spans="1:31">
      <c r="A901" s="100"/>
      <c r="B901" s="100"/>
      <c r="C901" s="100"/>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c r="AA901" s="100"/>
      <c r="AB901" s="100"/>
      <c r="AC901" s="100"/>
      <c r="AD901" s="100"/>
      <c r="AE901" s="100"/>
    </row>
    <row r="902" spans="1:31">
      <c r="A902" s="100"/>
      <c r="B902" s="100"/>
      <c r="C902" s="100"/>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c r="AA902" s="100"/>
      <c r="AB902" s="100"/>
      <c r="AC902" s="100"/>
      <c r="AD902" s="100"/>
      <c r="AE902" s="100"/>
    </row>
    <row r="903" spans="1:31">
      <c r="A903" s="100"/>
      <c r="B903" s="100"/>
      <c r="C903" s="100"/>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c r="AA903" s="100"/>
      <c r="AB903" s="100"/>
      <c r="AC903" s="100"/>
      <c r="AD903" s="100"/>
      <c r="AE903" s="100"/>
    </row>
    <row r="904" spans="1:31">
      <c r="A904" s="100"/>
      <c r="B904" s="100"/>
      <c r="C904" s="100"/>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c r="AA904" s="100"/>
      <c r="AB904" s="100"/>
      <c r="AC904" s="100"/>
      <c r="AD904" s="100"/>
      <c r="AE904" s="100"/>
    </row>
    <row r="905" spans="1:31">
      <c r="A905" s="100"/>
      <c r="B905" s="100"/>
      <c r="C905" s="100"/>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c r="AA905" s="100"/>
      <c r="AB905" s="100"/>
      <c r="AC905" s="100"/>
      <c r="AD905" s="100"/>
      <c r="AE905" s="100"/>
    </row>
    <row r="906" spans="1:31">
      <c r="A906" s="100"/>
      <c r="B906" s="100"/>
      <c r="C906" s="100"/>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c r="AA906" s="100"/>
      <c r="AB906" s="100"/>
      <c r="AC906" s="100"/>
      <c r="AD906" s="100"/>
      <c r="AE906" s="100"/>
    </row>
    <row r="907" spans="1:31">
      <c r="A907" s="100"/>
      <c r="B907" s="100"/>
      <c r="C907" s="100"/>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c r="AA907" s="100"/>
      <c r="AB907" s="100"/>
      <c r="AC907" s="100"/>
      <c r="AD907" s="100"/>
      <c r="AE907" s="100"/>
    </row>
    <row r="908" spans="1:31">
      <c r="A908" s="100"/>
      <c r="B908" s="100"/>
      <c r="C908" s="100"/>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c r="AA908" s="100"/>
      <c r="AB908" s="100"/>
      <c r="AC908" s="100"/>
      <c r="AD908" s="100"/>
      <c r="AE908" s="100"/>
    </row>
    <row r="909" spans="1:31">
      <c r="A909" s="100"/>
      <c r="B909" s="100"/>
      <c r="C909" s="100"/>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c r="AA909" s="100"/>
      <c r="AB909" s="100"/>
      <c r="AC909" s="100"/>
      <c r="AD909" s="100"/>
      <c r="AE909" s="100"/>
    </row>
    <row r="910" spans="1:31">
      <c r="A910" s="100"/>
      <c r="B910" s="100"/>
      <c r="C910" s="100"/>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c r="AA910" s="100"/>
      <c r="AB910" s="100"/>
      <c r="AC910" s="100"/>
      <c r="AD910" s="100"/>
      <c r="AE910" s="100"/>
    </row>
    <row r="911" spans="1:31">
      <c r="A911" s="100"/>
      <c r="B911" s="100"/>
      <c r="C911" s="100"/>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c r="AA911" s="100"/>
      <c r="AB911" s="100"/>
      <c r="AC911" s="100"/>
      <c r="AD911" s="100"/>
      <c r="AE911" s="100"/>
    </row>
    <row r="912" spans="1:31">
      <c r="A912" s="100"/>
      <c r="B912" s="100"/>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c r="AA912" s="100"/>
      <c r="AB912" s="100"/>
      <c r="AC912" s="100"/>
      <c r="AD912" s="100"/>
      <c r="AE912" s="100"/>
    </row>
    <row r="913" spans="1:31">
      <c r="A913" s="100"/>
      <c r="B913" s="100"/>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c r="AA913" s="100"/>
      <c r="AB913" s="100"/>
      <c r="AC913" s="100"/>
      <c r="AD913" s="100"/>
      <c r="AE913" s="100"/>
    </row>
    <row r="914" spans="1:31">
      <c r="A914" s="100"/>
      <c r="B914" s="100"/>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c r="AA914" s="100"/>
      <c r="AB914" s="100"/>
      <c r="AC914" s="100"/>
      <c r="AD914" s="100"/>
      <c r="AE914" s="100"/>
    </row>
    <row r="915" spans="1:31">
      <c r="A915" s="100"/>
      <c r="B915" s="100"/>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c r="AA915" s="100"/>
      <c r="AB915" s="100"/>
      <c r="AC915" s="100"/>
      <c r="AD915" s="100"/>
      <c r="AE915" s="100"/>
    </row>
    <row r="916" spans="1:31">
      <c r="A916" s="100"/>
      <c r="B916" s="100"/>
      <c r="C916" s="100"/>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c r="AA916" s="100"/>
      <c r="AB916" s="100"/>
      <c r="AC916" s="100"/>
      <c r="AD916" s="100"/>
      <c r="AE916" s="100"/>
    </row>
    <row r="917" spans="1:31">
      <c r="A917" s="100"/>
      <c r="B917" s="100"/>
      <c r="C917" s="100"/>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c r="AA917" s="100"/>
      <c r="AB917" s="100"/>
      <c r="AC917" s="100"/>
      <c r="AD917" s="100"/>
      <c r="AE917" s="100"/>
    </row>
    <row r="918" spans="1:31">
      <c r="A918" s="100"/>
      <c r="B918" s="100"/>
      <c r="C918" s="100"/>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c r="AA918" s="100"/>
      <c r="AB918" s="100"/>
      <c r="AC918" s="100"/>
      <c r="AD918" s="100"/>
      <c r="AE918" s="100"/>
    </row>
    <row r="919" spans="1:31">
      <c r="A919" s="100"/>
      <c r="B919" s="100"/>
      <c r="C919" s="100"/>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c r="AA919" s="100"/>
      <c r="AB919" s="100"/>
      <c r="AC919" s="100"/>
      <c r="AD919" s="100"/>
      <c r="AE919" s="100"/>
    </row>
    <row r="920" spans="1:31">
      <c r="A920" s="100"/>
      <c r="B920" s="100"/>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c r="AA920" s="100"/>
      <c r="AB920" s="100"/>
      <c r="AC920" s="100"/>
      <c r="AD920" s="100"/>
      <c r="AE920" s="100"/>
    </row>
    <row r="921" spans="1:31">
      <c r="A921" s="100"/>
      <c r="B921" s="100"/>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c r="AA921" s="100"/>
      <c r="AB921" s="100"/>
      <c r="AC921" s="100"/>
      <c r="AD921" s="100"/>
      <c r="AE921" s="100"/>
    </row>
    <row r="922" spans="1:31">
      <c r="A922" s="100"/>
      <c r="B922" s="100"/>
      <c r="C922" s="100"/>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c r="AA922" s="100"/>
      <c r="AB922" s="100"/>
      <c r="AC922" s="100"/>
      <c r="AD922" s="100"/>
      <c r="AE922" s="100"/>
    </row>
    <row r="923" spans="1:31">
      <c r="A923" s="100"/>
      <c r="B923" s="100"/>
      <c r="C923" s="100"/>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c r="AA923" s="100"/>
      <c r="AB923" s="100"/>
      <c r="AC923" s="100"/>
      <c r="AD923" s="100"/>
      <c r="AE923" s="100"/>
    </row>
    <row r="924" spans="1:31">
      <c r="A924" s="100"/>
      <c r="B924" s="100"/>
      <c r="C924" s="100"/>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c r="AA924" s="100"/>
      <c r="AB924" s="100"/>
      <c r="AC924" s="100"/>
      <c r="AD924" s="100"/>
      <c r="AE924" s="100"/>
    </row>
    <row r="925" spans="1:31">
      <c r="A925" s="100"/>
      <c r="B925" s="100"/>
      <c r="C925" s="100"/>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c r="AA925" s="100"/>
      <c r="AB925" s="100"/>
      <c r="AC925" s="100"/>
      <c r="AD925" s="100"/>
      <c r="AE925" s="100"/>
    </row>
    <row r="926" spans="1:31">
      <c r="A926" s="100"/>
      <c r="B926" s="100"/>
      <c r="C926" s="100"/>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c r="AA926" s="100"/>
      <c r="AB926" s="100"/>
      <c r="AC926" s="100"/>
      <c r="AD926" s="100"/>
      <c r="AE926" s="100"/>
    </row>
    <row r="927" spans="1:31">
      <c r="A927" s="100"/>
      <c r="B927" s="100"/>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c r="AA927" s="100"/>
      <c r="AB927" s="100"/>
      <c r="AC927" s="100"/>
      <c r="AD927" s="100"/>
      <c r="AE927" s="100"/>
    </row>
    <row r="928" spans="1:31">
      <c r="A928" s="100"/>
      <c r="B928" s="100"/>
      <c r="C928" s="100"/>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c r="AA928" s="100"/>
      <c r="AB928" s="100"/>
      <c r="AC928" s="100"/>
      <c r="AD928" s="100"/>
      <c r="AE928" s="100"/>
    </row>
    <row r="929" spans="1:31">
      <c r="A929" s="100"/>
      <c r="B929" s="100"/>
      <c r="C929" s="100"/>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c r="AA929" s="100"/>
      <c r="AB929" s="100"/>
      <c r="AC929" s="100"/>
      <c r="AD929" s="100"/>
      <c r="AE929" s="100"/>
    </row>
    <row r="930" spans="1:31">
      <c r="A930" s="100"/>
      <c r="B930" s="100"/>
      <c r="C930" s="100"/>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c r="AA930" s="100"/>
      <c r="AB930" s="100"/>
      <c r="AC930" s="100"/>
      <c r="AD930" s="100"/>
      <c r="AE930" s="100"/>
    </row>
    <row r="931" spans="1:31">
      <c r="A931" s="100"/>
      <c r="B931" s="100"/>
      <c r="C931" s="100"/>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c r="AA931" s="100"/>
      <c r="AB931" s="100"/>
      <c r="AC931" s="100"/>
      <c r="AD931" s="100"/>
      <c r="AE931" s="100"/>
    </row>
    <row r="932" spans="1:31">
      <c r="A932" s="100"/>
      <c r="B932" s="100"/>
      <c r="C932" s="100"/>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c r="AA932" s="100"/>
      <c r="AB932" s="100"/>
      <c r="AC932" s="100"/>
      <c r="AD932" s="100"/>
      <c r="AE932" s="100"/>
    </row>
    <row r="933" spans="1:31">
      <c r="A933" s="100"/>
      <c r="B933" s="100"/>
      <c r="C933" s="100"/>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c r="AA933" s="100"/>
      <c r="AB933" s="100"/>
      <c r="AC933" s="100"/>
      <c r="AD933" s="100"/>
      <c r="AE933" s="100"/>
    </row>
    <row r="934" spans="1:31">
      <c r="A934" s="100"/>
      <c r="B934" s="100"/>
      <c r="C934" s="100"/>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c r="AA934" s="100"/>
      <c r="AB934" s="100"/>
      <c r="AC934" s="100"/>
      <c r="AD934" s="100"/>
      <c r="AE934" s="100"/>
    </row>
    <row r="935" spans="1:31">
      <c r="A935" s="100"/>
      <c r="B935" s="100"/>
      <c r="C935" s="100"/>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c r="AA935" s="100"/>
      <c r="AB935" s="100"/>
      <c r="AC935" s="100"/>
      <c r="AD935" s="100"/>
      <c r="AE935" s="100"/>
    </row>
    <row r="936" spans="1:31">
      <c r="A936" s="100"/>
      <c r="B936" s="100"/>
      <c r="C936" s="100"/>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c r="AA936" s="100"/>
      <c r="AB936" s="100"/>
      <c r="AC936" s="100"/>
      <c r="AD936" s="100"/>
      <c r="AE936" s="100"/>
    </row>
    <row r="937" spans="1:31">
      <c r="A937" s="100"/>
      <c r="B937" s="100"/>
      <c r="C937" s="100"/>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c r="AA937" s="100"/>
      <c r="AB937" s="100"/>
      <c r="AC937" s="100"/>
      <c r="AD937" s="100"/>
      <c r="AE937" s="100"/>
    </row>
    <row r="938" spans="1:31">
      <c r="A938" s="100"/>
      <c r="B938" s="100"/>
      <c r="C938" s="100"/>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c r="AA938" s="100"/>
      <c r="AB938" s="100"/>
      <c r="AC938" s="100"/>
      <c r="AD938" s="100"/>
      <c r="AE938" s="100"/>
    </row>
    <row r="939" spans="1:31">
      <c r="A939" s="100"/>
      <c r="B939" s="100"/>
      <c r="C939" s="100"/>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c r="AA939" s="100"/>
      <c r="AB939" s="100"/>
      <c r="AC939" s="100"/>
      <c r="AD939" s="100"/>
      <c r="AE939" s="100"/>
    </row>
    <row r="940" spans="1:31">
      <c r="A940" s="100"/>
      <c r="B940" s="100"/>
      <c r="C940" s="100"/>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c r="AA940" s="100"/>
      <c r="AB940" s="100"/>
      <c r="AC940" s="100"/>
      <c r="AD940" s="100"/>
      <c r="AE940" s="100"/>
    </row>
    <row r="941" spans="1:31">
      <c r="A941" s="100"/>
      <c r="B941" s="100"/>
      <c r="C941" s="100"/>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c r="AA941" s="100"/>
      <c r="AB941" s="100"/>
      <c r="AC941" s="100"/>
      <c r="AD941" s="100"/>
      <c r="AE941" s="100"/>
    </row>
    <row r="942" spans="1:31">
      <c r="A942" s="100"/>
      <c r="B942" s="100"/>
      <c r="C942" s="100"/>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c r="AA942" s="100"/>
      <c r="AB942" s="100"/>
      <c r="AC942" s="100"/>
      <c r="AD942" s="100"/>
      <c r="AE942" s="100"/>
    </row>
    <row r="943" spans="1:31">
      <c r="A943" s="100"/>
      <c r="B943" s="100"/>
      <c r="C943" s="100"/>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c r="AA943" s="100"/>
      <c r="AB943" s="100"/>
      <c r="AC943" s="100"/>
      <c r="AD943" s="100"/>
      <c r="AE943" s="100"/>
    </row>
    <row r="944" spans="1:31">
      <c r="A944" s="100"/>
      <c r="B944" s="100"/>
      <c r="C944" s="100"/>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c r="AA944" s="100"/>
      <c r="AB944" s="100"/>
      <c r="AC944" s="100"/>
      <c r="AD944" s="100"/>
      <c r="AE944" s="100"/>
    </row>
    <row r="945" spans="1:31">
      <c r="A945" s="100"/>
      <c r="B945" s="100"/>
      <c r="C945" s="100"/>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c r="AA945" s="100"/>
      <c r="AB945" s="100"/>
      <c r="AC945" s="100"/>
      <c r="AD945" s="100"/>
      <c r="AE945" s="100"/>
    </row>
    <row r="946" spans="1:31">
      <c r="A946" s="100"/>
      <c r="B946" s="100"/>
      <c r="C946" s="100"/>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c r="AA946" s="100"/>
      <c r="AB946" s="100"/>
      <c r="AC946" s="100"/>
      <c r="AD946" s="100"/>
      <c r="AE946" s="100"/>
    </row>
    <row r="947" spans="1:31">
      <c r="A947" s="100"/>
      <c r="B947" s="100"/>
      <c r="C947" s="100"/>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c r="AA947" s="100"/>
      <c r="AB947" s="100"/>
      <c r="AC947" s="100"/>
      <c r="AD947" s="100"/>
      <c r="AE947" s="100"/>
    </row>
    <row r="948" spans="1:31">
      <c r="A948" s="100"/>
      <c r="B948" s="100"/>
      <c r="C948" s="100"/>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c r="AA948" s="100"/>
      <c r="AB948" s="100"/>
      <c r="AC948" s="100"/>
      <c r="AD948" s="100"/>
      <c r="AE948" s="100"/>
    </row>
    <row r="949" spans="1:31">
      <c r="A949" s="100"/>
      <c r="B949" s="100"/>
      <c r="C949" s="100"/>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c r="AA949" s="100"/>
      <c r="AB949" s="100"/>
      <c r="AC949" s="100"/>
      <c r="AD949" s="100"/>
      <c r="AE949" s="100"/>
    </row>
    <row r="950" spans="1:31">
      <c r="A950" s="100"/>
      <c r="B950" s="100"/>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c r="AA950" s="100"/>
      <c r="AB950" s="100"/>
      <c r="AC950" s="100"/>
      <c r="AD950" s="100"/>
      <c r="AE950" s="100"/>
    </row>
    <row r="951" spans="1:31">
      <c r="A951" s="100"/>
      <c r="B951" s="100"/>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c r="AA951" s="100"/>
      <c r="AB951" s="100"/>
      <c r="AC951" s="100"/>
      <c r="AD951" s="100"/>
      <c r="AE951" s="100"/>
    </row>
    <row r="952" spans="1:31">
      <c r="A952" s="100"/>
      <c r="B952" s="100"/>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c r="AA952" s="100"/>
      <c r="AB952" s="100"/>
      <c r="AC952" s="100"/>
      <c r="AD952" s="100"/>
      <c r="AE952" s="100"/>
    </row>
    <row r="953" spans="1:31">
      <c r="A953" s="100"/>
      <c r="B953" s="100"/>
      <c r="C953" s="100"/>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c r="AA953" s="100"/>
      <c r="AB953" s="100"/>
      <c r="AC953" s="100"/>
      <c r="AD953" s="100"/>
      <c r="AE953" s="100"/>
    </row>
    <row r="954" spans="1:31">
      <c r="A954" s="100"/>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c r="AA954" s="100"/>
      <c r="AB954" s="100"/>
      <c r="AC954" s="100"/>
      <c r="AD954" s="100"/>
      <c r="AE954" s="100"/>
    </row>
    <row r="955" spans="1:31">
      <c r="A955" s="100"/>
      <c r="B955" s="100"/>
      <c r="C955" s="100"/>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c r="AA955" s="100"/>
      <c r="AB955" s="100"/>
      <c r="AC955" s="100"/>
      <c r="AD955" s="100"/>
      <c r="AE955" s="100"/>
    </row>
    <row r="956" spans="1:31">
      <c r="A956" s="100"/>
      <c r="B956" s="100"/>
      <c r="C956" s="100"/>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c r="AA956" s="100"/>
      <c r="AB956" s="100"/>
      <c r="AC956" s="100"/>
      <c r="AD956" s="100"/>
      <c r="AE956" s="100"/>
    </row>
    <row r="957" spans="1:31">
      <c r="A957" s="100"/>
      <c r="B957" s="100"/>
      <c r="C957" s="100"/>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c r="AA957" s="100"/>
      <c r="AB957" s="100"/>
      <c r="AC957" s="100"/>
      <c r="AD957" s="100"/>
      <c r="AE957" s="100"/>
    </row>
    <row r="958" spans="1:31">
      <c r="A958" s="100"/>
      <c r="B958" s="100"/>
      <c r="C958" s="100"/>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c r="AA958" s="100"/>
      <c r="AB958" s="100"/>
      <c r="AC958" s="100"/>
      <c r="AD958" s="100"/>
      <c r="AE958" s="100"/>
    </row>
    <row r="959" spans="1:31">
      <c r="A959" s="100"/>
      <c r="B959" s="100"/>
      <c r="C959" s="100"/>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c r="AA959" s="100"/>
      <c r="AB959" s="100"/>
      <c r="AC959" s="100"/>
      <c r="AD959" s="100"/>
      <c r="AE959" s="100"/>
    </row>
    <row r="960" spans="1:31">
      <c r="A960" s="100"/>
      <c r="B960" s="100"/>
      <c r="C960" s="100"/>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c r="AA960" s="100"/>
      <c r="AB960" s="100"/>
      <c r="AC960" s="100"/>
      <c r="AD960" s="100"/>
      <c r="AE960" s="100"/>
    </row>
    <row r="961" spans="1:31">
      <c r="A961" s="100"/>
      <c r="B961" s="100"/>
      <c r="C961" s="100"/>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c r="AA961" s="100"/>
      <c r="AB961" s="100"/>
      <c r="AC961" s="100"/>
      <c r="AD961" s="100"/>
      <c r="AE961" s="100"/>
    </row>
    <row r="962" spans="1:31">
      <c r="A962" s="100"/>
      <c r="B962" s="100"/>
      <c r="C962" s="100"/>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c r="AA962" s="100"/>
      <c r="AB962" s="100"/>
      <c r="AC962" s="100"/>
      <c r="AD962" s="100"/>
      <c r="AE962" s="100"/>
    </row>
    <row r="963" spans="1:31">
      <c r="A963" s="100"/>
      <c r="B963" s="100"/>
      <c r="C963" s="100"/>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c r="AA963" s="100"/>
      <c r="AB963" s="100"/>
      <c r="AC963" s="100"/>
      <c r="AD963" s="100"/>
      <c r="AE963" s="100"/>
    </row>
    <row r="964" spans="1:31">
      <c r="A964" s="100"/>
      <c r="B964" s="100"/>
      <c r="C964" s="100"/>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c r="AA964" s="100"/>
      <c r="AB964" s="100"/>
      <c r="AC964" s="100"/>
      <c r="AD964" s="100"/>
      <c r="AE964" s="100"/>
    </row>
    <row r="965" spans="1:31">
      <c r="A965" s="100"/>
      <c r="B965" s="100"/>
      <c r="C965" s="100"/>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c r="AA965" s="100"/>
      <c r="AB965" s="100"/>
      <c r="AC965" s="100"/>
      <c r="AD965" s="100"/>
      <c r="AE965" s="100"/>
    </row>
    <row r="966" spans="1:31">
      <c r="A966" s="100"/>
      <c r="B966" s="100"/>
      <c r="C966" s="100"/>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c r="AA966" s="100"/>
      <c r="AB966" s="100"/>
      <c r="AC966" s="100"/>
      <c r="AD966" s="100"/>
      <c r="AE966" s="100"/>
    </row>
    <row r="967" spans="1:31">
      <c r="A967" s="100"/>
      <c r="B967" s="100"/>
      <c r="C967" s="100"/>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c r="AA967" s="100"/>
      <c r="AB967" s="100"/>
      <c r="AC967" s="100"/>
      <c r="AD967" s="100"/>
      <c r="AE967" s="100"/>
    </row>
    <row r="968" spans="1:31">
      <c r="A968" s="100"/>
      <c r="B968" s="100"/>
      <c r="C968" s="100"/>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c r="AA968" s="100"/>
      <c r="AB968" s="100"/>
      <c r="AC968" s="100"/>
      <c r="AD968" s="100"/>
      <c r="AE968" s="100"/>
    </row>
    <row r="969" spans="1:31">
      <c r="A969" s="100"/>
      <c r="B969" s="100"/>
      <c r="C969" s="100"/>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c r="AA969" s="100"/>
      <c r="AB969" s="100"/>
      <c r="AC969" s="100"/>
      <c r="AD969" s="100"/>
      <c r="AE969" s="100"/>
    </row>
    <row r="970" spans="1:31">
      <c r="A970" s="100"/>
      <c r="B970" s="100"/>
      <c r="C970" s="100"/>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c r="AA970" s="100"/>
      <c r="AB970" s="100"/>
      <c r="AC970" s="100"/>
      <c r="AD970" s="100"/>
      <c r="AE970" s="100"/>
    </row>
    <row r="971" spans="1:31">
      <c r="A971" s="100"/>
      <c r="B971" s="100"/>
      <c r="C971" s="100"/>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c r="AA971" s="100"/>
      <c r="AB971" s="100"/>
      <c r="AC971" s="100"/>
      <c r="AD971" s="100"/>
      <c r="AE971" s="100"/>
    </row>
    <row r="972" spans="1:31">
      <c r="A972" s="100"/>
      <c r="B972" s="100"/>
      <c r="C972" s="100"/>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c r="AA972" s="100"/>
      <c r="AB972" s="100"/>
      <c r="AC972" s="100"/>
      <c r="AD972" s="100"/>
      <c r="AE972" s="100"/>
    </row>
    <row r="973" spans="1:31">
      <c r="A973" s="100"/>
      <c r="B973" s="100"/>
      <c r="C973" s="100"/>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c r="AA973" s="100"/>
      <c r="AB973" s="100"/>
      <c r="AC973" s="100"/>
      <c r="AD973" s="100"/>
      <c r="AE973" s="100"/>
    </row>
    <row r="974" spans="1:31">
      <c r="A974" s="100"/>
      <c r="B974" s="100"/>
      <c r="C974" s="100"/>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c r="AA974" s="100"/>
      <c r="AB974" s="100"/>
      <c r="AC974" s="100"/>
      <c r="AD974" s="100"/>
      <c r="AE974" s="100"/>
    </row>
    <row r="975" spans="1:31">
      <c r="A975" s="100"/>
      <c r="B975" s="100"/>
      <c r="C975" s="100"/>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c r="AA975" s="100"/>
      <c r="AB975" s="100"/>
      <c r="AC975" s="100"/>
      <c r="AD975" s="100"/>
      <c r="AE975" s="100"/>
    </row>
    <row r="976" spans="1:31">
      <c r="A976" s="100"/>
      <c r="B976" s="100"/>
      <c r="C976" s="100"/>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c r="AA976" s="100"/>
      <c r="AB976" s="100"/>
      <c r="AC976" s="100"/>
      <c r="AD976" s="100"/>
      <c r="AE976" s="100"/>
    </row>
    <row r="977" spans="1:31">
      <c r="A977" s="100"/>
      <c r="B977" s="100"/>
      <c r="C977" s="100"/>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c r="AA977" s="100"/>
      <c r="AB977" s="100"/>
      <c r="AC977" s="100"/>
      <c r="AD977" s="100"/>
      <c r="AE977" s="100"/>
    </row>
    <row r="978" spans="1:31">
      <c r="A978" s="100"/>
      <c r="B978" s="100"/>
      <c r="C978" s="100"/>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c r="AA978" s="100"/>
      <c r="AB978" s="100"/>
      <c r="AC978" s="100"/>
      <c r="AD978" s="100"/>
      <c r="AE978" s="100"/>
    </row>
    <row r="979" spans="1:31">
      <c r="A979" s="100"/>
      <c r="B979" s="100"/>
      <c r="C979" s="100"/>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c r="Z979" s="100"/>
      <c r="AA979" s="100"/>
      <c r="AB979" s="100"/>
      <c r="AC979" s="100"/>
      <c r="AD979" s="100"/>
      <c r="AE979" s="100"/>
    </row>
    <row r="980" spans="1:31">
      <c r="A980" s="100"/>
      <c r="B980" s="100"/>
      <c r="C980" s="100"/>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c r="Z980" s="100"/>
      <c r="AA980" s="100"/>
      <c r="AB980" s="100"/>
      <c r="AC980" s="100"/>
      <c r="AD980" s="100"/>
      <c r="AE980" s="100"/>
    </row>
    <row r="981" spans="1:31">
      <c r="A981" s="100"/>
      <c r="B981" s="100"/>
      <c r="C981" s="100"/>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c r="Z981" s="100"/>
      <c r="AA981" s="100"/>
      <c r="AB981" s="100"/>
      <c r="AC981" s="100"/>
      <c r="AD981" s="100"/>
      <c r="AE981" s="100"/>
    </row>
    <row r="982" spans="1:31">
      <c r="A982" s="100"/>
      <c r="B982" s="100"/>
      <c r="C982" s="100"/>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c r="Z982" s="100"/>
      <c r="AA982" s="100"/>
      <c r="AB982" s="100"/>
      <c r="AC982" s="100"/>
      <c r="AD982" s="100"/>
      <c r="AE982" s="100"/>
    </row>
    <row r="983" spans="1:31">
      <c r="A983" s="100"/>
      <c r="B983" s="100"/>
      <c r="C983" s="100"/>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c r="AA983" s="100"/>
      <c r="AB983" s="100"/>
      <c r="AC983" s="100"/>
      <c r="AD983" s="100"/>
      <c r="AE983" s="100"/>
    </row>
    <row r="984" spans="1:31">
      <c r="A984" s="100"/>
      <c r="B984" s="100"/>
      <c r="C984" s="100"/>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c r="AA984" s="100"/>
      <c r="AB984" s="100"/>
      <c r="AC984" s="100"/>
      <c r="AD984" s="100"/>
      <c r="AE984" s="100"/>
    </row>
    <row r="985" spans="1:31">
      <c r="A985" s="100"/>
      <c r="B985" s="100"/>
      <c r="C985" s="100"/>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c r="AA985" s="100"/>
      <c r="AB985" s="100"/>
      <c r="AC985" s="100"/>
      <c r="AD985" s="100"/>
      <c r="AE985" s="100"/>
    </row>
    <row r="986" spans="1:31">
      <c r="A986" s="100"/>
      <c r="B986" s="100"/>
      <c r="C986" s="100"/>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c r="AA986" s="100"/>
      <c r="AB986" s="100"/>
      <c r="AC986" s="100"/>
      <c r="AD986" s="100"/>
      <c r="AE986" s="100"/>
    </row>
    <row r="987" spans="1:31">
      <c r="A987" s="100"/>
      <c r="B987" s="100"/>
      <c r="C987" s="100"/>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c r="AA987" s="100"/>
      <c r="AB987" s="100"/>
      <c r="AC987" s="100"/>
      <c r="AD987" s="100"/>
      <c r="AE987" s="100"/>
    </row>
    <row r="988" spans="1:31">
      <c r="A988" s="100"/>
      <c r="B988" s="100"/>
      <c r="C988" s="100"/>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c r="AA988" s="100"/>
      <c r="AB988" s="100"/>
      <c r="AC988" s="100"/>
      <c r="AD988" s="100"/>
      <c r="AE988" s="100"/>
    </row>
    <row r="989" spans="1:31">
      <c r="A989" s="100"/>
      <c r="B989" s="100"/>
      <c r="C989" s="100"/>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c r="Z989" s="100"/>
      <c r="AA989" s="100"/>
      <c r="AB989" s="100"/>
      <c r="AC989" s="100"/>
      <c r="AD989" s="100"/>
      <c r="AE989" s="100"/>
    </row>
    <row r="990" spans="1:31">
      <c r="A990" s="100"/>
      <c r="B990" s="100"/>
      <c r="C990" s="100"/>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c r="AA990" s="100"/>
      <c r="AB990" s="100"/>
      <c r="AC990" s="100"/>
      <c r="AD990" s="100"/>
      <c r="AE990" s="100"/>
    </row>
    <row r="991" spans="1:31">
      <c r="A991" s="100"/>
      <c r="B991" s="100"/>
      <c r="C991" s="100"/>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c r="Z991" s="100"/>
      <c r="AA991" s="100"/>
      <c r="AB991" s="100"/>
      <c r="AC991" s="100"/>
      <c r="AD991" s="100"/>
      <c r="AE991" s="100"/>
    </row>
    <row r="992" spans="1:31">
      <c r="A992" s="100"/>
      <c r="B992" s="100"/>
      <c r="C992" s="100"/>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0"/>
      <c r="AA992" s="100"/>
      <c r="AB992" s="100"/>
      <c r="AC992" s="100"/>
      <c r="AD992" s="100"/>
      <c r="AE992" s="100"/>
    </row>
    <row r="993" spans="1:31">
      <c r="A993" s="100"/>
      <c r="B993" s="100"/>
      <c r="C993" s="100"/>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c r="Z993" s="100"/>
      <c r="AA993" s="100"/>
      <c r="AB993" s="100"/>
      <c r="AC993" s="100"/>
      <c r="AD993" s="100"/>
      <c r="AE993" s="100"/>
    </row>
    <row r="994" spans="1:31">
      <c r="A994" s="100"/>
      <c r="B994" s="100"/>
      <c r="C994" s="100"/>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c r="Z994" s="100"/>
      <c r="AA994" s="100"/>
      <c r="AB994" s="100"/>
      <c r="AC994" s="100"/>
      <c r="AD994" s="100"/>
      <c r="AE994" s="100"/>
    </row>
    <row r="995" spans="1:31">
      <c r="A995" s="100"/>
      <c r="B995" s="100"/>
      <c r="C995" s="100"/>
      <c r="D995" s="100"/>
      <c r="E995" s="100"/>
      <c r="F995" s="100"/>
      <c r="G995" s="100"/>
      <c r="H995" s="100"/>
      <c r="I995" s="100"/>
      <c r="J995" s="100"/>
      <c r="K995" s="100"/>
      <c r="L995" s="100"/>
      <c r="M995" s="100"/>
      <c r="N995" s="100"/>
      <c r="O995" s="100"/>
      <c r="P995" s="100"/>
      <c r="Q995" s="100"/>
      <c r="R995" s="100"/>
      <c r="S995" s="100"/>
      <c r="T995" s="100"/>
      <c r="U995" s="100"/>
      <c r="V995" s="100"/>
      <c r="W995" s="100"/>
      <c r="X995" s="100"/>
      <c r="Y995" s="100"/>
      <c r="Z995" s="100"/>
      <c r="AA995" s="100"/>
      <c r="AB995" s="100"/>
      <c r="AC995" s="100"/>
      <c r="AD995" s="100"/>
      <c r="AE995" s="100"/>
    </row>
    <row r="996" spans="1:31">
      <c r="A996" s="100"/>
      <c r="B996" s="100"/>
      <c r="C996" s="100"/>
      <c r="D996" s="100"/>
      <c r="E996" s="100"/>
      <c r="F996" s="100"/>
      <c r="G996" s="100"/>
      <c r="H996" s="100"/>
      <c r="I996" s="100"/>
      <c r="J996" s="100"/>
      <c r="K996" s="100"/>
      <c r="L996" s="100"/>
      <c r="M996" s="100"/>
      <c r="N996" s="100"/>
      <c r="O996" s="100"/>
      <c r="P996" s="100"/>
      <c r="Q996" s="100"/>
      <c r="R996" s="100"/>
      <c r="S996" s="100"/>
      <c r="T996" s="100"/>
      <c r="U996" s="100"/>
      <c r="V996" s="100"/>
      <c r="W996" s="100"/>
      <c r="X996" s="100"/>
      <c r="Y996" s="100"/>
      <c r="Z996" s="100"/>
      <c r="AA996" s="100"/>
      <c r="AB996" s="100"/>
      <c r="AC996" s="100"/>
      <c r="AD996" s="100"/>
      <c r="AE996" s="100"/>
    </row>
    <row r="997" spans="1:31">
      <c r="A997" s="100"/>
      <c r="B997" s="100"/>
      <c r="C997" s="100"/>
      <c r="D997" s="100"/>
      <c r="E997" s="100"/>
      <c r="F997" s="100"/>
      <c r="G997" s="100"/>
      <c r="H997" s="100"/>
      <c r="I997" s="100"/>
      <c r="J997" s="100"/>
      <c r="K997" s="100"/>
      <c r="L997" s="100"/>
      <c r="M997" s="100"/>
      <c r="N997" s="100"/>
      <c r="O997" s="100"/>
      <c r="P997" s="100"/>
      <c r="Q997" s="100"/>
      <c r="R997" s="100"/>
      <c r="S997" s="100"/>
      <c r="T997" s="100"/>
      <c r="U997" s="100"/>
      <c r="V997" s="100"/>
      <c r="W997" s="100"/>
      <c r="X997" s="100"/>
      <c r="Y997" s="100"/>
      <c r="Z997" s="100"/>
      <c r="AA997" s="100"/>
      <c r="AB997" s="100"/>
      <c r="AC997" s="100"/>
      <c r="AD997" s="100"/>
      <c r="AE997" s="100"/>
    </row>
    <row r="998" spans="1:31">
      <c r="A998" s="100"/>
      <c r="B998" s="100"/>
      <c r="C998" s="100"/>
      <c r="D998" s="100"/>
      <c r="E998" s="100"/>
      <c r="F998" s="100"/>
      <c r="G998" s="100"/>
      <c r="H998" s="100"/>
      <c r="I998" s="100"/>
      <c r="J998" s="100"/>
      <c r="K998" s="100"/>
      <c r="L998" s="100"/>
      <c r="M998" s="100"/>
      <c r="N998" s="100"/>
      <c r="O998" s="100"/>
      <c r="P998" s="100"/>
      <c r="Q998" s="100"/>
      <c r="R998" s="100"/>
      <c r="S998" s="100"/>
      <c r="T998" s="100"/>
      <c r="U998" s="100"/>
      <c r="V998" s="100"/>
      <c r="W998" s="100"/>
      <c r="X998" s="100"/>
      <c r="Y998" s="100"/>
      <c r="Z998" s="100"/>
      <c r="AA998" s="100"/>
      <c r="AB998" s="100"/>
      <c r="AC998" s="100"/>
      <c r="AD998" s="100"/>
      <c r="AE998" s="100"/>
    </row>
    <row r="999" spans="1:31">
      <c r="A999" s="100"/>
      <c r="B999" s="100"/>
      <c r="C999" s="100"/>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c r="Z999" s="100"/>
      <c r="AA999" s="100"/>
      <c r="AB999" s="100"/>
      <c r="AC999" s="100"/>
      <c r="AD999" s="100"/>
      <c r="AE999" s="100"/>
    </row>
    <row r="1000" spans="1:31">
      <c r="A1000" s="100"/>
      <c r="B1000" s="100"/>
      <c r="C1000" s="100"/>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c r="AA1000" s="100"/>
      <c r="AB1000" s="100"/>
      <c r="AC1000" s="100"/>
      <c r="AD1000" s="100"/>
      <c r="AE1000" s="100"/>
    </row>
    <row r="1001" spans="1:31">
      <c r="A1001" s="100"/>
      <c r="B1001" s="100"/>
      <c r="C1001" s="100"/>
      <c r="D1001" s="100"/>
      <c r="E1001" s="100"/>
      <c r="F1001" s="100"/>
      <c r="G1001" s="100"/>
      <c r="H1001" s="100"/>
      <c r="I1001" s="100"/>
      <c r="J1001" s="100"/>
      <c r="K1001" s="100"/>
      <c r="L1001" s="100"/>
      <c r="M1001" s="100"/>
      <c r="N1001" s="100"/>
      <c r="O1001" s="100"/>
      <c r="P1001" s="100"/>
      <c r="Q1001" s="100"/>
      <c r="R1001" s="100"/>
      <c r="S1001" s="100"/>
      <c r="T1001" s="100"/>
      <c r="U1001" s="100"/>
      <c r="V1001" s="100"/>
      <c r="W1001" s="100"/>
      <c r="X1001" s="100"/>
      <c r="Y1001" s="100"/>
      <c r="Z1001" s="100"/>
      <c r="AA1001" s="100"/>
      <c r="AB1001" s="100"/>
      <c r="AC1001" s="100"/>
      <c r="AD1001" s="100"/>
      <c r="AE1001" s="100"/>
    </row>
    <row r="1002" spans="1:31">
      <c r="A1002" s="100"/>
      <c r="B1002" s="100"/>
      <c r="C1002" s="100"/>
      <c r="D1002" s="100"/>
      <c r="E1002" s="100"/>
      <c r="F1002" s="100"/>
      <c r="G1002" s="100"/>
      <c r="H1002" s="100"/>
      <c r="I1002" s="100"/>
      <c r="J1002" s="100"/>
      <c r="K1002" s="100"/>
      <c r="L1002" s="100"/>
      <c r="M1002" s="100"/>
      <c r="N1002" s="100"/>
      <c r="O1002" s="100"/>
      <c r="P1002" s="100"/>
      <c r="Q1002" s="100"/>
      <c r="R1002" s="100"/>
      <c r="S1002" s="100"/>
      <c r="T1002" s="100"/>
      <c r="U1002" s="100"/>
      <c r="V1002" s="100"/>
      <c r="W1002" s="100"/>
      <c r="X1002" s="100"/>
      <c r="Y1002" s="100"/>
      <c r="Z1002" s="100"/>
      <c r="AA1002" s="100"/>
      <c r="AB1002" s="100"/>
      <c r="AC1002" s="100"/>
      <c r="AD1002" s="100"/>
      <c r="AE1002" s="100"/>
    </row>
    <row r="1003" spans="1:31">
      <c r="A1003" s="100"/>
      <c r="B1003" s="100"/>
      <c r="C1003" s="100"/>
      <c r="D1003" s="100"/>
      <c r="E1003" s="100"/>
      <c r="F1003" s="100"/>
      <c r="G1003" s="100"/>
      <c r="H1003" s="100"/>
      <c r="I1003" s="100"/>
      <c r="J1003" s="100"/>
      <c r="K1003" s="100"/>
      <c r="L1003" s="100"/>
      <c r="M1003" s="100"/>
      <c r="N1003" s="100"/>
      <c r="O1003" s="100"/>
      <c r="P1003" s="100"/>
      <c r="Q1003" s="100"/>
      <c r="R1003" s="100"/>
      <c r="S1003" s="100"/>
      <c r="T1003" s="100"/>
      <c r="U1003" s="100"/>
      <c r="V1003" s="100"/>
      <c r="W1003" s="100"/>
      <c r="X1003" s="100"/>
      <c r="Y1003" s="100"/>
      <c r="Z1003" s="100"/>
      <c r="AA1003" s="100"/>
      <c r="AB1003" s="100"/>
      <c r="AC1003" s="100"/>
      <c r="AD1003" s="100"/>
      <c r="AE1003" s="100"/>
    </row>
    <row r="1004" spans="1:31">
      <c r="A1004" s="100"/>
      <c r="B1004" s="100"/>
      <c r="C1004" s="100"/>
      <c r="D1004" s="100"/>
      <c r="E1004" s="100"/>
      <c r="F1004" s="100"/>
      <c r="G1004" s="100"/>
      <c r="H1004" s="100"/>
      <c r="I1004" s="100"/>
      <c r="J1004" s="100"/>
      <c r="K1004" s="100"/>
      <c r="L1004" s="100"/>
      <c r="M1004" s="100"/>
      <c r="N1004" s="100"/>
      <c r="O1004" s="100"/>
      <c r="P1004" s="100"/>
      <c r="Q1004" s="100"/>
      <c r="R1004" s="100"/>
      <c r="S1004" s="100"/>
      <c r="T1004" s="100"/>
      <c r="U1004" s="100"/>
      <c r="V1004" s="100"/>
      <c r="W1004" s="100"/>
      <c r="X1004" s="100"/>
      <c r="Y1004" s="100"/>
      <c r="Z1004" s="100"/>
      <c r="AA1004" s="100"/>
      <c r="AB1004" s="100"/>
      <c r="AC1004" s="100"/>
      <c r="AD1004" s="100"/>
      <c r="AE1004" s="100"/>
    </row>
    <row r="1005" spans="1:31">
      <c r="A1005" s="100"/>
      <c r="B1005" s="100"/>
      <c r="C1005" s="100"/>
      <c r="D1005" s="100"/>
      <c r="E1005" s="100"/>
      <c r="F1005" s="100"/>
      <c r="G1005" s="100"/>
      <c r="H1005" s="100"/>
      <c r="I1005" s="100"/>
      <c r="J1005" s="100"/>
      <c r="K1005" s="100"/>
      <c r="L1005" s="100"/>
      <c r="M1005" s="100"/>
      <c r="N1005" s="100"/>
      <c r="O1005" s="100"/>
      <c r="P1005" s="100"/>
      <c r="Q1005" s="100"/>
      <c r="R1005" s="100"/>
      <c r="S1005" s="100"/>
      <c r="T1005" s="100"/>
      <c r="U1005" s="100"/>
      <c r="V1005" s="100"/>
      <c r="W1005" s="100"/>
      <c r="X1005" s="100"/>
      <c r="Y1005" s="100"/>
      <c r="Z1005" s="100"/>
      <c r="AA1005" s="100"/>
      <c r="AB1005" s="100"/>
      <c r="AC1005" s="100"/>
      <c r="AD1005" s="100"/>
      <c r="AE1005" s="100"/>
    </row>
    <row r="1006" spans="1:31">
      <c r="A1006" s="100"/>
      <c r="B1006" s="100"/>
      <c r="C1006" s="100"/>
      <c r="D1006" s="100"/>
      <c r="E1006" s="100"/>
      <c r="F1006" s="100"/>
      <c r="G1006" s="100"/>
      <c r="H1006" s="100"/>
      <c r="I1006" s="100"/>
      <c r="J1006" s="100"/>
      <c r="K1006" s="100"/>
      <c r="L1006" s="100"/>
      <c r="M1006" s="100"/>
      <c r="N1006" s="100"/>
      <c r="O1006" s="100"/>
      <c r="P1006" s="100"/>
      <c r="Q1006" s="100"/>
      <c r="R1006" s="100"/>
      <c r="S1006" s="100"/>
      <c r="T1006" s="100"/>
      <c r="U1006" s="100"/>
      <c r="V1006" s="100"/>
      <c r="W1006" s="100"/>
      <c r="X1006" s="100"/>
      <c r="Y1006" s="100"/>
      <c r="Z1006" s="100"/>
      <c r="AA1006" s="100"/>
      <c r="AB1006" s="100"/>
      <c r="AC1006" s="100"/>
      <c r="AD1006" s="100"/>
      <c r="AE1006" s="100"/>
    </row>
    <row r="1007" spans="1:31">
      <c r="A1007" s="100"/>
      <c r="B1007" s="100"/>
      <c r="C1007" s="100"/>
      <c r="D1007" s="100"/>
      <c r="E1007" s="100"/>
      <c r="F1007" s="100"/>
      <c r="G1007" s="100"/>
      <c r="H1007" s="100"/>
      <c r="I1007" s="100"/>
      <c r="J1007" s="100"/>
      <c r="K1007" s="100"/>
      <c r="L1007" s="100"/>
      <c r="M1007" s="100"/>
      <c r="N1007" s="100"/>
      <c r="O1007" s="100"/>
      <c r="P1007" s="100"/>
      <c r="Q1007" s="100"/>
      <c r="R1007" s="100"/>
      <c r="S1007" s="100"/>
      <c r="T1007" s="100"/>
      <c r="U1007" s="100"/>
      <c r="V1007" s="100"/>
      <c r="W1007" s="100"/>
      <c r="X1007" s="100"/>
      <c r="Y1007" s="100"/>
      <c r="Z1007" s="100"/>
      <c r="AA1007" s="100"/>
      <c r="AB1007" s="100"/>
      <c r="AC1007" s="100"/>
      <c r="AD1007" s="100"/>
      <c r="AE1007" s="100"/>
    </row>
  </sheetData>
  <conditionalFormatting sqref="A666:K671 A107:K112">
    <cfRule type="cellIs" dxfId="5" priority="8" operator="equal">
      <formula>0</formula>
    </cfRule>
  </conditionalFormatting>
  <pageMargins left="0.7" right="0.7" top="0.75" bottom="0.75" header="0.3" footer="0.3"/>
  <pageSetup paperSize="9" scale="26" orientation="landscape"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66FFFF"/>
    <pageSetUpPr fitToPage="1"/>
  </sheetPr>
  <dimension ref="A1:BX277"/>
  <sheetViews>
    <sheetView workbookViewId="0">
      <selection activeCell="D3" sqref="D3"/>
    </sheetView>
  </sheetViews>
  <sheetFormatPr defaultColWidth="9.33203125" defaultRowHeight="13.8"/>
  <cols>
    <col min="1" max="1" width="21.33203125" style="854" customWidth="1"/>
    <col min="2" max="2" width="34.6640625" style="854" customWidth="1"/>
    <col min="3" max="3" width="21.44140625" style="854" bestFit="1" customWidth="1"/>
    <col min="4" max="4" width="20.33203125" style="854" bestFit="1" customWidth="1"/>
    <col min="5" max="5" width="17" style="854" bestFit="1" customWidth="1"/>
    <col min="6" max="6" width="18.6640625" style="854" bestFit="1" customWidth="1"/>
    <col min="7" max="7" width="19.5546875" style="854" bestFit="1" customWidth="1"/>
    <col min="8" max="8" width="19.5546875" style="854" customWidth="1"/>
    <col min="9" max="9" width="9.33203125" style="854" customWidth="1"/>
    <col min="10" max="10" width="12.33203125" style="854" customWidth="1"/>
    <col min="11" max="11" width="22.6640625" style="854" bestFit="1" customWidth="1"/>
    <col min="12" max="12" width="11.5546875" style="854" customWidth="1"/>
    <col min="13" max="28" width="9.33203125" style="854"/>
    <col min="29" max="29" width="11.5546875" style="854" customWidth="1"/>
    <col min="30" max="16384" width="9.33203125" style="854"/>
  </cols>
  <sheetData>
    <row r="1" spans="2:76" s="326" customFormat="1" ht="24.6">
      <c r="B1" s="327" t="s">
        <v>1239</v>
      </c>
      <c r="M1" s="328"/>
      <c r="N1" s="328"/>
      <c r="O1" s="328"/>
      <c r="P1" s="328"/>
      <c r="AK1" s="727"/>
      <c r="AL1" s="727"/>
      <c r="AN1" s="727"/>
      <c r="AO1" s="727"/>
      <c r="AP1" s="727"/>
      <c r="AQ1" s="727"/>
      <c r="BP1" s="271"/>
      <c r="BQ1" s="271"/>
      <c r="BR1" s="271"/>
      <c r="BS1" s="271"/>
      <c r="BT1" s="271"/>
      <c r="BU1" s="271"/>
      <c r="BV1" s="271"/>
      <c r="BW1" s="271"/>
      <c r="BX1" s="271"/>
    </row>
    <row r="2" spans="2:76" s="326" customFormat="1" ht="13.2">
      <c r="B2" s="727"/>
      <c r="C2" s="727"/>
      <c r="D2" s="727"/>
      <c r="E2" s="727"/>
      <c r="F2" s="727"/>
      <c r="G2" s="727"/>
      <c r="H2" s="727"/>
      <c r="I2" s="727"/>
      <c r="J2" s="727"/>
      <c r="K2" s="727"/>
      <c r="L2" s="727"/>
      <c r="M2" s="852"/>
      <c r="N2" s="852"/>
      <c r="O2" s="852"/>
      <c r="P2" s="852"/>
      <c r="Q2" s="852"/>
      <c r="R2" s="852"/>
      <c r="S2" s="852"/>
      <c r="T2" s="852"/>
      <c r="U2" s="852"/>
      <c r="V2" s="852"/>
      <c r="W2" s="852"/>
      <c r="X2" s="852"/>
      <c r="Y2" s="852"/>
      <c r="Z2" s="852"/>
      <c r="AA2" s="852"/>
      <c r="AB2" s="569"/>
      <c r="AC2" s="569"/>
      <c r="AD2" s="569"/>
      <c r="AE2" s="852"/>
      <c r="AF2" s="569"/>
      <c r="AG2" s="569"/>
      <c r="AH2" s="852"/>
      <c r="AI2" s="569"/>
      <c r="AK2" s="727"/>
      <c r="AL2" s="727"/>
      <c r="AN2" s="727"/>
      <c r="AO2" s="727"/>
      <c r="AP2" s="727"/>
      <c r="AQ2" s="727"/>
      <c r="BP2" s="271"/>
      <c r="BQ2" s="271"/>
      <c r="BR2" s="271"/>
      <c r="BS2" s="271"/>
      <c r="BT2" s="271"/>
      <c r="BU2" s="271"/>
      <c r="BV2" s="271"/>
      <c r="BW2" s="271"/>
      <c r="BX2" s="271"/>
    </row>
    <row r="3" spans="2:76" s="326" customFormat="1" ht="15" thickBot="1">
      <c r="B3" s="1061" t="s">
        <v>1655</v>
      </c>
      <c r="C3" s="727"/>
      <c r="D3" s="593" t="s">
        <v>1659</v>
      </c>
      <c r="E3"/>
      <c r="F3" s="727"/>
      <c r="G3"/>
      <c r="H3" s="727"/>
      <c r="I3" s="727"/>
      <c r="J3" s="727"/>
      <c r="K3" s="727"/>
      <c r="L3" s="727"/>
      <c r="M3" s="852"/>
      <c r="N3" s="852"/>
      <c r="O3" s="852"/>
      <c r="P3" s="852"/>
      <c r="Q3" s="852"/>
      <c r="R3" s="852"/>
      <c r="S3" s="852"/>
      <c r="T3" s="852"/>
      <c r="U3" s="852"/>
      <c r="V3" s="852"/>
      <c r="W3" s="852"/>
      <c r="X3" s="852"/>
      <c r="Y3" s="852"/>
      <c r="Z3" s="852"/>
      <c r="AA3" s="852"/>
      <c r="AB3" s="569"/>
      <c r="AC3" s="569"/>
      <c r="AD3" s="569"/>
      <c r="AE3" s="852"/>
      <c r="AF3" s="569"/>
      <c r="AG3" s="569"/>
      <c r="AH3" s="852"/>
      <c r="AI3" s="569"/>
      <c r="AK3" s="727"/>
      <c r="AL3" s="727"/>
      <c r="AN3" s="727"/>
      <c r="AO3" s="727"/>
      <c r="AP3" s="727"/>
      <c r="AQ3" s="727"/>
      <c r="BP3" s="271"/>
      <c r="BQ3" s="271"/>
      <c r="BR3" s="271"/>
      <c r="BS3" s="271"/>
      <c r="BT3" s="271"/>
      <c r="BU3" s="271"/>
      <c r="BV3" s="271"/>
      <c r="BW3" s="271"/>
      <c r="BX3" s="271"/>
    </row>
    <row r="4" spans="2:76" s="326" customFormat="1" ht="13.2">
      <c r="B4" s="1211" t="s">
        <v>1639</v>
      </c>
      <c r="C4" s="1211" t="s">
        <v>1640</v>
      </c>
      <c r="D4" s="1213" t="s">
        <v>1641</v>
      </c>
      <c r="E4" s="1213" t="s">
        <v>1642</v>
      </c>
      <c r="F4" s="1211" t="s">
        <v>1643</v>
      </c>
      <c r="G4" s="1211" t="s">
        <v>1644</v>
      </c>
      <c r="H4" s="727"/>
      <c r="I4" s="727"/>
      <c r="J4" s="727"/>
      <c r="K4" s="727"/>
      <c r="L4" s="727"/>
      <c r="M4" s="852"/>
      <c r="N4" s="852"/>
      <c r="O4" s="852"/>
      <c r="P4" s="852"/>
      <c r="Q4" s="852"/>
      <c r="R4" s="852"/>
      <c r="S4" s="852"/>
      <c r="T4" s="852"/>
      <c r="U4" s="852"/>
      <c r="V4" s="852"/>
      <c r="W4" s="852"/>
      <c r="X4" s="852"/>
      <c r="Y4" s="852"/>
      <c r="Z4" s="852"/>
      <c r="AA4" s="852"/>
      <c r="AB4" s="569"/>
      <c r="AC4" s="569"/>
      <c r="AD4" s="569"/>
      <c r="AE4" s="852"/>
      <c r="AF4" s="569"/>
      <c r="AG4" s="569"/>
      <c r="AH4" s="852"/>
      <c r="AI4" s="569"/>
      <c r="AK4" s="727"/>
      <c r="AL4" s="727"/>
      <c r="AN4" s="727"/>
      <c r="AO4" s="727"/>
      <c r="AP4" s="727"/>
      <c r="AQ4" s="727"/>
      <c r="BP4" s="271"/>
      <c r="BQ4" s="271"/>
      <c r="BR4" s="271"/>
      <c r="BS4" s="271"/>
      <c r="BT4" s="271"/>
      <c r="BU4" s="271"/>
      <c r="BV4" s="271"/>
      <c r="BW4" s="271"/>
      <c r="BX4" s="271"/>
    </row>
    <row r="5" spans="2:76" s="326" customFormat="1" thickBot="1">
      <c r="B5" s="1212"/>
      <c r="C5" s="1212"/>
      <c r="D5" s="1214"/>
      <c r="E5" s="1214"/>
      <c r="F5" s="1212"/>
      <c r="G5" s="1212"/>
      <c r="H5" s="727"/>
      <c r="I5" s="727"/>
      <c r="J5" s="727"/>
      <c r="K5" s="727"/>
      <c r="L5" s="727"/>
      <c r="M5" s="852"/>
      <c r="N5" s="852"/>
      <c r="O5" s="852"/>
      <c r="P5" s="852"/>
      <c r="Q5" s="852"/>
      <c r="R5" s="852"/>
      <c r="S5" s="852"/>
      <c r="T5" s="852"/>
      <c r="U5" s="852"/>
      <c r="V5" s="852"/>
      <c r="W5" s="852"/>
      <c r="X5" s="852"/>
      <c r="Y5" s="852"/>
      <c r="Z5" s="852"/>
      <c r="AA5" s="852"/>
      <c r="AB5" s="569"/>
      <c r="AC5" s="569"/>
      <c r="AD5" s="569"/>
      <c r="AE5" s="852"/>
      <c r="AF5" s="569"/>
      <c r="AG5" s="569"/>
      <c r="AH5" s="852"/>
      <c r="AI5" s="569"/>
      <c r="AK5" s="727"/>
      <c r="AL5" s="727"/>
      <c r="AN5" s="727"/>
      <c r="AO5" s="727"/>
      <c r="AP5" s="727"/>
      <c r="AQ5" s="727"/>
      <c r="BP5" s="271"/>
      <c r="BQ5" s="271"/>
      <c r="BR5" s="271"/>
      <c r="BS5" s="271"/>
      <c r="BT5" s="271"/>
      <c r="BU5" s="271"/>
      <c r="BV5" s="271"/>
      <c r="BW5" s="271"/>
      <c r="BX5" s="271"/>
    </row>
    <row r="6" spans="2:76" s="326" customFormat="1" ht="21" customHeight="1" thickBot="1">
      <c r="B6" s="1215">
        <v>1</v>
      </c>
      <c r="C6" s="1218" t="s">
        <v>1645</v>
      </c>
      <c r="D6" s="1057">
        <v>4</v>
      </c>
      <c r="E6" s="1058" t="s">
        <v>1646</v>
      </c>
      <c r="F6" s="1055">
        <v>1</v>
      </c>
      <c r="G6" s="1055">
        <v>38</v>
      </c>
      <c r="H6" s="727"/>
      <c r="I6" s="727"/>
      <c r="J6" s="727"/>
      <c r="K6" s="727"/>
      <c r="L6" s="727"/>
      <c r="M6" s="852"/>
      <c r="N6" s="852"/>
      <c r="O6" s="852"/>
      <c r="P6" s="852"/>
      <c r="Q6" s="852"/>
      <c r="R6" s="852"/>
      <c r="S6" s="852"/>
      <c r="T6" s="852"/>
      <c r="U6" s="852"/>
      <c r="V6" s="852"/>
      <c r="W6" s="852"/>
      <c r="X6" s="852"/>
      <c r="Y6" s="852"/>
      <c r="Z6" s="852"/>
      <c r="AA6" s="852"/>
      <c r="AB6" s="569"/>
      <c r="AC6" s="569"/>
      <c r="AD6" s="569"/>
      <c r="AE6" s="852"/>
      <c r="AF6" s="569"/>
      <c r="AG6" s="569"/>
      <c r="AH6" s="852"/>
      <c r="AI6" s="569"/>
      <c r="AK6" s="727"/>
      <c r="AL6" s="727"/>
      <c r="AN6" s="727"/>
      <c r="AO6" s="727"/>
      <c r="AP6" s="727"/>
      <c r="AQ6" s="727"/>
      <c r="BP6" s="271"/>
      <c r="BQ6" s="271"/>
      <c r="BR6" s="271"/>
      <c r="BS6" s="271"/>
      <c r="BT6" s="271"/>
      <c r="BU6" s="271"/>
      <c r="BV6" s="271"/>
      <c r="BW6" s="271"/>
      <c r="BX6" s="271"/>
    </row>
    <row r="7" spans="2:76" s="326" customFormat="1" ht="21" customHeight="1" thickBot="1">
      <c r="B7" s="1217"/>
      <c r="C7" s="1220"/>
      <c r="D7" s="1057">
        <v>5</v>
      </c>
      <c r="E7" s="1058" t="s">
        <v>1647</v>
      </c>
      <c r="F7" s="1055">
        <v>1</v>
      </c>
      <c r="G7" s="1055">
        <v>150</v>
      </c>
      <c r="H7" s="727"/>
      <c r="I7" s="727"/>
      <c r="J7" s="727"/>
      <c r="K7" s="727"/>
      <c r="L7" s="727"/>
      <c r="M7" s="852"/>
      <c r="N7" s="852"/>
      <c r="O7" s="852"/>
      <c r="P7" s="852"/>
      <c r="Q7" s="852"/>
      <c r="R7" s="852"/>
      <c r="S7" s="852"/>
      <c r="T7" s="852"/>
      <c r="U7" s="852"/>
      <c r="V7" s="852"/>
      <c r="W7" s="852"/>
      <c r="X7" s="852"/>
      <c r="Y7" s="852"/>
      <c r="Z7" s="852"/>
      <c r="AA7" s="852"/>
      <c r="AB7" s="569"/>
      <c r="AC7" s="569"/>
      <c r="AD7" s="569"/>
      <c r="AE7" s="852"/>
      <c r="AF7" s="569"/>
      <c r="AG7" s="569"/>
      <c r="AH7" s="852"/>
      <c r="AI7" s="569"/>
      <c r="AK7" s="727"/>
      <c r="AL7" s="727"/>
      <c r="AN7" s="727"/>
      <c r="AO7" s="727"/>
      <c r="AP7" s="727"/>
      <c r="AQ7" s="727"/>
      <c r="BP7" s="271"/>
      <c r="BQ7" s="271"/>
      <c r="BR7" s="271"/>
      <c r="BS7" s="271"/>
      <c r="BT7" s="271"/>
      <c r="BU7" s="271"/>
      <c r="BV7" s="271"/>
      <c r="BW7" s="271"/>
      <c r="BX7" s="271"/>
    </row>
    <row r="8" spans="2:76" s="326" customFormat="1" ht="21" customHeight="1" thickBot="1">
      <c r="B8" s="1221">
        <v>2</v>
      </c>
      <c r="C8" s="1224" t="s">
        <v>1720</v>
      </c>
      <c r="D8" s="1059">
        <v>3</v>
      </c>
      <c r="E8" s="1060" t="s">
        <v>1648</v>
      </c>
      <c r="F8" s="1056">
        <v>5</v>
      </c>
      <c r="G8" s="1056">
        <v>98</v>
      </c>
      <c r="H8" s="727"/>
      <c r="I8" s="727"/>
      <c r="J8" s="727"/>
      <c r="K8" s="727"/>
      <c r="L8" s="727"/>
      <c r="M8" s="852"/>
      <c r="N8" s="852"/>
      <c r="O8" s="852"/>
      <c r="P8" s="852"/>
      <c r="Q8" s="852"/>
      <c r="R8" s="852"/>
      <c r="S8" s="852"/>
      <c r="T8" s="852"/>
      <c r="U8" s="852"/>
      <c r="V8" s="852"/>
      <c r="W8" s="852"/>
      <c r="X8" s="852"/>
      <c r="Y8" s="852"/>
      <c r="Z8" s="852"/>
      <c r="AA8" s="852"/>
      <c r="AB8" s="569"/>
      <c r="AC8" s="569"/>
      <c r="AD8" s="569"/>
      <c r="AE8" s="852"/>
      <c r="AF8" s="569"/>
      <c r="AG8" s="569"/>
      <c r="AH8" s="852"/>
      <c r="AI8" s="569"/>
      <c r="AK8" s="727"/>
      <c r="AL8" s="727"/>
      <c r="AN8" s="727"/>
      <c r="AO8" s="727"/>
      <c r="AP8" s="727"/>
      <c r="AQ8" s="727"/>
      <c r="BP8" s="271"/>
      <c r="BQ8" s="271"/>
      <c r="BR8" s="271"/>
      <c r="BS8" s="271"/>
      <c r="BT8" s="271"/>
      <c r="BU8" s="271"/>
      <c r="BV8" s="271"/>
      <c r="BW8" s="271"/>
      <c r="BX8" s="271"/>
    </row>
    <row r="9" spans="2:76" s="326" customFormat="1" ht="21" customHeight="1" thickBot="1">
      <c r="B9" s="1222"/>
      <c r="C9" s="1225"/>
      <c r="D9" s="1059">
        <v>4</v>
      </c>
      <c r="E9" s="1060" t="s">
        <v>1646</v>
      </c>
      <c r="F9" s="1056">
        <v>4</v>
      </c>
      <c r="G9" s="1056">
        <v>98</v>
      </c>
      <c r="H9" s="727"/>
      <c r="I9" s="727"/>
      <c r="J9" s="727"/>
      <c r="K9" s="727"/>
      <c r="L9" s="727"/>
      <c r="M9" s="852"/>
      <c r="N9" s="852"/>
      <c r="O9" s="852"/>
      <c r="P9" s="852"/>
      <c r="Q9" s="852"/>
      <c r="R9" s="852"/>
      <c r="S9" s="852"/>
      <c r="T9" s="852"/>
      <c r="U9" s="852"/>
      <c r="V9" s="852"/>
      <c r="W9" s="852"/>
      <c r="X9" s="852"/>
      <c r="Y9" s="852"/>
      <c r="Z9" s="852"/>
      <c r="AA9" s="852"/>
      <c r="AB9" s="569"/>
      <c r="AC9" s="569"/>
      <c r="AD9" s="569"/>
      <c r="AE9" s="852"/>
      <c r="AF9" s="569"/>
      <c r="AG9" s="569"/>
      <c r="AH9" s="852"/>
      <c r="AI9" s="569"/>
      <c r="AK9" s="727"/>
      <c r="AL9" s="727"/>
      <c r="AN9" s="727"/>
      <c r="AO9" s="727"/>
      <c r="AP9" s="727"/>
      <c r="AQ9" s="727"/>
      <c r="BP9" s="271"/>
      <c r="BQ9" s="271"/>
      <c r="BR9" s="271"/>
      <c r="BS9" s="271"/>
      <c r="BT9" s="271"/>
      <c r="BU9" s="271"/>
      <c r="BV9" s="271"/>
      <c r="BW9" s="271"/>
      <c r="BX9" s="271"/>
    </row>
    <row r="10" spans="2:76" s="326" customFormat="1" ht="21" customHeight="1" thickBot="1">
      <c r="B10" s="1222"/>
      <c r="C10" s="1225"/>
      <c r="D10" s="1059">
        <v>5</v>
      </c>
      <c r="E10" s="1060" t="s">
        <v>1647</v>
      </c>
      <c r="F10" s="1056">
        <v>1</v>
      </c>
      <c r="G10" s="1056">
        <v>33</v>
      </c>
      <c r="H10" s="727"/>
      <c r="I10" s="727"/>
      <c r="J10" s="727"/>
      <c r="K10" s="727"/>
      <c r="L10" s="727"/>
      <c r="M10" s="852"/>
      <c r="N10" s="852"/>
      <c r="O10" s="852"/>
      <c r="P10" s="852"/>
      <c r="Q10" s="852"/>
      <c r="R10" s="852"/>
      <c r="S10" s="852"/>
      <c r="T10" s="852"/>
      <c r="U10" s="852"/>
      <c r="V10" s="852"/>
      <c r="W10" s="852"/>
      <c r="X10" s="852"/>
      <c r="Y10" s="852"/>
      <c r="Z10" s="852"/>
      <c r="AA10" s="852"/>
      <c r="AB10" s="569"/>
      <c r="AC10" s="569"/>
      <c r="AD10" s="569"/>
      <c r="AE10" s="852"/>
      <c r="AF10" s="569"/>
      <c r="AG10" s="569"/>
      <c r="AH10" s="852"/>
      <c r="AI10" s="569"/>
      <c r="AK10" s="727"/>
      <c r="AL10" s="727"/>
      <c r="AN10" s="727"/>
      <c r="AO10" s="727"/>
      <c r="AP10" s="727"/>
      <c r="AQ10" s="727"/>
      <c r="BP10" s="271"/>
      <c r="BQ10" s="271"/>
      <c r="BR10" s="271"/>
      <c r="BS10" s="271"/>
      <c r="BT10" s="271"/>
      <c r="BU10" s="271"/>
      <c r="BV10" s="271"/>
      <c r="BW10" s="271"/>
      <c r="BX10" s="271"/>
    </row>
    <row r="11" spans="2:76" s="326" customFormat="1" ht="21" customHeight="1" thickBot="1">
      <c r="B11" s="1223"/>
      <c r="C11" s="1226"/>
      <c r="D11" s="1059">
        <v>7</v>
      </c>
      <c r="E11" s="1060" t="s">
        <v>1649</v>
      </c>
      <c r="F11" s="1056">
        <v>1</v>
      </c>
      <c r="G11" s="1056">
        <v>378</v>
      </c>
      <c r="H11" s="727"/>
      <c r="I11" s="727"/>
      <c r="J11" s="727"/>
      <c r="K11" s="727"/>
      <c r="L11" s="727"/>
      <c r="M11" s="852"/>
      <c r="N11" s="852"/>
      <c r="O11" s="852"/>
      <c r="P11" s="852"/>
      <c r="Q11" s="852"/>
      <c r="R11" s="852"/>
      <c r="S11" s="852"/>
      <c r="T11" s="852"/>
      <c r="U11" s="852"/>
      <c r="V11" s="852"/>
      <c r="W11" s="852"/>
      <c r="X11" s="852"/>
      <c r="Y11" s="852"/>
      <c r="Z11" s="852"/>
      <c r="AA11" s="852"/>
      <c r="AB11" s="569"/>
      <c r="AC11" s="569"/>
      <c r="AD11" s="569"/>
      <c r="AE11" s="852"/>
      <c r="AF11" s="569"/>
      <c r="AG11" s="569"/>
      <c r="AH11" s="852"/>
      <c r="AI11" s="569"/>
      <c r="AK11" s="727"/>
      <c r="AL11" s="727"/>
      <c r="AN11" s="727"/>
      <c r="AO11" s="727"/>
      <c r="AP11" s="727"/>
      <c r="AQ11" s="727"/>
      <c r="BP11" s="271"/>
      <c r="BQ11" s="271"/>
      <c r="BR11" s="271"/>
      <c r="BS11" s="271"/>
      <c r="BT11" s="271"/>
      <c r="BU11" s="271"/>
      <c r="BV11" s="271"/>
      <c r="BW11" s="271"/>
      <c r="BX11" s="271"/>
    </row>
    <row r="12" spans="2:76" s="326" customFormat="1" ht="21" customHeight="1" thickBot="1">
      <c r="B12" s="1215">
        <v>3</v>
      </c>
      <c r="C12" s="1218" t="s">
        <v>1650</v>
      </c>
      <c r="D12" s="1057">
        <v>4</v>
      </c>
      <c r="E12" s="1058" t="s">
        <v>1646</v>
      </c>
      <c r="F12" s="1055">
        <v>6</v>
      </c>
      <c r="G12" s="1055">
        <v>155</v>
      </c>
      <c r="H12" s="727"/>
      <c r="I12" s="727"/>
      <c r="J12" s="727"/>
      <c r="K12" s="727"/>
      <c r="L12" s="727"/>
      <c r="M12" s="852"/>
      <c r="N12" s="852"/>
      <c r="O12" s="852"/>
      <c r="P12" s="852"/>
      <c r="Q12" s="852"/>
      <c r="R12" s="852"/>
      <c r="S12" s="852"/>
      <c r="T12" s="852"/>
      <c r="U12" s="852"/>
      <c r="V12" s="852"/>
      <c r="W12" s="852"/>
      <c r="X12" s="852"/>
      <c r="Y12" s="852"/>
      <c r="Z12" s="852"/>
      <c r="AA12" s="852"/>
      <c r="AB12" s="569"/>
      <c r="AC12" s="569"/>
      <c r="AD12" s="569"/>
      <c r="AE12" s="852"/>
      <c r="AF12" s="569"/>
      <c r="AG12" s="569"/>
      <c r="AH12" s="852"/>
      <c r="AI12" s="569"/>
      <c r="AK12" s="727"/>
      <c r="AL12" s="727"/>
      <c r="AN12" s="727"/>
      <c r="AO12" s="727"/>
      <c r="AP12" s="727"/>
      <c r="AQ12" s="727"/>
      <c r="BP12" s="271"/>
      <c r="BQ12" s="271"/>
      <c r="BR12" s="271"/>
      <c r="BS12" s="271"/>
      <c r="BT12" s="271"/>
      <c r="BU12" s="271"/>
      <c r="BV12" s="271"/>
      <c r="BW12" s="271"/>
      <c r="BX12" s="271"/>
    </row>
    <row r="13" spans="2:76" s="326" customFormat="1" ht="21" customHeight="1" thickBot="1">
      <c r="B13" s="1216"/>
      <c r="C13" s="1219"/>
      <c r="D13" s="1057">
        <v>5</v>
      </c>
      <c r="E13" s="1058" t="s">
        <v>1647</v>
      </c>
      <c r="F13" s="1055">
        <v>15</v>
      </c>
      <c r="G13" s="1055">
        <v>522</v>
      </c>
      <c r="H13" s="727"/>
      <c r="I13" s="727"/>
      <c r="J13" s="727"/>
      <c r="K13" s="727"/>
      <c r="L13" s="727"/>
      <c r="M13" s="852"/>
      <c r="N13" s="852"/>
      <c r="O13" s="852"/>
      <c r="P13" s="852"/>
      <c r="Q13" s="852"/>
      <c r="R13" s="852"/>
      <c r="S13" s="852"/>
      <c r="T13" s="852"/>
      <c r="U13" s="852"/>
      <c r="V13" s="852"/>
      <c r="W13" s="852"/>
      <c r="X13" s="852"/>
      <c r="Y13" s="852"/>
      <c r="Z13" s="852"/>
      <c r="AA13" s="852"/>
      <c r="AB13" s="569"/>
      <c r="AC13" s="569"/>
      <c r="AD13" s="569"/>
      <c r="AE13" s="852"/>
      <c r="AF13" s="569"/>
      <c r="AG13" s="569"/>
      <c r="AH13" s="852"/>
      <c r="AI13" s="569"/>
      <c r="AK13" s="727"/>
      <c r="AL13" s="727"/>
      <c r="AN13" s="727"/>
      <c r="AO13" s="727"/>
      <c r="AP13" s="727"/>
      <c r="AQ13" s="727"/>
      <c r="BP13" s="271"/>
      <c r="BQ13" s="271"/>
      <c r="BR13" s="271"/>
      <c r="BS13" s="271"/>
      <c r="BT13" s="271"/>
      <c r="BU13" s="271"/>
      <c r="BV13" s="271"/>
      <c r="BW13" s="271"/>
      <c r="BX13" s="271"/>
    </row>
    <row r="14" spans="2:76" s="326" customFormat="1" ht="21" customHeight="1" thickBot="1">
      <c r="B14" s="1216"/>
      <c r="C14" s="1219"/>
      <c r="D14" s="1057">
        <v>6</v>
      </c>
      <c r="E14" s="1058" t="s">
        <v>1651</v>
      </c>
      <c r="F14" s="1055">
        <v>12</v>
      </c>
      <c r="G14" s="1055">
        <v>539</v>
      </c>
      <c r="H14" s="727"/>
      <c r="I14" s="727"/>
      <c r="J14" s="727"/>
      <c r="K14" s="727"/>
      <c r="L14" s="727"/>
      <c r="M14" s="852"/>
      <c r="N14" s="852"/>
      <c r="O14" s="852"/>
      <c r="P14" s="852"/>
      <c r="Q14" s="852"/>
      <c r="R14" s="852"/>
      <c r="S14" s="852"/>
      <c r="T14" s="852"/>
      <c r="U14" s="852"/>
      <c r="V14" s="852"/>
      <c r="W14" s="852"/>
      <c r="X14" s="852"/>
      <c r="Y14" s="852"/>
      <c r="Z14" s="852"/>
      <c r="AA14" s="852"/>
      <c r="AB14" s="569"/>
      <c r="AC14" s="569"/>
      <c r="AD14" s="569"/>
      <c r="AE14" s="852"/>
      <c r="AF14" s="569"/>
      <c r="AG14" s="569"/>
      <c r="AH14" s="852"/>
      <c r="AI14" s="569"/>
      <c r="AK14" s="727"/>
      <c r="AL14" s="727"/>
      <c r="AN14" s="727"/>
      <c r="AO14" s="727"/>
      <c r="AP14" s="727"/>
      <c r="AQ14" s="727"/>
      <c r="BP14" s="271"/>
      <c r="BQ14" s="271"/>
      <c r="BR14" s="271"/>
      <c r="BS14" s="271"/>
      <c r="BT14" s="271"/>
      <c r="BU14" s="271"/>
      <c r="BV14" s="271"/>
      <c r="BW14" s="271"/>
      <c r="BX14" s="271"/>
    </row>
    <row r="15" spans="2:76" s="326" customFormat="1" ht="21" customHeight="1" thickBot="1">
      <c r="B15" s="1217"/>
      <c r="C15" s="1220"/>
      <c r="D15" s="1057">
        <v>7</v>
      </c>
      <c r="E15" s="1058" t="s">
        <v>1649</v>
      </c>
      <c r="F15" s="1055">
        <v>2</v>
      </c>
      <c r="G15" s="1055">
        <v>93</v>
      </c>
      <c r="H15" s="727"/>
      <c r="I15" s="727"/>
      <c r="J15" s="727"/>
      <c r="K15" s="727"/>
      <c r="L15" s="727"/>
      <c r="M15" s="852"/>
      <c r="N15" s="852"/>
      <c r="O15" s="852"/>
      <c r="P15" s="852"/>
      <c r="Q15" s="852"/>
      <c r="R15" s="852"/>
      <c r="S15" s="852"/>
      <c r="T15" s="852"/>
      <c r="U15" s="852"/>
      <c r="V15" s="852"/>
      <c r="W15" s="852"/>
      <c r="X15" s="852"/>
      <c r="Y15" s="852"/>
      <c r="Z15" s="852"/>
      <c r="AA15" s="852"/>
      <c r="AB15" s="569"/>
      <c r="AC15" s="569"/>
      <c r="AD15" s="569"/>
      <c r="AE15" s="852"/>
      <c r="AF15" s="569"/>
      <c r="AG15" s="569"/>
      <c r="AH15" s="852"/>
      <c r="AI15" s="569"/>
      <c r="AK15" s="727"/>
      <c r="AL15" s="727"/>
      <c r="AN15" s="727"/>
      <c r="AO15" s="727"/>
      <c r="AP15" s="727"/>
      <c r="AQ15" s="727"/>
      <c r="BP15" s="271"/>
      <c r="BQ15" s="271"/>
      <c r="BR15" s="271"/>
      <c r="BS15" s="271"/>
      <c r="BT15" s="271"/>
      <c r="BU15" s="271"/>
      <c r="BV15" s="271"/>
      <c r="BW15" s="271"/>
      <c r="BX15" s="271"/>
    </row>
    <row r="16" spans="2:76" s="326" customFormat="1" ht="21" customHeight="1" thickBot="1">
      <c r="B16" s="1221">
        <v>4</v>
      </c>
      <c r="C16" s="1224" t="s">
        <v>1652</v>
      </c>
      <c r="D16" s="1059">
        <v>3</v>
      </c>
      <c r="E16" s="1060" t="s">
        <v>1648</v>
      </c>
      <c r="F16" s="1056">
        <v>2</v>
      </c>
      <c r="G16" s="1056">
        <v>178</v>
      </c>
      <c r="H16" s="727"/>
      <c r="I16" s="727"/>
      <c r="J16" s="727"/>
      <c r="K16" s="727"/>
      <c r="L16" s="727"/>
      <c r="M16" s="852"/>
      <c r="N16" s="852"/>
      <c r="O16" s="852"/>
      <c r="P16" s="852"/>
      <c r="Q16" s="852"/>
      <c r="R16" s="852"/>
      <c r="S16" s="852"/>
      <c r="T16" s="852"/>
      <c r="U16" s="852"/>
      <c r="V16" s="852"/>
      <c r="W16" s="852"/>
      <c r="X16" s="852"/>
      <c r="Y16" s="852"/>
      <c r="Z16" s="852"/>
      <c r="AA16" s="852"/>
      <c r="AB16" s="569"/>
      <c r="AC16" s="569"/>
      <c r="AD16" s="569"/>
      <c r="AE16" s="852"/>
      <c r="AF16" s="569"/>
      <c r="AG16" s="569"/>
      <c r="AH16" s="852"/>
      <c r="AI16" s="569"/>
      <c r="AK16" s="727"/>
      <c r="AL16" s="727"/>
      <c r="AN16" s="727"/>
      <c r="AO16" s="727"/>
      <c r="AP16" s="727"/>
      <c r="AQ16" s="727"/>
      <c r="BP16" s="271"/>
      <c r="BQ16" s="271"/>
      <c r="BR16" s="271"/>
      <c r="BS16" s="271"/>
      <c r="BT16" s="271"/>
      <c r="BU16" s="271"/>
      <c r="BV16" s="271"/>
      <c r="BW16" s="271"/>
      <c r="BX16" s="271"/>
    </row>
    <row r="17" spans="1:76" s="326" customFormat="1" ht="21" customHeight="1" thickBot="1">
      <c r="B17" s="1222"/>
      <c r="C17" s="1225"/>
      <c r="D17" s="1059">
        <v>5</v>
      </c>
      <c r="E17" s="1060" t="s">
        <v>1647</v>
      </c>
      <c r="F17" s="1056">
        <v>1</v>
      </c>
      <c r="G17" s="1056">
        <v>13</v>
      </c>
      <c r="H17" s="727"/>
      <c r="I17" s="727"/>
      <c r="J17" s="727"/>
      <c r="K17" s="727"/>
      <c r="L17" s="727"/>
      <c r="M17" s="852"/>
      <c r="N17" s="852"/>
      <c r="O17" s="852"/>
      <c r="P17" s="852"/>
      <c r="Q17" s="852"/>
      <c r="R17" s="852"/>
      <c r="S17" s="852"/>
      <c r="T17" s="852"/>
      <c r="U17" s="852"/>
      <c r="V17" s="852"/>
      <c r="W17" s="852"/>
      <c r="X17" s="852"/>
      <c r="Y17" s="852"/>
      <c r="Z17" s="852"/>
      <c r="AA17" s="852"/>
      <c r="AB17" s="569"/>
      <c r="AC17" s="569"/>
      <c r="AD17" s="569"/>
      <c r="AE17" s="852"/>
      <c r="AF17" s="569"/>
      <c r="AG17" s="569"/>
      <c r="AH17" s="852"/>
      <c r="AI17" s="569"/>
      <c r="AK17" s="727"/>
      <c r="AL17" s="727"/>
      <c r="AN17" s="727"/>
      <c r="AO17" s="727"/>
      <c r="AP17" s="727"/>
      <c r="AQ17" s="727"/>
      <c r="BP17" s="271"/>
      <c r="BQ17" s="271"/>
      <c r="BR17" s="271"/>
      <c r="BS17" s="271"/>
      <c r="BT17" s="271"/>
      <c r="BU17" s="271"/>
      <c r="BV17" s="271"/>
      <c r="BW17" s="271"/>
      <c r="BX17" s="271"/>
    </row>
    <row r="18" spans="1:76" s="326" customFormat="1" ht="21" customHeight="1" thickBot="1">
      <c r="B18" s="1223"/>
      <c r="C18" s="1226"/>
      <c r="D18" s="1059">
        <v>6</v>
      </c>
      <c r="E18" s="1060" t="s">
        <v>1651</v>
      </c>
      <c r="F18" s="1056">
        <v>2</v>
      </c>
      <c r="G18" s="1056">
        <v>257</v>
      </c>
      <c r="H18" s="727"/>
      <c r="I18" s="727"/>
      <c r="J18" s="727"/>
      <c r="K18" s="727"/>
      <c r="L18" s="727"/>
      <c r="M18" s="852"/>
      <c r="N18" s="852"/>
      <c r="O18" s="852"/>
      <c r="P18" s="852"/>
      <c r="Q18" s="852"/>
      <c r="R18" s="852"/>
      <c r="S18" s="852"/>
      <c r="T18" s="852"/>
      <c r="U18" s="852"/>
      <c r="V18" s="852"/>
      <c r="W18" s="852"/>
      <c r="X18" s="852"/>
      <c r="Y18" s="852"/>
      <c r="Z18" s="852"/>
      <c r="AA18" s="852"/>
      <c r="AB18" s="569"/>
      <c r="AC18" s="569"/>
      <c r="AD18" s="569"/>
      <c r="AE18" s="852"/>
      <c r="AF18" s="569"/>
      <c r="AG18" s="569"/>
      <c r="AH18" s="852"/>
      <c r="AI18" s="569"/>
      <c r="AK18" s="727"/>
      <c r="AL18" s="727"/>
      <c r="AN18" s="727"/>
      <c r="AO18" s="727"/>
      <c r="AP18" s="727"/>
      <c r="AQ18" s="727"/>
      <c r="BP18" s="271"/>
      <c r="BQ18" s="271"/>
      <c r="BR18" s="271"/>
      <c r="BS18" s="271"/>
      <c r="BT18" s="271"/>
      <c r="BU18" s="271"/>
      <c r="BV18" s="271"/>
      <c r="BW18" s="271"/>
      <c r="BX18" s="271"/>
    </row>
    <row r="19" spans="1:76" s="326" customFormat="1" ht="21" customHeight="1" thickBot="1">
      <c r="B19" s="1215">
        <v>5</v>
      </c>
      <c r="C19" s="1218" t="s">
        <v>1653</v>
      </c>
      <c r="D19" s="1057">
        <v>2</v>
      </c>
      <c r="E19" s="1058" t="s">
        <v>1654</v>
      </c>
      <c r="F19" s="1055">
        <v>1</v>
      </c>
      <c r="G19" s="1055">
        <v>9</v>
      </c>
      <c r="H19" s="727"/>
      <c r="I19" s="727"/>
      <c r="J19" s="727"/>
      <c r="K19" s="727"/>
      <c r="L19" s="727"/>
      <c r="M19" s="852"/>
      <c r="N19" s="852"/>
      <c r="O19" s="852"/>
      <c r="P19" s="852"/>
      <c r="Q19" s="852"/>
      <c r="R19" s="852"/>
      <c r="S19" s="852"/>
      <c r="T19" s="852"/>
      <c r="U19" s="852"/>
      <c r="V19" s="852"/>
      <c r="W19" s="852"/>
      <c r="X19" s="852"/>
      <c r="Y19" s="852"/>
      <c r="Z19" s="852"/>
      <c r="AA19" s="852"/>
      <c r="AB19" s="569"/>
      <c r="AC19" s="569"/>
      <c r="AD19" s="569"/>
      <c r="AE19" s="852"/>
      <c r="AF19" s="569"/>
      <c r="AG19" s="569"/>
      <c r="AH19" s="852"/>
      <c r="AI19" s="569"/>
      <c r="AK19" s="727"/>
      <c r="AL19" s="727"/>
      <c r="AN19" s="727"/>
      <c r="AO19" s="727"/>
      <c r="AP19" s="727"/>
      <c r="AQ19" s="727"/>
      <c r="BP19" s="271"/>
      <c r="BQ19" s="271"/>
      <c r="BR19" s="271"/>
      <c r="BS19" s="271"/>
      <c r="BT19" s="271"/>
      <c r="BU19" s="271"/>
      <c r="BV19" s="271"/>
      <c r="BW19" s="271"/>
      <c r="BX19" s="271"/>
    </row>
    <row r="20" spans="1:76" s="326" customFormat="1" ht="21" customHeight="1" thickBot="1">
      <c r="B20" s="1216"/>
      <c r="C20" s="1219"/>
      <c r="D20" s="1057">
        <v>3</v>
      </c>
      <c r="E20" s="1058" t="s">
        <v>1648</v>
      </c>
      <c r="F20" s="1055">
        <v>1</v>
      </c>
      <c r="G20" s="1055">
        <v>8</v>
      </c>
      <c r="H20" s="727"/>
      <c r="I20" s="727"/>
      <c r="J20" s="727"/>
      <c r="K20" s="727"/>
      <c r="L20" s="727"/>
      <c r="M20" s="852"/>
      <c r="N20" s="852"/>
      <c r="O20" s="852"/>
      <c r="P20" s="852"/>
      <c r="Q20" s="852"/>
      <c r="R20" s="852"/>
      <c r="S20" s="852"/>
      <c r="T20" s="852"/>
      <c r="U20" s="852"/>
      <c r="V20" s="852"/>
      <c r="W20" s="852"/>
      <c r="X20" s="852"/>
      <c r="Y20" s="852"/>
      <c r="Z20" s="852"/>
      <c r="AA20" s="852"/>
      <c r="AB20" s="569"/>
      <c r="AC20" s="569"/>
      <c r="AD20" s="569"/>
      <c r="AE20" s="852"/>
      <c r="AF20" s="569"/>
      <c r="AG20" s="569"/>
      <c r="AH20" s="852"/>
      <c r="AI20" s="569"/>
      <c r="AK20" s="727"/>
      <c r="AL20" s="727"/>
      <c r="AN20" s="727"/>
      <c r="AO20" s="727"/>
      <c r="AP20" s="727"/>
      <c r="AQ20" s="727"/>
      <c r="BP20" s="271"/>
      <c r="BQ20" s="271"/>
      <c r="BR20" s="271"/>
      <c r="BS20" s="271"/>
      <c r="BT20" s="271"/>
      <c r="BU20" s="271"/>
      <c r="BV20" s="271"/>
      <c r="BW20" s="271"/>
      <c r="BX20" s="271"/>
    </row>
    <row r="21" spans="1:76" s="326" customFormat="1" ht="21" customHeight="1" thickBot="1">
      <c r="B21" s="1217"/>
      <c r="C21" s="1220"/>
      <c r="D21" s="1057">
        <v>4</v>
      </c>
      <c r="E21" s="1058" t="s">
        <v>1646</v>
      </c>
      <c r="F21" s="1055">
        <v>2</v>
      </c>
      <c r="G21" s="1055">
        <v>4</v>
      </c>
      <c r="H21" s="727"/>
      <c r="I21" s="727"/>
      <c r="J21" s="727"/>
      <c r="K21" s="727"/>
      <c r="L21" s="727"/>
      <c r="M21" s="852"/>
      <c r="N21" s="852"/>
      <c r="O21" s="852"/>
      <c r="P21" s="852"/>
      <c r="Q21" s="852"/>
      <c r="R21" s="852"/>
      <c r="S21" s="852"/>
      <c r="T21" s="852"/>
      <c r="U21" s="852"/>
      <c r="V21" s="852"/>
      <c r="W21" s="852"/>
      <c r="X21" s="852"/>
      <c r="Y21" s="852"/>
      <c r="Z21" s="852"/>
      <c r="AA21" s="852"/>
      <c r="AB21" s="569"/>
      <c r="AC21" s="569"/>
      <c r="AD21" s="569"/>
      <c r="AE21" s="852"/>
      <c r="AF21" s="569"/>
      <c r="AG21" s="569"/>
      <c r="AH21" s="852"/>
      <c r="AI21" s="569"/>
      <c r="AK21" s="727"/>
      <c r="AL21" s="727"/>
      <c r="AN21" s="727"/>
      <c r="AO21" s="727"/>
      <c r="AP21" s="727"/>
      <c r="AQ21" s="727"/>
      <c r="BP21" s="271"/>
      <c r="BQ21" s="271"/>
      <c r="BR21" s="271"/>
      <c r="BS21" s="271"/>
      <c r="BT21" s="271"/>
      <c r="BU21" s="271"/>
      <c r="BV21" s="271"/>
      <c r="BW21" s="271"/>
      <c r="BX21" s="271"/>
    </row>
    <row r="22" spans="1:76" s="326" customFormat="1" ht="13.2">
      <c r="B22" s="727"/>
      <c r="C22" s="727"/>
      <c r="D22" s="727"/>
      <c r="E22" s="727"/>
      <c r="F22" s="727"/>
      <c r="G22" s="727"/>
      <c r="H22" s="727"/>
      <c r="I22" s="727"/>
      <c r="J22" s="727"/>
      <c r="K22" s="727"/>
      <c r="L22" s="727"/>
      <c r="M22" s="852"/>
      <c r="N22" s="852"/>
      <c r="O22" s="852"/>
      <c r="P22" s="852"/>
      <c r="Q22" s="852"/>
      <c r="R22" s="852"/>
      <c r="S22" s="852"/>
      <c r="T22" s="852"/>
      <c r="U22" s="852"/>
      <c r="V22" s="852"/>
      <c r="W22" s="852"/>
      <c r="X22" s="852"/>
      <c r="Y22" s="852"/>
      <c r="Z22" s="852"/>
      <c r="AA22" s="852"/>
      <c r="AB22" s="569"/>
      <c r="AC22" s="569"/>
      <c r="AD22" s="569"/>
      <c r="AE22" s="852"/>
      <c r="AF22" s="569"/>
      <c r="AG22" s="569"/>
      <c r="AH22" s="852"/>
      <c r="AI22" s="569"/>
      <c r="AK22" s="727"/>
      <c r="AL22" s="727"/>
      <c r="AN22" s="727"/>
      <c r="AO22" s="727"/>
      <c r="AP22" s="727"/>
      <c r="AQ22" s="727"/>
      <c r="BP22" s="271"/>
      <c r="BQ22" s="271"/>
      <c r="BR22" s="271"/>
      <c r="BS22" s="271"/>
      <c r="BT22" s="271"/>
      <c r="BU22" s="271"/>
      <c r="BV22" s="271"/>
      <c r="BW22" s="271"/>
      <c r="BX22" s="271"/>
    </row>
    <row r="23" spans="1:76" s="326" customFormat="1" ht="13.2">
      <c r="B23" s="727"/>
      <c r="C23" s="727"/>
      <c r="D23" s="727"/>
      <c r="E23" s="727"/>
      <c r="F23" s="326" t="s">
        <v>1301</v>
      </c>
      <c r="G23" s="727"/>
      <c r="H23" s="727"/>
      <c r="I23" s="727"/>
      <c r="J23" s="727"/>
      <c r="K23" s="727"/>
      <c r="L23" s="727"/>
      <c r="M23" s="852"/>
      <c r="N23" s="852"/>
      <c r="O23" s="852"/>
      <c r="P23" s="852"/>
      <c r="Q23" s="852"/>
      <c r="R23" s="852"/>
      <c r="S23" s="852"/>
      <c r="T23" s="852"/>
      <c r="U23" s="852"/>
      <c r="V23" s="852"/>
      <c r="W23" s="852"/>
      <c r="X23" s="852"/>
      <c r="Y23" s="852"/>
      <c r="Z23" s="852"/>
      <c r="AA23" s="852"/>
      <c r="AB23" s="569"/>
      <c r="AC23" s="569"/>
      <c r="AD23" s="569"/>
      <c r="AE23" s="852"/>
      <c r="AF23" s="569"/>
      <c r="AG23" s="569"/>
      <c r="AH23" s="852"/>
      <c r="AI23" s="569"/>
      <c r="AK23" s="727"/>
      <c r="AL23" s="727"/>
      <c r="AN23" s="727"/>
      <c r="AO23" s="727"/>
      <c r="AP23" s="727"/>
      <c r="AQ23" s="727"/>
      <c r="BP23" s="271"/>
      <c r="BQ23" s="271"/>
      <c r="BR23" s="271"/>
      <c r="BS23" s="271"/>
      <c r="BT23" s="271"/>
      <c r="BU23" s="271"/>
      <c r="BV23" s="271"/>
      <c r="BW23" s="271"/>
      <c r="BX23" s="271"/>
    </row>
    <row r="24" spans="1:76" s="326" customFormat="1" ht="13.2">
      <c r="B24" s="731" t="s">
        <v>1283</v>
      </c>
      <c r="C24" s="727"/>
      <c r="D24" s="727"/>
      <c r="E24" s="727"/>
      <c r="F24" s="727"/>
      <c r="J24" s="731" t="s">
        <v>1299</v>
      </c>
      <c r="K24" s="727"/>
      <c r="L24" s="727"/>
      <c r="M24" s="852"/>
      <c r="N24" s="852"/>
      <c r="O24" s="852"/>
      <c r="P24" s="852"/>
      <c r="Q24" s="852"/>
      <c r="R24" s="852"/>
      <c r="S24" s="852"/>
      <c r="T24" s="852"/>
      <c r="U24" s="852"/>
      <c r="V24" s="852"/>
      <c r="W24" s="852"/>
      <c r="X24" s="852"/>
      <c r="Y24" s="852"/>
      <c r="Z24" s="852"/>
      <c r="AA24" s="852"/>
      <c r="AB24" s="852"/>
      <c r="AC24" s="852"/>
      <c r="AD24" s="852"/>
      <c r="AE24" s="852"/>
      <c r="AF24" s="852"/>
      <c r="AG24" s="852"/>
      <c r="AH24" s="852"/>
      <c r="AI24" s="852"/>
      <c r="AK24" s="727"/>
      <c r="AL24" s="727"/>
      <c r="AN24" s="727"/>
      <c r="AO24" s="727"/>
      <c r="AP24" s="727"/>
      <c r="AQ24" s="727"/>
      <c r="BP24" s="271"/>
      <c r="BQ24" s="271"/>
      <c r="BR24" s="271"/>
      <c r="BS24" s="271"/>
      <c r="BT24" s="271"/>
      <c r="BU24" s="271"/>
      <c r="BV24" s="271"/>
      <c r="BW24" s="271"/>
      <c r="BX24" s="271"/>
    </row>
    <row r="25" spans="1:76" s="326" customFormat="1" ht="13.2">
      <c r="A25" s="329"/>
      <c r="B25" s="855" t="s">
        <v>1240</v>
      </c>
      <c r="C25" s="855" t="s">
        <v>1306</v>
      </c>
      <c r="D25" s="855" t="s">
        <v>1305</v>
      </c>
      <c r="E25" s="855" t="s">
        <v>1241</v>
      </c>
      <c r="F25" s="855" t="s">
        <v>1303</v>
      </c>
      <c r="G25" s="855" t="s">
        <v>1304</v>
      </c>
      <c r="H25" s="855" t="s">
        <v>1304</v>
      </c>
      <c r="J25" s="855" t="s">
        <v>1284</v>
      </c>
      <c r="K25" s="855" t="s">
        <v>1300</v>
      </c>
      <c r="L25" s="855" t="s">
        <v>1285</v>
      </c>
      <c r="M25" s="27"/>
      <c r="N25" s="68"/>
      <c r="O25" s="68"/>
      <c r="P25" s="852"/>
      <c r="Q25" s="852"/>
      <c r="R25" s="852"/>
      <c r="S25" s="852"/>
      <c r="T25" s="852"/>
      <c r="U25" s="852"/>
      <c r="V25" s="852"/>
      <c r="W25" s="852"/>
      <c r="X25" s="852"/>
      <c r="Y25" s="852"/>
      <c r="Z25" s="852"/>
      <c r="AA25" s="852"/>
      <c r="AB25" s="852"/>
      <c r="AC25" s="852"/>
      <c r="AD25" s="852"/>
      <c r="AE25" s="852"/>
      <c r="AF25" s="852"/>
      <c r="AG25" s="852"/>
      <c r="AH25" s="852"/>
      <c r="AI25" s="852"/>
      <c r="AK25" s="727"/>
      <c r="AL25" s="727"/>
      <c r="AN25" s="727"/>
      <c r="AO25" s="727"/>
      <c r="AP25" s="727"/>
      <c r="AQ25" s="727"/>
      <c r="BP25" s="271"/>
      <c r="BQ25" s="271"/>
      <c r="BR25" s="271"/>
      <c r="BS25" s="271"/>
      <c r="BT25" s="271"/>
      <c r="BU25" s="271"/>
      <c r="BV25" s="271"/>
      <c r="BW25" s="271"/>
      <c r="BX25" s="271"/>
    </row>
    <row r="26" spans="1:76" s="326" customFormat="1" ht="13.2">
      <c r="A26" s="329"/>
      <c r="B26" s="779" t="s">
        <v>1242</v>
      </c>
      <c r="C26" s="794">
        <v>2.5</v>
      </c>
      <c r="D26" s="794">
        <v>2.8</v>
      </c>
      <c r="E26" s="794" t="s">
        <v>1243</v>
      </c>
      <c r="F26" s="794">
        <f>C26*1000</f>
        <v>2500</v>
      </c>
      <c r="G26" s="794">
        <f>IF(D26=0,"-",D26*1000)</f>
        <v>2800</v>
      </c>
      <c r="H26" s="794" t="str">
        <f>IF(D26=0,F26,F26&amp;" - "&amp;G26)</f>
        <v>2500 - 2800</v>
      </c>
      <c r="I26" s="335"/>
      <c r="J26" s="779" t="s">
        <v>337</v>
      </c>
      <c r="K26" s="794" t="s">
        <v>1286</v>
      </c>
      <c r="L26" s="794" t="s">
        <v>1287</v>
      </c>
      <c r="M26" s="27"/>
      <c r="N26" s="852"/>
      <c r="O26" s="852"/>
      <c r="P26" s="852"/>
      <c r="Q26" s="852"/>
      <c r="R26" s="852"/>
      <c r="S26" s="852"/>
      <c r="T26" s="852"/>
      <c r="U26" s="852"/>
      <c r="V26" s="852"/>
      <c r="W26" s="852"/>
      <c r="X26" s="852"/>
      <c r="Y26" s="852"/>
      <c r="Z26" s="852"/>
      <c r="AA26" s="852"/>
      <c r="AB26" s="852"/>
      <c r="AC26" s="852"/>
      <c r="AD26" s="852"/>
      <c r="AE26" s="852"/>
      <c r="AF26" s="852"/>
      <c r="AG26" s="852"/>
      <c r="AH26" s="852"/>
      <c r="AI26" s="852"/>
      <c r="AK26" s="727"/>
      <c r="AL26" s="727"/>
      <c r="AN26" s="727"/>
      <c r="AO26" s="727"/>
      <c r="AP26" s="727"/>
      <c r="AQ26" s="727"/>
      <c r="BP26" s="271"/>
      <c r="BQ26" s="271"/>
      <c r="BR26" s="271"/>
      <c r="BS26" s="271"/>
      <c r="BT26" s="271"/>
      <c r="BU26" s="271"/>
      <c r="BV26" s="271"/>
      <c r="BW26" s="271"/>
      <c r="BX26" s="271"/>
    </row>
    <row r="27" spans="1:76">
      <c r="A27" s="727"/>
      <c r="B27" s="779" t="s">
        <v>1244</v>
      </c>
      <c r="C27" s="794">
        <v>2.8</v>
      </c>
      <c r="D27" s="794">
        <v>3</v>
      </c>
      <c r="E27" s="794" t="s">
        <v>1245</v>
      </c>
      <c r="F27" s="794">
        <f t="shared" ref="F27:F50" si="0">C27*1000</f>
        <v>2800</v>
      </c>
      <c r="G27" s="794">
        <f t="shared" ref="G27:G50" si="1">IF(D27=0,"-",D27*1000)</f>
        <v>3000</v>
      </c>
      <c r="H27" s="794" t="str">
        <f t="shared" ref="H27:H50" si="2">IF(D27=0,F27,F27&amp;" - "&amp;G27)</f>
        <v>2800 - 3000</v>
      </c>
      <c r="I27" s="335"/>
      <c r="J27" s="779" t="s">
        <v>1288</v>
      </c>
      <c r="K27" s="794" t="s">
        <v>1289</v>
      </c>
      <c r="L27" s="794" t="s">
        <v>1290</v>
      </c>
      <c r="M27" s="727"/>
      <c r="N27" s="727"/>
      <c r="O27" s="727"/>
      <c r="P27" s="727"/>
      <c r="Q27" s="727"/>
      <c r="R27" s="727"/>
      <c r="S27" s="727"/>
      <c r="T27" s="727"/>
      <c r="U27" s="727"/>
      <c r="V27" s="727"/>
      <c r="W27" s="727"/>
      <c r="X27" s="727"/>
      <c r="Y27" s="727"/>
      <c r="Z27" s="727"/>
      <c r="AA27" s="727"/>
      <c r="AB27" s="727"/>
      <c r="AC27" s="727"/>
      <c r="AD27" s="727"/>
      <c r="AE27" s="727"/>
      <c r="AF27" s="727"/>
      <c r="AG27" s="727"/>
      <c r="AH27" s="727"/>
      <c r="AI27" s="727"/>
      <c r="AJ27" s="727"/>
      <c r="AK27" s="727"/>
      <c r="AL27" s="853"/>
    </row>
    <row r="28" spans="1:76">
      <c r="A28" s="727"/>
      <c r="B28" s="779" t="s">
        <v>1246</v>
      </c>
      <c r="C28" s="794">
        <v>1.3</v>
      </c>
      <c r="D28" s="794"/>
      <c r="E28" s="794">
        <v>1.08</v>
      </c>
      <c r="F28" s="794">
        <f t="shared" si="0"/>
        <v>1300</v>
      </c>
      <c r="G28" s="794" t="str">
        <f t="shared" si="1"/>
        <v>-</v>
      </c>
      <c r="H28" s="794">
        <f t="shared" si="2"/>
        <v>1300</v>
      </c>
      <c r="I28" s="335"/>
      <c r="J28" s="779" t="s">
        <v>344</v>
      </c>
      <c r="K28" s="794" t="s">
        <v>1291</v>
      </c>
      <c r="L28" s="794" t="s">
        <v>1292</v>
      </c>
      <c r="M28" s="727"/>
      <c r="N28" s="727"/>
      <c r="O28" s="727"/>
      <c r="P28" s="727"/>
      <c r="Q28" s="727"/>
      <c r="R28" s="727"/>
      <c r="S28" s="727"/>
      <c r="T28" s="727"/>
      <c r="U28" s="727"/>
      <c r="V28" s="727"/>
      <c r="W28" s="727"/>
      <c r="X28" s="727"/>
      <c r="Y28" s="727"/>
      <c r="Z28" s="727"/>
      <c r="AA28" s="727"/>
      <c r="AB28" s="727"/>
      <c r="AC28" s="727"/>
      <c r="AD28" s="727"/>
      <c r="AE28" s="727"/>
      <c r="AF28" s="727"/>
      <c r="AG28" s="727"/>
      <c r="AH28" s="727"/>
      <c r="AI28" s="727"/>
      <c r="AJ28" s="727"/>
      <c r="AK28" s="727"/>
      <c r="AL28" s="853"/>
    </row>
    <row r="29" spans="1:76">
      <c r="A29" s="727"/>
      <c r="B29" s="779" t="s">
        <v>1247</v>
      </c>
      <c r="C29" s="794">
        <v>1.1000000000000001</v>
      </c>
      <c r="D29" s="794">
        <v>1.4</v>
      </c>
      <c r="E29" s="794" t="s">
        <v>1248</v>
      </c>
      <c r="F29" s="794">
        <f t="shared" si="0"/>
        <v>1100</v>
      </c>
      <c r="G29" s="794">
        <f t="shared" si="1"/>
        <v>1400</v>
      </c>
      <c r="H29" s="794" t="str">
        <f t="shared" si="2"/>
        <v>1100 - 1400</v>
      </c>
      <c r="I29" s="335"/>
      <c r="J29" s="779" t="s">
        <v>1278</v>
      </c>
      <c r="K29" s="794" t="s">
        <v>1293</v>
      </c>
      <c r="L29" s="794" t="s">
        <v>1294</v>
      </c>
      <c r="M29" s="727"/>
      <c r="N29" s="727"/>
      <c r="O29" s="727"/>
      <c r="P29" s="727"/>
      <c r="Q29" s="727"/>
      <c r="R29" s="727"/>
      <c r="S29" s="727"/>
      <c r="T29" s="727"/>
      <c r="U29" s="727"/>
      <c r="V29" s="727"/>
      <c r="W29" s="727"/>
      <c r="X29" s="727"/>
      <c r="Y29" s="727"/>
      <c r="Z29" s="727"/>
      <c r="AA29" s="727"/>
      <c r="AB29" s="727"/>
      <c r="AC29" s="727"/>
      <c r="AD29" s="727"/>
      <c r="AE29" s="727"/>
      <c r="AF29" s="727"/>
      <c r="AG29" s="727"/>
      <c r="AH29" s="727"/>
      <c r="AI29" s="727"/>
      <c r="AJ29" s="727"/>
      <c r="AK29" s="727"/>
      <c r="AL29" s="853"/>
    </row>
    <row r="30" spans="1:76">
      <c r="A30" s="727"/>
      <c r="B30" s="779" t="s">
        <v>1249</v>
      </c>
      <c r="C30" s="794">
        <v>2</v>
      </c>
      <c r="D30" s="794"/>
      <c r="E30" s="794">
        <v>1.89</v>
      </c>
      <c r="F30" s="794">
        <f t="shared" si="0"/>
        <v>2000</v>
      </c>
      <c r="G30" s="794" t="str">
        <f t="shared" si="1"/>
        <v>-</v>
      </c>
      <c r="H30" s="794">
        <f t="shared" si="2"/>
        <v>2000</v>
      </c>
      <c r="I30" s="335"/>
      <c r="J30" s="779" t="s">
        <v>342</v>
      </c>
      <c r="K30" s="794" t="s">
        <v>1295</v>
      </c>
      <c r="L30" s="794" t="s">
        <v>1296</v>
      </c>
      <c r="M30" s="727"/>
      <c r="N30" s="727"/>
      <c r="O30" s="727"/>
      <c r="P30" s="727"/>
      <c r="Q30" s="727"/>
      <c r="R30" s="727"/>
      <c r="S30" s="727"/>
      <c r="T30" s="727"/>
      <c r="U30" s="727"/>
      <c r="V30" s="727"/>
      <c r="W30" s="727"/>
      <c r="X30" s="727"/>
      <c r="Y30" s="727"/>
      <c r="Z30" s="727"/>
      <c r="AA30" s="727"/>
      <c r="AB30" s="727"/>
      <c r="AC30" s="727"/>
      <c r="AD30" s="727"/>
      <c r="AE30" s="727"/>
      <c r="AF30" s="727"/>
      <c r="AG30" s="727"/>
      <c r="AH30" s="727"/>
      <c r="AI30" s="727"/>
      <c r="AJ30" s="727"/>
      <c r="AK30" s="727"/>
      <c r="AL30" s="853"/>
    </row>
    <row r="31" spans="1:76">
      <c r="A31" s="727"/>
      <c r="B31" s="779" t="s">
        <v>1250</v>
      </c>
      <c r="C31" s="794">
        <v>2.6</v>
      </c>
      <c r="D31" s="794">
        <v>3</v>
      </c>
      <c r="E31" s="794" t="s">
        <v>1251</v>
      </c>
      <c r="F31" s="794">
        <f t="shared" si="0"/>
        <v>2600</v>
      </c>
      <c r="G31" s="794">
        <f t="shared" si="1"/>
        <v>3000</v>
      </c>
      <c r="H31" s="794" t="str">
        <f t="shared" si="2"/>
        <v>2600 - 3000</v>
      </c>
      <c r="I31" s="335"/>
      <c r="J31" s="779" t="s">
        <v>1253</v>
      </c>
      <c r="K31" s="794" t="s">
        <v>1297</v>
      </c>
      <c r="L31" s="794" t="s">
        <v>1298</v>
      </c>
      <c r="M31" s="727"/>
      <c r="N31" s="727"/>
      <c r="O31" s="727"/>
      <c r="P31" s="727"/>
      <c r="Q31" s="727"/>
      <c r="R31" s="727"/>
      <c r="S31" s="727"/>
      <c r="T31" s="727"/>
      <c r="U31" s="727"/>
      <c r="V31" s="727"/>
      <c r="W31" s="727"/>
      <c r="X31" s="727"/>
      <c r="Y31" s="727"/>
      <c r="Z31" s="727"/>
      <c r="AA31" s="727"/>
      <c r="AB31" s="727"/>
      <c r="AC31" s="727"/>
      <c r="AD31" s="727"/>
      <c r="AE31" s="727"/>
      <c r="AF31" s="727"/>
      <c r="AG31" s="727"/>
      <c r="AH31" s="727"/>
      <c r="AI31" s="727"/>
      <c r="AJ31" s="727"/>
      <c r="AK31" s="727"/>
      <c r="AL31" s="853"/>
    </row>
    <row r="32" spans="1:76">
      <c r="A32" s="727"/>
      <c r="B32" s="779" t="s">
        <v>1252</v>
      </c>
      <c r="C32" s="794">
        <v>2.8</v>
      </c>
      <c r="D32" s="794">
        <v>3</v>
      </c>
      <c r="E32" s="794" t="s">
        <v>1245</v>
      </c>
      <c r="F32" s="794">
        <f t="shared" si="0"/>
        <v>2800</v>
      </c>
      <c r="G32" s="794">
        <f t="shared" si="1"/>
        <v>3000</v>
      </c>
      <c r="H32" s="794" t="str">
        <f t="shared" si="2"/>
        <v>2800 - 3000</v>
      </c>
      <c r="I32" s="335"/>
      <c r="J32" s="779" t="s">
        <v>1271</v>
      </c>
      <c r="K32" s="794">
        <v>2.65</v>
      </c>
      <c r="L32" s="794" t="s">
        <v>1290</v>
      </c>
      <c r="M32" s="727"/>
      <c r="N32" s="727"/>
      <c r="O32" s="727"/>
      <c r="P32" s="727"/>
      <c r="Q32" s="727"/>
      <c r="R32" s="727"/>
      <c r="S32" s="727"/>
      <c r="T32" s="727"/>
      <c r="U32" s="727"/>
      <c r="V32" s="727"/>
      <c r="W32" s="727"/>
      <c r="X32" s="727"/>
      <c r="Y32" s="727"/>
      <c r="Z32" s="727"/>
      <c r="AA32" s="727"/>
      <c r="AB32" s="727"/>
      <c r="AC32" s="727"/>
      <c r="AD32" s="727"/>
      <c r="AE32" s="727"/>
      <c r="AF32" s="727"/>
      <c r="AG32" s="727"/>
      <c r="AH32" s="727"/>
      <c r="AI32" s="727"/>
      <c r="AJ32" s="727"/>
      <c r="AK32" s="727"/>
      <c r="AL32" s="853"/>
    </row>
    <row r="33" spans="1:38">
      <c r="A33" s="727"/>
      <c r="B33" s="779" t="s">
        <v>1253</v>
      </c>
      <c r="C33" s="794">
        <v>2.8</v>
      </c>
      <c r="D33" s="794">
        <v>2.9</v>
      </c>
      <c r="E33" s="794" t="s">
        <v>1254</v>
      </c>
      <c r="F33" s="794">
        <f t="shared" si="0"/>
        <v>2800</v>
      </c>
      <c r="G33" s="794">
        <f t="shared" si="1"/>
        <v>2900</v>
      </c>
      <c r="H33" s="794" t="str">
        <f t="shared" si="2"/>
        <v>2800 - 2900</v>
      </c>
      <c r="I33" s="335"/>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7"/>
      <c r="AG33" s="727"/>
      <c r="AH33" s="727"/>
      <c r="AI33" s="727"/>
      <c r="AJ33" s="727"/>
      <c r="AK33" s="727"/>
      <c r="AL33" s="853"/>
    </row>
    <row r="34" spans="1:38">
      <c r="A34" s="727"/>
      <c r="B34" s="779" t="s">
        <v>1255</v>
      </c>
      <c r="C34" s="794">
        <v>1.6</v>
      </c>
      <c r="D34" s="794">
        <v>1.8</v>
      </c>
      <c r="E34" s="794" t="s">
        <v>1256</v>
      </c>
      <c r="F34" s="794">
        <f t="shared" si="0"/>
        <v>1600</v>
      </c>
      <c r="G34" s="794">
        <f t="shared" si="1"/>
        <v>1800</v>
      </c>
      <c r="H34" s="794" t="str">
        <f t="shared" si="2"/>
        <v>1600 - 1800</v>
      </c>
      <c r="I34" s="727"/>
      <c r="J34" s="727"/>
      <c r="K34" s="727"/>
      <c r="L34" s="727"/>
      <c r="M34" s="727"/>
      <c r="N34" s="727"/>
      <c r="O34" s="727"/>
      <c r="P34" s="727"/>
      <c r="Q34" s="727"/>
      <c r="R34" s="727"/>
      <c r="S34" s="727"/>
      <c r="T34" s="727"/>
      <c r="U34" s="727"/>
      <c r="V34" s="727"/>
      <c r="W34" s="727"/>
      <c r="X34" s="727"/>
      <c r="Y34" s="727"/>
      <c r="Z34" s="727"/>
      <c r="AA34" s="727"/>
      <c r="AB34" s="727"/>
      <c r="AC34" s="727"/>
      <c r="AD34" s="727"/>
      <c r="AE34" s="727"/>
      <c r="AF34" s="727"/>
      <c r="AG34" s="727"/>
      <c r="AH34" s="727"/>
      <c r="AI34" s="727"/>
      <c r="AJ34" s="727"/>
      <c r="AK34" s="727"/>
      <c r="AL34" s="853"/>
    </row>
    <row r="35" spans="1:38">
      <c r="A35" s="727"/>
      <c r="B35" s="779" t="s">
        <v>1257</v>
      </c>
      <c r="C35" s="794">
        <v>2</v>
      </c>
      <c r="D35" s="794"/>
      <c r="E35" s="794">
        <v>1.6875</v>
      </c>
      <c r="F35" s="794">
        <f t="shared" si="0"/>
        <v>2000</v>
      </c>
      <c r="G35" s="794" t="str">
        <f t="shared" si="1"/>
        <v>-</v>
      </c>
      <c r="H35" s="794">
        <f t="shared" si="2"/>
        <v>2000</v>
      </c>
      <c r="I35" s="727"/>
      <c r="J35" s="727"/>
      <c r="K35" s="727"/>
      <c r="L35" s="727"/>
      <c r="M35" s="727"/>
      <c r="N35" s="727"/>
      <c r="O35" s="727"/>
      <c r="P35" s="727"/>
      <c r="Q35" s="727"/>
      <c r="R35" s="727"/>
      <c r="S35" s="727"/>
      <c r="T35" s="727"/>
      <c r="U35" s="727"/>
      <c r="V35" s="727"/>
      <c r="W35" s="727"/>
      <c r="X35" s="727"/>
      <c r="Y35" s="727"/>
      <c r="Z35" s="727"/>
      <c r="AA35" s="727"/>
      <c r="AB35" s="727"/>
      <c r="AC35" s="727"/>
      <c r="AD35" s="727"/>
      <c r="AE35" s="727"/>
      <c r="AF35" s="727"/>
      <c r="AG35" s="727"/>
      <c r="AH35" s="727"/>
      <c r="AI35" s="727"/>
      <c r="AJ35" s="727"/>
      <c r="AK35" s="727"/>
      <c r="AL35" s="853"/>
    </row>
    <row r="36" spans="1:38">
      <c r="A36" s="727"/>
      <c r="B36" s="779" t="s">
        <v>1258</v>
      </c>
      <c r="C36" s="794">
        <v>2.6</v>
      </c>
      <c r="D36" s="794">
        <v>2.9</v>
      </c>
      <c r="E36" s="794" t="s">
        <v>1259</v>
      </c>
      <c r="F36" s="794">
        <f t="shared" si="0"/>
        <v>2600</v>
      </c>
      <c r="G36" s="794">
        <f t="shared" si="1"/>
        <v>2900</v>
      </c>
      <c r="H36" s="794" t="str">
        <f t="shared" si="2"/>
        <v>2600 - 2900</v>
      </c>
      <c r="I36" s="727"/>
      <c r="J36" s="727"/>
      <c r="K36" s="727"/>
      <c r="L36" s="727"/>
      <c r="M36" s="727"/>
      <c r="N36" s="727"/>
      <c r="O36" s="727"/>
      <c r="P36" s="727"/>
      <c r="Q36" s="727"/>
      <c r="R36" s="727"/>
      <c r="S36" s="727"/>
      <c r="T36" s="727"/>
      <c r="U36" s="727"/>
      <c r="V36" s="727"/>
      <c r="W36" s="727"/>
      <c r="X36" s="727"/>
      <c r="Y36" s="727"/>
      <c r="Z36" s="727"/>
      <c r="AA36" s="727"/>
      <c r="AB36" s="727"/>
      <c r="AC36" s="727"/>
      <c r="AD36" s="727"/>
      <c r="AE36" s="727"/>
      <c r="AF36" s="727"/>
      <c r="AG36" s="727"/>
      <c r="AH36" s="727"/>
      <c r="AI36" s="727"/>
      <c r="AJ36" s="727"/>
      <c r="AK36" s="727"/>
      <c r="AL36" s="853"/>
    </row>
    <row r="37" spans="1:38">
      <c r="A37" s="727"/>
      <c r="B37" s="779" t="s">
        <v>337</v>
      </c>
      <c r="C37" s="794">
        <v>2.6</v>
      </c>
      <c r="D37" s="794">
        <v>2.7</v>
      </c>
      <c r="E37" s="794" t="s">
        <v>1260</v>
      </c>
      <c r="F37" s="794">
        <f t="shared" si="0"/>
        <v>2600</v>
      </c>
      <c r="G37" s="794">
        <f t="shared" si="1"/>
        <v>2700</v>
      </c>
      <c r="H37" s="794" t="str">
        <f t="shared" si="2"/>
        <v>2600 - 2700</v>
      </c>
      <c r="I37" s="727"/>
      <c r="J37" s="727"/>
      <c r="K37" s="727"/>
      <c r="L37" s="727"/>
      <c r="M37" s="727"/>
      <c r="N37" s="727"/>
      <c r="O37" s="727"/>
      <c r="P37" s="727"/>
      <c r="Q37" s="727"/>
      <c r="R37" s="727"/>
      <c r="S37" s="727"/>
      <c r="T37" s="727"/>
      <c r="U37" s="727"/>
      <c r="V37" s="727"/>
      <c r="W37" s="727"/>
      <c r="X37" s="727"/>
      <c r="Y37" s="727"/>
      <c r="Z37" s="727"/>
      <c r="AA37" s="727"/>
      <c r="AB37" s="727"/>
      <c r="AC37" s="727"/>
      <c r="AD37" s="727"/>
      <c r="AE37" s="727"/>
      <c r="AF37" s="727"/>
      <c r="AG37" s="727"/>
      <c r="AH37" s="727"/>
      <c r="AI37" s="727"/>
      <c r="AJ37" s="727"/>
      <c r="AK37" s="727"/>
      <c r="AL37" s="853"/>
    </row>
    <row r="38" spans="1:38">
      <c r="A38" s="727"/>
      <c r="B38" s="779" t="s">
        <v>1261</v>
      </c>
      <c r="C38" s="794">
        <v>2.2999999999999998</v>
      </c>
      <c r="D38" s="794">
        <v>2.8</v>
      </c>
      <c r="E38" s="794" t="s">
        <v>1262</v>
      </c>
      <c r="F38" s="794">
        <f t="shared" si="0"/>
        <v>2300</v>
      </c>
      <c r="G38" s="794">
        <f t="shared" si="1"/>
        <v>2800</v>
      </c>
      <c r="H38" s="794" t="str">
        <f t="shared" si="2"/>
        <v>2300 - 2800</v>
      </c>
      <c r="I38" s="727"/>
      <c r="J38" s="727"/>
      <c r="K38" s="727"/>
      <c r="L38" s="727"/>
      <c r="M38" s="727"/>
      <c r="N38" s="727"/>
      <c r="O38" s="727"/>
      <c r="P38" s="727"/>
      <c r="Q38" s="727"/>
      <c r="R38" s="727"/>
      <c r="S38" s="727"/>
      <c r="T38" s="727"/>
      <c r="U38" s="727"/>
      <c r="V38" s="727"/>
      <c r="W38" s="727"/>
      <c r="X38" s="727"/>
      <c r="Y38" s="727"/>
      <c r="Z38" s="727"/>
      <c r="AA38" s="727"/>
      <c r="AB38" s="727"/>
      <c r="AC38" s="727"/>
      <c r="AD38" s="727"/>
      <c r="AE38" s="727"/>
      <c r="AF38" s="727"/>
      <c r="AG38" s="727"/>
      <c r="AH38" s="727"/>
      <c r="AI38" s="727"/>
      <c r="AJ38" s="727"/>
      <c r="AK38" s="727"/>
      <c r="AL38" s="853"/>
    </row>
    <row r="39" spans="1:38">
      <c r="A39" s="727"/>
      <c r="B39" s="779" t="s">
        <v>1263</v>
      </c>
      <c r="C39" s="794">
        <v>4.5</v>
      </c>
      <c r="D39" s="794">
        <v>5.3</v>
      </c>
      <c r="E39" s="794" t="s">
        <v>1264</v>
      </c>
      <c r="F39" s="794">
        <f t="shared" si="0"/>
        <v>4500</v>
      </c>
      <c r="G39" s="794">
        <f t="shared" si="1"/>
        <v>5300</v>
      </c>
      <c r="H39" s="794" t="str">
        <f t="shared" si="2"/>
        <v>4500 - 5300</v>
      </c>
      <c r="I39" s="727"/>
      <c r="J39" s="727"/>
      <c r="K39" s="727"/>
      <c r="L39" s="727"/>
      <c r="M39" s="727"/>
      <c r="N39" s="727"/>
      <c r="O39" s="727"/>
      <c r="P39" s="727"/>
      <c r="Q39" s="727"/>
      <c r="R39" s="727"/>
      <c r="S39" s="727"/>
      <c r="T39" s="727"/>
      <c r="U39" s="727"/>
      <c r="V39" s="727"/>
      <c r="W39" s="727"/>
      <c r="X39" s="727"/>
      <c r="Y39" s="727"/>
      <c r="Z39" s="727"/>
      <c r="AA39" s="727"/>
      <c r="AB39" s="727"/>
      <c r="AC39" s="727"/>
      <c r="AD39" s="727"/>
      <c r="AE39" s="727"/>
      <c r="AF39" s="727"/>
      <c r="AG39" s="727"/>
      <c r="AH39" s="727"/>
      <c r="AI39" s="727"/>
      <c r="AJ39" s="727"/>
      <c r="AK39" s="727"/>
      <c r="AL39" s="853"/>
    </row>
    <row r="40" spans="1:38">
      <c r="A40" s="727"/>
      <c r="B40" s="779" t="s">
        <v>1265</v>
      </c>
      <c r="C40" s="794">
        <v>7.5</v>
      </c>
      <c r="D40" s="794"/>
      <c r="E40" s="794">
        <v>6.21</v>
      </c>
      <c r="F40" s="794">
        <f t="shared" si="0"/>
        <v>7500</v>
      </c>
      <c r="G40" s="794" t="str">
        <f t="shared" si="1"/>
        <v>-</v>
      </c>
      <c r="H40" s="794">
        <f t="shared" si="2"/>
        <v>7500</v>
      </c>
      <c r="I40" s="727"/>
      <c r="J40" s="727"/>
      <c r="K40" s="727"/>
      <c r="L40" s="727"/>
      <c r="M40" s="727"/>
      <c r="N40" s="727"/>
      <c r="O40" s="727"/>
      <c r="P40" s="727"/>
      <c r="Q40" s="727"/>
      <c r="R40" s="727"/>
      <c r="S40" s="727"/>
      <c r="T40" s="727"/>
      <c r="U40" s="727"/>
      <c r="V40" s="727"/>
      <c r="W40" s="727"/>
      <c r="X40" s="727"/>
      <c r="Y40" s="727"/>
      <c r="Z40" s="727"/>
      <c r="AA40" s="727"/>
      <c r="AB40" s="727"/>
      <c r="AC40" s="727"/>
      <c r="AD40" s="727"/>
      <c r="AE40" s="727"/>
      <c r="AF40" s="727"/>
      <c r="AG40" s="727"/>
      <c r="AH40" s="727"/>
      <c r="AI40" s="727"/>
      <c r="AJ40" s="727"/>
      <c r="AK40" s="727"/>
      <c r="AL40" s="853"/>
    </row>
    <row r="41" spans="1:38">
      <c r="A41" s="727"/>
      <c r="B41" s="779" t="s">
        <v>342</v>
      </c>
      <c r="C41" s="794">
        <v>2.2999999999999998</v>
      </c>
      <c r="D41" s="794">
        <v>2.7</v>
      </c>
      <c r="E41" s="794" t="s">
        <v>1266</v>
      </c>
      <c r="F41" s="794">
        <f t="shared" si="0"/>
        <v>2300</v>
      </c>
      <c r="G41" s="794">
        <f t="shared" si="1"/>
        <v>2700</v>
      </c>
      <c r="H41" s="794" t="str">
        <f t="shared" si="2"/>
        <v>2300 - 2700</v>
      </c>
      <c r="I41" s="727"/>
      <c r="J41" s="727"/>
      <c r="K41" s="727"/>
      <c r="L41" s="727"/>
      <c r="M41" s="727"/>
      <c r="N41" s="727"/>
      <c r="O41" s="727"/>
      <c r="P41" s="727"/>
      <c r="Q41" s="727"/>
      <c r="R41" s="727"/>
      <c r="S41" s="727"/>
      <c r="T41" s="727"/>
      <c r="U41" s="727"/>
      <c r="V41" s="727"/>
      <c r="W41" s="727"/>
      <c r="X41" s="727"/>
      <c r="Y41" s="727"/>
      <c r="Z41" s="727"/>
      <c r="AA41" s="727"/>
      <c r="AB41" s="727"/>
      <c r="AC41" s="727"/>
      <c r="AD41" s="727"/>
      <c r="AE41" s="727"/>
      <c r="AF41" s="727"/>
      <c r="AG41" s="727"/>
      <c r="AH41" s="727"/>
      <c r="AI41" s="727"/>
      <c r="AJ41" s="727"/>
      <c r="AK41" s="727"/>
      <c r="AL41" s="853"/>
    </row>
    <row r="42" spans="1:38">
      <c r="A42" s="727"/>
      <c r="B42" s="779" t="s">
        <v>1267</v>
      </c>
      <c r="C42" s="794">
        <v>2.4</v>
      </c>
      <c r="D42" s="794">
        <v>2.7</v>
      </c>
      <c r="E42" s="794" t="s">
        <v>1268</v>
      </c>
      <c r="F42" s="794">
        <f t="shared" si="0"/>
        <v>2400</v>
      </c>
      <c r="G42" s="794">
        <f t="shared" si="1"/>
        <v>2700</v>
      </c>
      <c r="H42" s="794" t="str">
        <f t="shared" si="2"/>
        <v>2400 - 2700</v>
      </c>
      <c r="I42" s="727"/>
      <c r="J42" s="727"/>
      <c r="K42" s="727"/>
      <c r="L42" s="727"/>
      <c r="M42" s="727"/>
      <c r="N42" s="727"/>
      <c r="O42" s="727"/>
      <c r="P42" s="727"/>
      <c r="Q42" s="727"/>
      <c r="R42" s="727"/>
      <c r="S42" s="727"/>
      <c r="T42" s="727"/>
      <c r="U42" s="727"/>
      <c r="V42" s="727"/>
      <c r="W42" s="727"/>
      <c r="X42" s="727"/>
      <c r="Y42" s="727"/>
      <c r="Z42" s="727"/>
      <c r="AA42" s="727"/>
      <c r="AB42" s="727"/>
      <c r="AC42" s="727"/>
      <c r="AD42" s="727"/>
      <c r="AE42" s="727"/>
      <c r="AF42" s="727"/>
      <c r="AG42" s="727"/>
      <c r="AH42" s="727"/>
      <c r="AI42" s="727"/>
      <c r="AJ42" s="727"/>
      <c r="AK42" s="727"/>
      <c r="AL42" s="853"/>
    </row>
    <row r="43" spans="1:38">
      <c r="A43" s="727"/>
      <c r="B43" s="779" t="s">
        <v>1269</v>
      </c>
      <c r="C43" s="794">
        <v>2.5</v>
      </c>
      <c r="D43" s="794">
        <v>2.9</v>
      </c>
      <c r="E43" s="794" t="s">
        <v>1270</v>
      </c>
      <c r="F43" s="794">
        <f t="shared" si="0"/>
        <v>2500</v>
      </c>
      <c r="G43" s="794">
        <f t="shared" si="1"/>
        <v>2900</v>
      </c>
      <c r="H43" s="794" t="str">
        <f t="shared" si="2"/>
        <v>2500 - 2900</v>
      </c>
      <c r="I43" s="727"/>
      <c r="J43" s="727"/>
      <c r="K43" s="727"/>
      <c r="L43" s="727"/>
      <c r="M43" s="727"/>
      <c r="N43" s="727"/>
      <c r="O43" s="727"/>
      <c r="P43" s="727"/>
      <c r="Q43" s="727"/>
      <c r="R43" s="727"/>
      <c r="S43" s="727"/>
      <c r="T43" s="727"/>
      <c r="U43" s="727"/>
      <c r="V43" s="727"/>
      <c r="W43" s="727"/>
      <c r="X43" s="727"/>
      <c r="Y43" s="727"/>
      <c r="Z43" s="727"/>
      <c r="AA43" s="727"/>
      <c r="AB43" s="727"/>
      <c r="AC43" s="727"/>
      <c r="AD43" s="727"/>
      <c r="AE43" s="727"/>
      <c r="AF43" s="727"/>
      <c r="AG43" s="727"/>
      <c r="AH43" s="727"/>
      <c r="AI43" s="727"/>
      <c r="AJ43" s="727"/>
      <c r="AK43" s="727"/>
      <c r="AL43" s="853"/>
    </row>
    <row r="44" spans="1:38">
      <c r="A44" s="727"/>
      <c r="B44" s="779" t="s">
        <v>1271</v>
      </c>
      <c r="C44" s="794">
        <v>2.6</v>
      </c>
      <c r="D44" s="794">
        <v>2.8</v>
      </c>
      <c r="E44" s="794" t="s">
        <v>1272</v>
      </c>
      <c r="F44" s="794">
        <f t="shared" si="0"/>
        <v>2600</v>
      </c>
      <c r="G44" s="794">
        <f t="shared" si="1"/>
        <v>2800</v>
      </c>
      <c r="H44" s="794" t="str">
        <f t="shared" si="2"/>
        <v>2600 - 2800</v>
      </c>
      <c r="I44" s="727"/>
      <c r="J44" s="727"/>
      <c r="K44" s="727"/>
      <c r="L44" s="727"/>
      <c r="M44" s="727"/>
      <c r="N44" s="727"/>
      <c r="O44" s="727"/>
      <c r="P44" s="727"/>
      <c r="Q44" s="727"/>
      <c r="R44" s="727"/>
      <c r="S44" s="727"/>
      <c r="T44" s="727"/>
      <c r="U44" s="727"/>
      <c r="V44" s="727"/>
      <c r="W44" s="727"/>
      <c r="X44" s="727"/>
      <c r="Y44" s="727"/>
      <c r="Z44" s="727"/>
      <c r="AA44" s="727"/>
      <c r="AB44" s="727"/>
      <c r="AC44" s="727"/>
      <c r="AD44" s="727"/>
      <c r="AE44" s="727"/>
      <c r="AF44" s="727"/>
      <c r="AG44" s="727"/>
      <c r="AH44" s="727"/>
      <c r="AI44" s="727"/>
      <c r="AJ44" s="727"/>
      <c r="AK44" s="727"/>
      <c r="AL44" s="853"/>
    </row>
    <row r="45" spans="1:38">
      <c r="A45" s="727"/>
      <c r="B45" s="779" t="s">
        <v>1273</v>
      </c>
      <c r="C45" s="794">
        <v>2.4</v>
      </c>
      <c r="D45" s="794">
        <v>2.6</v>
      </c>
      <c r="E45" s="794" t="s">
        <v>1274</v>
      </c>
      <c r="F45" s="794">
        <f t="shared" si="0"/>
        <v>2400</v>
      </c>
      <c r="G45" s="794">
        <f t="shared" si="1"/>
        <v>2600</v>
      </c>
      <c r="H45" s="794" t="str">
        <f t="shared" si="2"/>
        <v>2400 - 2600</v>
      </c>
      <c r="I45" s="727"/>
      <c r="J45" s="727"/>
      <c r="K45" s="727"/>
      <c r="L45" s="727"/>
      <c r="M45" s="727"/>
      <c r="N45" s="727"/>
      <c r="O45" s="727"/>
      <c r="P45" s="727"/>
      <c r="Q45" s="727"/>
      <c r="R45" s="727"/>
      <c r="S45" s="727"/>
      <c r="T45" s="727"/>
      <c r="U45" s="727"/>
      <c r="V45" s="727"/>
      <c r="W45" s="727"/>
      <c r="X45" s="727"/>
      <c r="Y45" s="727"/>
      <c r="Z45" s="727"/>
      <c r="AA45" s="727"/>
      <c r="AB45" s="727"/>
      <c r="AC45" s="727"/>
      <c r="AD45" s="727"/>
      <c r="AE45" s="727"/>
      <c r="AF45" s="727"/>
      <c r="AG45" s="727"/>
      <c r="AH45" s="727"/>
      <c r="AI45" s="727"/>
      <c r="AJ45" s="727"/>
      <c r="AK45" s="727"/>
      <c r="AL45" s="853"/>
    </row>
    <row r="46" spans="1:38">
      <c r="A46" s="727"/>
      <c r="B46" s="779" t="s">
        <v>1275</v>
      </c>
      <c r="C46" s="794">
        <v>2.5</v>
      </c>
      <c r="D46" s="794">
        <v>2.6</v>
      </c>
      <c r="E46" s="794" t="s">
        <v>1276</v>
      </c>
      <c r="F46" s="794">
        <f t="shared" si="0"/>
        <v>2500</v>
      </c>
      <c r="G46" s="794">
        <f t="shared" si="1"/>
        <v>2600</v>
      </c>
      <c r="H46" s="794" t="str">
        <f t="shared" si="2"/>
        <v>2500 - 2600</v>
      </c>
      <c r="I46" s="727"/>
      <c r="J46" s="727"/>
      <c r="K46" s="727"/>
      <c r="L46" s="727"/>
      <c r="M46" s="727"/>
      <c r="N46" s="727"/>
      <c r="O46" s="727"/>
      <c r="P46" s="727"/>
      <c r="Q46" s="727"/>
      <c r="R46" s="727"/>
      <c r="S46" s="727"/>
      <c r="T46" s="727"/>
      <c r="U46" s="727"/>
      <c r="V46" s="727"/>
      <c r="W46" s="727"/>
      <c r="X46" s="727"/>
      <c r="Y46" s="727"/>
      <c r="Z46" s="727"/>
      <c r="AA46" s="727"/>
      <c r="AB46" s="727"/>
      <c r="AC46" s="727"/>
      <c r="AD46" s="727"/>
      <c r="AE46" s="727"/>
      <c r="AF46" s="727"/>
      <c r="AG46" s="727"/>
      <c r="AH46" s="727"/>
      <c r="AI46" s="727"/>
      <c r="AJ46" s="727"/>
      <c r="AK46" s="727"/>
      <c r="AL46" s="853"/>
    </row>
    <row r="47" spans="1:38">
      <c r="A47" s="727"/>
      <c r="B47" s="779" t="s">
        <v>344</v>
      </c>
      <c r="C47" s="794">
        <v>2.2000000000000002</v>
      </c>
      <c r="D47" s="794">
        <v>2.8</v>
      </c>
      <c r="E47" s="794" t="s">
        <v>1277</v>
      </c>
      <c r="F47" s="794">
        <f t="shared" si="0"/>
        <v>2200</v>
      </c>
      <c r="G47" s="794">
        <f t="shared" si="1"/>
        <v>2800</v>
      </c>
      <c r="H47" s="794" t="str">
        <f t="shared" si="2"/>
        <v>2200 - 2800</v>
      </c>
      <c r="I47" s="727"/>
      <c r="J47" s="727"/>
      <c r="K47" s="727"/>
      <c r="L47" s="727"/>
      <c r="M47" s="727"/>
      <c r="N47" s="727"/>
      <c r="O47" s="727"/>
      <c r="P47" s="727"/>
      <c r="Q47" s="727"/>
      <c r="R47" s="727"/>
      <c r="S47" s="727"/>
      <c r="T47" s="727"/>
      <c r="U47" s="727"/>
      <c r="V47" s="727"/>
      <c r="W47" s="727"/>
      <c r="X47" s="727"/>
      <c r="Y47" s="727"/>
      <c r="Z47" s="727"/>
      <c r="AA47" s="727"/>
      <c r="AB47" s="727"/>
      <c r="AC47" s="727"/>
      <c r="AD47" s="727"/>
      <c r="AE47" s="727"/>
      <c r="AF47" s="727"/>
      <c r="AG47" s="727"/>
      <c r="AH47" s="727"/>
      <c r="AI47" s="727"/>
      <c r="AJ47" s="727"/>
      <c r="AK47" s="727"/>
      <c r="AL47" s="853"/>
    </row>
    <row r="48" spans="1:38">
      <c r="A48" s="727"/>
      <c r="B48" s="779" t="s">
        <v>1278</v>
      </c>
      <c r="C48" s="794">
        <v>2.4</v>
      </c>
      <c r="D48" s="794">
        <v>2.8</v>
      </c>
      <c r="E48" s="794" t="s">
        <v>1279</v>
      </c>
      <c r="F48" s="794">
        <f t="shared" si="0"/>
        <v>2400</v>
      </c>
      <c r="G48" s="794">
        <f t="shared" si="1"/>
        <v>2800</v>
      </c>
      <c r="H48" s="794" t="str">
        <f t="shared" si="2"/>
        <v>2400 - 2800</v>
      </c>
      <c r="I48" s="727"/>
      <c r="J48" s="727"/>
      <c r="K48" s="727"/>
      <c r="L48" s="727"/>
      <c r="M48" s="727"/>
      <c r="N48" s="727"/>
      <c r="O48" s="727"/>
      <c r="P48" s="727"/>
      <c r="Q48" s="727"/>
      <c r="R48" s="727"/>
      <c r="S48" s="727"/>
      <c r="T48" s="727"/>
      <c r="U48" s="727"/>
      <c r="V48" s="727"/>
      <c r="W48" s="727"/>
      <c r="X48" s="727"/>
      <c r="Y48" s="727"/>
      <c r="Z48" s="727"/>
      <c r="AA48" s="727"/>
      <c r="AB48" s="727"/>
      <c r="AC48" s="727"/>
      <c r="AD48" s="727"/>
      <c r="AE48" s="727"/>
      <c r="AF48" s="727"/>
      <c r="AG48" s="727"/>
      <c r="AH48" s="727"/>
      <c r="AI48" s="727"/>
      <c r="AJ48" s="727"/>
      <c r="AK48" s="727"/>
      <c r="AL48" s="853"/>
    </row>
    <row r="49" spans="1:38">
      <c r="A49" s="727"/>
      <c r="B49" s="779" t="s">
        <v>1280</v>
      </c>
      <c r="C49" s="794">
        <v>2.7</v>
      </c>
      <c r="D49" s="794">
        <v>2.8</v>
      </c>
      <c r="E49" s="794" t="s">
        <v>1281</v>
      </c>
      <c r="F49" s="794">
        <f t="shared" si="0"/>
        <v>2700</v>
      </c>
      <c r="G49" s="794">
        <f t="shared" si="1"/>
        <v>2800</v>
      </c>
      <c r="H49" s="794" t="str">
        <f t="shared" si="2"/>
        <v>2700 - 2800</v>
      </c>
      <c r="I49" s="727"/>
      <c r="J49" s="727"/>
      <c r="K49" s="727"/>
      <c r="L49" s="727"/>
      <c r="M49" s="727"/>
      <c r="N49" s="727"/>
      <c r="O49" s="727"/>
      <c r="P49" s="727"/>
      <c r="Q49" s="727"/>
      <c r="R49" s="727"/>
      <c r="S49" s="727"/>
      <c r="T49" s="727"/>
      <c r="U49" s="727"/>
      <c r="V49" s="727"/>
      <c r="W49" s="727"/>
      <c r="X49" s="727"/>
      <c r="Y49" s="727"/>
      <c r="Z49" s="727"/>
      <c r="AA49" s="727"/>
      <c r="AB49" s="727"/>
      <c r="AC49" s="727"/>
      <c r="AD49" s="727"/>
      <c r="AE49" s="727"/>
      <c r="AF49" s="727"/>
      <c r="AG49" s="727"/>
      <c r="AH49" s="727"/>
      <c r="AI49" s="727"/>
      <c r="AJ49" s="727"/>
      <c r="AK49" s="727"/>
      <c r="AL49" s="853"/>
    </row>
    <row r="50" spans="1:38">
      <c r="A50" s="727"/>
      <c r="B50" s="779" t="s">
        <v>1282</v>
      </c>
      <c r="C50" s="794">
        <v>2.6</v>
      </c>
      <c r="D50" s="794">
        <v>2.8</v>
      </c>
      <c r="E50" s="794" t="s">
        <v>1272</v>
      </c>
      <c r="F50" s="794">
        <f t="shared" si="0"/>
        <v>2600</v>
      </c>
      <c r="G50" s="794">
        <f t="shared" si="1"/>
        <v>2800</v>
      </c>
      <c r="H50" s="794" t="str">
        <f t="shared" si="2"/>
        <v>2600 - 2800</v>
      </c>
      <c r="I50" s="727"/>
      <c r="J50" s="727"/>
      <c r="K50" s="727"/>
      <c r="L50" s="727"/>
      <c r="M50" s="727"/>
      <c r="N50" s="727"/>
      <c r="O50" s="727"/>
      <c r="P50" s="727"/>
      <c r="Q50" s="727"/>
      <c r="R50" s="727"/>
      <c r="S50" s="727"/>
      <c r="T50" s="727"/>
      <c r="U50" s="727"/>
      <c r="V50" s="727"/>
      <c r="W50" s="727"/>
      <c r="X50" s="727"/>
      <c r="Y50" s="727"/>
      <c r="Z50" s="727"/>
      <c r="AA50" s="727"/>
      <c r="AB50" s="727"/>
      <c r="AC50" s="727"/>
      <c r="AD50" s="727"/>
      <c r="AE50" s="727"/>
      <c r="AF50" s="727"/>
      <c r="AG50" s="727"/>
      <c r="AH50" s="727"/>
      <c r="AI50" s="727"/>
      <c r="AJ50" s="727"/>
      <c r="AK50" s="727"/>
      <c r="AL50" s="853"/>
    </row>
    <row r="51" spans="1:38">
      <c r="A51" s="727"/>
      <c r="B51" s="727"/>
      <c r="C51" s="727"/>
      <c r="D51" s="727"/>
      <c r="E51" s="727"/>
      <c r="F51" s="727"/>
      <c r="G51" s="727"/>
      <c r="H51" s="727"/>
      <c r="I51" s="727"/>
      <c r="J51" s="727"/>
      <c r="K51" s="727"/>
      <c r="L51" s="727"/>
      <c r="M51" s="727"/>
      <c r="N51" s="727"/>
      <c r="O51" s="727"/>
      <c r="P51" s="727"/>
      <c r="Q51" s="727"/>
      <c r="R51" s="727"/>
      <c r="S51" s="727"/>
      <c r="T51" s="727"/>
      <c r="U51" s="727"/>
      <c r="V51" s="727"/>
      <c r="W51" s="727"/>
      <c r="X51" s="727"/>
      <c r="Y51" s="727"/>
      <c r="Z51" s="727"/>
      <c r="AA51" s="727"/>
      <c r="AB51" s="727"/>
      <c r="AC51" s="727"/>
      <c r="AD51" s="727"/>
      <c r="AE51" s="727"/>
      <c r="AF51" s="727"/>
      <c r="AG51" s="727"/>
      <c r="AH51" s="727"/>
      <c r="AI51" s="727"/>
      <c r="AJ51" s="727"/>
      <c r="AK51" s="727"/>
      <c r="AL51" s="853"/>
    </row>
    <row r="52" spans="1:38">
      <c r="A52" s="727"/>
      <c r="B52" s="727" t="s">
        <v>1307</v>
      </c>
      <c r="C52" s="727"/>
      <c r="D52" s="727"/>
      <c r="E52" s="727"/>
      <c r="F52" s="727"/>
      <c r="G52" s="727"/>
      <c r="H52" s="727"/>
      <c r="I52" s="727"/>
      <c r="J52" s="727"/>
      <c r="K52" s="727"/>
      <c r="L52" s="727"/>
      <c r="M52" s="727"/>
      <c r="N52" s="727"/>
      <c r="O52" s="727"/>
      <c r="P52" s="727"/>
      <c r="Q52" s="727"/>
      <c r="R52" s="727"/>
      <c r="S52" s="727"/>
      <c r="T52" s="727"/>
      <c r="U52" s="727"/>
      <c r="V52" s="727"/>
      <c r="W52" s="727"/>
      <c r="X52" s="727"/>
      <c r="Y52" s="727"/>
      <c r="Z52" s="727"/>
      <c r="AA52" s="727"/>
      <c r="AB52" s="727"/>
      <c r="AC52" s="727"/>
      <c r="AD52" s="727"/>
      <c r="AE52" s="727"/>
      <c r="AF52" s="727"/>
      <c r="AG52" s="727"/>
      <c r="AH52" s="727"/>
      <c r="AI52" s="727"/>
      <c r="AJ52" s="727"/>
      <c r="AK52" s="727"/>
      <c r="AL52" s="853"/>
    </row>
    <row r="53" spans="1:38">
      <c r="A53" s="727"/>
      <c r="B53" s="731" t="s">
        <v>1302</v>
      </c>
      <c r="C53" s="731" t="s">
        <v>1340</v>
      </c>
      <c r="D53" s="727"/>
      <c r="E53" s="727"/>
      <c r="F53" s="727"/>
      <c r="G53" s="727"/>
      <c r="H53" s="727"/>
      <c r="I53" s="727"/>
      <c r="J53" s="727"/>
      <c r="K53" s="727"/>
      <c r="L53" s="727"/>
      <c r="M53" s="727"/>
      <c r="N53" s="727"/>
      <c r="O53" s="727"/>
      <c r="P53" s="727"/>
      <c r="Q53" s="727"/>
      <c r="R53" s="727"/>
      <c r="S53" s="727"/>
      <c r="T53" s="727"/>
      <c r="U53" s="727"/>
      <c r="V53" s="727"/>
      <c r="W53" s="727"/>
      <c r="X53" s="727"/>
      <c r="Y53" s="727"/>
      <c r="Z53" s="727"/>
      <c r="AA53" s="727"/>
      <c r="AB53" s="727"/>
      <c r="AC53" s="727"/>
      <c r="AD53" s="727"/>
      <c r="AE53" s="727"/>
      <c r="AF53" s="727"/>
      <c r="AG53" s="727"/>
      <c r="AH53" s="727"/>
      <c r="AI53" s="727"/>
      <c r="AJ53" s="727"/>
      <c r="AK53" s="727"/>
      <c r="AL53" s="853"/>
    </row>
    <row r="54" spans="1:38" ht="14.4">
      <c r="A54" s="727"/>
      <c r="B54" s="727" t="s">
        <v>1308</v>
      </c>
      <c r="C54" s="727" t="s">
        <v>1333</v>
      </c>
      <c r="D54" s="727"/>
      <c r="E54" s="727"/>
      <c r="F54" s="727"/>
      <c r="G54" s="727"/>
      <c r="H54" s="727"/>
      <c r="I54" s="727"/>
      <c r="J54" s="727"/>
      <c r="K54" s="727"/>
      <c r="L54" s="727"/>
      <c r="M54" s="727"/>
      <c r="N54" s="727"/>
      <c r="O54" s="727"/>
      <c r="P54" s="727"/>
      <c r="Q54" s="727"/>
      <c r="R54" s="727"/>
      <c r="S54" s="727"/>
      <c r="T54" s="727"/>
      <c r="U54" s="727"/>
      <c r="V54" s="727"/>
      <c r="W54" s="727"/>
      <c r="X54" s="727"/>
      <c r="Y54" s="727"/>
      <c r="Z54" s="727"/>
      <c r="AA54" s="727"/>
      <c r="AB54" s="727"/>
      <c r="AC54" s="727"/>
      <c r="AD54" s="727"/>
      <c r="AE54" s="727"/>
      <c r="AF54" s="727"/>
      <c r="AG54" s="727"/>
      <c r="AH54" s="727"/>
      <c r="AI54" s="727"/>
      <c r="AJ54" s="727"/>
      <c r="AK54" s="727"/>
      <c r="AL54" s="853"/>
    </row>
    <row r="55" spans="1:38" ht="14.4">
      <c r="A55" s="727"/>
      <c r="B55" s="727" t="s">
        <v>1309</v>
      </c>
      <c r="C55" s="727" t="s">
        <v>1334</v>
      </c>
      <c r="D55" s="727"/>
      <c r="E55" s="727"/>
      <c r="F55" s="727"/>
      <c r="G55" s="727"/>
      <c r="H55" s="727"/>
      <c r="I55" s="727"/>
      <c r="J55" s="727"/>
      <c r="K55" s="727"/>
      <c r="L55" s="727"/>
      <c r="M55" s="727"/>
      <c r="N55" s="727"/>
      <c r="O55" s="727"/>
      <c r="P55" s="727"/>
      <c r="Q55" s="727"/>
      <c r="R55" s="727"/>
      <c r="S55" s="727"/>
      <c r="T55" s="727"/>
      <c r="U55" s="727"/>
      <c r="V55" s="727"/>
      <c r="W55" s="727"/>
      <c r="X55" s="727"/>
      <c r="Y55" s="727"/>
      <c r="Z55" s="727"/>
      <c r="AA55" s="727"/>
      <c r="AB55" s="727"/>
      <c r="AC55" s="727"/>
      <c r="AD55" s="727"/>
      <c r="AE55" s="727"/>
      <c r="AF55" s="727"/>
      <c r="AG55" s="727"/>
      <c r="AH55" s="727"/>
      <c r="AI55" s="727"/>
      <c r="AJ55" s="727"/>
      <c r="AK55" s="727"/>
      <c r="AL55" s="853"/>
    </row>
    <row r="56" spans="1:38" ht="14.4">
      <c r="A56" s="727"/>
      <c r="B56" s="727" t="s">
        <v>1310</v>
      </c>
      <c r="C56" s="727" t="s">
        <v>1335</v>
      </c>
      <c r="D56" s="727"/>
      <c r="E56" s="727"/>
      <c r="F56" s="727"/>
      <c r="G56" s="727"/>
      <c r="H56" s="727"/>
      <c r="I56" s="727"/>
      <c r="J56" s="727"/>
      <c r="K56" s="727"/>
      <c r="L56" s="727"/>
      <c r="M56" s="727"/>
      <c r="N56" s="727"/>
      <c r="O56" s="727"/>
      <c r="P56" s="727"/>
      <c r="Q56" s="727"/>
      <c r="R56" s="727"/>
      <c r="S56" s="727"/>
      <c r="T56" s="727"/>
      <c r="U56" s="727"/>
      <c r="V56" s="727"/>
      <c r="W56" s="727"/>
      <c r="X56" s="727"/>
      <c r="Y56" s="727"/>
      <c r="Z56" s="727"/>
      <c r="AA56" s="727"/>
      <c r="AB56" s="727"/>
      <c r="AC56" s="727"/>
      <c r="AD56" s="727"/>
      <c r="AE56" s="727"/>
      <c r="AF56" s="727"/>
      <c r="AG56" s="727"/>
      <c r="AH56" s="727"/>
      <c r="AI56" s="727"/>
      <c r="AJ56" s="727"/>
      <c r="AK56" s="727"/>
      <c r="AL56" s="853"/>
    </row>
    <row r="57" spans="1:38" ht="14.4">
      <c r="A57" s="727"/>
      <c r="B57" s="727" t="s">
        <v>1311</v>
      </c>
      <c r="C57" s="727" t="s">
        <v>1336</v>
      </c>
      <c r="D57" s="727"/>
      <c r="E57" s="727"/>
      <c r="F57" s="727"/>
      <c r="G57" s="727"/>
      <c r="H57" s="727"/>
      <c r="I57" s="727"/>
      <c r="J57" s="727"/>
      <c r="K57" s="727"/>
      <c r="L57" s="727"/>
      <c r="M57" s="727"/>
      <c r="N57" s="727"/>
      <c r="O57" s="727"/>
      <c r="P57" s="727"/>
      <c r="Q57" s="727"/>
      <c r="R57" s="727"/>
      <c r="S57" s="727"/>
      <c r="T57" s="727"/>
      <c r="U57" s="727"/>
      <c r="V57" s="727"/>
      <c r="W57" s="727"/>
      <c r="X57" s="727"/>
      <c r="Y57" s="727"/>
      <c r="Z57" s="727"/>
      <c r="AA57" s="727"/>
      <c r="AB57" s="727"/>
      <c r="AC57" s="727"/>
      <c r="AD57" s="727"/>
      <c r="AE57" s="727"/>
      <c r="AF57" s="727"/>
      <c r="AG57" s="727"/>
      <c r="AH57" s="727"/>
      <c r="AI57" s="727"/>
      <c r="AJ57" s="727"/>
      <c r="AK57" s="727"/>
      <c r="AL57" s="853"/>
    </row>
    <row r="58" spans="1:38">
      <c r="A58" s="727"/>
      <c r="B58" s="727" t="s">
        <v>1312</v>
      </c>
      <c r="C58" s="727" t="s">
        <v>1337</v>
      </c>
      <c r="D58" s="727"/>
      <c r="E58" s="727"/>
      <c r="F58" s="727"/>
      <c r="G58" s="727"/>
      <c r="H58" s="727"/>
      <c r="I58" s="727"/>
      <c r="J58" s="727"/>
      <c r="K58" s="727"/>
      <c r="L58" s="727"/>
      <c r="M58" s="727"/>
      <c r="N58" s="727"/>
      <c r="O58" s="727"/>
      <c r="P58" s="727"/>
      <c r="Q58" s="727"/>
      <c r="R58" s="727"/>
      <c r="S58" s="727"/>
      <c r="T58" s="727"/>
      <c r="U58" s="727"/>
      <c r="V58" s="727"/>
      <c r="W58" s="727"/>
      <c r="X58" s="727"/>
      <c r="Y58" s="727"/>
      <c r="Z58" s="727"/>
      <c r="AA58" s="727"/>
      <c r="AB58" s="727"/>
      <c r="AC58" s="727"/>
      <c r="AD58" s="727"/>
      <c r="AE58" s="727"/>
      <c r="AF58" s="727"/>
      <c r="AG58" s="727"/>
      <c r="AH58" s="727"/>
      <c r="AI58" s="727"/>
      <c r="AJ58" s="727"/>
      <c r="AK58" s="727"/>
      <c r="AL58" s="853"/>
    </row>
    <row r="59" spans="1:38" ht="14.4">
      <c r="A59" s="727"/>
      <c r="B59" s="727" t="s">
        <v>1313</v>
      </c>
      <c r="C59" s="727" t="s">
        <v>1338</v>
      </c>
      <c r="D59" s="727"/>
      <c r="E59" s="727"/>
      <c r="F59" s="727"/>
      <c r="G59" s="727"/>
      <c r="H59" s="727"/>
      <c r="I59" s="727"/>
      <c r="J59" s="727"/>
      <c r="K59" s="727"/>
      <c r="L59" s="727"/>
      <c r="M59" s="727"/>
      <c r="N59" s="727"/>
      <c r="O59" s="727"/>
      <c r="P59" s="727"/>
      <c r="Q59" s="727"/>
      <c r="R59" s="727"/>
      <c r="S59" s="727"/>
      <c r="T59" s="727"/>
      <c r="U59" s="727"/>
      <c r="V59" s="727"/>
      <c r="W59" s="727"/>
      <c r="X59" s="727"/>
      <c r="Y59" s="727"/>
      <c r="Z59" s="727"/>
      <c r="AA59" s="727"/>
      <c r="AB59" s="727"/>
      <c r="AC59" s="727"/>
      <c r="AD59" s="727"/>
      <c r="AE59" s="727"/>
      <c r="AF59" s="727"/>
      <c r="AG59" s="727"/>
      <c r="AH59" s="727"/>
      <c r="AI59" s="727"/>
      <c r="AJ59" s="727"/>
      <c r="AK59" s="727"/>
      <c r="AL59" s="853"/>
    </row>
    <row r="60" spans="1:38" ht="14.4">
      <c r="A60" s="727"/>
      <c r="B60" s="727" t="s">
        <v>1314</v>
      </c>
      <c r="C60" s="727" t="s">
        <v>1339</v>
      </c>
      <c r="D60" s="727"/>
      <c r="E60" s="727"/>
      <c r="F60" s="727"/>
      <c r="G60" s="727"/>
      <c r="H60" s="727"/>
      <c r="I60" s="727"/>
      <c r="J60" s="727"/>
      <c r="K60" s="727"/>
      <c r="L60" s="727"/>
      <c r="M60" s="727"/>
      <c r="N60" s="727"/>
      <c r="O60" s="727"/>
      <c r="P60" s="727"/>
      <c r="Q60" s="727"/>
      <c r="R60" s="727"/>
      <c r="S60" s="727"/>
      <c r="T60" s="727"/>
      <c r="U60" s="727"/>
      <c r="V60" s="727"/>
      <c r="W60" s="727"/>
      <c r="X60" s="727"/>
      <c r="Y60" s="727"/>
      <c r="Z60" s="727"/>
      <c r="AA60" s="727"/>
      <c r="AB60" s="727"/>
      <c r="AC60" s="727"/>
      <c r="AD60" s="727"/>
      <c r="AE60" s="727"/>
      <c r="AF60" s="727"/>
      <c r="AG60" s="727"/>
      <c r="AH60" s="727"/>
      <c r="AI60" s="727"/>
      <c r="AJ60" s="727"/>
      <c r="AK60" s="727"/>
      <c r="AL60" s="853"/>
    </row>
    <row r="61" spans="1:38" ht="14.4">
      <c r="A61" s="727"/>
      <c r="B61" s="727" t="s">
        <v>1315</v>
      </c>
      <c r="C61" s="727"/>
      <c r="D61" s="727"/>
      <c r="E61" s="727"/>
      <c r="F61" s="727"/>
      <c r="G61" s="727"/>
      <c r="H61" s="727"/>
      <c r="I61" s="727"/>
      <c r="J61" s="727"/>
      <c r="K61" s="727"/>
      <c r="L61" s="727"/>
      <c r="M61" s="727"/>
      <c r="N61" s="727"/>
      <c r="O61" s="727"/>
      <c r="P61" s="727"/>
      <c r="Q61" s="727"/>
      <c r="R61" s="727"/>
      <c r="S61" s="727"/>
      <c r="T61" s="727"/>
      <c r="U61" s="727"/>
      <c r="V61" s="727"/>
      <c r="W61" s="727"/>
      <c r="X61" s="727"/>
      <c r="Y61" s="727"/>
      <c r="Z61" s="727"/>
      <c r="AA61" s="727"/>
      <c r="AB61" s="727"/>
      <c r="AC61" s="727"/>
      <c r="AD61" s="727"/>
      <c r="AE61" s="727"/>
      <c r="AF61" s="727"/>
      <c r="AG61" s="727"/>
      <c r="AH61" s="727"/>
      <c r="AI61" s="727"/>
      <c r="AJ61" s="727"/>
      <c r="AK61" s="727"/>
      <c r="AL61" s="853"/>
    </row>
    <row r="62" spans="1:38" ht="14.4">
      <c r="A62" s="727"/>
      <c r="B62" s="727" t="s">
        <v>1316</v>
      </c>
      <c r="C62" s="727"/>
      <c r="D62" s="727"/>
      <c r="E62" s="727"/>
      <c r="F62" s="727"/>
      <c r="G62" s="727"/>
      <c r="H62" s="727"/>
      <c r="I62" s="727"/>
      <c r="J62" s="727"/>
      <c r="K62" s="727"/>
      <c r="L62" s="727"/>
      <c r="M62" s="727"/>
      <c r="N62" s="727"/>
      <c r="O62" s="727"/>
      <c r="P62" s="727"/>
      <c r="Q62" s="727"/>
      <c r="R62" s="727"/>
      <c r="S62" s="727"/>
      <c r="T62" s="727"/>
      <c r="U62" s="727"/>
      <c r="V62" s="727"/>
      <c r="W62" s="727"/>
      <c r="X62" s="727"/>
      <c r="Y62" s="727"/>
      <c r="Z62" s="727"/>
      <c r="AA62" s="727"/>
      <c r="AB62" s="727"/>
      <c r="AC62" s="727"/>
      <c r="AD62" s="727"/>
      <c r="AE62" s="727"/>
      <c r="AF62" s="727"/>
      <c r="AG62" s="727"/>
      <c r="AH62" s="727"/>
      <c r="AI62" s="727"/>
      <c r="AJ62" s="727"/>
      <c r="AK62" s="727"/>
      <c r="AL62" s="853"/>
    </row>
    <row r="63" spans="1:38">
      <c r="A63" s="727"/>
      <c r="B63" s="727" t="s">
        <v>1317</v>
      </c>
      <c r="C63" s="727"/>
      <c r="D63" s="727"/>
      <c r="E63" s="727"/>
      <c r="F63" s="727"/>
      <c r="G63" s="727"/>
      <c r="H63" s="727"/>
      <c r="I63" s="727"/>
      <c r="J63" s="727"/>
      <c r="K63" s="727"/>
      <c r="L63" s="727"/>
      <c r="M63" s="727"/>
      <c r="N63" s="727"/>
      <c r="O63" s="727"/>
      <c r="P63" s="727"/>
      <c r="Q63" s="727"/>
      <c r="R63" s="727"/>
      <c r="S63" s="727"/>
      <c r="T63" s="727"/>
      <c r="U63" s="727"/>
      <c r="V63" s="727"/>
      <c r="W63" s="727"/>
      <c r="X63" s="727"/>
      <c r="Y63" s="727"/>
      <c r="Z63" s="727"/>
      <c r="AA63" s="727"/>
      <c r="AB63" s="727"/>
      <c r="AC63" s="727"/>
      <c r="AD63" s="727"/>
      <c r="AE63" s="727"/>
      <c r="AF63" s="727"/>
      <c r="AG63" s="727"/>
      <c r="AH63" s="727"/>
      <c r="AI63" s="727"/>
      <c r="AJ63" s="727"/>
      <c r="AK63" s="727"/>
      <c r="AL63" s="853"/>
    </row>
    <row r="64" spans="1:38" ht="14.4">
      <c r="A64" s="727"/>
      <c r="B64" s="727" t="s">
        <v>1318</v>
      </c>
      <c r="C64" s="727"/>
      <c r="D64" s="727"/>
      <c r="E64" s="727"/>
      <c r="F64" s="727"/>
      <c r="G64" s="727"/>
      <c r="H64" s="727"/>
      <c r="I64" s="727"/>
      <c r="J64" s="727"/>
      <c r="K64" s="727"/>
      <c r="L64" s="727"/>
      <c r="M64" s="727"/>
      <c r="N64" s="727"/>
      <c r="O64" s="727"/>
      <c r="P64" s="727"/>
      <c r="Q64" s="727"/>
      <c r="R64" s="727"/>
      <c r="S64" s="727"/>
      <c r="T64" s="727"/>
      <c r="U64" s="727"/>
      <c r="V64" s="727"/>
      <c r="W64" s="727"/>
      <c r="X64" s="727"/>
      <c r="Y64" s="727"/>
      <c r="Z64" s="727"/>
      <c r="AA64" s="727"/>
      <c r="AB64" s="727"/>
      <c r="AC64" s="727"/>
      <c r="AD64" s="727"/>
      <c r="AE64" s="727"/>
      <c r="AF64" s="727"/>
      <c r="AG64" s="727"/>
      <c r="AH64" s="727"/>
      <c r="AI64" s="727"/>
      <c r="AJ64" s="727"/>
      <c r="AK64" s="727"/>
      <c r="AL64" s="853"/>
    </row>
    <row r="65" spans="1:38" ht="14.4">
      <c r="A65" s="727"/>
      <c r="B65" s="727" t="s">
        <v>1319</v>
      </c>
      <c r="C65" s="727"/>
      <c r="D65" s="727"/>
      <c r="E65" s="727"/>
      <c r="F65" s="727"/>
      <c r="G65" s="727"/>
      <c r="H65" s="727"/>
      <c r="I65" s="727"/>
      <c r="J65" s="727"/>
      <c r="K65" s="727"/>
      <c r="L65" s="727"/>
      <c r="M65" s="727"/>
      <c r="N65" s="727"/>
      <c r="O65" s="727"/>
      <c r="P65" s="727"/>
      <c r="Q65" s="727"/>
      <c r="R65" s="727"/>
      <c r="S65" s="727"/>
      <c r="T65" s="727"/>
      <c r="U65" s="727"/>
      <c r="V65" s="727"/>
      <c r="W65" s="727"/>
      <c r="X65" s="727"/>
      <c r="Y65" s="727"/>
      <c r="Z65" s="727"/>
      <c r="AA65" s="727"/>
      <c r="AB65" s="727"/>
      <c r="AC65" s="727"/>
      <c r="AD65" s="727"/>
      <c r="AE65" s="727"/>
      <c r="AF65" s="727"/>
      <c r="AG65" s="727"/>
      <c r="AH65" s="727"/>
      <c r="AI65" s="727"/>
      <c r="AJ65" s="727"/>
      <c r="AK65" s="727"/>
      <c r="AL65" s="853"/>
    </row>
    <row r="66" spans="1:38" ht="14.4">
      <c r="A66" s="727"/>
      <c r="B66" s="727" t="s">
        <v>1320</v>
      </c>
      <c r="C66" s="727"/>
      <c r="D66" s="727"/>
      <c r="E66" s="727"/>
      <c r="F66" s="727"/>
      <c r="G66" s="727"/>
      <c r="H66" s="727"/>
      <c r="I66" s="727"/>
      <c r="J66" s="727"/>
      <c r="K66" s="727"/>
      <c r="L66" s="727"/>
      <c r="M66" s="727"/>
      <c r="N66" s="727"/>
      <c r="O66" s="727"/>
      <c r="P66" s="727"/>
      <c r="Q66" s="727"/>
      <c r="R66" s="727"/>
      <c r="S66" s="727"/>
      <c r="T66" s="727"/>
      <c r="U66" s="727"/>
      <c r="V66" s="727"/>
      <c r="W66" s="727"/>
      <c r="X66" s="727"/>
      <c r="Y66" s="727"/>
      <c r="Z66" s="727"/>
      <c r="AA66" s="727"/>
      <c r="AB66" s="727"/>
      <c r="AC66" s="727"/>
      <c r="AD66" s="727"/>
      <c r="AE66" s="727"/>
      <c r="AF66" s="727"/>
      <c r="AG66" s="727"/>
      <c r="AH66" s="727"/>
      <c r="AI66" s="727"/>
      <c r="AJ66" s="727"/>
      <c r="AK66" s="727"/>
      <c r="AL66" s="853"/>
    </row>
    <row r="67" spans="1:38" ht="14.4">
      <c r="A67" s="727"/>
      <c r="B67" s="727" t="s">
        <v>1321</v>
      </c>
      <c r="C67" s="727"/>
      <c r="D67" s="727"/>
      <c r="E67" s="727"/>
      <c r="F67" s="727"/>
      <c r="G67" s="727"/>
      <c r="H67" s="727"/>
      <c r="I67" s="727"/>
      <c r="J67" s="727"/>
      <c r="K67" s="727"/>
      <c r="L67" s="727"/>
      <c r="M67" s="727"/>
      <c r="N67" s="727"/>
      <c r="O67" s="727"/>
      <c r="P67" s="727"/>
      <c r="Q67" s="727"/>
      <c r="R67" s="727"/>
      <c r="S67" s="727"/>
      <c r="T67" s="727"/>
      <c r="U67" s="727"/>
      <c r="V67" s="727"/>
      <c r="W67" s="727"/>
      <c r="X67" s="727"/>
      <c r="Y67" s="727"/>
      <c r="Z67" s="727"/>
      <c r="AA67" s="727"/>
      <c r="AB67" s="727"/>
      <c r="AC67" s="727"/>
      <c r="AD67" s="727"/>
      <c r="AE67" s="727"/>
      <c r="AF67" s="727"/>
      <c r="AG67" s="727"/>
      <c r="AH67" s="727"/>
      <c r="AI67" s="727"/>
      <c r="AJ67" s="727"/>
      <c r="AK67" s="727"/>
      <c r="AL67" s="853"/>
    </row>
    <row r="68" spans="1:38">
      <c r="A68" s="727"/>
      <c r="B68" s="727" t="s">
        <v>1322</v>
      </c>
      <c r="C68" s="727"/>
      <c r="D68" s="727"/>
      <c r="E68" s="727"/>
      <c r="F68" s="727"/>
      <c r="G68" s="727"/>
      <c r="H68" s="727"/>
      <c r="I68" s="727"/>
      <c r="J68" s="727"/>
      <c r="K68" s="727"/>
      <c r="L68" s="727"/>
      <c r="M68" s="727"/>
      <c r="N68" s="727"/>
      <c r="O68" s="727"/>
      <c r="P68" s="727"/>
      <c r="Q68" s="727"/>
      <c r="R68" s="727"/>
      <c r="S68" s="727"/>
      <c r="T68" s="727"/>
      <c r="U68" s="727"/>
      <c r="V68" s="727"/>
      <c r="W68" s="727"/>
      <c r="X68" s="727"/>
      <c r="Y68" s="727"/>
      <c r="Z68" s="727"/>
      <c r="AA68" s="727"/>
      <c r="AB68" s="727"/>
      <c r="AC68" s="727"/>
      <c r="AD68" s="727"/>
      <c r="AE68" s="727"/>
      <c r="AF68" s="727"/>
      <c r="AG68" s="727"/>
      <c r="AH68" s="727"/>
      <c r="AI68" s="727"/>
      <c r="AJ68" s="727"/>
      <c r="AK68" s="727"/>
      <c r="AL68" s="853"/>
    </row>
    <row r="69" spans="1:38" ht="14.4">
      <c r="A69" s="727"/>
      <c r="B69" s="727" t="s">
        <v>1323</v>
      </c>
      <c r="C69" s="727"/>
      <c r="D69" s="727"/>
      <c r="E69" s="727"/>
      <c r="F69" s="727"/>
      <c r="G69" s="727"/>
      <c r="H69" s="727"/>
      <c r="I69" s="727"/>
      <c r="J69" s="727"/>
      <c r="K69" s="727"/>
      <c r="L69" s="727"/>
      <c r="M69" s="727"/>
      <c r="N69" s="727"/>
      <c r="O69" s="727"/>
      <c r="P69" s="727"/>
      <c r="Q69" s="727"/>
      <c r="R69" s="727"/>
      <c r="S69" s="727"/>
      <c r="T69" s="727"/>
      <c r="U69" s="727"/>
      <c r="V69" s="727"/>
      <c r="W69" s="727"/>
      <c r="X69" s="727"/>
      <c r="Y69" s="727"/>
      <c r="Z69" s="727"/>
      <c r="AA69" s="727"/>
      <c r="AB69" s="727"/>
      <c r="AC69" s="727"/>
      <c r="AD69" s="727"/>
      <c r="AE69" s="727"/>
      <c r="AF69" s="727"/>
      <c r="AG69" s="727"/>
      <c r="AH69" s="727"/>
      <c r="AI69" s="727"/>
      <c r="AJ69" s="727"/>
      <c r="AK69" s="727"/>
      <c r="AL69" s="853"/>
    </row>
    <row r="70" spans="1:38" ht="14.4">
      <c r="A70" s="727"/>
      <c r="B70" s="727" t="s">
        <v>1324</v>
      </c>
      <c r="C70" s="727"/>
      <c r="D70" s="727"/>
      <c r="E70" s="727"/>
      <c r="F70" s="727"/>
      <c r="G70" s="727"/>
      <c r="H70" s="727"/>
      <c r="I70" s="727"/>
      <c r="J70" s="727"/>
      <c r="K70" s="727"/>
      <c r="L70" s="727"/>
      <c r="M70" s="727"/>
      <c r="N70" s="727"/>
      <c r="O70" s="727"/>
      <c r="P70" s="727"/>
      <c r="Q70" s="727"/>
      <c r="R70" s="727"/>
      <c r="S70" s="727"/>
      <c r="T70" s="727"/>
      <c r="U70" s="727"/>
      <c r="V70" s="727"/>
      <c r="W70" s="727"/>
      <c r="X70" s="727"/>
      <c r="Y70" s="727"/>
      <c r="Z70" s="727"/>
      <c r="AA70" s="727"/>
      <c r="AB70" s="727"/>
      <c r="AC70" s="727"/>
      <c r="AD70" s="727"/>
      <c r="AE70" s="727"/>
      <c r="AF70" s="727"/>
      <c r="AG70" s="727"/>
      <c r="AH70" s="727"/>
      <c r="AI70" s="727"/>
      <c r="AJ70" s="727"/>
      <c r="AK70" s="727"/>
      <c r="AL70" s="853"/>
    </row>
    <row r="71" spans="1:38" ht="14.4">
      <c r="A71" s="727"/>
      <c r="B71" s="727" t="s">
        <v>1325</v>
      </c>
      <c r="C71" s="727"/>
      <c r="D71" s="727"/>
      <c r="E71" s="727"/>
      <c r="F71" s="727"/>
      <c r="G71" s="727"/>
      <c r="H71" s="727"/>
      <c r="I71" s="727"/>
      <c r="J71" s="727"/>
      <c r="K71" s="727"/>
      <c r="L71" s="727"/>
      <c r="M71" s="727"/>
      <c r="N71" s="727"/>
      <c r="O71" s="727"/>
      <c r="P71" s="727"/>
      <c r="Q71" s="727"/>
      <c r="R71" s="727"/>
      <c r="S71" s="727"/>
      <c r="T71" s="727"/>
      <c r="U71" s="727"/>
      <c r="V71" s="727"/>
      <c r="W71" s="727"/>
      <c r="X71" s="727"/>
      <c r="Y71" s="727"/>
      <c r="Z71" s="727"/>
      <c r="AA71" s="727"/>
      <c r="AB71" s="727"/>
      <c r="AC71" s="727"/>
      <c r="AD71" s="727"/>
      <c r="AE71" s="727"/>
      <c r="AF71" s="727"/>
      <c r="AG71" s="727"/>
      <c r="AH71" s="727"/>
      <c r="AI71" s="727"/>
      <c r="AJ71" s="727"/>
      <c r="AK71" s="727"/>
      <c r="AL71" s="853"/>
    </row>
    <row r="72" spans="1:38" ht="14.4">
      <c r="A72" s="727"/>
      <c r="B72" s="727" t="s">
        <v>1326</v>
      </c>
      <c r="C72" s="727"/>
      <c r="D72" s="727"/>
      <c r="E72" s="727"/>
      <c r="F72" s="727"/>
      <c r="G72" s="727"/>
      <c r="H72" s="727"/>
      <c r="I72" s="727"/>
      <c r="J72" s="727"/>
      <c r="K72" s="727"/>
      <c r="L72" s="727"/>
      <c r="M72" s="727"/>
      <c r="N72" s="727"/>
      <c r="O72" s="727"/>
      <c r="P72" s="727"/>
      <c r="Q72" s="727"/>
      <c r="R72" s="727"/>
      <c r="S72" s="727"/>
      <c r="T72" s="727"/>
      <c r="U72" s="727"/>
      <c r="V72" s="727"/>
      <c r="W72" s="727"/>
      <c r="X72" s="727"/>
      <c r="Y72" s="727"/>
      <c r="Z72" s="727"/>
      <c r="AA72" s="727"/>
      <c r="AB72" s="727"/>
      <c r="AC72" s="727"/>
      <c r="AD72" s="727"/>
      <c r="AE72" s="727"/>
      <c r="AF72" s="727"/>
      <c r="AG72" s="727"/>
      <c r="AH72" s="727"/>
      <c r="AI72" s="727"/>
      <c r="AJ72" s="727"/>
      <c r="AK72" s="727"/>
      <c r="AL72" s="853"/>
    </row>
    <row r="73" spans="1:38" ht="14.4">
      <c r="A73" s="727"/>
      <c r="B73" s="727" t="s">
        <v>1327</v>
      </c>
      <c r="C73" s="727"/>
      <c r="D73" s="727"/>
      <c r="E73" s="727"/>
      <c r="F73" s="727"/>
      <c r="G73" s="727"/>
      <c r="H73" s="727"/>
      <c r="I73" s="727"/>
      <c r="J73" s="727"/>
      <c r="K73" s="727"/>
      <c r="L73" s="727"/>
      <c r="M73" s="727"/>
      <c r="N73" s="727"/>
      <c r="O73" s="727"/>
      <c r="P73" s="727"/>
      <c r="Q73" s="727"/>
      <c r="R73" s="727"/>
      <c r="S73" s="727"/>
      <c r="T73" s="727"/>
      <c r="U73" s="727"/>
      <c r="V73" s="727"/>
      <c r="W73" s="727"/>
      <c r="X73" s="727"/>
      <c r="Y73" s="727"/>
      <c r="Z73" s="727"/>
      <c r="AA73" s="727"/>
      <c r="AB73" s="727"/>
      <c r="AC73" s="727"/>
      <c r="AD73" s="727"/>
      <c r="AE73" s="727"/>
      <c r="AF73" s="727"/>
      <c r="AG73" s="727"/>
      <c r="AH73" s="727"/>
      <c r="AI73" s="727"/>
      <c r="AJ73" s="727"/>
      <c r="AK73" s="727"/>
      <c r="AL73" s="853"/>
    </row>
    <row r="74" spans="1:38" ht="14.4">
      <c r="A74" s="727"/>
      <c r="B74" s="727" t="s">
        <v>1328</v>
      </c>
      <c r="C74" s="727"/>
      <c r="D74" s="727"/>
      <c r="E74" s="727"/>
      <c r="F74" s="727"/>
      <c r="G74" s="727"/>
      <c r="H74" s="727"/>
      <c r="I74" s="727"/>
      <c r="J74" s="727"/>
      <c r="K74" s="727"/>
      <c r="L74" s="727"/>
      <c r="M74" s="727"/>
      <c r="N74" s="727"/>
      <c r="O74" s="727"/>
      <c r="P74" s="727"/>
      <c r="Q74" s="727"/>
      <c r="R74" s="727"/>
      <c r="S74" s="727"/>
      <c r="T74" s="727"/>
      <c r="U74" s="727"/>
      <c r="V74" s="727"/>
      <c r="W74" s="727"/>
      <c r="X74" s="727"/>
      <c r="Y74" s="727"/>
      <c r="Z74" s="727"/>
      <c r="AA74" s="727"/>
      <c r="AB74" s="727"/>
      <c r="AC74" s="727"/>
      <c r="AD74" s="727"/>
      <c r="AE74" s="727"/>
      <c r="AF74" s="727"/>
      <c r="AG74" s="727"/>
      <c r="AH74" s="727"/>
      <c r="AI74" s="727"/>
      <c r="AJ74" s="727"/>
      <c r="AK74" s="727"/>
      <c r="AL74" s="853"/>
    </row>
    <row r="75" spans="1:38" ht="14.4">
      <c r="A75" s="727"/>
      <c r="B75" s="727" t="s">
        <v>1329</v>
      </c>
      <c r="C75" s="727"/>
      <c r="D75" s="727"/>
      <c r="E75" s="727"/>
      <c r="F75" s="727"/>
      <c r="G75" s="727"/>
      <c r="H75" s="727"/>
      <c r="I75" s="727"/>
      <c r="J75" s="727"/>
      <c r="K75" s="727"/>
      <c r="L75" s="727"/>
      <c r="M75" s="727"/>
      <c r="N75" s="727"/>
      <c r="O75" s="727"/>
      <c r="P75" s="727"/>
      <c r="Q75" s="727"/>
      <c r="R75" s="727"/>
      <c r="S75" s="727"/>
      <c r="T75" s="727"/>
      <c r="U75" s="727"/>
      <c r="V75" s="727"/>
      <c r="W75" s="727"/>
      <c r="X75" s="727"/>
      <c r="Y75" s="727"/>
      <c r="Z75" s="727"/>
      <c r="AA75" s="727"/>
      <c r="AB75" s="727"/>
      <c r="AC75" s="727"/>
      <c r="AD75" s="727"/>
      <c r="AE75" s="727"/>
      <c r="AF75" s="727"/>
      <c r="AG75" s="727"/>
      <c r="AH75" s="727"/>
      <c r="AI75" s="727"/>
      <c r="AJ75" s="727"/>
      <c r="AK75" s="727"/>
      <c r="AL75" s="853"/>
    </row>
    <row r="76" spans="1:38" ht="14.4">
      <c r="A76" s="727"/>
      <c r="B76" s="727" t="s">
        <v>1330</v>
      </c>
      <c r="C76" s="727"/>
      <c r="D76" s="727"/>
      <c r="E76" s="727"/>
      <c r="F76" s="727"/>
      <c r="G76" s="727"/>
      <c r="H76" s="727"/>
      <c r="I76" s="727"/>
      <c r="J76" s="727"/>
      <c r="K76" s="727"/>
      <c r="L76" s="727"/>
      <c r="M76" s="727"/>
      <c r="N76" s="727"/>
      <c r="O76" s="727"/>
      <c r="P76" s="727"/>
      <c r="Q76" s="727"/>
      <c r="R76" s="727"/>
      <c r="S76" s="727"/>
      <c r="T76" s="727"/>
      <c r="U76" s="727"/>
      <c r="V76" s="727"/>
      <c r="W76" s="727"/>
      <c r="X76" s="727"/>
      <c r="Y76" s="727"/>
      <c r="Z76" s="727"/>
      <c r="AA76" s="727"/>
      <c r="AB76" s="727"/>
      <c r="AC76" s="727"/>
      <c r="AD76" s="727"/>
      <c r="AE76" s="727"/>
      <c r="AF76" s="727"/>
      <c r="AG76" s="727"/>
      <c r="AH76" s="727"/>
      <c r="AI76" s="727"/>
      <c r="AJ76" s="727"/>
      <c r="AK76" s="727"/>
      <c r="AL76" s="853"/>
    </row>
    <row r="77" spans="1:38" ht="14.4">
      <c r="A77" s="727"/>
      <c r="B77" s="727" t="s">
        <v>1331</v>
      </c>
      <c r="C77" s="727"/>
      <c r="D77" s="727"/>
      <c r="E77" s="727"/>
      <c r="F77" s="727"/>
      <c r="G77" s="727"/>
      <c r="H77" s="727"/>
      <c r="I77" s="727"/>
      <c r="J77" s="727"/>
      <c r="K77" s="727"/>
      <c r="L77" s="727"/>
      <c r="M77" s="727"/>
      <c r="N77" s="727"/>
      <c r="O77" s="727"/>
      <c r="P77" s="727"/>
      <c r="Q77" s="727"/>
      <c r="R77" s="727"/>
      <c r="S77" s="727"/>
      <c r="T77" s="727"/>
      <c r="U77" s="727"/>
      <c r="V77" s="727"/>
      <c r="W77" s="727"/>
      <c r="X77" s="727"/>
      <c r="Y77" s="727"/>
      <c r="Z77" s="727"/>
      <c r="AA77" s="727"/>
      <c r="AB77" s="727"/>
      <c r="AC77" s="727"/>
      <c r="AD77" s="727"/>
      <c r="AE77" s="727"/>
      <c r="AF77" s="727"/>
      <c r="AG77" s="727"/>
      <c r="AH77" s="727"/>
      <c r="AI77" s="727"/>
      <c r="AJ77" s="727"/>
      <c r="AK77" s="727"/>
      <c r="AL77" s="853"/>
    </row>
    <row r="78" spans="1:38" ht="14.4">
      <c r="A78" s="727"/>
      <c r="B78" s="727" t="s">
        <v>1332</v>
      </c>
      <c r="C78" s="727"/>
      <c r="D78" s="727"/>
      <c r="E78" s="727"/>
      <c r="F78" s="727"/>
      <c r="G78" s="727"/>
      <c r="H78" s="727"/>
      <c r="I78" s="727"/>
      <c r="J78" s="727"/>
      <c r="K78" s="727"/>
      <c r="L78" s="727"/>
      <c r="M78" s="727"/>
      <c r="N78" s="727"/>
      <c r="O78" s="727"/>
      <c r="P78" s="727"/>
      <c r="Q78" s="727"/>
      <c r="R78" s="727"/>
      <c r="S78" s="727"/>
      <c r="T78" s="727"/>
      <c r="U78" s="727"/>
      <c r="V78" s="727"/>
      <c r="W78" s="727"/>
      <c r="X78" s="727"/>
      <c r="Y78" s="727"/>
      <c r="Z78" s="727"/>
      <c r="AA78" s="727"/>
      <c r="AB78" s="727"/>
      <c r="AC78" s="727"/>
      <c r="AD78" s="727"/>
      <c r="AE78" s="727"/>
      <c r="AF78" s="727"/>
      <c r="AG78" s="727"/>
      <c r="AH78" s="727"/>
      <c r="AI78" s="727"/>
      <c r="AJ78" s="727"/>
      <c r="AK78" s="727"/>
      <c r="AL78" s="853"/>
    </row>
    <row r="79" spans="1:38">
      <c r="A79" s="727"/>
      <c r="B79" s="727"/>
      <c r="C79" s="727"/>
      <c r="D79" s="727"/>
      <c r="E79" s="727"/>
      <c r="F79" s="727"/>
      <c r="G79" s="727"/>
      <c r="H79" s="727"/>
      <c r="I79" s="727"/>
      <c r="J79" s="727"/>
      <c r="K79" s="727"/>
      <c r="L79" s="727"/>
      <c r="M79" s="727"/>
      <c r="N79" s="727"/>
      <c r="O79" s="727"/>
      <c r="P79" s="727"/>
      <c r="Q79" s="727"/>
      <c r="R79" s="727"/>
      <c r="S79" s="727"/>
      <c r="T79" s="727"/>
      <c r="U79" s="727"/>
      <c r="V79" s="727"/>
      <c r="W79" s="727"/>
      <c r="X79" s="727"/>
      <c r="Y79" s="727"/>
      <c r="Z79" s="727"/>
      <c r="AA79" s="727"/>
      <c r="AB79" s="727"/>
      <c r="AC79" s="727"/>
      <c r="AD79" s="727"/>
      <c r="AE79" s="727"/>
      <c r="AF79" s="727"/>
      <c r="AG79" s="727"/>
      <c r="AH79" s="727"/>
      <c r="AI79" s="727"/>
      <c r="AJ79" s="727"/>
      <c r="AK79" s="727"/>
      <c r="AL79" s="853"/>
    </row>
    <row r="80" spans="1:38">
      <c r="A80" s="727"/>
      <c r="B80" s="727"/>
      <c r="C80" s="727"/>
      <c r="D80" s="727"/>
      <c r="E80" s="727"/>
      <c r="F80" s="727"/>
      <c r="G80" s="727"/>
      <c r="H80" s="727"/>
      <c r="I80" s="727"/>
      <c r="J80" s="727"/>
      <c r="K80" s="727"/>
      <c r="L80" s="727"/>
      <c r="M80" s="727"/>
      <c r="N80" s="727"/>
      <c r="O80" s="727"/>
      <c r="P80" s="727"/>
      <c r="Q80" s="727"/>
      <c r="R80" s="727"/>
      <c r="S80" s="727"/>
      <c r="T80" s="727"/>
      <c r="U80" s="727"/>
      <c r="V80" s="727"/>
      <c r="W80" s="727"/>
      <c r="X80" s="727"/>
      <c r="Y80" s="727"/>
      <c r="Z80" s="727"/>
      <c r="AA80" s="727"/>
      <c r="AB80" s="727"/>
      <c r="AC80" s="727"/>
      <c r="AD80" s="727"/>
      <c r="AE80" s="727"/>
      <c r="AF80" s="727"/>
      <c r="AG80" s="727"/>
      <c r="AH80" s="727"/>
      <c r="AI80" s="727"/>
      <c r="AJ80" s="727"/>
      <c r="AK80" s="727"/>
      <c r="AL80" s="853"/>
    </row>
    <row r="81" spans="1:38">
      <c r="A81" s="727"/>
      <c r="B81" s="727"/>
      <c r="C81" s="727"/>
      <c r="D81" s="727"/>
      <c r="E81" s="727"/>
      <c r="F81" s="727"/>
      <c r="G81" s="727"/>
      <c r="H81" s="727"/>
      <c r="I81" s="727"/>
      <c r="J81" s="727"/>
      <c r="K81" s="727"/>
      <c r="L81" s="727"/>
      <c r="M81" s="727"/>
      <c r="N81" s="727"/>
      <c r="O81" s="727"/>
      <c r="P81" s="727"/>
      <c r="Q81" s="727"/>
      <c r="R81" s="727"/>
      <c r="S81" s="727"/>
      <c r="T81" s="727"/>
      <c r="U81" s="727"/>
      <c r="V81" s="727"/>
      <c r="W81" s="727"/>
      <c r="X81" s="727"/>
      <c r="Y81" s="727"/>
      <c r="Z81" s="727"/>
      <c r="AA81" s="727"/>
      <c r="AB81" s="727"/>
      <c r="AC81" s="727"/>
      <c r="AD81" s="727"/>
      <c r="AE81" s="727"/>
      <c r="AF81" s="727"/>
      <c r="AG81" s="727"/>
      <c r="AH81" s="727"/>
      <c r="AI81" s="727"/>
      <c r="AJ81" s="727"/>
      <c r="AK81" s="727"/>
      <c r="AL81" s="853"/>
    </row>
    <row r="82" spans="1:38">
      <c r="A82" s="727"/>
      <c r="B82" s="727"/>
      <c r="C82" s="727"/>
      <c r="D82" s="727"/>
      <c r="E82" s="727"/>
      <c r="F82" s="727"/>
      <c r="G82" s="727"/>
      <c r="H82" s="727"/>
      <c r="I82" s="727"/>
      <c r="J82" s="727"/>
      <c r="K82" s="727"/>
      <c r="L82" s="727"/>
      <c r="M82" s="727"/>
      <c r="N82" s="727"/>
      <c r="O82" s="727"/>
      <c r="P82" s="727"/>
      <c r="Q82" s="727"/>
      <c r="R82" s="727"/>
      <c r="S82" s="727"/>
      <c r="T82" s="727"/>
      <c r="U82" s="727"/>
      <c r="V82" s="727"/>
      <c r="W82" s="727"/>
      <c r="X82" s="727"/>
      <c r="Y82" s="727"/>
      <c r="Z82" s="727"/>
      <c r="AA82" s="727"/>
      <c r="AB82" s="727"/>
      <c r="AC82" s="727"/>
      <c r="AD82" s="727"/>
      <c r="AE82" s="727"/>
      <c r="AF82" s="727"/>
      <c r="AG82" s="727"/>
      <c r="AH82" s="727"/>
      <c r="AI82" s="727"/>
      <c r="AJ82" s="727"/>
      <c r="AK82" s="727"/>
      <c r="AL82" s="853"/>
    </row>
    <row r="83" spans="1:38">
      <c r="A83" s="727"/>
      <c r="B83" s="727"/>
      <c r="C83" s="727"/>
      <c r="D83" s="727"/>
      <c r="E83" s="727"/>
      <c r="F83" s="727"/>
      <c r="G83" s="727"/>
      <c r="H83" s="727"/>
      <c r="I83" s="727"/>
      <c r="J83" s="727"/>
      <c r="K83" s="727"/>
      <c r="L83" s="727"/>
      <c r="M83" s="727"/>
      <c r="N83" s="727"/>
      <c r="O83" s="727"/>
      <c r="P83" s="727"/>
      <c r="Q83" s="727"/>
      <c r="R83" s="727"/>
      <c r="S83" s="727"/>
      <c r="T83" s="727"/>
      <c r="U83" s="727"/>
      <c r="V83" s="727"/>
      <c r="W83" s="727"/>
      <c r="X83" s="727"/>
      <c r="Y83" s="727"/>
      <c r="Z83" s="727"/>
      <c r="AA83" s="727"/>
      <c r="AB83" s="727"/>
      <c r="AC83" s="727"/>
      <c r="AD83" s="727"/>
      <c r="AE83" s="727"/>
      <c r="AF83" s="727"/>
      <c r="AG83" s="727"/>
      <c r="AH83" s="727"/>
      <c r="AI83" s="727"/>
      <c r="AJ83" s="727"/>
      <c r="AK83" s="727"/>
      <c r="AL83" s="853"/>
    </row>
    <row r="84" spans="1:38">
      <c r="A84" s="727"/>
      <c r="B84" s="727"/>
      <c r="C84" s="727"/>
      <c r="D84" s="727"/>
      <c r="E84" s="727"/>
      <c r="F84" s="727"/>
      <c r="G84" s="727"/>
      <c r="H84" s="727"/>
      <c r="I84" s="727"/>
      <c r="J84" s="727"/>
      <c r="K84" s="727"/>
      <c r="L84" s="727"/>
      <c r="M84" s="727"/>
      <c r="N84" s="727"/>
      <c r="O84" s="727"/>
      <c r="P84" s="727"/>
      <c r="Q84" s="727"/>
      <c r="R84" s="727"/>
      <c r="S84" s="727"/>
      <c r="T84" s="727"/>
      <c r="U84" s="727"/>
      <c r="V84" s="727"/>
      <c r="W84" s="727"/>
      <c r="X84" s="727"/>
      <c r="Y84" s="727"/>
      <c r="Z84" s="727"/>
      <c r="AA84" s="727"/>
      <c r="AB84" s="727"/>
      <c r="AC84" s="727"/>
      <c r="AD84" s="727"/>
      <c r="AE84" s="727"/>
      <c r="AF84" s="727"/>
      <c r="AG84" s="727"/>
      <c r="AH84" s="727"/>
      <c r="AI84" s="727"/>
      <c r="AJ84" s="727"/>
      <c r="AK84" s="727"/>
      <c r="AL84" s="853"/>
    </row>
    <row r="85" spans="1:38">
      <c r="A85" s="727"/>
      <c r="B85" s="727"/>
      <c r="C85" s="727"/>
      <c r="D85" s="727"/>
      <c r="E85" s="727"/>
      <c r="F85" s="727"/>
      <c r="G85" s="727"/>
      <c r="H85" s="727"/>
      <c r="I85" s="727"/>
      <c r="J85" s="727"/>
      <c r="K85" s="727"/>
      <c r="L85" s="727"/>
      <c r="M85" s="727"/>
      <c r="N85" s="727"/>
      <c r="O85" s="727"/>
      <c r="P85" s="727"/>
      <c r="Q85" s="727"/>
      <c r="R85" s="727"/>
      <c r="S85" s="727"/>
      <c r="T85" s="727"/>
      <c r="U85" s="727"/>
      <c r="V85" s="727"/>
      <c r="W85" s="727"/>
      <c r="X85" s="727"/>
      <c r="Y85" s="727"/>
      <c r="Z85" s="727"/>
      <c r="AA85" s="727"/>
      <c r="AB85" s="727"/>
      <c r="AC85" s="727"/>
      <c r="AD85" s="727"/>
      <c r="AE85" s="727"/>
      <c r="AF85" s="727"/>
      <c r="AG85" s="727"/>
      <c r="AH85" s="727"/>
      <c r="AI85" s="727"/>
      <c r="AJ85" s="727"/>
      <c r="AK85" s="727"/>
      <c r="AL85" s="853"/>
    </row>
    <row r="86" spans="1:38">
      <c r="A86" s="727"/>
      <c r="B86" s="727"/>
      <c r="C86" s="727"/>
      <c r="D86" s="727"/>
      <c r="E86" s="727"/>
      <c r="F86" s="727"/>
      <c r="G86" s="727"/>
      <c r="H86" s="727"/>
      <c r="I86" s="727"/>
      <c r="J86" s="727"/>
      <c r="K86" s="727"/>
      <c r="L86" s="727"/>
      <c r="M86" s="727"/>
      <c r="N86" s="727"/>
      <c r="O86" s="727"/>
      <c r="P86" s="727"/>
      <c r="Q86" s="727"/>
      <c r="R86" s="727"/>
      <c r="S86" s="727"/>
      <c r="T86" s="727"/>
      <c r="U86" s="727"/>
      <c r="V86" s="727"/>
      <c r="W86" s="727"/>
      <c r="X86" s="727"/>
      <c r="Y86" s="727"/>
      <c r="Z86" s="727"/>
      <c r="AA86" s="727"/>
      <c r="AB86" s="727"/>
      <c r="AC86" s="727"/>
      <c r="AD86" s="727"/>
      <c r="AE86" s="727"/>
      <c r="AF86" s="727"/>
      <c r="AG86" s="727"/>
      <c r="AH86" s="727"/>
      <c r="AI86" s="727"/>
      <c r="AJ86" s="727"/>
      <c r="AK86" s="727"/>
      <c r="AL86" s="853"/>
    </row>
    <row r="87" spans="1:38">
      <c r="A87" s="727"/>
      <c r="B87" s="727"/>
      <c r="C87" s="727"/>
      <c r="D87" s="727"/>
      <c r="E87" s="727"/>
      <c r="F87" s="727"/>
      <c r="G87" s="727"/>
      <c r="H87" s="727"/>
      <c r="I87" s="727"/>
      <c r="J87" s="727"/>
      <c r="K87" s="727"/>
      <c r="L87" s="727"/>
      <c r="M87" s="727"/>
      <c r="N87" s="727"/>
      <c r="O87" s="727"/>
      <c r="P87" s="727"/>
      <c r="Q87" s="727"/>
      <c r="R87" s="727"/>
      <c r="S87" s="727"/>
      <c r="T87" s="727"/>
      <c r="U87" s="727"/>
      <c r="V87" s="727"/>
      <c r="W87" s="727"/>
      <c r="X87" s="727"/>
      <c r="Y87" s="727"/>
      <c r="Z87" s="727"/>
      <c r="AA87" s="727"/>
      <c r="AB87" s="727"/>
      <c r="AC87" s="727"/>
      <c r="AD87" s="727"/>
      <c r="AE87" s="727"/>
      <c r="AF87" s="727"/>
      <c r="AG87" s="727"/>
      <c r="AH87" s="727"/>
      <c r="AI87" s="727"/>
      <c r="AJ87" s="727"/>
      <c r="AK87" s="727"/>
      <c r="AL87" s="853"/>
    </row>
    <row r="88" spans="1:38">
      <c r="A88" s="727"/>
      <c r="B88" s="727"/>
      <c r="C88" s="727"/>
      <c r="D88" s="727"/>
      <c r="E88" s="727"/>
      <c r="F88" s="727"/>
      <c r="G88" s="727"/>
      <c r="H88" s="727"/>
      <c r="I88" s="727"/>
      <c r="J88" s="727"/>
      <c r="K88" s="727"/>
      <c r="L88" s="727"/>
      <c r="M88" s="727"/>
      <c r="N88" s="727"/>
      <c r="O88" s="727"/>
      <c r="P88" s="727"/>
      <c r="Q88" s="727"/>
      <c r="R88" s="727"/>
      <c r="S88" s="727"/>
      <c r="T88" s="727"/>
      <c r="U88" s="727"/>
      <c r="V88" s="727"/>
      <c r="W88" s="727"/>
      <c r="X88" s="727"/>
      <c r="Y88" s="727"/>
      <c r="Z88" s="727"/>
      <c r="AA88" s="727"/>
      <c r="AB88" s="727"/>
      <c r="AC88" s="727"/>
      <c r="AD88" s="727"/>
      <c r="AE88" s="727"/>
      <c r="AF88" s="727"/>
      <c r="AG88" s="727"/>
      <c r="AH88" s="727"/>
      <c r="AI88" s="727"/>
      <c r="AJ88" s="727"/>
      <c r="AK88" s="727"/>
      <c r="AL88" s="853"/>
    </row>
    <row r="89" spans="1:38">
      <c r="A89" s="727"/>
      <c r="B89" s="727"/>
      <c r="C89" s="727"/>
      <c r="D89" s="727"/>
      <c r="E89" s="727"/>
      <c r="F89" s="727"/>
      <c r="G89" s="727"/>
      <c r="H89" s="727"/>
      <c r="I89" s="727"/>
      <c r="J89" s="727"/>
      <c r="K89" s="727"/>
      <c r="L89" s="727"/>
      <c r="M89" s="727"/>
      <c r="N89" s="727"/>
      <c r="O89" s="727"/>
      <c r="P89" s="727"/>
      <c r="Q89" s="727"/>
      <c r="R89" s="727"/>
      <c r="S89" s="727"/>
      <c r="T89" s="727"/>
      <c r="U89" s="727"/>
      <c r="V89" s="727"/>
      <c r="W89" s="727"/>
      <c r="X89" s="727"/>
      <c r="Y89" s="727"/>
      <c r="Z89" s="727"/>
      <c r="AA89" s="727"/>
      <c r="AB89" s="727"/>
      <c r="AC89" s="727"/>
      <c r="AD89" s="727"/>
      <c r="AE89" s="727"/>
      <c r="AF89" s="727"/>
      <c r="AG89" s="727"/>
      <c r="AH89" s="727"/>
      <c r="AI89" s="727"/>
      <c r="AJ89" s="727"/>
      <c r="AK89" s="727"/>
      <c r="AL89" s="853"/>
    </row>
    <row r="90" spans="1:38">
      <c r="A90" s="727"/>
      <c r="B90" s="727"/>
      <c r="C90" s="727"/>
      <c r="D90" s="727"/>
      <c r="E90" s="727"/>
      <c r="F90" s="727"/>
      <c r="G90" s="727"/>
      <c r="H90" s="727"/>
      <c r="I90" s="727"/>
      <c r="J90" s="727"/>
      <c r="K90" s="727"/>
      <c r="L90" s="727"/>
      <c r="M90" s="727"/>
      <c r="N90" s="727"/>
      <c r="O90" s="727"/>
      <c r="P90" s="727"/>
      <c r="Q90" s="727"/>
      <c r="R90" s="727"/>
      <c r="S90" s="727"/>
      <c r="T90" s="727"/>
      <c r="U90" s="727"/>
      <c r="V90" s="727"/>
      <c r="W90" s="727"/>
      <c r="X90" s="727"/>
      <c r="Y90" s="727"/>
      <c r="Z90" s="727"/>
      <c r="AA90" s="727"/>
      <c r="AB90" s="727"/>
      <c r="AC90" s="727"/>
      <c r="AD90" s="727"/>
      <c r="AE90" s="727"/>
      <c r="AF90" s="727"/>
      <c r="AG90" s="727"/>
      <c r="AH90" s="727"/>
      <c r="AI90" s="727"/>
      <c r="AJ90" s="727"/>
      <c r="AK90" s="727"/>
      <c r="AL90" s="853"/>
    </row>
    <row r="91" spans="1:38">
      <c r="A91" s="727"/>
      <c r="B91" s="727"/>
      <c r="C91" s="727"/>
      <c r="D91" s="727"/>
      <c r="E91" s="727"/>
      <c r="F91" s="727"/>
      <c r="G91" s="727"/>
      <c r="H91" s="727"/>
      <c r="I91" s="727"/>
      <c r="J91" s="727"/>
      <c r="K91" s="727"/>
      <c r="L91" s="727"/>
      <c r="M91" s="727"/>
      <c r="N91" s="727"/>
      <c r="O91" s="727"/>
      <c r="P91" s="727"/>
      <c r="Q91" s="727"/>
      <c r="R91" s="727"/>
      <c r="S91" s="727"/>
      <c r="T91" s="727"/>
      <c r="U91" s="727"/>
      <c r="V91" s="727"/>
      <c r="W91" s="727"/>
      <c r="X91" s="727"/>
      <c r="Y91" s="727"/>
      <c r="Z91" s="727"/>
      <c r="AA91" s="727"/>
      <c r="AB91" s="727"/>
      <c r="AC91" s="727"/>
      <c r="AD91" s="727"/>
      <c r="AE91" s="727"/>
      <c r="AF91" s="727"/>
      <c r="AG91" s="727"/>
      <c r="AH91" s="727"/>
      <c r="AI91" s="727"/>
      <c r="AJ91" s="727"/>
      <c r="AK91" s="727"/>
      <c r="AL91" s="853"/>
    </row>
    <row r="92" spans="1:38">
      <c r="A92" s="727"/>
      <c r="B92" s="727"/>
      <c r="C92" s="727"/>
      <c r="D92" s="727"/>
      <c r="E92" s="727"/>
      <c r="F92" s="727"/>
      <c r="G92" s="727"/>
      <c r="H92" s="727"/>
      <c r="I92" s="727"/>
      <c r="J92" s="727"/>
      <c r="K92" s="727"/>
      <c r="L92" s="727"/>
      <c r="M92" s="727"/>
      <c r="N92" s="727"/>
      <c r="O92" s="727"/>
      <c r="P92" s="727"/>
      <c r="Q92" s="727"/>
      <c r="R92" s="727"/>
      <c r="S92" s="727"/>
      <c r="T92" s="727"/>
      <c r="U92" s="727"/>
      <c r="V92" s="727"/>
      <c r="W92" s="727"/>
      <c r="X92" s="727"/>
      <c r="Y92" s="727"/>
      <c r="Z92" s="727"/>
      <c r="AA92" s="727"/>
      <c r="AB92" s="727"/>
      <c r="AC92" s="727"/>
      <c r="AD92" s="727"/>
      <c r="AE92" s="727"/>
      <c r="AF92" s="727"/>
      <c r="AG92" s="727"/>
      <c r="AH92" s="727"/>
      <c r="AI92" s="727"/>
      <c r="AJ92" s="727"/>
      <c r="AK92" s="727"/>
      <c r="AL92" s="853"/>
    </row>
    <row r="93" spans="1:38">
      <c r="A93" s="727"/>
      <c r="B93" s="727"/>
      <c r="C93" s="727"/>
      <c r="D93" s="727"/>
      <c r="E93" s="727"/>
      <c r="F93" s="727"/>
      <c r="G93" s="727"/>
      <c r="H93" s="727"/>
      <c r="I93" s="727"/>
      <c r="J93" s="727"/>
      <c r="K93" s="727"/>
      <c r="L93" s="727"/>
      <c r="M93" s="727"/>
      <c r="N93" s="727"/>
      <c r="O93" s="727"/>
      <c r="P93" s="727"/>
      <c r="Q93" s="727"/>
      <c r="R93" s="727"/>
      <c r="S93" s="727"/>
      <c r="T93" s="727"/>
      <c r="U93" s="727"/>
      <c r="V93" s="727"/>
      <c r="W93" s="727"/>
      <c r="X93" s="727"/>
      <c r="Y93" s="727"/>
      <c r="Z93" s="727"/>
      <c r="AA93" s="727"/>
      <c r="AB93" s="727"/>
      <c r="AC93" s="727"/>
      <c r="AD93" s="727"/>
      <c r="AE93" s="727"/>
      <c r="AF93" s="727"/>
      <c r="AG93" s="727"/>
      <c r="AH93" s="727"/>
      <c r="AI93" s="727"/>
      <c r="AJ93" s="727"/>
      <c r="AK93" s="727"/>
      <c r="AL93" s="853"/>
    </row>
    <row r="94" spans="1:38">
      <c r="A94" s="727"/>
      <c r="B94" s="727"/>
      <c r="C94" s="727"/>
      <c r="D94" s="727"/>
      <c r="E94" s="727"/>
      <c r="F94" s="727"/>
      <c r="G94" s="727"/>
      <c r="H94" s="727"/>
      <c r="I94" s="727"/>
      <c r="J94" s="727"/>
      <c r="K94" s="727"/>
      <c r="L94" s="727"/>
      <c r="M94" s="727"/>
      <c r="N94" s="727"/>
      <c r="O94" s="727"/>
      <c r="P94" s="727"/>
      <c r="Q94" s="727"/>
      <c r="R94" s="727"/>
      <c r="S94" s="727"/>
      <c r="T94" s="727"/>
      <c r="U94" s="727"/>
      <c r="V94" s="727"/>
      <c r="W94" s="727"/>
      <c r="X94" s="727"/>
      <c r="Y94" s="727"/>
      <c r="Z94" s="727"/>
      <c r="AA94" s="727"/>
      <c r="AB94" s="727"/>
      <c r="AC94" s="727"/>
      <c r="AD94" s="727"/>
      <c r="AE94" s="727"/>
      <c r="AF94" s="727"/>
      <c r="AG94" s="727"/>
      <c r="AH94" s="727"/>
      <c r="AI94" s="727"/>
      <c r="AJ94" s="727"/>
      <c r="AK94" s="727"/>
      <c r="AL94" s="853"/>
    </row>
    <row r="95" spans="1:38">
      <c r="A95" s="727"/>
      <c r="B95" s="727"/>
      <c r="C95" s="727"/>
      <c r="D95" s="727"/>
      <c r="E95" s="727"/>
      <c r="F95" s="727"/>
      <c r="G95" s="727"/>
      <c r="H95" s="727"/>
      <c r="I95" s="727"/>
      <c r="J95" s="727"/>
      <c r="K95" s="727"/>
      <c r="L95" s="727"/>
      <c r="M95" s="727"/>
      <c r="N95" s="727"/>
      <c r="O95" s="727"/>
      <c r="P95" s="727"/>
      <c r="Q95" s="727"/>
      <c r="R95" s="727"/>
      <c r="S95" s="727"/>
      <c r="T95" s="727"/>
      <c r="U95" s="727"/>
      <c r="V95" s="727"/>
      <c r="W95" s="727"/>
      <c r="X95" s="727"/>
      <c r="Y95" s="727"/>
      <c r="Z95" s="727"/>
      <c r="AA95" s="727"/>
      <c r="AB95" s="727"/>
      <c r="AC95" s="727"/>
      <c r="AD95" s="727"/>
      <c r="AE95" s="727"/>
      <c r="AF95" s="727"/>
      <c r="AG95" s="727"/>
      <c r="AH95" s="727"/>
      <c r="AI95" s="727"/>
      <c r="AJ95" s="727"/>
      <c r="AK95" s="727"/>
      <c r="AL95" s="853"/>
    </row>
    <row r="96" spans="1:38">
      <c r="A96" s="727"/>
      <c r="B96" s="727"/>
      <c r="C96" s="727"/>
      <c r="D96" s="727"/>
      <c r="E96" s="727"/>
      <c r="F96" s="727"/>
      <c r="G96" s="727"/>
      <c r="H96" s="727"/>
      <c r="I96" s="727"/>
      <c r="J96" s="727"/>
      <c r="K96" s="727"/>
      <c r="L96" s="727"/>
      <c r="M96" s="727"/>
      <c r="N96" s="727"/>
      <c r="O96" s="727"/>
      <c r="P96" s="727"/>
      <c r="Q96" s="727"/>
      <c r="R96" s="727"/>
      <c r="S96" s="727"/>
      <c r="T96" s="727"/>
      <c r="U96" s="727"/>
      <c r="V96" s="727"/>
      <c r="W96" s="727"/>
      <c r="X96" s="727"/>
      <c r="Y96" s="727"/>
      <c r="Z96" s="727"/>
      <c r="AA96" s="727"/>
      <c r="AB96" s="727"/>
      <c r="AC96" s="727"/>
      <c r="AD96" s="727"/>
      <c r="AE96" s="727"/>
      <c r="AF96" s="727"/>
      <c r="AG96" s="727"/>
      <c r="AH96" s="727"/>
      <c r="AI96" s="727"/>
      <c r="AJ96" s="727"/>
      <c r="AK96" s="727"/>
      <c r="AL96" s="853"/>
    </row>
    <row r="97" spans="1:38">
      <c r="A97" s="727"/>
      <c r="B97" s="727"/>
      <c r="C97" s="727"/>
      <c r="D97" s="727"/>
      <c r="E97" s="727"/>
      <c r="F97" s="727"/>
      <c r="G97" s="727"/>
      <c r="H97" s="727"/>
      <c r="I97" s="727"/>
      <c r="J97" s="727"/>
      <c r="K97" s="727"/>
      <c r="L97" s="727"/>
      <c r="M97" s="727"/>
      <c r="N97" s="727"/>
      <c r="O97" s="727"/>
      <c r="P97" s="727"/>
      <c r="Q97" s="727"/>
      <c r="R97" s="727"/>
      <c r="S97" s="727"/>
      <c r="T97" s="727"/>
      <c r="U97" s="727"/>
      <c r="V97" s="727"/>
      <c r="W97" s="727"/>
      <c r="X97" s="727"/>
      <c r="Y97" s="727"/>
      <c r="Z97" s="727"/>
      <c r="AA97" s="727"/>
      <c r="AB97" s="727"/>
      <c r="AC97" s="727"/>
      <c r="AD97" s="727"/>
      <c r="AE97" s="727"/>
      <c r="AF97" s="727"/>
      <c r="AG97" s="727"/>
      <c r="AH97" s="727"/>
      <c r="AI97" s="727"/>
      <c r="AJ97" s="727"/>
      <c r="AK97" s="727"/>
      <c r="AL97" s="853"/>
    </row>
    <row r="98" spans="1:38">
      <c r="A98" s="727"/>
      <c r="B98" s="727"/>
      <c r="C98" s="727"/>
      <c r="D98" s="727"/>
      <c r="E98" s="727"/>
      <c r="F98" s="727"/>
      <c r="G98" s="727"/>
      <c r="H98" s="727"/>
      <c r="I98" s="727"/>
      <c r="J98" s="727"/>
      <c r="K98" s="727"/>
      <c r="L98" s="727"/>
      <c r="M98" s="727"/>
      <c r="N98" s="727"/>
      <c r="O98" s="727"/>
      <c r="P98" s="727"/>
      <c r="Q98" s="727"/>
      <c r="R98" s="727"/>
      <c r="S98" s="727"/>
      <c r="T98" s="727"/>
      <c r="U98" s="727"/>
      <c r="V98" s="727"/>
      <c r="W98" s="727"/>
      <c r="X98" s="727"/>
      <c r="Y98" s="727"/>
      <c r="Z98" s="727"/>
      <c r="AA98" s="727"/>
      <c r="AB98" s="727"/>
      <c r="AC98" s="727"/>
      <c r="AD98" s="727"/>
      <c r="AE98" s="727"/>
      <c r="AF98" s="727"/>
      <c r="AG98" s="727"/>
      <c r="AH98" s="727"/>
      <c r="AI98" s="727"/>
      <c r="AJ98" s="727"/>
      <c r="AK98" s="727"/>
      <c r="AL98" s="853"/>
    </row>
    <row r="99" spans="1:38">
      <c r="A99" s="727"/>
      <c r="B99" s="727"/>
      <c r="C99" s="727"/>
      <c r="D99" s="727"/>
      <c r="E99" s="727"/>
      <c r="F99" s="727"/>
      <c r="G99" s="727"/>
      <c r="H99" s="727"/>
      <c r="I99" s="727"/>
      <c r="J99" s="727"/>
      <c r="K99" s="727"/>
      <c r="L99" s="727"/>
      <c r="M99" s="727"/>
      <c r="N99" s="727"/>
      <c r="O99" s="727"/>
      <c r="P99" s="727"/>
      <c r="Q99" s="727"/>
      <c r="R99" s="727"/>
      <c r="S99" s="727"/>
      <c r="T99" s="727"/>
      <c r="U99" s="727"/>
      <c r="V99" s="727"/>
      <c r="W99" s="727"/>
      <c r="X99" s="727"/>
      <c r="Y99" s="727"/>
      <c r="Z99" s="727"/>
      <c r="AA99" s="727"/>
      <c r="AB99" s="727"/>
      <c r="AC99" s="727"/>
      <c r="AD99" s="727"/>
      <c r="AE99" s="727"/>
      <c r="AF99" s="727"/>
      <c r="AG99" s="727"/>
      <c r="AH99" s="727"/>
      <c r="AI99" s="727"/>
      <c r="AJ99" s="727"/>
      <c r="AK99" s="727"/>
      <c r="AL99" s="853"/>
    </row>
    <row r="100" spans="1:38">
      <c r="A100" s="727"/>
      <c r="B100" s="727"/>
      <c r="C100" s="727"/>
      <c r="D100" s="727"/>
      <c r="E100" s="727"/>
      <c r="F100" s="727"/>
      <c r="G100" s="727"/>
      <c r="H100" s="727"/>
      <c r="I100" s="727"/>
      <c r="J100" s="727"/>
      <c r="K100" s="727"/>
      <c r="L100" s="727"/>
      <c r="M100" s="727"/>
      <c r="N100" s="727"/>
      <c r="O100" s="727"/>
      <c r="P100" s="727"/>
      <c r="Q100" s="727"/>
      <c r="R100" s="727"/>
      <c r="S100" s="727"/>
      <c r="T100" s="727"/>
      <c r="U100" s="727"/>
      <c r="V100" s="727"/>
      <c r="W100" s="727"/>
      <c r="X100" s="727"/>
      <c r="Y100" s="727"/>
      <c r="Z100" s="727"/>
      <c r="AA100" s="727"/>
      <c r="AB100" s="727"/>
      <c r="AC100" s="727"/>
      <c r="AD100" s="727"/>
      <c r="AE100" s="727"/>
      <c r="AF100" s="727"/>
      <c r="AG100" s="727"/>
      <c r="AH100" s="727"/>
      <c r="AI100" s="727"/>
      <c r="AJ100" s="727"/>
      <c r="AK100" s="727"/>
      <c r="AL100" s="853"/>
    </row>
    <row r="101" spans="1:38">
      <c r="A101" s="727"/>
      <c r="B101" s="727"/>
      <c r="C101" s="727"/>
      <c r="D101" s="727"/>
      <c r="E101" s="727"/>
      <c r="F101" s="727"/>
      <c r="G101" s="727"/>
      <c r="H101" s="727"/>
      <c r="I101" s="727"/>
      <c r="J101" s="727"/>
      <c r="K101" s="727"/>
      <c r="L101" s="727"/>
      <c r="M101" s="727"/>
      <c r="N101" s="727"/>
      <c r="O101" s="727"/>
      <c r="P101" s="727"/>
      <c r="Q101" s="727"/>
      <c r="R101" s="727"/>
      <c r="S101" s="727"/>
      <c r="T101" s="727"/>
      <c r="U101" s="727"/>
      <c r="V101" s="727"/>
      <c r="W101" s="727"/>
      <c r="X101" s="727"/>
      <c r="Y101" s="727"/>
      <c r="Z101" s="727"/>
      <c r="AA101" s="727"/>
      <c r="AB101" s="727"/>
      <c r="AC101" s="727"/>
      <c r="AD101" s="727"/>
      <c r="AE101" s="727"/>
      <c r="AF101" s="727"/>
      <c r="AG101" s="727"/>
      <c r="AH101" s="727"/>
      <c r="AI101" s="727"/>
      <c r="AJ101" s="727"/>
      <c r="AK101" s="727"/>
      <c r="AL101" s="853"/>
    </row>
    <row r="102" spans="1:38">
      <c r="A102" s="727"/>
      <c r="B102" s="727"/>
      <c r="C102" s="727"/>
      <c r="D102" s="727"/>
      <c r="E102" s="727"/>
      <c r="F102" s="727"/>
      <c r="G102" s="727"/>
      <c r="H102" s="727"/>
      <c r="I102" s="727"/>
      <c r="J102" s="727"/>
      <c r="K102" s="727"/>
      <c r="L102" s="727"/>
      <c r="M102" s="727"/>
      <c r="N102" s="727"/>
      <c r="O102" s="727"/>
      <c r="P102" s="727"/>
      <c r="Q102" s="727"/>
      <c r="R102" s="727"/>
      <c r="S102" s="727"/>
      <c r="T102" s="727"/>
      <c r="U102" s="727"/>
      <c r="V102" s="727"/>
      <c r="W102" s="727"/>
      <c r="X102" s="727"/>
      <c r="Y102" s="727"/>
      <c r="Z102" s="727"/>
      <c r="AA102" s="727"/>
      <c r="AB102" s="727"/>
      <c r="AC102" s="727"/>
      <c r="AD102" s="727"/>
      <c r="AE102" s="727"/>
      <c r="AF102" s="727"/>
      <c r="AG102" s="727"/>
      <c r="AH102" s="727"/>
      <c r="AI102" s="727"/>
      <c r="AJ102" s="727"/>
      <c r="AK102" s="727"/>
      <c r="AL102" s="853"/>
    </row>
    <row r="103" spans="1:38">
      <c r="A103" s="727"/>
      <c r="B103" s="727"/>
      <c r="C103" s="727"/>
      <c r="D103" s="727"/>
      <c r="E103" s="727"/>
      <c r="F103" s="727"/>
      <c r="G103" s="727"/>
      <c r="H103" s="727"/>
      <c r="I103" s="727"/>
      <c r="J103" s="727"/>
      <c r="K103" s="727"/>
      <c r="L103" s="727"/>
      <c r="M103" s="727"/>
      <c r="N103" s="727"/>
      <c r="O103" s="727"/>
      <c r="P103" s="727"/>
      <c r="Q103" s="727"/>
      <c r="R103" s="727"/>
      <c r="S103" s="727"/>
      <c r="T103" s="727"/>
      <c r="U103" s="727"/>
      <c r="V103" s="727"/>
      <c r="W103" s="727"/>
      <c r="X103" s="727"/>
      <c r="Y103" s="727"/>
      <c r="Z103" s="727"/>
      <c r="AA103" s="727"/>
      <c r="AB103" s="727"/>
      <c r="AC103" s="727"/>
      <c r="AD103" s="727"/>
      <c r="AE103" s="727"/>
      <c r="AF103" s="727"/>
      <c r="AG103" s="727"/>
      <c r="AH103" s="727"/>
      <c r="AI103" s="727"/>
      <c r="AJ103" s="727"/>
      <c r="AK103" s="727"/>
      <c r="AL103" s="853"/>
    </row>
    <row r="104" spans="1:38">
      <c r="A104" s="727"/>
      <c r="B104" s="727"/>
      <c r="C104" s="727"/>
      <c r="D104" s="727"/>
      <c r="E104" s="727"/>
      <c r="F104" s="727"/>
      <c r="G104" s="727"/>
      <c r="H104" s="727"/>
      <c r="I104" s="727"/>
      <c r="J104" s="727"/>
      <c r="K104" s="727"/>
      <c r="L104" s="727"/>
      <c r="M104" s="727"/>
      <c r="N104" s="727"/>
      <c r="O104" s="727"/>
      <c r="P104" s="727"/>
      <c r="Q104" s="727"/>
      <c r="R104" s="727"/>
      <c r="S104" s="727"/>
      <c r="T104" s="727"/>
      <c r="U104" s="727"/>
      <c r="V104" s="727"/>
      <c r="W104" s="727"/>
      <c r="X104" s="727"/>
      <c r="Y104" s="727"/>
      <c r="Z104" s="727"/>
      <c r="AA104" s="727"/>
      <c r="AB104" s="727"/>
      <c r="AC104" s="727"/>
      <c r="AD104" s="727"/>
      <c r="AE104" s="727"/>
      <c r="AF104" s="727"/>
      <c r="AG104" s="727"/>
      <c r="AH104" s="727"/>
      <c r="AI104" s="727"/>
      <c r="AJ104" s="727"/>
      <c r="AK104" s="727"/>
      <c r="AL104" s="853"/>
    </row>
    <row r="105" spans="1:38">
      <c r="A105" s="727"/>
      <c r="B105" s="727"/>
      <c r="C105" s="727"/>
      <c r="D105" s="727"/>
      <c r="E105" s="727"/>
      <c r="F105" s="727"/>
      <c r="G105" s="727"/>
      <c r="H105" s="727"/>
      <c r="I105" s="727"/>
      <c r="J105" s="727"/>
      <c r="K105" s="727"/>
      <c r="L105" s="727"/>
      <c r="M105" s="727"/>
      <c r="N105" s="727"/>
      <c r="O105" s="727"/>
      <c r="P105" s="727"/>
      <c r="Q105" s="727"/>
      <c r="R105" s="727"/>
      <c r="S105" s="727"/>
      <c r="T105" s="727"/>
      <c r="U105" s="727"/>
      <c r="V105" s="727"/>
      <c r="W105" s="727"/>
      <c r="X105" s="727"/>
      <c r="Y105" s="727"/>
      <c r="Z105" s="727"/>
      <c r="AA105" s="727"/>
      <c r="AB105" s="727"/>
      <c r="AC105" s="727"/>
      <c r="AD105" s="727"/>
      <c r="AE105" s="727"/>
      <c r="AF105" s="727"/>
      <c r="AG105" s="727"/>
      <c r="AH105" s="727"/>
      <c r="AI105" s="727"/>
      <c r="AJ105" s="727"/>
      <c r="AK105" s="727"/>
      <c r="AL105" s="853"/>
    </row>
    <row r="106" spans="1:38">
      <c r="A106" s="727"/>
      <c r="B106" s="727"/>
      <c r="C106" s="727"/>
      <c r="D106" s="727"/>
      <c r="E106" s="727"/>
      <c r="F106" s="727"/>
      <c r="G106" s="727"/>
      <c r="H106" s="727"/>
      <c r="I106" s="727"/>
      <c r="J106" s="727"/>
      <c r="K106" s="727"/>
      <c r="L106" s="727"/>
      <c r="M106" s="727"/>
      <c r="N106" s="727"/>
      <c r="O106" s="727"/>
      <c r="P106" s="727"/>
      <c r="Q106" s="727"/>
      <c r="R106" s="727"/>
      <c r="S106" s="727"/>
      <c r="T106" s="727"/>
      <c r="U106" s="727"/>
      <c r="V106" s="727"/>
      <c r="W106" s="727"/>
      <c r="X106" s="727"/>
      <c r="Y106" s="727"/>
      <c r="Z106" s="727"/>
      <c r="AA106" s="727"/>
      <c r="AB106" s="727"/>
      <c r="AC106" s="727"/>
      <c r="AD106" s="727"/>
      <c r="AE106" s="727"/>
      <c r="AF106" s="727"/>
      <c r="AG106" s="727"/>
      <c r="AH106" s="727"/>
      <c r="AI106" s="727"/>
      <c r="AJ106" s="727"/>
      <c r="AK106" s="727"/>
      <c r="AL106" s="853"/>
    </row>
    <row r="107" spans="1:38">
      <c r="A107" s="727"/>
      <c r="B107" s="727"/>
      <c r="C107" s="727"/>
      <c r="D107" s="727"/>
      <c r="E107" s="727"/>
      <c r="F107" s="727"/>
      <c r="G107" s="727"/>
      <c r="H107" s="727"/>
      <c r="I107" s="727"/>
      <c r="J107" s="727"/>
      <c r="K107" s="727"/>
      <c r="L107" s="727"/>
      <c r="M107" s="727"/>
      <c r="N107" s="727"/>
      <c r="O107" s="727"/>
      <c r="P107" s="727"/>
      <c r="Q107" s="727"/>
      <c r="R107" s="727"/>
      <c r="S107" s="727"/>
      <c r="T107" s="727"/>
      <c r="U107" s="727"/>
      <c r="V107" s="727"/>
      <c r="W107" s="727"/>
      <c r="X107" s="727"/>
      <c r="Y107" s="727"/>
      <c r="Z107" s="727"/>
      <c r="AA107" s="727"/>
      <c r="AB107" s="727"/>
      <c r="AC107" s="727"/>
      <c r="AD107" s="727"/>
      <c r="AE107" s="727"/>
      <c r="AF107" s="727"/>
      <c r="AG107" s="727"/>
      <c r="AH107" s="727"/>
      <c r="AI107" s="727"/>
      <c r="AJ107" s="727"/>
      <c r="AK107" s="727"/>
      <c r="AL107" s="853"/>
    </row>
    <row r="108" spans="1:38">
      <c r="A108" s="727"/>
      <c r="B108" s="727"/>
      <c r="C108" s="727"/>
      <c r="D108" s="727"/>
      <c r="E108" s="727"/>
      <c r="F108" s="727"/>
      <c r="G108" s="727"/>
      <c r="H108" s="727"/>
      <c r="I108" s="727"/>
      <c r="J108" s="727"/>
      <c r="K108" s="727"/>
      <c r="L108" s="727"/>
      <c r="M108" s="727"/>
      <c r="N108" s="727"/>
      <c r="O108" s="727"/>
      <c r="P108" s="727"/>
      <c r="Q108" s="727"/>
      <c r="R108" s="727"/>
      <c r="S108" s="727"/>
      <c r="T108" s="727"/>
      <c r="U108" s="727"/>
      <c r="V108" s="727"/>
      <c r="W108" s="727"/>
      <c r="X108" s="727"/>
      <c r="Y108" s="727"/>
      <c r="Z108" s="727"/>
      <c r="AA108" s="727"/>
      <c r="AB108" s="727"/>
      <c r="AC108" s="727"/>
      <c r="AD108" s="727"/>
      <c r="AE108" s="727"/>
      <c r="AF108" s="727"/>
      <c r="AG108" s="727"/>
      <c r="AH108" s="727"/>
      <c r="AI108" s="727"/>
      <c r="AJ108" s="727"/>
      <c r="AK108" s="727"/>
      <c r="AL108" s="853"/>
    </row>
    <row r="109" spans="1:38">
      <c r="A109" s="727"/>
      <c r="B109" s="727"/>
      <c r="C109" s="727"/>
      <c r="D109" s="727"/>
      <c r="E109" s="727"/>
      <c r="F109" s="727"/>
      <c r="G109" s="727"/>
      <c r="H109" s="727"/>
      <c r="I109" s="727"/>
      <c r="J109" s="727"/>
      <c r="K109" s="727"/>
      <c r="L109" s="727"/>
      <c r="M109" s="727"/>
      <c r="N109" s="727"/>
      <c r="O109" s="727"/>
      <c r="P109" s="727"/>
      <c r="Q109" s="727"/>
      <c r="R109" s="727"/>
      <c r="S109" s="727"/>
      <c r="T109" s="727"/>
      <c r="U109" s="727"/>
      <c r="V109" s="727"/>
      <c r="W109" s="727"/>
      <c r="X109" s="727"/>
      <c r="Y109" s="727"/>
      <c r="Z109" s="727"/>
      <c r="AA109" s="727"/>
      <c r="AB109" s="727"/>
      <c r="AC109" s="727"/>
      <c r="AD109" s="727"/>
      <c r="AE109" s="727"/>
      <c r="AF109" s="727"/>
      <c r="AG109" s="727"/>
      <c r="AH109" s="727"/>
      <c r="AI109" s="727"/>
      <c r="AJ109" s="727"/>
      <c r="AK109" s="727"/>
      <c r="AL109" s="853"/>
    </row>
    <row r="110" spans="1:38">
      <c r="A110" s="727"/>
      <c r="B110" s="727"/>
      <c r="C110" s="727"/>
      <c r="D110" s="727"/>
      <c r="E110" s="727"/>
      <c r="F110" s="727"/>
      <c r="G110" s="727"/>
      <c r="H110" s="727"/>
      <c r="I110" s="727"/>
      <c r="J110" s="727"/>
      <c r="K110" s="727"/>
      <c r="L110" s="727"/>
      <c r="M110" s="727"/>
      <c r="N110" s="727"/>
      <c r="O110" s="727"/>
      <c r="P110" s="727"/>
      <c r="Q110" s="727"/>
      <c r="R110" s="727"/>
      <c r="S110" s="727"/>
      <c r="T110" s="727"/>
      <c r="U110" s="727"/>
      <c r="V110" s="727"/>
      <c r="W110" s="727"/>
      <c r="X110" s="727"/>
      <c r="Y110" s="727"/>
      <c r="Z110" s="727"/>
      <c r="AA110" s="727"/>
      <c r="AB110" s="727"/>
      <c r="AC110" s="727"/>
      <c r="AD110" s="727"/>
      <c r="AE110" s="727"/>
      <c r="AF110" s="727"/>
      <c r="AG110" s="727"/>
      <c r="AH110" s="727"/>
      <c r="AI110" s="727"/>
      <c r="AJ110" s="727"/>
      <c r="AK110" s="727"/>
      <c r="AL110" s="853"/>
    </row>
    <row r="111" spans="1:38">
      <c r="A111" s="727"/>
      <c r="B111" s="727"/>
      <c r="C111" s="727"/>
      <c r="D111" s="727"/>
      <c r="E111" s="727"/>
      <c r="F111" s="727"/>
      <c r="G111" s="727"/>
      <c r="H111" s="727"/>
      <c r="I111" s="727"/>
      <c r="J111" s="727"/>
      <c r="K111" s="727"/>
      <c r="L111" s="727"/>
      <c r="M111" s="727"/>
      <c r="N111" s="727"/>
      <c r="O111" s="727"/>
      <c r="P111" s="727"/>
      <c r="Q111" s="727"/>
      <c r="R111" s="727"/>
      <c r="S111" s="727"/>
      <c r="T111" s="727"/>
      <c r="U111" s="727"/>
      <c r="V111" s="727"/>
      <c r="W111" s="727"/>
      <c r="X111" s="727"/>
      <c r="Y111" s="727"/>
      <c r="Z111" s="727"/>
      <c r="AA111" s="727"/>
      <c r="AB111" s="727"/>
      <c r="AC111" s="727"/>
      <c r="AD111" s="727"/>
      <c r="AE111" s="727"/>
      <c r="AF111" s="727"/>
      <c r="AG111" s="727"/>
      <c r="AH111" s="727"/>
      <c r="AI111" s="727"/>
      <c r="AJ111" s="727"/>
      <c r="AK111" s="727"/>
      <c r="AL111" s="853"/>
    </row>
    <row r="112" spans="1:38">
      <c r="A112" s="727"/>
      <c r="B112" s="727"/>
      <c r="C112" s="727"/>
      <c r="D112" s="727"/>
      <c r="E112" s="727"/>
      <c r="F112" s="727"/>
      <c r="G112" s="727"/>
      <c r="H112" s="727"/>
      <c r="I112" s="727"/>
      <c r="J112" s="727"/>
      <c r="K112" s="727"/>
      <c r="L112" s="727"/>
      <c r="M112" s="727"/>
      <c r="N112" s="727"/>
      <c r="O112" s="727"/>
      <c r="P112" s="727"/>
      <c r="Q112" s="727"/>
      <c r="R112" s="727"/>
      <c r="S112" s="727"/>
      <c r="T112" s="727"/>
      <c r="U112" s="727"/>
      <c r="V112" s="727"/>
      <c r="W112" s="727"/>
      <c r="X112" s="727"/>
      <c r="Y112" s="727"/>
      <c r="Z112" s="727"/>
      <c r="AA112" s="727"/>
      <c r="AB112" s="727"/>
      <c r="AC112" s="727"/>
      <c r="AD112" s="727"/>
      <c r="AE112" s="727"/>
      <c r="AF112" s="727"/>
      <c r="AG112" s="727"/>
      <c r="AH112" s="727"/>
      <c r="AI112" s="727"/>
      <c r="AJ112" s="727"/>
      <c r="AK112" s="727"/>
      <c r="AL112" s="853"/>
    </row>
    <row r="113" spans="1:38">
      <c r="A113" s="727"/>
      <c r="B113" s="727"/>
      <c r="C113" s="727"/>
      <c r="D113" s="727"/>
      <c r="E113" s="727"/>
      <c r="F113" s="727"/>
      <c r="G113" s="727"/>
      <c r="H113" s="727"/>
      <c r="I113" s="727"/>
      <c r="J113" s="727"/>
      <c r="K113" s="727"/>
      <c r="L113" s="727"/>
      <c r="M113" s="727"/>
      <c r="N113" s="727"/>
      <c r="O113" s="727"/>
      <c r="P113" s="727"/>
      <c r="Q113" s="727"/>
      <c r="R113" s="727"/>
      <c r="S113" s="727"/>
      <c r="T113" s="727"/>
      <c r="U113" s="727"/>
      <c r="V113" s="727"/>
      <c r="W113" s="727"/>
      <c r="X113" s="727"/>
      <c r="Y113" s="727"/>
      <c r="Z113" s="727"/>
      <c r="AA113" s="727"/>
      <c r="AB113" s="727"/>
      <c r="AC113" s="727"/>
      <c r="AD113" s="727"/>
      <c r="AE113" s="727"/>
      <c r="AF113" s="727"/>
      <c r="AG113" s="727"/>
      <c r="AH113" s="727"/>
      <c r="AI113" s="727"/>
      <c r="AJ113" s="727"/>
      <c r="AK113" s="727"/>
      <c r="AL113" s="853"/>
    </row>
    <row r="114" spans="1:38">
      <c r="A114" s="727"/>
      <c r="B114" s="727"/>
      <c r="C114" s="727"/>
      <c r="D114" s="727"/>
      <c r="E114" s="727"/>
      <c r="F114" s="727"/>
      <c r="G114" s="727"/>
      <c r="H114" s="727"/>
      <c r="I114" s="727"/>
      <c r="J114" s="727"/>
      <c r="K114" s="727"/>
      <c r="L114" s="727"/>
      <c r="M114" s="727"/>
      <c r="N114" s="727"/>
      <c r="O114" s="727"/>
      <c r="P114" s="727"/>
      <c r="Q114" s="727"/>
      <c r="R114" s="727"/>
      <c r="S114" s="727"/>
      <c r="T114" s="727"/>
      <c r="U114" s="727"/>
      <c r="V114" s="727"/>
      <c r="W114" s="727"/>
      <c r="X114" s="727"/>
      <c r="Y114" s="727"/>
      <c r="Z114" s="727"/>
      <c r="AA114" s="727"/>
      <c r="AB114" s="727"/>
      <c r="AC114" s="727"/>
      <c r="AD114" s="727"/>
      <c r="AE114" s="727"/>
      <c r="AF114" s="727"/>
      <c r="AG114" s="727"/>
      <c r="AH114" s="727"/>
      <c r="AI114" s="727"/>
      <c r="AJ114" s="727"/>
      <c r="AK114" s="727"/>
      <c r="AL114" s="853"/>
    </row>
    <row r="115" spans="1:38">
      <c r="A115" s="727"/>
      <c r="B115" s="727"/>
      <c r="C115" s="727"/>
      <c r="D115" s="727"/>
      <c r="E115" s="727"/>
      <c r="F115" s="727"/>
      <c r="G115" s="727"/>
      <c r="H115" s="727"/>
      <c r="I115" s="727"/>
      <c r="J115" s="727"/>
      <c r="K115" s="727"/>
      <c r="L115" s="727"/>
      <c r="M115" s="727"/>
      <c r="N115" s="727"/>
      <c r="O115" s="727"/>
      <c r="P115" s="727"/>
      <c r="Q115" s="727"/>
      <c r="R115" s="727"/>
      <c r="S115" s="727"/>
      <c r="T115" s="727"/>
      <c r="U115" s="727"/>
      <c r="V115" s="727"/>
      <c r="W115" s="727"/>
      <c r="X115" s="727"/>
      <c r="Y115" s="727"/>
      <c r="Z115" s="727"/>
      <c r="AA115" s="727"/>
      <c r="AB115" s="727"/>
      <c r="AC115" s="727"/>
      <c r="AD115" s="727"/>
      <c r="AE115" s="727"/>
      <c r="AF115" s="727"/>
      <c r="AG115" s="727"/>
      <c r="AH115" s="727"/>
      <c r="AI115" s="727"/>
      <c r="AJ115" s="727"/>
      <c r="AK115" s="727"/>
      <c r="AL115" s="853"/>
    </row>
    <row r="116" spans="1:38">
      <c r="A116" s="727"/>
      <c r="B116" s="727"/>
      <c r="C116" s="727"/>
      <c r="D116" s="727"/>
      <c r="E116" s="727"/>
      <c r="F116" s="727"/>
      <c r="G116" s="727"/>
      <c r="H116" s="727"/>
      <c r="I116" s="727"/>
      <c r="J116" s="727"/>
      <c r="K116" s="727"/>
      <c r="L116" s="727"/>
      <c r="M116" s="727"/>
      <c r="N116" s="727"/>
      <c r="O116" s="727"/>
      <c r="P116" s="727"/>
      <c r="Q116" s="727"/>
      <c r="R116" s="727"/>
      <c r="S116" s="727"/>
      <c r="T116" s="727"/>
      <c r="U116" s="727"/>
      <c r="V116" s="727"/>
      <c r="W116" s="727"/>
      <c r="X116" s="727"/>
      <c r="Y116" s="727"/>
      <c r="Z116" s="727"/>
      <c r="AA116" s="727"/>
      <c r="AB116" s="727"/>
      <c r="AC116" s="727"/>
      <c r="AD116" s="727"/>
      <c r="AE116" s="727"/>
      <c r="AF116" s="727"/>
      <c r="AG116" s="727"/>
      <c r="AH116" s="727"/>
      <c r="AI116" s="727"/>
      <c r="AJ116" s="727"/>
      <c r="AK116" s="727"/>
      <c r="AL116" s="853"/>
    </row>
    <row r="117" spans="1:38">
      <c r="A117" s="727"/>
      <c r="B117" s="727"/>
      <c r="C117" s="727"/>
      <c r="D117" s="727"/>
      <c r="E117" s="727"/>
      <c r="F117" s="727"/>
      <c r="G117" s="727"/>
      <c r="H117" s="727"/>
      <c r="I117" s="727"/>
      <c r="J117" s="727"/>
      <c r="K117" s="727"/>
      <c r="L117" s="727"/>
      <c r="M117" s="727"/>
      <c r="N117" s="727"/>
      <c r="O117" s="727"/>
      <c r="P117" s="727"/>
      <c r="Q117" s="727"/>
      <c r="R117" s="727"/>
      <c r="S117" s="727"/>
      <c r="T117" s="727"/>
      <c r="U117" s="727"/>
      <c r="V117" s="727"/>
      <c r="W117" s="727"/>
      <c r="X117" s="727"/>
      <c r="Y117" s="727"/>
      <c r="Z117" s="727"/>
      <c r="AA117" s="727"/>
      <c r="AB117" s="727"/>
      <c r="AC117" s="727"/>
      <c r="AD117" s="727"/>
      <c r="AE117" s="727"/>
      <c r="AF117" s="727"/>
      <c r="AG117" s="727"/>
      <c r="AH117" s="727"/>
      <c r="AI117" s="727"/>
      <c r="AJ117" s="727"/>
      <c r="AK117" s="727"/>
      <c r="AL117" s="853"/>
    </row>
    <row r="118" spans="1:38">
      <c r="A118" s="727"/>
      <c r="B118" s="727"/>
      <c r="C118" s="727"/>
      <c r="D118" s="727"/>
      <c r="E118" s="727"/>
      <c r="F118" s="727"/>
      <c r="G118" s="727"/>
      <c r="H118" s="727"/>
      <c r="I118" s="727"/>
      <c r="J118" s="727"/>
      <c r="K118" s="727"/>
      <c r="L118" s="727"/>
      <c r="M118" s="727"/>
      <c r="N118" s="727"/>
      <c r="O118" s="727"/>
      <c r="P118" s="727"/>
      <c r="Q118" s="727"/>
      <c r="R118" s="727"/>
      <c r="S118" s="727"/>
      <c r="T118" s="727"/>
      <c r="U118" s="727"/>
      <c r="V118" s="727"/>
      <c r="W118" s="727"/>
      <c r="X118" s="727"/>
      <c r="Y118" s="727"/>
      <c r="Z118" s="727"/>
      <c r="AA118" s="727"/>
      <c r="AB118" s="727"/>
      <c r="AC118" s="727"/>
      <c r="AD118" s="727"/>
      <c r="AE118" s="727"/>
      <c r="AF118" s="727"/>
      <c r="AG118" s="727"/>
      <c r="AH118" s="727"/>
      <c r="AI118" s="727"/>
      <c r="AJ118" s="727"/>
      <c r="AK118" s="727"/>
      <c r="AL118" s="853"/>
    </row>
    <row r="119" spans="1:38">
      <c r="A119" s="727"/>
      <c r="B119" s="727"/>
      <c r="C119" s="727"/>
      <c r="D119" s="727"/>
      <c r="E119" s="727"/>
      <c r="F119" s="727"/>
      <c r="G119" s="727"/>
      <c r="H119" s="727"/>
      <c r="I119" s="727"/>
      <c r="J119" s="727"/>
      <c r="K119" s="727"/>
      <c r="L119" s="727"/>
      <c r="M119" s="727"/>
      <c r="N119" s="727"/>
      <c r="O119" s="727"/>
      <c r="P119" s="727"/>
      <c r="Q119" s="727"/>
      <c r="R119" s="727"/>
      <c r="S119" s="727"/>
      <c r="T119" s="727"/>
      <c r="U119" s="727"/>
      <c r="V119" s="727"/>
      <c r="W119" s="727"/>
      <c r="X119" s="727"/>
      <c r="Y119" s="727"/>
      <c r="Z119" s="727"/>
      <c r="AA119" s="727"/>
      <c r="AB119" s="727"/>
      <c r="AC119" s="727"/>
      <c r="AD119" s="727"/>
      <c r="AE119" s="727"/>
      <c r="AF119" s="727"/>
      <c r="AG119" s="727"/>
      <c r="AH119" s="727"/>
      <c r="AI119" s="727"/>
      <c r="AJ119" s="727"/>
      <c r="AK119" s="727"/>
      <c r="AL119" s="853"/>
    </row>
    <row r="120" spans="1:38">
      <c r="A120" s="727"/>
      <c r="B120" s="727"/>
      <c r="C120" s="727"/>
      <c r="D120" s="727"/>
      <c r="E120" s="727"/>
      <c r="F120" s="727"/>
      <c r="G120" s="727"/>
      <c r="H120" s="727"/>
      <c r="I120" s="727"/>
      <c r="J120" s="727"/>
      <c r="K120" s="727"/>
      <c r="L120" s="727"/>
      <c r="M120" s="727"/>
      <c r="N120" s="727"/>
      <c r="O120" s="727"/>
      <c r="P120" s="727"/>
      <c r="Q120" s="727"/>
      <c r="R120" s="727"/>
      <c r="S120" s="727"/>
      <c r="T120" s="727"/>
      <c r="U120" s="727"/>
      <c r="V120" s="727"/>
      <c r="W120" s="727"/>
      <c r="X120" s="727"/>
      <c r="Y120" s="727"/>
      <c r="Z120" s="727"/>
      <c r="AA120" s="727"/>
      <c r="AB120" s="727"/>
      <c r="AC120" s="727"/>
      <c r="AD120" s="727"/>
      <c r="AE120" s="727"/>
      <c r="AF120" s="727"/>
      <c r="AG120" s="727"/>
      <c r="AH120" s="727"/>
      <c r="AI120" s="727"/>
      <c r="AJ120" s="727"/>
      <c r="AK120" s="727"/>
      <c r="AL120" s="853"/>
    </row>
    <row r="121" spans="1:38">
      <c r="A121" s="727"/>
      <c r="B121" s="727"/>
      <c r="C121" s="727"/>
      <c r="D121" s="727"/>
      <c r="E121" s="727"/>
      <c r="F121" s="727"/>
      <c r="G121" s="727"/>
      <c r="H121" s="727"/>
      <c r="I121" s="727"/>
      <c r="J121" s="727"/>
      <c r="K121" s="727"/>
      <c r="L121" s="727"/>
      <c r="M121" s="727"/>
      <c r="N121" s="727"/>
      <c r="O121" s="727"/>
      <c r="P121" s="727"/>
      <c r="Q121" s="727"/>
      <c r="R121" s="727"/>
      <c r="S121" s="727"/>
      <c r="T121" s="727"/>
      <c r="U121" s="727"/>
      <c r="V121" s="727"/>
      <c r="W121" s="727"/>
      <c r="X121" s="727"/>
      <c r="Y121" s="727"/>
      <c r="Z121" s="727"/>
      <c r="AA121" s="727"/>
      <c r="AB121" s="727"/>
      <c r="AC121" s="727"/>
      <c r="AD121" s="727"/>
      <c r="AE121" s="727"/>
      <c r="AF121" s="727"/>
      <c r="AG121" s="727"/>
      <c r="AH121" s="727"/>
      <c r="AI121" s="727"/>
      <c r="AJ121" s="727"/>
      <c r="AK121" s="727"/>
      <c r="AL121" s="853"/>
    </row>
    <row r="122" spans="1:38">
      <c r="A122" s="727"/>
      <c r="B122" s="727"/>
      <c r="C122" s="727"/>
      <c r="D122" s="727"/>
      <c r="E122" s="727"/>
      <c r="F122" s="727"/>
      <c r="G122" s="727"/>
      <c r="H122" s="727"/>
      <c r="I122" s="727"/>
      <c r="J122" s="727"/>
      <c r="K122" s="727"/>
      <c r="L122" s="727"/>
      <c r="M122" s="727"/>
      <c r="N122" s="727"/>
      <c r="O122" s="727"/>
      <c r="P122" s="727"/>
      <c r="Q122" s="727"/>
      <c r="R122" s="727"/>
      <c r="S122" s="727"/>
      <c r="T122" s="727"/>
      <c r="U122" s="727"/>
      <c r="V122" s="727"/>
      <c r="W122" s="727"/>
      <c r="X122" s="727"/>
      <c r="Y122" s="727"/>
      <c r="Z122" s="727"/>
      <c r="AA122" s="727"/>
      <c r="AB122" s="727"/>
      <c r="AC122" s="727"/>
      <c r="AD122" s="727"/>
      <c r="AE122" s="727"/>
      <c r="AF122" s="727"/>
      <c r="AG122" s="727"/>
      <c r="AH122" s="727"/>
      <c r="AI122" s="727"/>
      <c r="AJ122" s="727"/>
      <c r="AK122" s="727"/>
      <c r="AL122" s="853"/>
    </row>
    <row r="123" spans="1:38">
      <c r="A123" s="727"/>
      <c r="B123" s="727"/>
      <c r="C123" s="727"/>
      <c r="D123" s="727"/>
      <c r="E123" s="727"/>
      <c r="F123" s="727"/>
      <c r="G123" s="727"/>
      <c r="H123" s="727"/>
      <c r="I123" s="727"/>
      <c r="J123" s="727"/>
      <c r="K123" s="727"/>
      <c r="L123" s="727"/>
      <c r="M123" s="727"/>
      <c r="N123" s="727"/>
      <c r="O123" s="727"/>
      <c r="P123" s="727"/>
      <c r="Q123" s="727"/>
      <c r="R123" s="727"/>
      <c r="S123" s="727"/>
      <c r="T123" s="727"/>
      <c r="U123" s="727"/>
      <c r="V123" s="727"/>
      <c r="W123" s="727"/>
      <c r="X123" s="727"/>
      <c r="Y123" s="727"/>
      <c r="Z123" s="727"/>
      <c r="AA123" s="727"/>
      <c r="AB123" s="727"/>
      <c r="AC123" s="727"/>
      <c r="AD123" s="727"/>
      <c r="AE123" s="727"/>
      <c r="AF123" s="727"/>
      <c r="AG123" s="727"/>
      <c r="AH123" s="727"/>
      <c r="AI123" s="727"/>
      <c r="AJ123" s="727"/>
      <c r="AK123" s="727"/>
      <c r="AL123" s="853"/>
    </row>
    <row r="124" spans="1:38">
      <c r="A124" s="727"/>
      <c r="B124" s="727"/>
      <c r="C124" s="727"/>
      <c r="D124" s="727"/>
      <c r="E124" s="727"/>
      <c r="F124" s="727"/>
      <c r="G124" s="727"/>
      <c r="H124" s="727"/>
      <c r="I124" s="727"/>
      <c r="J124" s="727"/>
      <c r="K124" s="727"/>
      <c r="L124" s="727"/>
      <c r="M124" s="727"/>
      <c r="N124" s="727"/>
      <c r="O124" s="727"/>
      <c r="P124" s="727"/>
      <c r="Q124" s="727"/>
      <c r="R124" s="727"/>
      <c r="S124" s="727"/>
      <c r="T124" s="727"/>
      <c r="U124" s="727"/>
      <c r="V124" s="727"/>
      <c r="W124" s="727"/>
      <c r="X124" s="727"/>
      <c r="Y124" s="727"/>
      <c r="Z124" s="727"/>
      <c r="AA124" s="727"/>
      <c r="AB124" s="727"/>
      <c r="AC124" s="727"/>
      <c r="AD124" s="727"/>
      <c r="AE124" s="727"/>
      <c r="AF124" s="727"/>
      <c r="AG124" s="727"/>
      <c r="AH124" s="727"/>
      <c r="AI124" s="727"/>
      <c r="AJ124" s="727"/>
      <c r="AK124" s="727"/>
      <c r="AL124" s="853"/>
    </row>
    <row r="125" spans="1:38">
      <c r="A125" s="727"/>
      <c r="B125" s="727"/>
      <c r="C125" s="727"/>
      <c r="D125" s="727"/>
      <c r="E125" s="727"/>
      <c r="F125" s="727"/>
      <c r="G125" s="727"/>
      <c r="H125" s="727"/>
      <c r="I125" s="727"/>
      <c r="J125" s="727"/>
      <c r="K125" s="727"/>
      <c r="L125" s="727"/>
      <c r="M125" s="727"/>
      <c r="N125" s="727"/>
      <c r="O125" s="727"/>
      <c r="P125" s="727"/>
      <c r="Q125" s="727"/>
      <c r="R125" s="727"/>
      <c r="S125" s="727"/>
      <c r="T125" s="727"/>
      <c r="U125" s="727"/>
      <c r="V125" s="727"/>
      <c r="W125" s="727"/>
      <c r="X125" s="727"/>
      <c r="Y125" s="727"/>
      <c r="Z125" s="727"/>
      <c r="AA125" s="727"/>
      <c r="AB125" s="727"/>
      <c r="AC125" s="727"/>
      <c r="AD125" s="727"/>
      <c r="AE125" s="727"/>
      <c r="AF125" s="727"/>
      <c r="AG125" s="727"/>
      <c r="AH125" s="727"/>
      <c r="AI125" s="727"/>
      <c r="AJ125" s="727"/>
      <c r="AK125" s="727"/>
      <c r="AL125" s="853"/>
    </row>
    <row r="126" spans="1:38">
      <c r="A126" s="727"/>
      <c r="B126" s="727"/>
      <c r="C126" s="727"/>
      <c r="D126" s="727"/>
      <c r="E126" s="727"/>
      <c r="F126" s="727"/>
      <c r="G126" s="727"/>
      <c r="H126" s="727"/>
      <c r="I126" s="727"/>
      <c r="J126" s="727"/>
      <c r="K126" s="727"/>
      <c r="L126" s="727"/>
      <c r="M126" s="727"/>
      <c r="N126" s="727"/>
      <c r="O126" s="727"/>
      <c r="P126" s="727"/>
      <c r="Q126" s="727"/>
      <c r="R126" s="727"/>
      <c r="S126" s="727"/>
      <c r="T126" s="727"/>
      <c r="U126" s="727"/>
      <c r="V126" s="727"/>
      <c r="W126" s="727"/>
      <c r="X126" s="727"/>
      <c r="Y126" s="727"/>
      <c r="Z126" s="727"/>
      <c r="AA126" s="727"/>
      <c r="AB126" s="727"/>
      <c r="AC126" s="727"/>
      <c r="AD126" s="727"/>
      <c r="AE126" s="727"/>
      <c r="AF126" s="727"/>
      <c r="AG126" s="727"/>
      <c r="AH126" s="727"/>
      <c r="AI126" s="727"/>
      <c r="AJ126" s="727"/>
      <c r="AK126" s="727"/>
      <c r="AL126" s="853"/>
    </row>
    <row r="127" spans="1:38">
      <c r="A127" s="727"/>
      <c r="B127" s="727"/>
      <c r="C127" s="727"/>
      <c r="D127" s="727"/>
      <c r="E127" s="727"/>
      <c r="F127" s="727"/>
      <c r="G127" s="727"/>
      <c r="H127" s="727"/>
      <c r="I127" s="727"/>
      <c r="J127" s="727"/>
      <c r="K127" s="727"/>
      <c r="L127" s="727"/>
      <c r="M127" s="727"/>
      <c r="N127" s="727"/>
      <c r="O127" s="727"/>
      <c r="P127" s="727"/>
      <c r="Q127" s="727"/>
      <c r="R127" s="727"/>
      <c r="S127" s="727"/>
      <c r="T127" s="727"/>
      <c r="U127" s="727"/>
      <c r="V127" s="727"/>
      <c r="W127" s="727"/>
      <c r="X127" s="727"/>
      <c r="Y127" s="727"/>
      <c r="Z127" s="727"/>
      <c r="AA127" s="727"/>
      <c r="AB127" s="727"/>
      <c r="AC127" s="727"/>
      <c r="AD127" s="727"/>
      <c r="AE127" s="727"/>
      <c r="AF127" s="727"/>
      <c r="AG127" s="727"/>
      <c r="AH127" s="727"/>
      <c r="AI127" s="727"/>
      <c r="AJ127" s="727"/>
      <c r="AK127" s="727"/>
      <c r="AL127" s="853"/>
    </row>
    <row r="128" spans="1:38">
      <c r="A128" s="727"/>
      <c r="B128" s="727"/>
      <c r="C128" s="727"/>
      <c r="D128" s="727"/>
      <c r="E128" s="727"/>
      <c r="F128" s="727"/>
      <c r="G128" s="727"/>
      <c r="H128" s="727"/>
      <c r="I128" s="727"/>
      <c r="J128" s="727"/>
      <c r="K128" s="727"/>
      <c r="L128" s="727"/>
      <c r="M128" s="727"/>
      <c r="N128" s="727"/>
      <c r="O128" s="727"/>
      <c r="P128" s="727"/>
      <c r="Q128" s="727"/>
      <c r="R128" s="727"/>
      <c r="S128" s="727"/>
      <c r="T128" s="727"/>
      <c r="U128" s="727"/>
      <c r="V128" s="727"/>
      <c r="W128" s="727"/>
      <c r="X128" s="727"/>
      <c r="Y128" s="727"/>
      <c r="Z128" s="727"/>
      <c r="AA128" s="727"/>
      <c r="AB128" s="727"/>
      <c r="AC128" s="727"/>
      <c r="AD128" s="727"/>
      <c r="AE128" s="727"/>
      <c r="AF128" s="727"/>
      <c r="AG128" s="727"/>
      <c r="AH128" s="727"/>
      <c r="AI128" s="727"/>
      <c r="AJ128" s="727"/>
      <c r="AK128" s="727"/>
      <c r="AL128" s="853"/>
    </row>
    <row r="129" spans="1:38">
      <c r="A129" s="727"/>
      <c r="B129" s="727"/>
      <c r="C129" s="727"/>
      <c r="D129" s="727"/>
      <c r="E129" s="727"/>
      <c r="F129" s="727"/>
      <c r="G129" s="727"/>
      <c r="H129" s="727"/>
      <c r="I129" s="727"/>
      <c r="J129" s="727"/>
      <c r="K129" s="727"/>
      <c r="L129" s="727"/>
      <c r="M129" s="727"/>
      <c r="N129" s="727"/>
      <c r="O129" s="727"/>
      <c r="P129" s="727"/>
      <c r="Q129" s="727"/>
      <c r="R129" s="727"/>
      <c r="S129" s="727"/>
      <c r="T129" s="727"/>
      <c r="U129" s="727"/>
      <c r="V129" s="727"/>
      <c r="W129" s="727"/>
      <c r="X129" s="727"/>
      <c r="Y129" s="727"/>
      <c r="Z129" s="727"/>
      <c r="AA129" s="727"/>
      <c r="AB129" s="727"/>
      <c r="AC129" s="727"/>
      <c r="AD129" s="727"/>
      <c r="AE129" s="727"/>
      <c r="AF129" s="727"/>
      <c r="AG129" s="727"/>
      <c r="AH129" s="727"/>
      <c r="AI129" s="727"/>
      <c r="AJ129" s="727"/>
      <c r="AK129" s="727"/>
      <c r="AL129" s="853"/>
    </row>
    <row r="130" spans="1:38">
      <c r="A130" s="727"/>
      <c r="B130" s="727"/>
      <c r="C130" s="727"/>
      <c r="D130" s="727"/>
      <c r="E130" s="727"/>
      <c r="F130" s="727"/>
      <c r="G130" s="727"/>
      <c r="H130" s="727"/>
      <c r="I130" s="727"/>
      <c r="J130" s="727"/>
      <c r="K130" s="727"/>
      <c r="L130" s="727"/>
      <c r="M130" s="727"/>
      <c r="N130" s="727"/>
      <c r="O130" s="727"/>
      <c r="P130" s="727"/>
      <c r="Q130" s="727"/>
      <c r="R130" s="727"/>
      <c r="S130" s="727"/>
      <c r="T130" s="727"/>
      <c r="U130" s="727"/>
      <c r="V130" s="727"/>
      <c r="W130" s="727"/>
      <c r="X130" s="727"/>
      <c r="Y130" s="727"/>
      <c r="Z130" s="727"/>
      <c r="AA130" s="727"/>
      <c r="AB130" s="727"/>
      <c r="AC130" s="727"/>
      <c r="AD130" s="727"/>
      <c r="AE130" s="727"/>
      <c r="AF130" s="727"/>
      <c r="AG130" s="727"/>
      <c r="AH130" s="727"/>
      <c r="AI130" s="727"/>
      <c r="AJ130" s="727"/>
      <c r="AK130" s="727"/>
      <c r="AL130" s="853"/>
    </row>
    <row r="131" spans="1:38">
      <c r="A131" s="727"/>
      <c r="B131" s="727"/>
      <c r="C131" s="727"/>
      <c r="D131" s="727"/>
      <c r="E131" s="727"/>
      <c r="F131" s="727"/>
      <c r="G131" s="727"/>
      <c r="H131" s="727"/>
      <c r="I131" s="727"/>
      <c r="J131" s="727"/>
      <c r="K131" s="727"/>
      <c r="L131" s="727"/>
      <c r="M131" s="727"/>
      <c r="N131" s="727"/>
      <c r="O131" s="727"/>
      <c r="P131" s="727"/>
      <c r="Q131" s="727"/>
      <c r="R131" s="727"/>
      <c r="S131" s="727"/>
      <c r="T131" s="727"/>
      <c r="U131" s="727"/>
      <c r="V131" s="727"/>
      <c r="W131" s="727"/>
      <c r="X131" s="727"/>
      <c r="Y131" s="727"/>
      <c r="Z131" s="727"/>
      <c r="AA131" s="727"/>
      <c r="AB131" s="727"/>
      <c r="AC131" s="727"/>
      <c r="AD131" s="727"/>
      <c r="AE131" s="727"/>
      <c r="AF131" s="727"/>
      <c r="AG131" s="727"/>
      <c r="AH131" s="727"/>
      <c r="AI131" s="727"/>
      <c r="AJ131" s="727"/>
      <c r="AK131" s="727"/>
      <c r="AL131" s="853"/>
    </row>
    <row r="132" spans="1:38">
      <c r="A132" s="727"/>
      <c r="B132" s="727"/>
      <c r="C132" s="727"/>
      <c r="D132" s="727"/>
      <c r="E132" s="727"/>
      <c r="F132" s="727"/>
      <c r="G132" s="727"/>
      <c r="H132" s="727"/>
      <c r="I132" s="727"/>
      <c r="J132" s="727"/>
      <c r="K132" s="727"/>
      <c r="L132" s="727"/>
      <c r="M132" s="727"/>
      <c r="N132" s="727"/>
      <c r="O132" s="727"/>
      <c r="P132" s="727"/>
      <c r="Q132" s="727"/>
      <c r="R132" s="727"/>
      <c r="S132" s="727"/>
      <c r="T132" s="727"/>
      <c r="U132" s="727"/>
      <c r="V132" s="727"/>
      <c r="W132" s="727"/>
      <c r="X132" s="727"/>
      <c r="Y132" s="727"/>
      <c r="Z132" s="727"/>
      <c r="AA132" s="727"/>
      <c r="AB132" s="727"/>
      <c r="AC132" s="727"/>
      <c r="AD132" s="727"/>
      <c r="AE132" s="727"/>
      <c r="AF132" s="727"/>
      <c r="AG132" s="727"/>
      <c r="AH132" s="727"/>
      <c r="AI132" s="727"/>
      <c r="AJ132" s="727"/>
      <c r="AK132" s="727"/>
      <c r="AL132" s="853"/>
    </row>
    <row r="133" spans="1:38">
      <c r="A133" s="727"/>
      <c r="B133" s="727"/>
      <c r="C133" s="727"/>
      <c r="D133" s="727"/>
      <c r="E133" s="727"/>
      <c r="F133" s="727"/>
      <c r="G133" s="727"/>
      <c r="H133" s="727"/>
      <c r="I133" s="727"/>
      <c r="J133" s="727"/>
      <c r="K133" s="727"/>
      <c r="L133" s="727"/>
      <c r="M133" s="727"/>
      <c r="N133" s="727"/>
      <c r="O133" s="727"/>
      <c r="P133" s="727"/>
      <c r="Q133" s="727"/>
      <c r="R133" s="727"/>
      <c r="S133" s="727"/>
      <c r="T133" s="727"/>
      <c r="U133" s="727"/>
      <c r="V133" s="727"/>
      <c r="W133" s="727"/>
      <c r="X133" s="727"/>
      <c r="Y133" s="727"/>
      <c r="Z133" s="727"/>
      <c r="AA133" s="727"/>
      <c r="AB133" s="727"/>
      <c r="AC133" s="727"/>
      <c r="AD133" s="727"/>
      <c r="AE133" s="727"/>
      <c r="AF133" s="727"/>
      <c r="AG133" s="727"/>
      <c r="AH133" s="727"/>
      <c r="AI133" s="727"/>
      <c r="AJ133" s="727"/>
      <c r="AK133" s="727"/>
      <c r="AL133" s="853"/>
    </row>
    <row r="134" spans="1:38">
      <c r="A134" s="727"/>
      <c r="B134" s="727"/>
      <c r="C134" s="727"/>
      <c r="D134" s="727"/>
      <c r="E134" s="727"/>
      <c r="F134" s="727"/>
      <c r="G134" s="727"/>
      <c r="H134" s="727"/>
      <c r="I134" s="727"/>
      <c r="J134" s="727"/>
      <c r="K134" s="727"/>
      <c r="L134" s="727"/>
      <c r="M134" s="727"/>
      <c r="N134" s="727"/>
      <c r="O134" s="727"/>
      <c r="P134" s="727"/>
      <c r="Q134" s="727"/>
      <c r="R134" s="727"/>
      <c r="S134" s="727"/>
      <c r="T134" s="727"/>
      <c r="U134" s="727"/>
      <c r="V134" s="727"/>
      <c r="W134" s="727"/>
      <c r="X134" s="727"/>
      <c r="Y134" s="727"/>
      <c r="Z134" s="727"/>
      <c r="AA134" s="727"/>
      <c r="AB134" s="727"/>
      <c r="AC134" s="727"/>
      <c r="AD134" s="727"/>
      <c r="AE134" s="727"/>
      <c r="AF134" s="727"/>
      <c r="AG134" s="727"/>
      <c r="AH134" s="727"/>
      <c r="AI134" s="727"/>
      <c r="AJ134" s="727"/>
      <c r="AK134" s="727"/>
      <c r="AL134" s="853"/>
    </row>
    <row r="135" spans="1:38">
      <c r="A135" s="727"/>
      <c r="B135" s="727"/>
      <c r="C135" s="727"/>
      <c r="D135" s="727"/>
      <c r="E135" s="727"/>
      <c r="F135" s="727"/>
      <c r="G135" s="727"/>
      <c r="H135" s="727"/>
      <c r="I135" s="727"/>
      <c r="J135" s="727"/>
      <c r="K135" s="727"/>
      <c r="L135" s="727"/>
      <c r="M135" s="727"/>
      <c r="N135" s="727"/>
      <c r="O135" s="727"/>
      <c r="P135" s="727"/>
      <c r="Q135" s="727"/>
      <c r="R135" s="727"/>
      <c r="S135" s="727"/>
      <c r="T135" s="727"/>
      <c r="U135" s="727"/>
      <c r="V135" s="727"/>
      <c r="W135" s="727"/>
      <c r="X135" s="727"/>
      <c r="Y135" s="727"/>
      <c r="Z135" s="727"/>
      <c r="AA135" s="727"/>
      <c r="AB135" s="727"/>
      <c r="AC135" s="727"/>
      <c r="AD135" s="727"/>
      <c r="AE135" s="727"/>
      <c r="AF135" s="727"/>
      <c r="AG135" s="727"/>
      <c r="AH135" s="727"/>
      <c r="AI135" s="727"/>
      <c r="AJ135" s="727"/>
      <c r="AK135" s="727"/>
      <c r="AL135" s="853"/>
    </row>
    <row r="136" spans="1:38">
      <c r="A136" s="727"/>
      <c r="B136" s="727"/>
      <c r="C136" s="727"/>
      <c r="D136" s="727"/>
      <c r="E136" s="727"/>
      <c r="F136" s="727"/>
      <c r="G136" s="727"/>
      <c r="H136" s="727"/>
      <c r="I136" s="727"/>
      <c r="J136" s="727"/>
      <c r="K136" s="727"/>
      <c r="L136" s="727"/>
      <c r="M136" s="727"/>
      <c r="N136" s="727"/>
      <c r="O136" s="727"/>
      <c r="P136" s="727"/>
      <c r="Q136" s="727"/>
      <c r="R136" s="727"/>
      <c r="S136" s="727"/>
      <c r="T136" s="727"/>
      <c r="U136" s="727"/>
      <c r="V136" s="727"/>
      <c r="W136" s="727"/>
      <c r="X136" s="727"/>
      <c r="Y136" s="727"/>
      <c r="Z136" s="727"/>
      <c r="AA136" s="727"/>
      <c r="AB136" s="727"/>
      <c r="AC136" s="727"/>
      <c r="AD136" s="727"/>
      <c r="AE136" s="727"/>
      <c r="AF136" s="727"/>
      <c r="AG136" s="727"/>
      <c r="AH136" s="727"/>
      <c r="AI136" s="727"/>
      <c r="AJ136" s="727"/>
      <c r="AK136" s="727"/>
      <c r="AL136" s="853"/>
    </row>
    <row r="137" spans="1:38">
      <c r="A137" s="727"/>
      <c r="B137" s="727"/>
      <c r="C137" s="727"/>
      <c r="D137" s="727"/>
      <c r="E137" s="727"/>
      <c r="F137" s="727"/>
      <c r="G137" s="727"/>
      <c r="H137" s="727"/>
      <c r="I137" s="727"/>
      <c r="J137" s="727"/>
      <c r="K137" s="727"/>
      <c r="L137" s="727"/>
      <c r="M137" s="727"/>
      <c r="N137" s="727"/>
      <c r="O137" s="727"/>
      <c r="P137" s="727"/>
      <c r="Q137" s="727"/>
      <c r="R137" s="727"/>
      <c r="S137" s="727"/>
      <c r="T137" s="727"/>
      <c r="U137" s="727"/>
      <c r="V137" s="727"/>
      <c r="W137" s="727"/>
      <c r="X137" s="727"/>
      <c r="Y137" s="727"/>
      <c r="Z137" s="727"/>
      <c r="AA137" s="727"/>
      <c r="AB137" s="727"/>
      <c r="AC137" s="727"/>
      <c r="AD137" s="727"/>
      <c r="AE137" s="727"/>
      <c r="AF137" s="727"/>
      <c r="AG137" s="727"/>
      <c r="AH137" s="727"/>
      <c r="AI137" s="727"/>
      <c r="AJ137" s="727"/>
      <c r="AK137" s="727"/>
      <c r="AL137" s="853"/>
    </row>
    <row r="138" spans="1:38">
      <c r="A138" s="727"/>
      <c r="B138" s="727"/>
      <c r="C138" s="727"/>
      <c r="D138" s="727"/>
      <c r="E138" s="727"/>
      <c r="F138" s="727"/>
      <c r="G138" s="727"/>
      <c r="H138" s="727"/>
      <c r="I138" s="727"/>
      <c r="J138" s="727"/>
      <c r="K138" s="727"/>
      <c r="L138" s="727"/>
      <c r="M138" s="727"/>
      <c r="N138" s="727"/>
      <c r="O138" s="727"/>
      <c r="P138" s="727"/>
      <c r="Q138" s="727"/>
      <c r="R138" s="727"/>
      <c r="S138" s="727"/>
      <c r="T138" s="727"/>
      <c r="U138" s="727"/>
      <c r="V138" s="727"/>
      <c r="W138" s="727"/>
      <c r="X138" s="727"/>
      <c r="Y138" s="727"/>
      <c r="Z138" s="727"/>
      <c r="AA138" s="727"/>
      <c r="AB138" s="727"/>
      <c r="AC138" s="727"/>
      <c r="AD138" s="727"/>
      <c r="AE138" s="727"/>
      <c r="AF138" s="727"/>
      <c r="AG138" s="727"/>
      <c r="AH138" s="727"/>
      <c r="AI138" s="727"/>
      <c r="AJ138" s="727"/>
      <c r="AK138" s="727"/>
      <c r="AL138" s="853"/>
    </row>
    <row r="139" spans="1:38">
      <c r="A139" s="727"/>
      <c r="B139" s="727"/>
      <c r="C139" s="727"/>
      <c r="D139" s="727"/>
      <c r="E139" s="727"/>
      <c r="F139" s="727"/>
      <c r="G139" s="727"/>
      <c r="H139" s="727"/>
      <c r="I139" s="727"/>
      <c r="J139" s="727"/>
      <c r="K139" s="727"/>
      <c r="L139" s="727"/>
      <c r="M139" s="727"/>
      <c r="N139" s="727"/>
      <c r="O139" s="727"/>
      <c r="P139" s="727"/>
      <c r="Q139" s="727"/>
      <c r="R139" s="727"/>
      <c r="S139" s="727"/>
      <c r="T139" s="727"/>
      <c r="U139" s="727"/>
      <c r="V139" s="727"/>
      <c r="W139" s="727"/>
      <c r="X139" s="727"/>
      <c r="Y139" s="727"/>
      <c r="Z139" s="727"/>
      <c r="AA139" s="727"/>
      <c r="AB139" s="727"/>
      <c r="AC139" s="727"/>
      <c r="AD139" s="727"/>
      <c r="AE139" s="727"/>
      <c r="AF139" s="727"/>
      <c r="AG139" s="727"/>
      <c r="AH139" s="727"/>
      <c r="AI139" s="727"/>
      <c r="AJ139" s="727"/>
      <c r="AK139" s="727"/>
      <c r="AL139" s="853"/>
    </row>
    <row r="140" spans="1:38">
      <c r="A140" s="727"/>
      <c r="B140" s="727"/>
      <c r="C140" s="727"/>
      <c r="D140" s="727"/>
      <c r="E140" s="727"/>
      <c r="F140" s="727"/>
      <c r="G140" s="727"/>
      <c r="H140" s="727"/>
      <c r="I140" s="727"/>
      <c r="J140" s="727"/>
      <c r="K140" s="727"/>
      <c r="L140" s="727"/>
      <c r="M140" s="727"/>
      <c r="N140" s="727"/>
      <c r="O140" s="727"/>
      <c r="P140" s="727"/>
      <c r="Q140" s="727"/>
      <c r="R140" s="727"/>
      <c r="S140" s="727"/>
      <c r="T140" s="727"/>
      <c r="U140" s="727"/>
      <c r="V140" s="727"/>
      <c r="W140" s="727"/>
      <c r="X140" s="727"/>
      <c r="Y140" s="727"/>
      <c r="Z140" s="727"/>
      <c r="AA140" s="727"/>
      <c r="AB140" s="727"/>
      <c r="AC140" s="727"/>
      <c r="AD140" s="727"/>
      <c r="AE140" s="727"/>
      <c r="AF140" s="727"/>
      <c r="AG140" s="727"/>
      <c r="AH140" s="727"/>
      <c r="AI140" s="727"/>
      <c r="AJ140" s="727"/>
      <c r="AK140" s="727"/>
      <c r="AL140" s="853"/>
    </row>
    <row r="141" spans="1:38">
      <c r="A141" s="727"/>
      <c r="B141" s="727"/>
      <c r="C141" s="727"/>
      <c r="D141" s="727"/>
      <c r="E141" s="727"/>
      <c r="F141" s="727"/>
      <c r="G141" s="727"/>
      <c r="H141" s="727"/>
      <c r="I141" s="727"/>
      <c r="J141" s="727"/>
      <c r="K141" s="727"/>
      <c r="L141" s="727"/>
      <c r="M141" s="727"/>
      <c r="N141" s="727"/>
      <c r="O141" s="727"/>
      <c r="P141" s="727"/>
      <c r="Q141" s="727"/>
      <c r="R141" s="727"/>
      <c r="S141" s="727"/>
      <c r="T141" s="727"/>
      <c r="U141" s="727"/>
      <c r="V141" s="727"/>
      <c r="W141" s="727"/>
      <c r="X141" s="727"/>
      <c r="Y141" s="727"/>
      <c r="Z141" s="727"/>
      <c r="AA141" s="727"/>
      <c r="AB141" s="727"/>
      <c r="AC141" s="727"/>
      <c r="AD141" s="727"/>
      <c r="AE141" s="727"/>
      <c r="AF141" s="727"/>
      <c r="AG141" s="727"/>
      <c r="AH141" s="727"/>
      <c r="AI141" s="727"/>
      <c r="AJ141" s="727"/>
      <c r="AK141" s="727"/>
      <c r="AL141" s="853"/>
    </row>
    <row r="142" spans="1:38">
      <c r="A142" s="727"/>
      <c r="B142" s="727"/>
      <c r="C142" s="727"/>
      <c r="D142" s="727"/>
      <c r="E142" s="727"/>
      <c r="F142" s="727"/>
      <c r="G142" s="727"/>
      <c r="H142" s="727"/>
      <c r="I142" s="727"/>
      <c r="J142" s="727"/>
      <c r="K142" s="727"/>
      <c r="L142" s="727"/>
      <c r="M142" s="727"/>
      <c r="N142" s="727"/>
      <c r="O142" s="727"/>
      <c r="P142" s="727"/>
      <c r="Q142" s="727"/>
      <c r="R142" s="727"/>
      <c r="S142" s="727"/>
      <c r="T142" s="727"/>
      <c r="U142" s="727"/>
      <c r="V142" s="727"/>
      <c r="W142" s="727"/>
      <c r="X142" s="727"/>
      <c r="Y142" s="727"/>
      <c r="Z142" s="727"/>
      <c r="AA142" s="727"/>
      <c r="AB142" s="727"/>
      <c r="AC142" s="727"/>
      <c r="AD142" s="727"/>
      <c r="AE142" s="727"/>
      <c r="AF142" s="727"/>
      <c r="AG142" s="727"/>
      <c r="AH142" s="727"/>
      <c r="AI142" s="727"/>
      <c r="AJ142" s="727"/>
      <c r="AK142" s="727"/>
      <c r="AL142" s="853"/>
    </row>
    <row r="143" spans="1:38">
      <c r="A143" s="727"/>
      <c r="B143" s="727"/>
      <c r="C143" s="727"/>
      <c r="D143" s="727"/>
      <c r="E143" s="727"/>
      <c r="F143" s="727"/>
      <c r="G143" s="727"/>
      <c r="H143" s="727"/>
      <c r="I143" s="727"/>
      <c r="J143" s="727"/>
      <c r="K143" s="727"/>
      <c r="L143" s="727"/>
      <c r="M143" s="727"/>
      <c r="N143" s="727"/>
      <c r="O143" s="727"/>
      <c r="P143" s="727"/>
      <c r="Q143" s="727"/>
      <c r="R143" s="727"/>
      <c r="S143" s="727"/>
      <c r="T143" s="727"/>
      <c r="U143" s="727"/>
      <c r="V143" s="727"/>
      <c r="W143" s="727"/>
      <c r="X143" s="727"/>
      <c r="Y143" s="727"/>
      <c r="Z143" s="727"/>
      <c r="AA143" s="727"/>
      <c r="AB143" s="727"/>
      <c r="AC143" s="727"/>
      <c r="AD143" s="727"/>
      <c r="AE143" s="727"/>
      <c r="AF143" s="727"/>
      <c r="AG143" s="727"/>
      <c r="AH143" s="727"/>
      <c r="AI143" s="727"/>
      <c r="AJ143" s="727"/>
      <c r="AK143" s="727"/>
      <c r="AL143" s="853"/>
    </row>
    <row r="144" spans="1:38">
      <c r="A144" s="727"/>
      <c r="B144" s="727"/>
      <c r="C144" s="727"/>
      <c r="D144" s="727"/>
      <c r="E144" s="727"/>
      <c r="F144" s="727"/>
      <c r="G144" s="727"/>
      <c r="H144" s="727"/>
      <c r="I144" s="727"/>
      <c r="J144" s="727"/>
      <c r="K144" s="727"/>
      <c r="L144" s="727"/>
      <c r="M144" s="727"/>
      <c r="N144" s="727"/>
      <c r="O144" s="727"/>
      <c r="P144" s="727"/>
      <c r="Q144" s="727"/>
      <c r="R144" s="727"/>
      <c r="S144" s="727"/>
      <c r="T144" s="727"/>
      <c r="U144" s="727"/>
      <c r="V144" s="727"/>
      <c r="W144" s="727"/>
      <c r="X144" s="727"/>
      <c r="Y144" s="727"/>
      <c r="Z144" s="727"/>
      <c r="AA144" s="727"/>
      <c r="AB144" s="727"/>
      <c r="AC144" s="727"/>
      <c r="AD144" s="727"/>
      <c r="AE144" s="727"/>
      <c r="AF144" s="727"/>
      <c r="AG144" s="727"/>
      <c r="AH144" s="727"/>
      <c r="AI144" s="727"/>
      <c r="AJ144" s="727"/>
      <c r="AK144" s="727"/>
      <c r="AL144" s="853"/>
    </row>
    <row r="145" spans="1:38">
      <c r="A145" s="727"/>
      <c r="B145" s="727"/>
      <c r="C145" s="727"/>
      <c r="D145" s="727"/>
      <c r="E145" s="727"/>
      <c r="F145" s="727"/>
      <c r="G145" s="727"/>
      <c r="H145" s="727"/>
      <c r="I145" s="727"/>
      <c r="J145" s="727"/>
      <c r="K145" s="727"/>
      <c r="L145" s="727"/>
      <c r="M145" s="727"/>
      <c r="N145" s="727"/>
      <c r="O145" s="727"/>
      <c r="P145" s="727"/>
      <c r="Q145" s="727"/>
      <c r="R145" s="727"/>
      <c r="S145" s="727"/>
      <c r="T145" s="727"/>
      <c r="U145" s="727"/>
      <c r="V145" s="727"/>
      <c r="W145" s="727"/>
      <c r="X145" s="727"/>
      <c r="Y145" s="727"/>
      <c r="Z145" s="727"/>
      <c r="AA145" s="727"/>
      <c r="AB145" s="727"/>
      <c r="AC145" s="727"/>
      <c r="AD145" s="727"/>
      <c r="AE145" s="727"/>
      <c r="AF145" s="727"/>
      <c r="AG145" s="727"/>
      <c r="AH145" s="727"/>
      <c r="AI145" s="727"/>
      <c r="AJ145" s="727"/>
      <c r="AK145" s="727"/>
      <c r="AL145" s="853"/>
    </row>
    <row r="146" spans="1:38">
      <c r="A146" s="727"/>
      <c r="B146" s="727"/>
      <c r="C146" s="727"/>
      <c r="D146" s="727"/>
      <c r="E146" s="727"/>
      <c r="F146" s="727"/>
      <c r="G146" s="727"/>
      <c r="H146" s="727"/>
      <c r="I146" s="727"/>
      <c r="J146" s="727"/>
      <c r="K146" s="727"/>
      <c r="L146" s="727"/>
      <c r="M146" s="727"/>
      <c r="N146" s="727"/>
      <c r="O146" s="727"/>
      <c r="P146" s="727"/>
      <c r="Q146" s="727"/>
      <c r="R146" s="727"/>
      <c r="S146" s="727"/>
      <c r="T146" s="727"/>
      <c r="U146" s="727"/>
      <c r="V146" s="727"/>
      <c r="W146" s="727"/>
      <c r="X146" s="727"/>
      <c r="Y146" s="727"/>
      <c r="Z146" s="727"/>
      <c r="AA146" s="727"/>
      <c r="AB146" s="727"/>
      <c r="AC146" s="727"/>
      <c r="AD146" s="727"/>
      <c r="AE146" s="727"/>
      <c r="AF146" s="727"/>
      <c r="AG146" s="727"/>
      <c r="AH146" s="727"/>
      <c r="AI146" s="727"/>
      <c r="AJ146" s="727"/>
      <c r="AK146" s="727"/>
      <c r="AL146" s="853"/>
    </row>
    <row r="147" spans="1:38">
      <c r="A147" s="727"/>
      <c r="B147" s="727"/>
      <c r="C147" s="727"/>
      <c r="D147" s="727"/>
      <c r="E147" s="727"/>
      <c r="F147" s="727"/>
      <c r="G147" s="727"/>
      <c r="H147" s="727"/>
      <c r="I147" s="727"/>
      <c r="J147" s="727"/>
      <c r="K147" s="727"/>
      <c r="L147" s="727"/>
      <c r="M147" s="727"/>
      <c r="N147" s="727"/>
      <c r="O147" s="727"/>
      <c r="P147" s="727"/>
      <c r="Q147" s="727"/>
      <c r="R147" s="727"/>
      <c r="S147" s="727"/>
      <c r="T147" s="727"/>
      <c r="U147" s="727"/>
      <c r="V147" s="727"/>
      <c r="W147" s="727"/>
      <c r="X147" s="727"/>
      <c r="Y147" s="727"/>
      <c r="Z147" s="727"/>
      <c r="AA147" s="727"/>
      <c r="AB147" s="727"/>
      <c r="AC147" s="727"/>
      <c r="AD147" s="727"/>
      <c r="AE147" s="727"/>
      <c r="AF147" s="727"/>
      <c r="AG147" s="727"/>
      <c r="AH147" s="727"/>
      <c r="AI147" s="727"/>
      <c r="AJ147" s="727"/>
      <c r="AK147" s="727"/>
      <c r="AL147" s="853"/>
    </row>
    <row r="148" spans="1:38">
      <c r="A148" s="727"/>
      <c r="B148" s="727"/>
      <c r="C148" s="727"/>
      <c r="D148" s="727"/>
      <c r="E148" s="727"/>
      <c r="F148" s="727"/>
      <c r="G148" s="727"/>
      <c r="H148" s="727"/>
      <c r="I148" s="727"/>
      <c r="J148" s="727"/>
      <c r="K148" s="727"/>
      <c r="L148" s="727"/>
      <c r="M148" s="727"/>
      <c r="N148" s="727"/>
      <c r="O148" s="727"/>
      <c r="P148" s="727"/>
      <c r="Q148" s="727"/>
      <c r="R148" s="727"/>
      <c r="S148" s="727"/>
      <c r="T148" s="727"/>
      <c r="U148" s="727"/>
      <c r="V148" s="727"/>
      <c r="W148" s="727"/>
      <c r="X148" s="727"/>
      <c r="Y148" s="727"/>
      <c r="Z148" s="727"/>
      <c r="AA148" s="727"/>
      <c r="AB148" s="727"/>
      <c r="AC148" s="727"/>
      <c r="AD148" s="727"/>
      <c r="AE148" s="727"/>
      <c r="AF148" s="727"/>
      <c r="AG148" s="727"/>
      <c r="AH148" s="727"/>
      <c r="AI148" s="727"/>
      <c r="AJ148" s="727"/>
      <c r="AK148" s="727"/>
      <c r="AL148" s="853"/>
    </row>
    <row r="149" spans="1:38">
      <c r="A149" s="727"/>
      <c r="B149" s="727"/>
      <c r="C149" s="727"/>
      <c r="D149" s="727"/>
      <c r="E149" s="727"/>
      <c r="F149" s="727"/>
      <c r="G149" s="727"/>
      <c r="H149" s="727"/>
      <c r="I149" s="727"/>
      <c r="J149" s="727"/>
      <c r="K149" s="727"/>
      <c r="L149" s="727"/>
      <c r="M149" s="727"/>
      <c r="N149" s="727"/>
      <c r="O149" s="727"/>
      <c r="P149" s="727"/>
      <c r="Q149" s="727"/>
      <c r="R149" s="727"/>
      <c r="S149" s="727"/>
      <c r="T149" s="727"/>
      <c r="U149" s="727"/>
      <c r="V149" s="727"/>
      <c r="W149" s="727"/>
      <c r="X149" s="727"/>
      <c r="Y149" s="727"/>
      <c r="Z149" s="727"/>
      <c r="AA149" s="727"/>
      <c r="AB149" s="727"/>
      <c r="AC149" s="727"/>
      <c r="AD149" s="727"/>
      <c r="AE149" s="727"/>
      <c r="AF149" s="727"/>
      <c r="AG149" s="727"/>
      <c r="AH149" s="727"/>
      <c r="AI149" s="727"/>
      <c r="AJ149" s="727"/>
      <c r="AK149" s="727"/>
      <c r="AL149" s="853"/>
    </row>
    <row r="150" spans="1:38">
      <c r="A150" s="727"/>
      <c r="B150" s="727"/>
      <c r="C150" s="727"/>
      <c r="D150" s="727"/>
      <c r="E150" s="727"/>
      <c r="F150" s="727"/>
      <c r="G150" s="727"/>
      <c r="H150" s="727"/>
      <c r="I150" s="727"/>
      <c r="J150" s="727"/>
      <c r="K150" s="727"/>
      <c r="L150" s="727"/>
      <c r="M150" s="727"/>
      <c r="N150" s="727"/>
      <c r="O150" s="727"/>
      <c r="P150" s="727"/>
      <c r="Q150" s="727"/>
      <c r="R150" s="727"/>
      <c r="S150" s="727"/>
      <c r="T150" s="727"/>
      <c r="U150" s="727"/>
      <c r="V150" s="727"/>
      <c r="W150" s="727"/>
      <c r="X150" s="727"/>
      <c r="Y150" s="727"/>
      <c r="Z150" s="727"/>
      <c r="AA150" s="727"/>
      <c r="AB150" s="727"/>
      <c r="AC150" s="727"/>
      <c r="AD150" s="727"/>
      <c r="AE150" s="727"/>
      <c r="AF150" s="727"/>
      <c r="AG150" s="727"/>
      <c r="AH150" s="727"/>
      <c r="AI150" s="727"/>
      <c r="AJ150" s="727"/>
      <c r="AK150" s="727"/>
      <c r="AL150" s="853"/>
    </row>
    <row r="151" spans="1:38">
      <c r="A151" s="727"/>
      <c r="B151" s="727"/>
      <c r="C151" s="727"/>
      <c r="D151" s="727"/>
      <c r="E151" s="727"/>
      <c r="F151" s="727"/>
      <c r="G151" s="727"/>
      <c r="H151" s="727"/>
      <c r="I151" s="727"/>
      <c r="J151" s="727"/>
      <c r="K151" s="727"/>
      <c r="L151" s="727"/>
      <c r="M151" s="727"/>
      <c r="N151" s="727"/>
      <c r="O151" s="727"/>
      <c r="P151" s="727"/>
      <c r="Q151" s="727"/>
      <c r="R151" s="727"/>
      <c r="S151" s="727"/>
      <c r="T151" s="727"/>
      <c r="U151" s="727"/>
      <c r="V151" s="727"/>
      <c r="W151" s="727"/>
      <c r="X151" s="727"/>
      <c r="Y151" s="727"/>
      <c r="Z151" s="727"/>
      <c r="AA151" s="727"/>
      <c r="AB151" s="727"/>
      <c r="AC151" s="727"/>
      <c r="AD151" s="727"/>
      <c r="AE151" s="727"/>
      <c r="AF151" s="727"/>
      <c r="AG151" s="727"/>
      <c r="AH151" s="727"/>
      <c r="AI151" s="727"/>
      <c r="AJ151" s="727"/>
      <c r="AK151" s="727"/>
      <c r="AL151" s="853"/>
    </row>
    <row r="152" spans="1:38">
      <c r="A152" s="727"/>
      <c r="B152" s="727"/>
      <c r="C152" s="727"/>
      <c r="D152" s="727"/>
      <c r="E152" s="727"/>
      <c r="F152" s="727"/>
      <c r="G152" s="727"/>
      <c r="H152" s="727"/>
      <c r="I152" s="727"/>
      <c r="J152" s="727"/>
      <c r="K152" s="727"/>
      <c r="L152" s="727"/>
      <c r="M152" s="727"/>
      <c r="N152" s="727"/>
      <c r="O152" s="727"/>
      <c r="P152" s="727"/>
      <c r="Q152" s="727"/>
      <c r="R152" s="727"/>
      <c r="S152" s="727"/>
      <c r="T152" s="727"/>
      <c r="U152" s="727"/>
      <c r="V152" s="727"/>
      <c r="W152" s="727"/>
      <c r="X152" s="727"/>
      <c r="Y152" s="727"/>
      <c r="Z152" s="727"/>
      <c r="AA152" s="727"/>
      <c r="AB152" s="727"/>
      <c r="AC152" s="727"/>
      <c r="AD152" s="727"/>
      <c r="AE152" s="727"/>
      <c r="AF152" s="727"/>
      <c r="AG152" s="727"/>
      <c r="AH152" s="727"/>
      <c r="AI152" s="727"/>
      <c r="AJ152" s="727"/>
      <c r="AK152" s="727"/>
      <c r="AL152" s="853"/>
    </row>
    <row r="153" spans="1:38">
      <c r="A153" s="727"/>
      <c r="B153" s="727"/>
      <c r="C153" s="727"/>
      <c r="D153" s="727"/>
      <c r="E153" s="727"/>
      <c r="F153" s="727"/>
      <c r="G153" s="727"/>
      <c r="H153" s="727"/>
      <c r="I153" s="727"/>
      <c r="J153" s="727"/>
      <c r="K153" s="727"/>
      <c r="L153" s="727"/>
      <c r="M153" s="727"/>
      <c r="N153" s="727"/>
      <c r="O153" s="727"/>
      <c r="P153" s="727"/>
      <c r="Q153" s="727"/>
      <c r="R153" s="727"/>
      <c r="S153" s="727"/>
      <c r="T153" s="727"/>
      <c r="U153" s="727"/>
      <c r="V153" s="727"/>
      <c r="W153" s="727"/>
      <c r="X153" s="727"/>
      <c r="Y153" s="727"/>
      <c r="Z153" s="727"/>
      <c r="AA153" s="727"/>
      <c r="AB153" s="727"/>
      <c r="AC153" s="727"/>
      <c r="AD153" s="727"/>
      <c r="AE153" s="727"/>
      <c r="AF153" s="727"/>
      <c r="AG153" s="727"/>
      <c r="AH153" s="727"/>
      <c r="AI153" s="727"/>
      <c r="AJ153" s="727"/>
      <c r="AK153" s="727"/>
      <c r="AL153" s="853"/>
    </row>
    <row r="154" spans="1:38">
      <c r="A154" s="727"/>
      <c r="B154" s="727"/>
      <c r="C154" s="727"/>
      <c r="D154" s="727"/>
      <c r="E154" s="727"/>
      <c r="F154" s="727"/>
      <c r="G154" s="727"/>
      <c r="H154" s="727"/>
      <c r="I154" s="727"/>
      <c r="J154" s="727"/>
      <c r="K154" s="727"/>
      <c r="L154" s="727"/>
      <c r="M154" s="727"/>
      <c r="N154" s="727"/>
      <c r="O154" s="727"/>
      <c r="P154" s="727"/>
      <c r="Q154" s="727"/>
      <c r="R154" s="727"/>
      <c r="S154" s="727"/>
      <c r="T154" s="727"/>
      <c r="U154" s="727"/>
      <c r="V154" s="727"/>
      <c r="W154" s="727"/>
      <c r="X154" s="727"/>
      <c r="Y154" s="727"/>
      <c r="Z154" s="727"/>
      <c r="AA154" s="727"/>
      <c r="AB154" s="727"/>
      <c r="AC154" s="727"/>
      <c r="AD154" s="727"/>
      <c r="AE154" s="727"/>
      <c r="AF154" s="727"/>
      <c r="AG154" s="727"/>
      <c r="AH154" s="727"/>
      <c r="AI154" s="727"/>
      <c r="AJ154" s="727"/>
      <c r="AK154" s="727"/>
      <c r="AL154" s="853"/>
    </row>
    <row r="155" spans="1:38">
      <c r="A155" s="727"/>
      <c r="B155" s="727"/>
      <c r="C155" s="727"/>
      <c r="D155" s="727"/>
      <c r="E155" s="727"/>
      <c r="F155" s="727"/>
      <c r="G155" s="727"/>
      <c r="H155" s="727"/>
      <c r="I155" s="727"/>
      <c r="J155" s="727"/>
      <c r="K155" s="727"/>
      <c r="L155" s="727"/>
      <c r="M155" s="727"/>
      <c r="N155" s="727"/>
      <c r="O155" s="727"/>
      <c r="P155" s="727"/>
      <c r="Q155" s="727"/>
      <c r="R155" s="727"/>
      <c r="S155" s="727"/>
      <c r="T155" s="727"/>
      <c r="U155" s="727"/>
      <c r="V155" s="727"/>
      <c r="W155" s="727"/>
      <c r="X155" s="727"/>
      <c r="Y155" s="727"/>
      <c r="Z155" s="727"/>
      <c r="AA155" s="727"/>
      <c r="AB155" s="727"/>
      <c r="AC155" s="727"/>
      <c r="AD155" s="727"/>
      <c r="AE155" s="727"/>
      <c r="AF155" s="727"/>
      <c r="AG155" s="727"/>
      <c r="AH155" s="727"/>
      <c r="AI155" s="727"/>
      <c r="AJ155" s="727"/>
      <c r="AK155" s="727"/>
      <c r="AL155" s="853"/>
    </row>
    <row r="156" spans="1:38">
      <c r="A156" s="727"/>
      <c r="B156" s="727"/>
      <c r="C156" s="727"/>
      <c r="D156" s="727"/>
      <c r="E156" s="727"/>
      <c r="F156" s="727"/>
      <c r="G156" s="727"/>
      <c r="H156" s="727"/>
      <c r="I156" s="727"/>
      <c r="J156" s="727"/>
      <c r="K156" s="727"/>
      <c r="L156" s="727"/>
      <c r="M156" s="727"/>
      <c r="N156" s="727"/>
      <c r="O156" s="727"/>
      <c r="P156" s="727"/>
      <c r="Q156" s="727"/>
      <c r="R156" s="727"/>
      <c r="S156" s="727"/>
      <c r="T156" s="727"/>
      <c r="U156" s="727"/>
      <c r="V156" s="727"/>
      <c r="W156" s="727"/>
      <c r="X156" s="727"/>
      <c r="Y156" s="727"/>
      <c r="Z156" s="727"/>
      <c r="AA156" s="727"/>
      <c r="AB156" s="727"/>
      <c r="AC156" s="727"/>
      <c r="AD156" s="727"/>
      <c r="AE156" s="727"/>
      <c r="AF156" s="727"/>
      <c r="AG156" s="727"/>
      <c r="AH156" s="727"/>
      <c r="AI156" s="727"/>
      <c r="AJ156" s="727"/>
      <c r="AK156" s="727"/>
      <c r="AL156" s="853"/>
    </row>
    <row r="157" spans="1:38">
      <c r="A157" s="727"/>
      <c r="B157" s="727"/>
      <c r="C157" s="727"/>
      <c r="D157" s="727"/>
      <c r="E157" s="727"/>
      <c r="F157" s="727"/>
      <c r="G157" s="727"/>
      <c r="H157" s="727"/>
      <c r="I157" s="727"/>
      <c r="J157" s="727"/>
      <c r="K157" s="727"/>
      <c r="L157" s="727"/>
      <c r="M157" s="727"/>
      <c r="N157" s="727"/>
      <c r="O157" s="727"/>
      <c r="P157" s="727"/>
      <c r="Q157" s="727"/>
      <c r="R157" s="727"/>
      <c r="S157" s="727"/>
      <c r="T157" s="727"/>
      <c r="U157" s="727"/>
      <c r="V157" s="727"/>
      <c r="W157" s="727"/>
      <c r="X157" s="727"/>
      <c r="Y157" s="727"/>
      <c r="Z157" s="727"/>
      <c r="AA157" s="727"/>
      <c r="AB157" s="727"/>
      <c r="AC157" s="727"/>
      <c r="AD157" s="727"/>
      <c r="AE157" s="727"/>
      <c r="AF157" s="727"/>
      <c r="AG157" s="727"/>
      <c r="AH157" s="727"/>
      <c r="AI157" s="727"/>
      <c r="AJ157" s="727"/>
      <c r="AK157" s="727"/>
      <c r="AL157" s="853"/>
    </row>
    <row r="158" spans="1:38">
      <c r="A158" s="727"/>
      <c r="B158" s="727"/>
      <c r="C158" s="727"/>
      <c r="D158" s="727"/>
      <c r="E158" s="727"/>
      <c r="F158" s="727"/>
      <c r="G158" s="727"/>
      <c r="H158" s="727"/>
      <c r="I158" s="727"/>
      <c r="J158" s="727"/>
      <c r="K158" s="727"/>
      <c r="L158" s="727"/>
      <c r="M158" s="727"/>
      <c r="N158" s="727"/>
      <c r="O158" s="727"/>
      <c r="P158" s="727"/>
      <c r="Q158" s="727"/>
      <c r="R158" s="727"/>
      <c r="S158" s="727"/>
      <c r="T158" s="727"/>
      <c r="U158" s="727"/>
      <c r="V158" s="727"/>
      <c r="W158" s="727"/>
      <c r="X158" s="727"/>
      <c r="Y158" s="727"/>
      <c r="Z158" s="727"/>
      <c r="AA158" s="727"/>
      <c r="AB158" s="727"/>
      <c r="AC158" s="727"/>
      <c r="AD158" s="727"/>
      <c r="AE158" s="727"/>
      <c r="AF158" s="727"/>
      <c r="AG158" s="727"/>
      <c r="AH158" s="727"/>
      <c r="AI158" s="727"/>
      <c r="AJ158" s="727"/>
      <c r="AK158" s="727"/>
      <c r="AL158" s="853"/>
    </row>
    <row r="159" spans="1:38">
      <c r="A159" s="727"/>
      <c r="B159" s="727"/>
      <c r="C159" s="727"/>
      <c r="D159" s="727"/>
      <c r="E159" s="727"/>
      <c r="F159" s="727"/>
      <c r="G159" s="727"/>
      <c r="H159" s="727"/>
      <c r="I159" s="727"/>
      <c r="J159" s="727"/>
      <c r="K159" s="727"/>
      <c r="L159" s="727"/>
      <c r="M159" s="727"/>
      <c r="N159" s="727"/>
      <c r="O159" s="727"/>
      <c r="P159" s="727"/>
      <c r="Q159" s="727"/>
      <c r="R159" s="727"/>
      <c r="S159" s="727"/>
      <c r="T159" s="727"/>
      <c r="U159" s="727"/>
      <c r="V159" s="727"/>
      <c r="W159" s="727"/>
      <c r="X159" s="727"/>
      <c r="Y159" s="727"/>
      <c r="Z159" s="727"/>
      <c r="AA159" s="727"/>
      <c r="AB159" s="727"/>
      <c r="AC159" s="727"/>
      <c r="AD159" s="727"/>
      <c r="AE159" s="727"/>
      <c r="AF159" s="727"/>
      <c r="AG159" s="727"/>
      <c r="AH159" s="727"/>
      <c r="AI159" s="727"/>
      <c r="AJ159" s="727"/>
      <c r="AK159" s="727"/>
      <c r="AL159" s="853"/>
    </row>
    <row r="160" spans="1:38">
      <c r="A160" s="727"/>
      <c r="B160" s="727"/>
      <c r="C160" s="727"/>
      <c r="D160" s="727"/>
      <c r="E160" s="727"/>
      <c r="F160" s="727"/>
      <c r="G160" s="727"/>
      <c r="H160" s="727"/>
      <c r="I160" s="727"/>
      <c r="J160" s="727"/>
      <c r="K160" s="727"/>
      <c r="L160" s="727"/>
      <c r="M160" s="727"/>
      <c r="N160" s="727"/>
      <c r="O160" s="727"/>
      <c r="P160" s="727"/>
      <c r="Q160" s="727"/>
      <c r="R160" s="727"/>
      <c r="S160" s="727"/>
      <c r="T160" s="727"/>
      <c r="U160" s="727"/>
      <c r="V160" s="727"/>
      <c r="W160" s="727"/>
      <c r="X160" s="727"/>
      <c r="Y160" s="727"/>
      <c r="Z160" s="727"/>
      <c r="AA160" s="727"/>
      <c r="AB160" s="727"/>
      <c r="AC160" s="727"/>
      <c r="AD160" s="727"/>
      <c r="AE160" s="727"/>
      <c r="AF160" s="727"/>
      <c r="AG160" s="727"/>
      <c r="AH160" s="727"/>
      <c r="AI160" s="727"/>
      <c r="AJ160" s="727"/>
      <c r="AK160" s="727"/>
      <c r="AL160" s="853"/>
    </row>
    <row r="161" spans="1:38">
      <c r="A161" s="727"/>
      <c r="B161" s="727"/>
      <c r="C161" s="727"/>
      <c r="D161" s="727"/>
      <c r="E161" s="727"/>
      <c r="F161" s="727"/>
      <c r="G161" s="727"/>
      <c r="H161" s="727"/>
      <c r="I161" s="727"/>
      <c r="J161" s="727"/>
      <c r="K161" s="727"/>
      <c r="L161" s="727"/>
      <c r="M161" s="727"/>
      <c r="N161" s="727"/>
      <c r="O161" s="727"/>
      <c r="P161" s="727"/>
      <c r="Q161" s="727"/>
      <c r="R161" s="727"/>
      <c r="S161" s="727"/>
      <c r="T161" s="727"/>
      <c r="U161" s="727"/>
      <c r="V161" s="727"/>
      <c r="W161" s="727"/>
      <c r="X161" s="727"/>
      <c r="Y161" s="727"/>
      <c r="Z161" s="727"/>
      <c r="AA161" s="727"/>
      <c r="AB161" s="727"/>
      <c r="AC161" s="727"/>
      <c r="AD161" s="727"/>
      <c r="AE161" s="727"/>
      <c r="AF161" s="727"/>
      <c r="AG161" s="727"/>
      <c r="AH161" s="727"/>
      <c r="AI161" s="727"/>
      <c r="AJ161" s="727"/>
      <c r="AK161" s="727"/>
      <c r="AL161" s="853"/>
    </row>
    <row r="162" spans="1:38">
      <c r="A162" s="727"/>
      <c r="B162" s="727"/>
      <c r="C162" s="727"/>
      <c r="D162" s="727"/>
      <c r="E162" s="727"/>
      <c r="F162" s="727"/>
      <c r="G162" s="727"/>
      <c r="H162" s="727"/>
      <c r="I162" s="727"/>
      <c r="J162" s="727"/>
      <c r="K162" s="727"/>
      <c r="L162" s="727"/>
      <c r="M162" s="727"/>
      <c r="N162" s="727"/>
      <c r="O162" s="727"/>
      <c r="P162" s="727"/>
      <c r="Q162" s="727"/>
      <c r="R162" s="727"/>
      <c r="S162" s="727"/>
      <c r="T162" s="727"/>
      <c r="U162" s="727"/>
      <c r="V162" s="727"/>
      <c r="W162" s="727"/>
      <c r="X162" s="727"/>
      <c r="Y162" s="727"/>
      <c r="Z162" s="727"/>
      <c r="AA162" s="727"/>
      <c r="AB162" s="727"/>
      <c r="AC162" s="727"/>
      <c r="AD162" s="727"/>
      <c r="AE162" s="727"/>
      <c r="AF162" s="727"/>
      <c r="AG162" s="727"/>
      <c r="AH162" s="727"/>
      <c r="AI162" s="727"/>
      <c r="AJ162" s="727"/>
      <c r="AK162" s="727"/>
      <c r="AL162" s="853"/>
    </row>
    <row r="163" spans="1:38">
      <c r="A163" s="727"/>
      <c r="B163" s="727"/>
      <c r="C163" s="727"/>
      <c r="D163" s="727"/>
      <c r="E163" s="727"/>
      <c r="F163" s="727"/>
      <c r="G163" s="727"/>
      <c r="H163" s="727"/>
      <c r="I163" s="727"/>
      <c r="J163" s="727"/>
      <c r="K163" s="727"/>
      <c r="L163" s="727"/>
      <c r="M163" s="727"/>
      <c r="N163" s="727"/>
      <c r="O163" s="727"/>
      <c r="P163" s="727"/>
      <c r="Q163" s="727"/>
      <c r="R163" s="727"/>
      <c r="S163" s="727"/>
      <c r="T163" s="727"/>
      <c r="U163" s="727"/>
      <c r="V163" s="727"/>
      <c r="W163" s="727"/>
      <c r="X163" s="727"/>
      <c r="Y163" s="727"/>
      <c r="Z163" s="727"/>
      <c r="AA163" s="727"/>
      <c r="AB163" s="727"/>
      <c r="AC163" s="727"/>
      <c r="AD163" s="727"/>
      <c r="AE163" s="727"/>
      <c r="AF163" s="727"/>
      <c r="AG163" s="727"/>
      <c r="AH163" s="727"/>
      <c r="AI163" s="727"/>
      <c r="AJ163" s="727"/>
      <c r="AK163" s="727"/>
      <c r="AL163" s="853"/>
    </row>
    <row r="164" spans="1:38">
      <c r="A164" s="727"/>
      <c r="B164" s="727"/>
      <c r="C164" s="727"/>
      <c r="D164" s="727"/>
      <c r="E164" s="727"/>
      <c r="F164" s="727"/>
      <c r="G164" s="727"/>
      <c r="H164" s="727"/>
      <c r="I164" s="727"/>
      <c r="J164" s="727"/>
      <c r="K164" s="727"/>
      <c r="L164" s="727"/>
      <c r="M164" s="727"/>
      <c r="N164" s="727"/>
      <c r="O164" s="727"/>
      <c r="P164" s="727"/>
      <c r="Q164" s="727"/>
      <c r="R164" s="727"/>
      <c r="S164" s="727"/>
      <c r="T164" s="727"/>
      <c r="U164" s="727"/>
      <c r="V164" s="727"/>
      <c r="W164" s="727"/>
      <c r="X164" s="727"/>
      <c r="Y164" s="727"/>
      <c r="Z164" s="727"/>
      <c r="AA164" s="727"/>
      <c r="AB164" s="727"/>
      <c r="AC164" s="727"/>
      <c r="AD164" s="727"/>
      <c r="AE164" s="727"/>
      <c r="AF164" s="727"/>
      <c r="AG164" s="727"/>
      <c r="AH164" s="727"/>
      <c r="AI164" s="727"/>
      <c r="AJ164" s="727"/>
      <c r="AK164" s="727"/>
      <c r="AL164" s="853"/>
    </row>
    <row r="165" spans="1:38">
      <c r="A165" s="727"/>
      <c r="B165" s="727"/>
      <c r="C165" s="727"/>
      <c r="D165" s="727"/>
      <c r="E165" s="727"/>
      <c r="F165" s="727"/>
      <c r="G165" s="727"/>
      <c r="H165" s="727"/>
      <c r="I165" s="727"/>
      <c r="J165" s="727"/>
      <c r="K165" s="727"/>
      <c r="L165" s="727"/>
      <c r="M165" s="727"/>
      <c r="N165" s="727"/>
      <c r="O165" s="727"/>
      <c r="P165" s="727"/>
      <c r="Q165" s="727"/>
      <c r="R165" s="727"/>
      <c r="S165" s="727"/>
      <c r="T165" s="727"/>
      <c r="U165" s="727"/>
      <c r="V165" s="727"/>
      <c r="W165" s="727"/>
      <c r="X165" s="727"/>
      <c r="Y165" s="727"/>
      <c r="Z165" s="727"/>
      <c r="AA165" s="727"/>
      <c r="AB165" s="727"/>
      <c r="AC165" s="727"/>
      <c r="AD165" s="727"/>
      <c r="AE165" s="727"/>
      <c r="AF165" s="727"/>
      <c r="AG165" s="727"/>
      <c r="AH165" s="727"/>
      <c r="AI165" s="727"/>
      <c r="AJ165" s="727"/>
      <c r="AK165" s="727"/>
      <c r="AL165" s="853"/>
    </row>
    <row r="166" spans="1:38">
      <c r="A166" s="727"/>
      <c r="B166" s="727"/>
      <c r="C166" s="727"/>
      <c r="D166" s="727"/>
      <c r="E166" s="727"/>
      <c r="F166" s="727"/>
      <c r="G166" s="727"/>
      <c r="H166" s="727"/>
      <c r="I166" s="727"/>
      <c r="J166" s="727"/>
      <c r="K166" s="727"/>
      <c r="L166" s="727"/>
      <c r="M166" s="727"/>
      <c r="N166" s="727"/>
      <c r="O166" s="727"/>
      <c r="P166" s="727"/>
      <c r="Q166" s="727"/>
      <c r="R166" s="727"/>
      <c r="S166" s="727"/>
      <c r="T166" s="727"/>
      <c r="U166" s="727"/>
      <c r="V166" s="727"/>
      <c r="W166" s="727"/>
      <c r="X166" s="727"/>
      <c r="Y166" s="727"/>
      <c r="Z166" s="727"/>
      <c r="AA166" s="727"/>
      <c r="AB166" s="727"/>
      <c r="AC166" s="727"/>
      <c r="AD166" s="727"/>
      <c r="AE166" s="727"/>
      <c r="AF166" s="727"/>
      <c r="AG166" s="727"/>
      <c r="AH166" s="727"/>
      <c r="AI166" s="727"/>
      <c r="AJ166" s="727"/>
      <c r="AK166" s="727"/>
      <c r="AL166" s="853"/>
    </row>
    <row r="167" spans="1:38">
      <c r="A167" s="727"/>
      <c r="B167" s="727"/>
      <c r="C167" s="727"/>
      <c r="D167" s="727"/>
      <c r="E167" s="727"/>
      <c r="F167" s="727"/>
      <c r="G167" s="727"/>
      <c r="H167" s="727"/>
      <c r="I167" s="727"/>
      <c r="J167" s="727"/>
      <c r="K167" s="727"/>
      <c r="L167" s="727"/>
      <c r="M167" s="727"/>
      <c r="N167" s="727"/>
      <c r="O167" s="727"/>
      <c r="P167" s="727"/>
      <c r="Q167" s="727"/>
      <c r="R167" s="727"/>
      <c r="S167" s="727"/>
      <c r="T167" s="727"/>
      <c r="U167" s="727"/>
      <c r="V167" s="727"/>
      <c r="W167" s="727"/>
      <c r="X167" s="727"/>
      <c r="Y167" s="727"/>
      <c r="Z167" s="727"/>
      <c r="AA167" s="727"/>
      <c r="AB167" s="727"/>
      <c r="AC167" s="727"/>
      <c r="AD167" s="727"/>
      <c r="AE167" s="727"/>
      <c r="AF167" s="727"/>
      <c r="AG167" s="727"/>
      <c r="AH167" s="727"/>
      <c r="AI167" s="727"/>
      <c r="AJ167" s="727"/>
      <c r="AK167" s="727"/>
      <c r="AL167" s="853"/>
    </row>
    <row r="168" spans="1:38">
      <c r="A168" s="727"/>
      <c r="B168" s="727"/>
      <c r="C168" s="727"/>
      <c r="D168" s="727"/>
      <c r="E168" s="727"/>
      <c r="F168" s="727"/>
      <c r="G168" s="727"/>
      <c r="H168" s="727"/>
      <c r="I168" s="727"/>
      <c r="J168" s="727"/>
      <c r="K168" s="727"/>
      <c r="L168" s="727"/>
      <c r="M168" s="727"/>
      <c r="N168" s="727"/>
      <c r="O168" s="727"/>
      <c r="P168" s="727"/>
      <c r="Q168" s="727"/>
      <c r="R168" s="727"/>
      <c r="S168" s="727"/>
      <c r="T168" s="727"/>
      <c r="U168" s="727"/>
      <c r="V168" s="727"/>
      <c r="W168" s="727"/>
      <c r="X168" s="727"/>
      <c r="Y168" s="727"/>
      <c r="Z168" s="727"/>
      <c r="AA168" s="727"/>
      <c r="AB168" s="727"/>
      <c r="AC168" s="727"/>
      <c r="AD168" s="727"/>
      <c r="AE168" s="727"/>
      <c r="AF168" s="727"/>
      <c r="AG168" s="727"/>
      <c r="AH168" s="727"/>
      <c r="AI168" s="727"/>
      <c r="AJ168" s="727"/>
      <c r="AK168" s="727"/>
      <c r="AL168" s="853"/>
    </row>
    <row r="169" spans="1:38">
      <c r="A169" s="727"/>
      <c r="B169" s="727"/>
      <c r="C169" s="727"/>
      <c r="D169" s="727"/>
      <c r="E169" s="727"/>
      <c r="F169" s="727"/>
      <c r="G169" s="727"/>
      <c r="H169" s="727"/>
      <c r="I169" s="727"/>
      <c r="J169" s="727"/>
      <c r="K169" s="727"/>
      <c r="L169" s="727"/>
      <c r="M169" s="727"/>
      <c r="N169" s="727"/>
      <c r="O169" s="727"/>
      <c r="P169" s="727"/>
      <c r="Q169" s="727"/>
      <c r="R169" s="727"/>
      <c r="S169" s="727"/>
      <c r="T169" s="727"/>
      <c r="U169" s="727"/>
      <c r="V169" s="727"/>
      <c r="W169" s="727"/>
      <c r="X169" s="727"/>
      <c r="Y169" s="727"/>
      <c r="Z169" s="727"/>
      <c r="AA169" s="727"/>
      <c r="AB169" s="727"/>
      <c r="AC169" s="727"/>
      <c r="AD169" s="727"/>
      <c r="AE169" s="727"/>
      <c r="AF169" s="727"/>
      <c r="AG169" s="727"/>
      <c r="AH169" s="727"/>
      <c r="AI169" s="727"/>
      <c r="AJ169" s="727"/>
      <c r="AK169" s="727"/>
      <c r="AL169" s="853"/>
    </row>
    <row r="170" spans="1:38">
      <c r="A170" s="727"/>
      <c r="B170" s="727"/>
      <c r="C170" s="727"/>
      <c r="D170" s="727"/>
      <c r="E170" s="727"/>
      <c r="F170" s="727"/>
      <c r="G170" s="727"/>
      <c r="H170" s="727"/>
      <c r="I170" s="727"/>
      <c r="J170" s="727"/>
      <c r="K170" s="727"/>
      <c r="L170" s="727"/>
      <c r="M170" s="727"/>
      <c r="N170" s="727"/>
      <c r="O170" s="727"/>
      <c r="P170" s="727"/>
      <c r="Q170" s="727"/>
      <c r="R170" s="727"/>
      <c r="S170" s="727"/>
      <c r="T170" s="727"/>
      <c r="U170" s="727"/>
      <c r="V170" s="727"/>
      <c r="W170" s="727"/>
      <c r="X170" s="727"/>
      <c r="Y170" s="727"/>
      <c r="Z170" s="727"/>
      <c r="AA170" s="727"/>
      <c r="AB170" s="727"/>
      <c r="AC170" s="727"/>
      <c r="AD170" s="727"/>
      <c r="AE170" s="727"/>
      <c r="AF170" s="727"/>
      <c r="AG170" s="727"/>
      <c r="AH170" s="727"/>
      <c r="AI170" s="727"/>
      <c r="AJ170" s="727"/>
      <c r="AK170" s="727"/>
      <c r="AL170" s="853"/>
    </row>
    <row r="171" spans="1:38">
      <c r="A171" s="727"/>
      <c r="B171" s="727"/>
      <c r="C171" s="727"/>
      <c r="D171" s="727"/>
      <c r="E171" s="727"/>
      <c r="F171" s="727"/>
      <c r="G171" s="727"/>
      <c r="H171" s="727"/>
      <c r="I171" s="727"/>
      <c r="J171" s="727"/>
      <c r="K171" s="727"/>
      <c r="L171" s="727"/>
      <c r="M171" s="727"/>
      <c r="N171" s="727"/>
      <c r="O171" s="727"/>
      <c r="P171" s="727"/>
      <c r="Q171" s="727"/>
      <c r="R171" s="727"/>
      <c r="S171" s="727"/>
      <c r="T171" s="727"/>
      <c r="U171" s="727"/>
      <c r="V171" s="727"/>
      <c r="W171" s="727"/>
      <c r="X171" s="727"/>
      <c r="Y171" s="727"/>
      <c r="Z171" s="727"/>
      <c r="AA171" s="727"/>
      <c r="AB171" s="727"/>
      <c r="AC171" s="727"/>
      <c r="AD171" s="727"/>
      <c r="AE171" s="727"/>
      <c r="AF171" s="727"/>
      <c r="AG171" s="727"/>
      <c r="AH171" s="727"/>
      <c r="AI171" s="727"/>
      <c r="AJ171" s="727"/>
      <c r="AK171" s="727"/>
      <c r="AL171" s="853"/>
    </row>
    <row r="172" spans="1:38">
      <c r="A172" s="727"/>
      <c r="B172" s="727"/>
      <c r="C172" s="727"/>
      <c r="D172" s="727"/>
      <c r="E172" s="727"/>
      <c r="F172" s="727"/>
      <c r="G172" s="727"/>
      <c r="H172" s="727"/>
      <c r="I172" s="727"/>
      <c r="J172" s="727"/>
      <c r="K172" s="727"/>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7"/>
      <c r="AI172" s="727"/>
      <c r="AJ172" s="727"/>
      <c r="AK172" s="727"/>
      <c r="AL172" s="853"/>
    </row>
    <row r="173" spans="1:38">
      <c r="A173" s="727"/>
      <c r="B173" s="727"/>
      <c r="C173" s="727"/>
      <c r="D173" s="727"/>
      <c r="E173" s="727"/>
      <c r="F173" s="727"/>
      <c r="G173" s="727"/>
      <c r="H173" s="727"/>
      <c r="I173" s="727"/>
      <c r="J173" s="727"/>
      <c r="K173" s="727"/>
      <c r="L173" s="727"/>
      <c r="M173" s="727"/>
      <c r="N173" s="727"/>
      <c r="O173" s="727"/>
      <c r="P173" s="727"/>
      <c r="Q173" s="727"/>
      <c r="R173" s="727"/>
      <c r="S173" s="727"/>
      <c r="T173" s="727"/>
      <c r="U173" s="727"/>
      <c r="V173" s="727"/>
      <c r="W173" s="727"/>
      <c r="X173" s="727"/>
      <c r="Y173" s="727"/>
      <c r="Z173" s="727"/>
      <c r="AA173" s="727"/>
      <c r="AB173" s="727"/>
      <c r="AC173" s="727"/>
      <c r="AD173" s="727"/>
      <c r="AE173" s="727"/>
      <c r="AF173" s="727"/>
      <c r="AG173" s="727"/>
      <c r="AH173" s="727"/>
      <c r="AI173" s="727"/>
      <c r="AJ173" s="727"/>
      <c r="AK173" s="727"/>
      <c r="AL173" s="853"/>
    </row>
    <row r="174" spans="1:38">
      <c r="A174" s="727"/>
      <c r="B174" s="727"/>
      <c r="C174" s="727"/>
      <c r="D174" s="727"/>
      <c r="E174" s="727"/>
      <c r="F174" s="727"/>
      <c r="G174" s="727"/>
      <c r="H174" s="727"/>
      <c r="I174" s="727"/>
      <c r="J174" s="727"/>
      <c r="K174" s="727"/>
      <c r="L174" s="727"/>
      <c r="M174" s="727"/>
      <c r="N174" s="727"/>
      <c r="O174" s="727"/>
      <c r="P174" s="727"/>
      <c r="Q174" s="727"/>
      <c r="R174" s="727"/>
      <c r="S174" s="727"/>
      <c r="T174" s="727"/>
      <c r="U174" s="727"/>
      <c r="V174" s="727"/>
      <c r="W174" s="727"/>
      <c r="X174" s="727"/>
      <c r="Y174" s="727"/>
      <c r="Z174" s="727"/>
      <c r="AA174" s="727"/>
      <c r="AB174" s="727"/>
      <c r="AC174" s="727"/>
      <c r="AD174" s="727"/>
      <c r="AE174" s="727"/>
      <c r="AF174" s="727"/>
      <c r="AG174" s="727"/>
      <c r="AH174" s="727"/>
      <c r="AI174" s="727"/>
      <c r="AJ174" s="727"/>
      <c r="AK174" s="727"/>
      <c r="AL174" s="853"/>
    </row>
    <row r="175" spans="1:38">
      <c r="A175" s="727"/>
      <c r="B175" s="727"/>
      <c r="C175" s="727"/>
      <c r="D175" s="727"/>
      <c r="E175" s="727"/>
      <c r="F175" s="727"/>
      <c r="G175" s="727"/>
      <c r="H175" s="727"/>
      <c r="I175" s="727"/>
      <c r="J175" s="727"/>
      <c r="K175" s="727"/>
      <c r="L175" s="727"/>
      <c r="M175" s="727"/>
      <c r="N175" s="727"/>
      <c r="O175" s="727"/>
      <c r="P175" s="727"/>
      <c r="Q175" s="727"/>
      <c r="R175" s="727"/>
      <c r="S175" s="727"/>
      <c r="T175" s="727"/>
      <c r="U175" s="727"/>
      <c r="V175" s="727"/>
      <c r="W175" s="727"/>
      <c r="X175" s="727"/>
      <c r="Y175" s="727"/>
      <c r="Z175" s="727"/>
      <c r="AA175" s="727"/>
      <c r="AB175" s="727"/>
      <c r="AC175" s="727"/>
      <c r="AD175" s="727"/>
      <c r="AE175" s="727"/>
      <c r="AF175" s="727"/>
      <c r="AG175" s="727"/>
      <c r="AH175" s="727"/>
      <c r="AI175" s="727"/>
      <c r="AJ175" s="727"/>
      <c r="AK175" s="727"/>
      <c r="AL175" s="853"/>
    </row>
    <row r="176" spans="1:38">
      <c r="A176" s="727"/>
      <c r="B176" s="727"/>
      <c r="C176" s="727"/>
      <c r="D176" s="727"/>
      <c r="E176" s="727"/>
      <c r="F176" s="727"/>
      <c r="G176" s="727"/>
      <c r="H176" s="727"/>
      <c r="I176" s="727"/>
      <c r="J176" s="727"/>
      <c r="K176" s="727"/>
      <c r="L176" s="727"/>
      <c r="M176" s="727"/>
      <c r="N176" s="727"/>
      <c r="O176" s="727"/>
      <c r="P176" s="727"/>
      <c r="Q176" s="727"/>
      <c r="R176" s="727"/>
      <c r="S176" s="727"/>
      <c r="T176" s="727"/>
      <c r="U176" s="727"/>
      <c r="V176" s="727"/>
      <c r="W176" s="727"/>
      <c r="X176" s="727"/>
      <c r="Y176" s="727"/>
      <c r="Z176" s="727"/>
      <c r="AA176" s="727"/>
      <c r="AB176" s="727"/>
      <c r="AC176" s="727"/>
      <c r="AD176" s="727"/>
      <c r="AE176" s="727"/>
      <c r="AF176" s="727"/>
      <c r="AG176" s="727"/>
      <c r="AH176" s="727"/>
      <c r="AI176" s="727"/>
      <c r="AJ176" s="727"/>
      <c r="AK176" s="727"/>
      <c r="AL176" s="853"/>
    </row>
    <row r="177" spans="1:38">
      <c r="A177" s="727"/>
      <c r="B177" s="727"/>
      <c r="C177" s="727"/>
      <c r="D177" s="727"/>
      <c r="E177" s="727"/>
      <c r="F177" s="727"/>
      <c r="G177" s="727"/>
      <c r="H177" s="727"/>
      <c r="I177" s="727"/>
      <c r="J177" s="727"/>
      <c r="K177" s="727"/>
      <c r="L177" s="727"/>
      <c r="M177" s="727"/>
      <c r="N177" s="727"/>
      <c r="O177" s="727"/>
      <c r="P177" s="727"/>
      <c r="Q177" s="727"/>
      <c r="R177" s="727"/>
      <c r="S177" s="727"/>
      <c r="T177" s="727"/>
      <c r="U177" s="727"/>
      <c r="V177" s="727"/>
      <c r="W177" s="727"/>
      <c r="X177" s="727"/>
      <c r="Y177" s="727"/>
      <c r="Z177" s="727"/>
      <c r="AA177" s="727"/>
      <c r="AB177" s="727"/>
      <c r="AC177" s="727"/>
      <c r="AD177" s="727"/>
      <c r="AE177" s="727"/>
      <c r="AF177" s="727"/>
      <c r="AG177" s="727"/>
      <c r="AH177" s="727"/>
      <c r="AI177" s="727"/>
      <c r="AJ177" s="727"/>
      <c r="AK177" s="727"/>
      <c r="AL177" s="853"/>
    </row>
    <row r="178" spans="1:38">
      <c r="A178" s="727"/>
      <c r="B178" s="727"/>
      <c r="C178" s="727"/>
      <c r="D178" s="727"/>
      <c r="E178" s="727"/>
      <c r="F178" s="727"/>
      <c r="G178" s="727"/>
      <c r="H178" s="727"/>
      <c r="I178" s="727"/>
      <c r="J178" s="727"/>
      <c r="K178" s="727"/>
      <c r="L178" s="727"/>
      <c r="M178" s="727"/>
      <c r="N178" s="727"/>
      <c r="O178" s="727"/>
      <c r="P178" s="727"/>
      <c r="Q178" s="727"/>
      <c r="R178" s="727"/>
      <c r="S178" s="727"/>
      <c r="T178" s="727"/>
      <c r="U178" s="727"/>
      <c r="V178" s="727"/>
      <c r="W178" s="727"/>
      <c r="X178" s="727"/>
      <c r="Y178" s="727"/>
      <c r="Z178" s="727"/>
      <c r="AA178" s="727"/>
      <c r="AB178" s="727"/>
      <c r="AC178" s="727"/>
      <c r="AD178" s="727"/>
      <c r="AE178" s="727"/>
      <c r="AF178" s="727"/>
      <c r="AG178" s="727"/>
      <c r="AH178" s="727"/>
      <c r="AI178" s="727"/>
      <c r="AJ178" s="727"/>
      <c r="AK178" s="727"/>
      <c r="AL178" s="853"/>
    </row>
    <row r="179" spans="1:38">
      <c r="A179" s="727"/>
      <c r="B179" s="727"/>
      <c r="C179" s="727"/>
      <c r="D179" s="727"/>
      <c r="E179" s="727"/>
      <c r="F179" s="727"/>
      <c r="G179" s="727"/>
      <c r="H179" s="727"/>
      <c r="I179" s="727"/>
      <c r="J179" s="727"/>
      <c r="K179" s="727"/>
      <c r="L179" s="727"/>
      <c r="M179" s="727"/>
      <c r="N179" s="727"/>
      <c r="O179" s="727"/>
      <c r="P179" s="727"/>
      <c r="Q179" s="727"/>
      <c r="R179" s="727"/>
      <c r="S179" s="727"/>
      <c r="T179" s="727"/>
      <c r="U179" s="727"/>
      <c r="V179" s="727"/>
      <c r="W179" s="727"/>
      <c r="X179" s="727"/>
      <c r="Y179" s="727"/>
      <c r="Z179" s="727"/>
      <c r="AA179" s="727"/>
      <c r="AB179" s="727"/>
      <c r="AC179" s="727"/>
      <c r="AD179" s="727"/>
      <c r="AE179" s="727"/>
      <c r="AF179" s="727"/>
      <c r="AG179" s="727"/>
      <c r="AH179" s="727"/>
      <c r="AI179" s="727"/>
      <c r="AJ179" s="727"/>
      <c r="AK179" s="727"/>
      <c r="AL179" s="853"/>
    </row>
    <row r="180" spans="1:38">
      <c r="A180" s="727"/>
      <c r="B180" s="727"/>
      <c r="C180" s="727"/>
      <c r="D180" s="727"/>
      <c r="E180" s="727"/>
      <c r="F180" s="727"/>
      <c r="G180" s="727"/>
      <c r="H180" s="727"/>
      <c r="I180" s="727"/>
      <c r="J180" s="727"/>
      <c r="K180" s="727"/>
      <c r="L180" s="727"/>
      <c r="M180" s="727"/>
      <c r="N180" s="727"/>
      <c r="O180" s="727"/>
      <c r="P180" s="727"/>
      <c r="Q180" s="727"/>
      <c r="R180" s="727"/>
      <c r="S180" s="727"/>
      <c r="T180" s="727"/>
      <c r="U180" s="727"/>
      <c r="V180" s="727"/>
      <c r="W180" s="727"/>
      <c r="X180" s="727"/>
      <c r="Y180" s="727"/>
      <c r="Z180" s="727"/>
      <c r="AA180" s="727"/>
      <c r="AB180" s="727"/>
      <c r="AC180" s="727"/>
      <c r="AD180" s="727"/>
      <c r="AE180" s="727"/>
      <c r="AF180" s="727"/>
      <c r="AG180" s="727"/>
      <c r="AH180" s="727"/>
      <c r="AI180" s="727"/>
      <c r="AJ180" s="727"/>
      <c r="AK180" s="727"/>
      <c r="AL180" s="853"/>
    </row>
    <row r="181" spans="1:38">
      <c r="A181" s="727"/>
      <c r="B181" s="727"/>
      <c r="C181" s="727"/>
      <c r="D181" s="727"/>
      <c r="E181" s="727"/>
      <c r="F181" s="727"/>
      <c r="G181" s="727"/>
      <c r="H181" s="727"/>
      <c r="I181" s="727"/>
      <c r="J181" s="727"/>
      <c r="K181" s="727"/>
      <c r="L181" s="727"/>
      <c r="M181" s="727"/>
      <c r="N181" s="727"/>
      <c r="O181" s="727"/>
      <c r="P181" s="727"/>
      <c r="Q181" s="727"/>
      <c r="R181" s="727"/>
      <c r="S181" s="727"/>
      <c r="T181" s="727"/>
      <c r="U181" s="727"/>
      <c r="V181" s="727"/>
      <c r="W181" s="727"/>
      <c r="X181" s="727"/>
      <c r="Y181" s="727"/>
      <c r="Z181" s="727"/>
      <c r="AA181" s="727"/>
      <c r="AB181" s="727"/>
      <c r="AC181" s="727"/>
      <c r="AD181" s="727"/>
      <c r="AE181" s="727"/>
      <c r="AF181" s="727"/>
      <c r="AG181" s="727"/>
      <c r="AH181" s="727"/>
      <c r="AI181" s="727"/>
      <c r="AJ181" s="727"/>
      <c r="AK181" s="727"/>
      <c r="AL181" s="853"/>
    </row>
    <row r="182" spans="1:38">
      <c r="A182" s="727"/>
      <c r="B182" s="727"/>
      <c r="C182" s="727"/>
      <c r="D182" s="727"/>
      <c r="E182" s="727"/>
      <c r="F182" s="727"/>
      <c r="G182" s="727"/>
      <c r="H182" s="727"/>
      <c r="I182" s="727"/>
      <c r="J182" s="727"/>
      <c r="K182" s="727"/>
      <c r="L182" s="727"/>
      <c r="M182" s="727"/>
      <c r="N182" s="727"/>
      <c r="O182" s="727"/>
      <c r="P182" s="727"/>
      <c r="Q182" s="727"/>
      <c r="R182" s="727"/>
      <c r="S182" s="727"/>
      <c r="T182" s="727"/>
      <c r="U182" s="727"/>
      <c r="V182" s="727"/>
      <c r="W182" s="727"/>
      <c r="X182" s="727"/>
      <c r="Y182" s="727"/>
      <c r="Z182" s="727"/>
      <c r="AA182" s="727"/>
      <c r="AB182" s="727"/>
      <c r="AC182" s="727"/>
      <c r="AD182" s="727"/>
      <c r="AE182" s="727"/>
      <c r="AF182" s="727"/>
      <c r="AG182" s="727"/>
      <c r="AH182" s="727"/>
      <c r="AI182" s="727"/>
      <c r="AJ182" s="727"/>
      <c r="AK182" s="727"/>
      <c r="AL182" s="853"/>
    </row>
    <row r="183" spans="1:38">
      <c r="A183" s="727"/>
      <c r="B183" s="727"/>
      <c r="C183" s="727"/>
      <c r="D183" s="727"/>
      <c r="E183" s="727"/>
      <c r="F183" s="727"/>
      <c r="G183" s="727"/>
      <c r="H183" s="727"/>
      <c r="I183" s="727"/>
      <c r="J183" s="727"/>
      <c r="K183" s="727"/>
      <c r="L183" s="727"/>
      <c r="M183" s="727"/>
      <c r="N183" s="727"/>
      <c r="O183" s="727"/>
      <c r="P183" s="727"/>
      <c r="Q183" s="727"/>
      <c r="R183" s="727"/>
      <c r="S183" s="727"/>
      <c r="T183" s="727"/>
      <c r="U183" s="727"/>
      <c r="V183" s="727"/>
      <c r="W183" s="727"/>
      <c r="X183" s="727"/>
      <c r="Y183" s="727"/>
      <c r="Z183" s="727"/>
      <c r="AA183" s="727"/>
      <c r="AB183" s="727"/>
      <c r="AC183" s="727"/>
      <c r="AD183" s="727"/>
      <c r="AE183" s="727"/>
      <c r="AF183" s="727"/>
      <c r="AG183" s="727"/>
      <c r="AH183" s="727"/>
      <c r="AI183" s="727"/>
      <c r="AJ183" s="727"/>
      <c r="AK183" s="727"/>
      <c r="AL183" s="853"/>
    </row>
    <row r="184" spans="1:38">
      <c r="A184" s="727"/>
      <c r="B184" s="727"/>
      <c r="C184" s="727"/>
      <c r="D184" s="727"/>
      <c r="E184" s="727"/>
      <c r="F184" s="727"/>
      <c r="G184" s="727"/>
      <c r="H184" s="727"/>
      <c r="I184" s="727"/>
      <c r="J184" s="727"/>
      <c r="K184" s="727"/>
      <c r="L184" s="727"/>
      <c r="M184" s="727"/>
      <c r="N184" s="727"/>
      <c r="O184" s="727"/>
      <c r="P184" s="727"/>
      <c r="Q184" s="727"/>
      <c r="R184" s="727"/>
      <c r="S184" s="727"/>
      <c r="T184" s="727"/>
      <c r="U184" s="727"/>
      <c r="V184" s="727"/>
      <c r="W184" s="727"/>
      <c r="X184" s="727"/>
      <c r="Y184" s="727"/>
      <c r="Z184" s="727"/>
      <c r="AA184" s="727"/>
      <c r="AB184" s="727"/>
      <c r="AC184" s="727"/>
      <c r="AD184" s="727"/>
      <c r="AE184" s="727"/>
      <c r="AF184" s="727"/>
      <c r="AG184" s="727"/>
      <c r="AH184" s="727"/>
      <c r="AI184" s="727"/>
      <c r="AJ184" s="727"/>
      <c r="AK184" s="727"/>
      <c r="AL184" s="853"/>
    </row>
    <row r="185" spans="1:38">
      <c r="A185" s="727"/>
      <c r="B185" s="727"/>
      <c r="C185" s="727"/>
      <c r="D185" s="727"/>
      <c r="E185" s="727"/>
      <c r="F185" s="727"/>
      <c r="G185" s="727"/>
      <c r="H185" s="727"/>
      <c r="I185" s="727"/>
      <c r="J185" s="727"/>
      <c r="K185" s="727"/>
      <c r="L185" s="727"/>
      <c r="M185" s="727"/>
      <c r="N185" s="727"/>
      <c r="O185" s="727"/>
      <c r="P185" s="727"/>
      <c r="Q185" s="727"/>
      <c r="R185" s="727"/>
      <c r="S185" s="727"/>
      <c r="T185" s="727"/>
      <c r="U185" s="727"/>
      <c r="V185" s="727"/>
      <c r="W185" s="727"/>
      <c r="X185" s="727"/>
      <c r="Y185" s="727"/>
      <c r="Z185" s="727"/>
      <c r="AA185" s="727"/>
      <c r="AB185" s="727"/>
      <c r="AC185" s="727"/>
      <c r="AD185" s="727"/>
      <c r="AE185" s="727"/>
      <c r="AF185" s="727"/>
      <c r="AG185" s="727"/>
      <c r="AH185" s="727"/>
      <c r="AI185" s="727"/>
      <c r="AJ185" s="727"/>
      <c r="AK185" s="727"/>
      <c r="AL185" s="853"/>
    </row>
    <row r="186" spans="1:38">
      <c r="A186" s="727"/>
      <c r="B186" s="727"/>
      <c r="C186" s="727"/>
      <c r="D186" s="727"/>
      <c r="E186" s="727"/>
      <c r="F186" s="727"/>
      <c r="G186" s="727"/>
      <c r="H186" s="727"/>
      <c r="I186" s="727"/>
      <c r="J186" s="727"/>
      <c r="K186" s="727"/>
      <c r="L186" s="727"/>
      <c r="M186" s="727"/>
      <c r="N186" s="727"/>
      <c r="O186" s="727"/>
      <c r="P186" s="727"/>
      <c r="Q186" s="727"/>
      <c r="R186" s="727"/>
      <c r="S186" s="727"/>
      <c r="T186" s="727"/>
      <c r="U186" s="727"/>
      <c r="V186" s="727"/>
      <c r="W186" s="727"/>
      <c r="X186" s="727"/>
      <c r="Y186" s="727"/>
      <c r="Z186" s="727"/>
      <c r="AA186" s="727"/>
      <c r="AB186" s="727"/>
      <c r="AC186" s="727"/>
      <c r="AD186" s="727"/>
      <c r="AE186" s="727"/>
      <c r="AF186" s="727"/>
      <c r="AG186" s="727"/>
      <c r="AH186" s="727"/>
      <c r="AI186" s="727"/>
      <c r="AJ186" s="727"/>
      <c r="AK186" s="727"/>
      <c r="AL186" s="853"/>
    </row>
    <row r="187" spans="1:38">
      <c r="A187" s="727"/>
      <c r="B187" s="727"/>
      <c r="C187" s="727"/>
      <c r="D187" s="727"/>
      <c r="E187" s="727"/>
      <c r="F187" s="727"/>
      <c r="G187" s="727"/>
      <c r="H187" s="727"/>
      <c r="I187" s="727"/>
      <c r="J187" s="727"/>
      <c r="K187" s="727"/>
      <c r="L187" s="727"/>
      <c r="M187" s="727"/>
      <c r="N187" s="727"/>
      <c r="O187" s="727"/>
      <c r="P187" s="727"/>
      <c r="Q187" s="727"/>
      <c r="R187" s="727"/>
      <c r="S187" s="727"/>
      <c r="T187" s="727"/>
      <c r="U187" s="727"/>
      <c r="V187" s="727"/>
      <c r="W187" s="727"/>
      <c r="X187" s="727"/>
      <c r="Y187" s="727"/>
      <c r="Z187" s="727"/>
      <c r="AA187" s="727"/>
      <c r="AB187" s="727"/>
      <c r="AC187" s="727"/>
      <c r="AD187" s="727"/>
      <c r="AE187" s="727"/>
      <c r="AF187" s="727"/>
      <c r="AG187" s="727"/>
      <c r="AH187" s="727"/>
      <c r="AI187" s="727"/>
      <c r="AJ187" s="727"/>
      <c r="AK187" s="727"/>
      <c r="AL187" s="853"/>
    </row>
    <row r="188" spans="1:38">
      <c r="A188" s="727"/>
      <c r="B188" s="727"/>
      <c r="C188" s="727"/>
      <c r="D188" s="727"/>
      <c r="E188" s="727"/>
      <c r="F188" s="727"/>
      <c r="G188" s="727"/>
      <c r="H188" s="727"/>
      <c r="I188" s="727"/>
      <c r="J188" s="727"/>
      <c r="K188" s="727"/>
      <c r="L188" s="727"/>
      <c r="M188" s="727"/>
      <c r="N188" s="727"/>
      <c r="O188" s="727"/>
      <c r="P188" s="727"/>
      <c r="Q188" s="727"/>
      <c r="R188" s="727"/>
      <c r="S188" s="727"/>
      <c r="T188" s="727"/>
      <c r="U188" s="727"/>
      <c r="V188" s="727"/>
      <c r="W188" s="727"/>
      <c r="X188" s="727"/>
      <c r="Y188" s="727"/>
      <c r="Z188" s="727"/>
      <c r="AA188" s="727"/>
      <c r="AB188" s="727"/>
      <c r="AC188" s="727"/>
      <c r="AD188" s="727"/>
      <c r="AE188" s="727"/>
      <c r="AF188" s="727"/>
      <c r="AG188" s="727"/>
      <c r="AH188" s="727"/>
      <c r="AI188" s="727"/>
      <c r="AJ188" s="727"/>
      <c r="AK188" s="727"/>
      <c r="AL188" s="853"/>
    </row>
    <row r="189" spans="1:38">
      <c r="A189" s="727"/>
      <c r="B189" s="727"/>
      <c r="C189" s="727"/>
      <c r="D189" s="727"/>
      <c r="E189" s="727"/>
      <c r="F189" s="727"/>
      <c r="G189" s="727"/>
      <c r="H189" s="727"/>
      <c r="I189" s="727"/>
      <c r="J189" s="727"/>
      <c r="K189" s="727"/>
      <c r="L189" s="727"/>
      <c r="M189" s="727"/>
      <c r="N189" s="727"/>
      <c r="O189" s="727"/>
      <c r="P189" s="727"/>
      <c r="Q189" s="727"/>
      <c r="R189" s="727"/>
      <c r="S189" s="727"/>
      <c r="T189" s="727"/>
      <c r="U189" s="727"/>
      <c r="V189" s="727"/>
      <c r="W189" s="727"/>
      <c r="X189" s="727"/>
      <c r="Y189" s="727"/>
      <c r="Z189" s="727"/>
      <c r="AA189" s="727"/>
      <c r="AB189" s="727"/>
      <c r="AC189" s="727"/>
      <c r="AD189" s="727"/>
      <c r="AE189" s="727"/>
      <c r="AF189" s="727"/>
      <c r="AG189" s="727"/>
      <c r="AH189" s="727"/>
      <c r="AI189" s="727"/>
      <c r="AJ189" s="727"/>
      <c r="AK189" s="727"/>
      <c r="AL189" s="853"/>
    </row>
    <row r="190" spans="1:38">
      <c r="A190" s="727"/>
      <c r="B190" s="727"/>
      <c r="C190" s="727"/>
      <c r="D190" s="727"/>
      <c r="E190" s="727"/>
      <c r="F190" s="727"/>
      <c r="G190" s="727"/>
      <c r="H190" s="727"/>
      <c r="I190" s="727"/>
      <c r="J190" s="727"/>
      <c r="K190" s="727"/>
      <c r="L190" s="727"/>
      <c r="M190" s="727"/>
      <c r="N190" s="727"/>
      <c r="O190" s="727"/>
      <c r="P190" s="727"/>
      <c r="Q190" s="727"/>
      <c r="R190" s="727"/>
      <c r="S190" s="727"/>
      <c r="T190" s="727"/>
      <c r="U190" s="727"/>
      <c r="V190" s="727"/>
      <c r="W190" s="727"/>
      <c r="X190" s="727"/>
      <c r="Y190" s="727"/>
      <c r="Z190" s="727"/>
      <c r="AA190" s="727"/>
      <c r="AB190" s="727"/>
      <c r="AC190" s="727"/>
      <c r="AD190" s="727"/>
      <c r="AE190" s="727"/>
      <c r="AF190" s="727"/>
      <c r="AG190" s="727"/>
      <c r="AH190" s="727"/>
      <c r="AI190" s="727"/>
      <c r="AJ190" s="727"/>
      <c r="AK190" s="727"/>
      <c r="AL190" s="853"/>
    </row>
    <row r="191" spans="1:38">
      <c r="A191" s="727"/>
      <c r="B191" s="727"/>
      <c r="C191" s="727"/>
      <c r="D191" s="727"/>
      <c r="E191" s="727"/>
      <c r="F191" s="727"/>
      <c r="G191" s="727"/>
      <c r="H191" s="727"/>
      <c r="I191" s="727"/>
      <c r="J191" s="727"/>
      <c r="K191" s="727"/>
      <c r="L191" s="727"/>
      <c r="M191" s="727"/>
      <c r="N191" s="727"/>
      <c r="O191" s="727"/>
      <c r="P191" s="727"/>
      <c r="Q191" s="727"/>
      <c r="R191" s="727"/>
      <c r="S191" s="727"/>
      <c r="T191" s="727"/>
      <c r="U191" s="727"/>
      <c r="V191" s="727"/>
      <c r="W191" s="727"/>
      <c r="X191" s="727"/>
      <c r="Y191" s="727"/>
      <c r="Z191" s="727"/>
      <c r="AA191" s="727"/>
      <c r="AB191" s="727"/>
      <c r="AC191" s="727"/>
      <c r="AD191" s="727"/>
      <c r="AE191" s="727"/>
      <c r="AF191" s="727"/>
      <c r="AG191" s="727"/>
      <c r="AH191" s="727"/>
      <c r="AI191" s="727"/>
      <c r="AJ191" s="727"/>
      <c r="AK191" s="727"/>
      <c r="AL191" s="853"/>
    </row>
    <row r="192" spans="1:38">
      <c r="A192" s="727"/>
      <c r="B192" s="727"/>
      <c r="C192" s="727"/>
      <c r="D192" s="727"/>
      <c r="E192" s="727"/>
      <c r="F192" s="727"/>
      <c r="G192" s="727"/>
      <c r="H192" s="727"/>
      <c r="I192" s="727"/>
      <c r="J192" s="727"/>
      <c r="K192" s="727"/>
      <c r="L192" s="727"/>
      <c r="M192" s="727"/>
      <c r="N192" s="727"/>
      <c r="O192" s="727"/>
      <c r="P192" s="727"/>
      <c r="Q192" s="727"/>
      <c r="R192" s="727"/>
      <c r="S192" s="727"/>
      <c r="T192" s="727"/>
      <c r="U192" s="727"/>
      <c r="V192" s="727"/>
      <c r="W192" s="727"/>
      <c r="X192" s="727"/>
      <c r="Y192" s="727"/>
      <c r="Z192" s="727"/>
      <c r="AA192" s="727"/>
      <c r="AB192" s="727"/>
      <c r="AC192" s="727"/>
      <c r="AD192" s="727"/>
      <c r="AE192" s="727"/>
      <c r="AF192" s="727"/>
      <c r="AG192" s="727"/>
      <c r="AH192" s="727"/>
      <c r="AI192" s="727"/>
      <c r="AJ192" s="727"/>
      <c r="AK192" s="727"/>
      <c r="AL192" s="853"/>
    </row>
    <row r="193" spans="1:38">
      <c r="A193" s="727"/>
      <c r="B193" s="727"/>
      <c r="C193" s="727"/>
      <c r="D193" s="727"/>
      <c r="E193" s="727"/>
      <c r="F193" s="727"/>
      <c r="G193" s="727"/>
      <c r="H193" s="727"/>
      <c r="I193" s="727"/>
      <c r="J193" s="727"/>
      <c r="K193" s="727"/>
      <c r="L193" s="727"/>
      <c r="M193" s="727"/>
      <c r="N193" s="727"/>
      <c r="O193" s="727"/>
      <c r="P193" s="727"/>
      <c r="Q193" s="727"/>
      <c r="R193" s="727"/>
      <c r="S193" s="727"/>
      <c r="T193" s="727"/>
      <c r="U193" s="727"/>
      <c r="V193" s="727"/>
      <c r="W193" s="727"/>
      <c r="X193" s="727"/>
      <c r="Y193" s="727"/>
      <c r="Z193" s="727"/>
      <c r="AA193" s="727"/>
      <c r="AB193" s="727"/>
      <c r="AC193" s="727"/>
      <c r="AD193" s="727"/>
      <c r="AE193" s="727"/>
      <c r="AF193" s="727"/>
      <c r="AG193" s="727"/>
      <c r="AH193" s="727"/>
      <c r="AI193" s="727"/>
      <c r="AJ193" s="727"/>
      <c r="AK193" s="727"/>
      <c r="AL193" s="853"/>
    </row>
    <row r="194" spans="1:38">
      <c r="A194" s="727"/>
      <c r="B194" s="727"/>
      <c r="C194" s="727"/>
      <c r="D194" s="727"/>
      <c r="E194" s="727"/>
      <c r="F194" s="727"/>
      <c r="G194" s="727"/>
      <c r="H194" s="727"/>
      <c r="I194" s="727"/>
      <c r="J194" s="727"/>
      <c r="K194" s="727"/>
      <c r="L194" s="727"/>
      <c r="M194" s="727"/>
      <c r="N194" s="727"/>
      <c r="O194" s="727"/>
      <c r="P194" s="727"/>
      <c r="Q194" s="727"/>
      <c r="R194" s="727"/>
      <c r="S194" s="727"/>
      <c r="T194" s="727"/>
      <c r="U194" s="727"/>
      <c r="V194" s="727"/>
      <c r="W194" s="727"/>
      <c r="X194" s="727"/>
      <c r="Y194" s="727"/>
      <c r="Z194" s="727"/>
      <c r="AA194" s="727"/>
      <c r="AB194" s="727"/>
      <c r="AC194" s="727"/>
      <c r="AD194" s="727"/>
      <c r="AE194" s="727"/>
      <c r="AF194" s="727"/>
      <c r="AG194" s="727"/>
      <c r="AH194" s="727"/>
      <c r="AI194" s="727"/>
      <c r="AJ194" s="727"/>
      <c r="AK194" s="727"/>
      <c r="AL194" s="853"/>
    </row>
    <row r="195" spans="1:38">
      <c r="A195" s="727"/>
      <c r="B195" s="727"/>
      <c r="C195" s="727"/>
      <c r="D195" s="727"/>
      <c r="E195" s="727"/>
      <c r="F195" s="727"/>
      <c r="G195" s="727"/>
      <c r="H195" s="727"/>
      <c r="I195" s="727"/>
      <c r="J195" s="727"/>
      <c r="K195" s="727"/>
      <c r="L195" s="727"/>
      <c r="M195" s="727"/>
      <c r="N195" s="727"/>
      <c r="O195" s="727"/>
      <c r="P195" s="727"/>
      <c r="Q195" s="727"/>
      <c r="R195" s="727"/>
      <c r="S195" s="727"/>
      <c r="T195" s="727"/>
      <c r="U195" s="727"/>
      <c r="V195" s="727"/>
      <c r="W195" s="727"/>
      <c r="X195" s="727"/>
      <c r="Y195" s="727"/>
      <c r="Z195" s="727"/>
      <c r="AA195" s="727"/>
      <c r="AB195" s="727"/>
      <c r="AC195" s="727"/>
      <c r="AD195" s="727"/>
      <c r="AE195" s="727"/>
      <c r="AF195" s="727"/>
      <c r="AG195" s="727"/>
      <c r="AH195" s="727"/>
      <c r="AI195" s="727"/>
      <c r="AJ195" s="727"/>
      <c r="AK195" s="727"/>
      <c r="AL195" s="853"/>
    </row>
    <row r="196" spans="1:38">
      <c r="A196" s="727"/>
      <c r="B196" s="727"/>
      <c r="C196" s="727"/>
      <c r="D196" s="727"/>
      <c r="E196" s="727"/>
      <c r="F196" s="727"/>
      <c r="G196" s="727"/>
      <c r="H196" s="727"/>
      <c r="I196" s="727"/>
      <c r="J196" s="727"/>
      <c r="K196" s="727"/>
      <c r="L196" s="727"/>
      <c r="M196" s="727"/>
      <c r="N196" s="727"/>
      <c r="O196" s="727"/>
      <c r="P196" s="727"/>
      <c r="Q196" s="727"/>
      <c r="R196" s="727"/>
      <c r="S196" s="727"/>
      <c r="T196" s="727"/>
      <c r="U196" s="727"/>
      <c r="V196" s="727"/>
      <c r="W196" s="727"/>
      <c r="X196" s="727"/>
      <c r="Y196" s="727"/>
      <c r="Z196" s="727"/>
      <c r="AA196" s="727"/>
      <c r="AB196" s="727"/>
      <c r="AC196" s="727"/>
      <c r="AD196" s="727"/>
      <c r="AE196" s="727"/>
      <c r="AF196" s="727"/>
      <c r="AG196" s="727"/>
      <c r="AH196" s="727"/>
      <c r="AI196" s="727"/>
      <c r="AJ196" s="727"/>
      <c r="AK196" s="727"/>
      <c r="AL196" s="853"/>
    </row>
    <row r="197" spans="1:38">
      <c r="A197" s="727"/>
      <c r="B197" s="727"/>
      <c r="C197" s="727"/>
      <c r="D197" s="727"/>
      <c r="E197" s="727"/>
      <c r="F197" s="727"/>
      <c r="G197" s="727"/>
      <c r="H197" s="727"/>
      <c r="I197" s="727"/>
      <c r="J197" s="727"/>
      <c r="K197" s="727"/>
      <c r="L197" s="727"/>
      <c r="M197" s="727"/>
      <c r="N197" s="727"/>
      <c r="O197" s="727"/>
      <c r="P197" s="727"/>
      <c r="Q197" s="727"/>
      <c r="R197" s="727"/>
      <c r="S197" s="727"/>
      <c r="T197" s="727"/>
      <c r="U197" s="727"/>
      <c r="V197" s="727"/>
      <c r="W197" s="727"/>
      <c r="X197" s="727"/>
      <c r="Y197" s="727"/>
      <c r="Z197" s="727"/>
      <c r="AA197" s="727"/>
      <c r="AB197" s="727"/>
      <c r="AC197" s="727"/>
      <c r="AD197" s="727"/>
      <c r="AE197" s="727"/>
      <c r="AF197" s="727"/>
      <c r="AG197" s="727"/>
      <c r="AH197" s="727"/>
      <c r="AI197" s="727"/>
      <c r="AJ197" s="727"/>
      <c r="AK197" s="727"/>
      <c r="AL197" s="853"/>
    </row>
    <row r="198" spans="1:38">
      <c r="A198" s="727"/>
      <c r="B198" s="727"/>
      <c r="C198" s="727"/>
      <c r="D198" s="727"/>
      <c r="E198" s="727"/>
      <c r="F198" s="727"/>
      <c r="G198" s="727"/>
      <c r="H198" s="727"/>
      <c r="I198" s="727"/>
      <c r="J198" s="727"/>
      <c r="K198" s="727"/>
      <c r="L198" s="727"/>
      <c r="M198" s="727"/>
      <c r="N198" s="727"/>
      <c r="O198" s="727"/>
      <c r="P198" s="727"/>
      <c r="Q198" s="727"/>
      <c r="R198" s="727"/>
      <c r="S198" s="727"/>
      <c r="T198" s="727"/>
      <c r="U198" s="727"/>
      <c r="V198" s="727"/>
      <c r="W198" s="727"/>
      <c r="X198" s="727"/>
      <c r="Y198" s="727"/>
      <c r="Z198" s="727"/>
      <c r="AA198" s="727"/>
      <c r="AB198" s="727"/>
      <c r="AC198" s="727"/>
      <c r="AD198" s="727"/>
      <c r="AE198" s="727"/>
      <c r="AF198" s="727"/>
      <c r="AG198" s="727"/>
      <c r="AH198" s="727"/>
      <c r="AI198" s="727"/>
      <c r="AJ198" s="727"/>
      <c r="AK198" s="727"/>
      <c r="AL198" s="853"/>
    </row>
    <row r="199" spans="1:38">
      <c r="A199" s="727"/>
      <c r="B199" s="727"/>
      <c r="C199" s="727"/>
      <c r="D199" s="727"/>
      <c r="E199" s="727"/>
      <c r="F199" s="727"/>
      <c r="G199" s="727"/>
      <c r="H199" s="727"/>
      <c r="I199" s="727"/>
      <c r="J199" s="727"/>
      <c r="K199" s="727"/>
      <c r="L199" s="727"/>
      <c r="M199" s="727"/>
      <c r="N199" s="727"/>
      <c r="O199" s="727"/>
      <c r="P199" s="727"/>
      <c r="Q199" s="727"/>
      <c r="R199" s="727"/>
      <c r="S199" s="727"/>
      <c r="T199" s="727"/>
      <c r="U199" s="727"/>
      <c r="V199" s="727"/>
      <c r="W199" s="727"/>
      <c r="X199" s="727"/>
      <c r="Y199" s="727"/>
      <c r="Z199" s="727"/>
      <c r="AA199" s="727"/>
      <c r="AB199" s="727"/>
      <c r="AC199" s="727"/>
      <c r="AD199" s="727"/>
      <c r="AE199" s="727"/>
      <c r="AF199" s="727"/>
      <c r="AG199" s="727"/>
      <c r="AH199" s="727"/>
      <c r="AI199" s="727"/>
      <c r="AJ199" s="727"/>
      <c r="AK199" s="727"/>
      <c r="AL199" s="853"/>
    </row>
    <row r="200" spans="1:38">
      <c r="A200" s="727"/>
      <c r="B200" s="727"/>
      <c r="C200" s="727"/>
      <c r="D200" s="727"/>
      <c r="E200" s="727"/>
      <c r="F200" s="727"/>
      <c r="G200" s="727"/>
      <c r="H200" s="727"/>
      <c r="I200" s="727"/>
      <c r="J200" s="727"/>
      <c r="K200" s="727"/>
      <c r="L200" s="727"/>
      <c r="M200" s="727"/>
      <c r="N200" s="727"/>
      <c r="O200" s="727"/>
      <c r="P200" s="727"/>
      <c r="Q200" s="727"/>
      <c r="R200" s="727"/>
      <c r="S200" s="727"/>
      <c r="T200" s="727"/>
      <c r="U200" s="727"/>
      <c r="V200" s="727"/>
      <c r="W200" s="727"/>
      <c r="X200" s="727"/>
      <c r="Y200" s="727"/>
      <c r="Z200" s="727"/>
      <c r="AA200" s="727"/>
      <c r="AB200" s="727"/>
      <c r="AC200" s="727"/>
      <c r="AD200" s="727"/>
      <c r="AE200" s="727"/>
      <c r="AF200" s="727"/>
      <c r="AG200" s="727"/>
      <c r="AH200" s="727"/>
      <c r="AI200" s="727"/>
      <c r="AJ200" s="727"/>
      <c r="AK200" s="727"/>
      <c r="AL200" s="853"/>
    </row>
    <row r="201" spans="1:38">
      <c r="A201" s="727"/>
      <c r="B201" s="727"/>
      <c r="C201" s="727"/>
      <c r="D201" s="727"/>
      <c r="E201" s="727"/>
      <c r="F201" s="727"/>
      <c r="G201" s="727"/>
      <c r="H201" s="727"/>
      <c r="I201" s="727"/>
      <c r="J201" s="727"/>
      <c r="K201" s="727"/>
      <c r="L201" s="727"/>
      <c r="M201" s="727"/>
      <c r="N201" s="727"/>
      <c r="O201" s="727"/>
      <c r="P201" s="727"/>
      <c r="Q201" s="727"/>
      <c r="R201" s="727"/>
      <c r="S201" s="727"/>
      <c r="T201" s="727"/>
      <c r="U201" s="727"/>
      <c r="V201" s="727"/>
      <c r="W201" s="727"/>
      <c r="X201" s="727"/>
      <c r="Y201" s="727"/>
      <c r="Z201" s="727"/>
      <c r="AA201" s="727"/>
      <c r="AB201" s="727"/>
      <c r="AC201" s="727"/>
      <c r="AD201" s="727"/>
      <c r="AE201" s="727"/>
      <c r="AF201" s="727"/>
      <c r="AG201" s="727"/>
      <c r="AH201" s="727"/>
      <c r="AI201" s="727"/>
      <c r="AJ201" s="727"/>
      <c r="AK201" s="727"/>
      <c r="AL201" s="853"/>
    </row>
    <row r="202" spans="1:38">
      <c r="A202" s="727"/>
      <c r="B202" s="727"/>
      <c r="C202" s="727"/>
      <c r="D202" s="727"/>
      <c r="E202" s="727"/>
      <c r="F202" s="727"/>
      <c r="G202" s="727"/>
      <c r="H202" s="727"/>
      <c r="I202" s="727"/>
      <c r="J202" s="727"/>
      <c r="K202" s="727"/>
      <c r="L202" s="727"/>
      <c r="M202" s="727"/>
      <c r="N202" s="727"/>
      <c r="O202" s="727"/>
      <c r="P202" s="727"/>
      <c r="Q202" s="727"/>
      <c r="R202" s="727"/>
      <c r="S202" s="727"/>
      <c r="T202" s="727"/>
      <c r="U202" s="727"/>
      <c r="V202" s="727"/>
      <c r="W202" s="727"/>
      <c r="X202" s="727"/>
      <c r="Y202" s="727"/>
      <c r="Z202" s="727"/>
      <c r="AA202" s="727"/>
      <c r="AB202" s="727"/>
      <c r="AC202" s="727"/>
      <c r="AD202" s="727"/>
      <c r="AE202" s="727"/>
      <c r="AF202" s="727"/>
      <c r="AG202" s="727"/>
      <c r="AH202" s="727"/>
      <c r="AI202" s="727"/>
      <c r="AJ202" s="727"/>
      <c r="AK202" s="727"/>
      <c r="AL202" s="853"/>
    </row>
    <row r="203" spans="1:38">
      <c r="A203" s="727"/>
      <c r="B203" s="727"/>
      <c r="C203" s="727"/>
      <c r="D203" s="727"/>
      <c r="E203" s="727"/>
      <c r="F203" s="727"/>
      <c r="G203" s="727"/>
      <c r="H203" s="727"/>
      <c r="I203" s="727"/>
      <c r="J203" s="727"/>
      <c r="K203" s="727"/>
      <c r="L203" s="727"/>
      <c r="M203" s="727"/>
      <c r="N203" s="727"/>
      <c r="O203" s="727"/>
      <c r="P203" s="727"/>
      <c r="Q203" s="727"/>
      <c r="R203" s="727"/>
      <c r="S203" s="727"/>
      <c r="T203" s="727"/>
      <c r="U203" s="727"/>
      <c r="V203" s="727"/>
      <c r="W203" s="727"/>
      <c r="X203" s="727"/>
      <c r="Y203" s="727"/>
      <c r="Z203" s="727"/>
      <c r="AA203" s="727"/>
      <c r="AB203" s="727"/>
      <c r="AC203" s="727"/>
      <c r="AD203" s="727"/>
      <c r="AE203" s="727"/>
      <c r="AF203" s="727"/>
      <c r="AG203" s="727"/>
      <c r="AH203" s="727"/>
      <c r="AI203" s="727"/>
      <c r="AJ203" s="727"/>
      <c r="AK203" s="727"/>
      <c r="AL203" s="853"/>
    </row>
    <row r="204" spans="1:38">
      <c r="A204" s="727"/>
      <c r="B204" s="727"/>
      <c r="C204" s="727"/>
      <c r="D204" s="727"/>
      <c r="E204" s="727"/>
      <c r="F204" s="727"/>
      <c r="G204" s="727"/>
      <c r="H204" s="727"/>
      <c r="I204" s="727"/>
      <c r="J204" s="727"/>
      <c r="K204" s="727"/>
      <c r="L204" s="727"/>
      <c r="M204" s="727"/>
      <c r="N204" s="727"/>
      <c r="O204" s="727"/>
      <c r="P204" s="727"/>
      <c r="Q204" s="727"/>
      <c r="R204" s="727"/>
      <c r="S204" s="727"/>
      <c r="T204" s="727"/>
      <c r="U204" s="727"/>
      <c r="V204" s="727"/>
      <c r="W204" s="727"/>
      <c r="X204" s="727"/>
      <c r="Y204" s="727"/>
      <c r="Z204" s="727"/>
      <c r="AA204" s="727"/>
      <c r="AB204" s="727"/>
      <c r="AC204" s="727"/>
      <c r="AD204" s="727"/>
      <c r="AE204" s="727"/>
      <c r="AF204" s="727"/>
      <c r="AG204" s="727"/>
      <c r="AH204" s="727"/>
      <c r="AI204" s="727"/>
      <c r="AJ204" s="727"/>
      <c r="AK204" s="727"/>
      <c r="AL204" s="853"/>
    </row>
    <row r="205" spans="1:38">
      <c r="A205" s="727"/>
      <c r="B205" s="727"/>
      <c r="C205" s="727"/>
      <c r="D205" s="727"/>
      <c r="E205" s="727"/>
      <c r="F205" s="727"/>
      <c r="G205" s="727"/>
      <c r="H205" s="727"/>
      <c r="I205" s="727"/>
      <c r="J205" s="727"/>
      <c r="K205" s="727"/>
      <c r="L205" s="727"/>
      <c r="M205" s="727"/>
      <c r="N205" s="727"/>
      <c r="O205" s="727"/>
      <c r="P205" s="727"/>
      <c r="Q205" s="727"/>
      <c r="R205" s="727"/>
      <c r="S205" s="727"/>
      <c r="T205" s="727"/>
      <c r="U205" s="727"/>
      <c r="V205" s="727"/>
      <c r="W205" s="727"/>
      <c r="X205" s="727"/>
      <c r="Y205" s="727"/>
      <c r="Z205" s="727"/>
      <c r="AA205" s="727"/>
      <c r="AB205" s="727"/>
      <c r="AC205" s="727"/>
      <c r="AD205" s="727"/>
      <c r="AE205" s="727"/>
      <c r="AF205" s="727"/>
      <c r="AG205" s="727"/>
      <c r="AH205" s="727"/>
      <c r="AI205" s="727"/>
      <c r="AJ205" s="727"/>
      <c r="AK205" s="727"/>
      <c r="AL205" s="853"/>
    </row>
    <row r="206" spans="1:38">
      <c r="A206" s="727"/>
      <c r="B206" s="727"/>
      <c r="C206" s="727"/>
      <c r="D206" s="727"/>
      <c r="E206" s="727"/>
      <c r="F206" s="727"/>
      <c r="G206" s="727"/>
      <c r="H206" s="727"/>
      <c r="I206" s="727"/>
      <c r="J206" s="727"/>
      <c r="K206" s="727"/>
      <c r="L206" s="727"/>
      <c r="M206" s="727"/>
      <c r="N206" s="727"/>
      <c r="O206" s="727"/>
      <c r="P206" s="727"/>
      <c r="Q206" s="727"/>
      <c r="R206" s="727"/>
      <c r="S206" s="727"/>
      <c r="T206" s="727"/>
      <c r="U206" s="727"/>
      <c r="V206" s="727"/>
      <c r="W206" s="727"/>
      <c r="X206" s="727"/>
      <c r="Y206" s="727"/>
      <c r="Z206" s="727"/>
      <c r="AA206" s="727"/>
      <c r="AB206" s="727"/>
      <c r="AC206" s="727"/>
      <c r="AD206" s="727"/>
      <c r="AE206" s="727"/>
      <c r="AF206" s="727"/>
      <c r="AG206" s="727"/>
      <c r="AH206" s="727"/>
      <c r="AI206" s="727"/>
      <c r="AJ206" s="727"/>
      <c r="AK206" s="727"/>
      <c r="AL206" s="853"/>
    </row>
    <row r="207" spans="1:38">
      <c r="A207" s="727"/>
      <c r="B207" s="727"/>
      <c r="C207" s="727"/>
      <c r="D207" s="727"/>
      <c r="E207" s="727"/>
      <c r="F207" s="727"/>
      <c r="G207" s="727"/>
      <c r="H207" s="727"/>
      <c r="I207" s="727"/>
      <c r="J207" s="727"/>
      <c r="K207" s="727"/>
      <c r="L207" s="727"/>
      <c r="M207" s="727"/>
      <c r="N207" s="727"/>
      <c r="O207" s="727"/>
      <c r="P207" s="727"/>
      <c r="Q207" s="727"/>
      <c r="R207" s="727"/>
      <c r="S207" s="727"/>
      <c r="T207" s="727"/>
      <c r="U207" s="727"/>
      <c r="V207" s="727"/>
      <c r="W207" s="727"/>
      <c r="X207" s="727"/>
      <c r="Y207" s="727"/>
      <c r="Z207" s="727"/>
      <c r="AA207" s="727"/>
      <c r="AB207" s="727"/>
      <c r="AC207" s="727"/>
      <c r="AD207" s="727"/>
      <c r="AE207" s="727"/>
      <c r="AF207" s="727"/>
      <c r="AG207" s="727"/>
      <c r="AH207" s="727"/>
      <c r="AI207" s="727"/>
      <c r="AJ207" s="727"/>
      <c r="AK207" s="727"/>
      <c r="AL207" s="853"/>
    </row>
    <row r="208" spans="1:38">
      <c r="A208" s="727"/>
      <c r="B208" s="727"/>
      <c r="C208" s="727"/>
      <c r="D208" s="727"/>
      <c r="E208" s="727"/>
      <c r="F208" s="727"/>
      <c r="G208" s="727"/>
      <c r="H208" s="727"/>
      <c r="I208" s="727"/>
      <c r="J208" s="727"/>
      <c r="K208" s="727"/>
      <c r="L208" s="727"/>
      <c r="M208" s="727"/>
      <c r="N208" s="727"/>
      <c r="O208" s="727"/>
      <c r="P208" s="727"/>
      <c r="Q208" s="727"/>
      <c r="R208" s="727"/>
      <c r="S208" s="727"/>
      <c r="T208" s="727"/>
      <c r="U208" s="727"/>
      <c r="V208" s="727"/>
      <c r="W208" s="727"/>
      <c r="X208" s="727"/>
      <c r="Y208" s="727"/>
      <c r="Z208" s="727"/>
      <c r="AA208" s="727"/>
      <c r="AB208" s="727"/>
      <c r="AC208" s="727"/>
      <c r="AD208" s="727"/>
      <c r="AE208" s="727"/>
      <c r="AF208" s="727"/>
      <c r="AG208" s="727"/>
      <c r="AH208" s="727"/>
      <c r="AI208" s="727"/>
      <c r="AJ208" s="727"/>
      <c r="AK208" s="727"/>
      <c r="AL208" s="853"/>
    </row>
    <row r="209" spans="1:38">
      <c r="A209" s="727"/>
      <c r="B209" s="727"/>
      <c r="C209" s="727"/>
      <c r="D209" s="727"/>
      <c r="E209" s="727"/>
      <c r="F209" s="727"/>
      <c r="G209" s="727"/>
      <c r="H209" s="727"/>
      <c r="I209" s="727"/>
      <c r="J209" s="727"/>
      <c r="K209" s="727"/>
      <c r="L209" s="727"/>
      <c r="M209" s="727"/>
      <c r="N209" s="727"/>
      <c r="O209" s="727"/>
      <c r="P209" s="727"/>
      <c r="Q209" s="727"/>
      <c r="R209" s="727"/>
      <c r="S209" s="727"/>
      <c r="T209" s="727"/>
      <c r="U209" s="727"/>
      <c r="V209" s="727"/>
      <c r="W209" s="727"/>
      <c r="X209" s="727"/>
      <c r="Y209" s="727"/>
      <c r="Z209" s="727"/>
      <c r="AA209" s="727"/>
      <c r="AB209" s="727"/>
      <c r="AC209" s="727"/>
      <c r="AD209" s="727"/>
      <c r="AE209" s="727"/>
      <c r="AF209" s="727"/>
      <c r="AG209" s="727"/>
      <c r="AH209" s="727"/>
      <c r="AI209" s="727"/>
      <c r="AJ209" s="727"/>
      <c r="AK209" s="727"/>
      <c r="AL209" s="853"/>
    </row>
    <row r="210" spans="1:38">
      <c r="A210" s="727"/>
      <c r="B210" s="727"/>
      <c r="C210" s="727"/>
      <c r="D210" s="727"/>
      <c r="E210" s="727"/>
      <c r="F210" s="727"/>
      <c r="G210" s="727"/>
      <c r="H210" s="727"/>
      <c r="I210" s="727"/>
      <c r="J210" s="727"/>
      <c r="K210" s="727"/>
      <c r="L210" s="727"/>
      <c r="M210" s="727"/>
      <c r="N210" s="727"/>
      <c r="O210" s="727"/>
      <c r="P210" s="727"/>
      <c r="Q210" s="727"/>
      <c r="R210" s="727"/>
      <c r="S210" s="727"/>
      <c r="T210" s="727"/>
      <c r="U210" s="727"/>
      <c r="V210" s="727"/>
      <c r="W210" s="727"/>
      <c r="X210" s="727"/>
      <c r="Y210" s="727"/>
      <c r="Z210" s="727"/>
      <c r="AA210" s="727"/>
      <c r="AB210" s="727"/>
      <c r="AC210" s="727"/>
      <c r="AD210" s="727"/>
      <c r="AE210" s="727"/>
      <c r="AF210" s="727"/>
      <c r="AG210" s="727"/>
      <c r="AH210" s="727"/>
      <c r="AI210" s="727"/>
      <c r="AJ210" s="727"/>
      <c r="AK210" s="727"/>
      <c r="AL210" s="853"/>
    </row>
    <row r="211" spans="1:38">
      <c r="A211" s="727"/>
      <c r="B211" s="727"/>
      <c r="C211" s="727"/>
      <c r="D211" s="727"/>
      <c r="E211" s="727"/>
      <c r="F211" s="727"/>
      <c r="G211" s="727"/>
      <c r="H211" s="727"/>
      <c r="I211" s="727"/>
      <c r="J211" s="727"/>
      <c r="K211" s="727"/>
      <c r="L211" s="727"/>
      <c r="M211" s="727"/>
      <c r="N211" s="727"/>
      <c r="O211" s="727"/>
      <c r="P211" s="727"/>
      <c r="Q211" s="727"/>
      <c r="R211" s="727"/>
      <c r="S211" s="727"/>
      <c r="T211" s="727"/>
      <c r="U211" s="727"/>
      <c r="V211" s="727"/>
      <c r="W211" s="727"/>
      <c r="X211" s="727"/>
      <c r="Y211" s="727"/>
      <c r="Z211" s="727"/>
      <c r="AA211" s="727"/>
      <c r="AB211" s="727"/>
      <c r="AC211" s="727"/>
      <c r="AD211" s="727"/>
      <c r="AE211" s="727"/>
      <c r="AF211" s="727"/>
      <c r="AG211" s="727"/>
      <c r="AH211" s="727"/>
      <c r="AI211" s="727"/>
      <c r="AJ211" s="727"/>
      <c r="AK211" s="727"/>
      <c r="AL211" s="853"/>
    </row>
    <row r="212" spans="1:38">
      <c r="A212" s="727"/>
      <c r="B212" s="727"/>
      <c r="C212" s="727"/>
      <c r="D212" s="727"/>
      <c r="E212" s="727"/>
      <c r="F212" s="727"/>
      <c r="G212" s="727"/>
      <c r="H212" s="727"/>
      <c r="I212" s="727"/>
      <c r="J212" s="727"/>
      <c r="K212" s="727"/>
      <c r="L212" s="727"/>
      <c r="M212" s="727"/>
      <c r="N212" s="727"/>
      <c r="O212" s="727"/>
      <c r="P212" s="727"/>
      <c r="Q212" s="727"/>
      <c r="R212" s="727"/>
      <c r="S212" s="727"/>
      <c r="T212" s="727"/>
      <c r="U212" s="727"/>
      <c r="V212" s="727"/>
      <c r="W212" s="727"/>
      <c r="X212" s="727"/>
      <c r="Y212" s="727"/>
      <c r="Z212" s="727"/>
      <c r="AA212" s="727"/>
      <c r="AB212" s="727"/>
      <c r="AC212" s="727"/>
      <c r="AD212" s="727"/>
      <c r="AE212" s="727"/>
      <c r="AF212" s="727"/>
      <c r="AG212" s="727"/>
      <c r="AH212" s="727"/>
      <c r="AI212" s="727"/>
      <c r="AJ212" s="727"/>
      <c r="AK212" s="727"/>
      <c r="AL212" s="853"/>
    </row>
    <row r="213" spans="1:38">
      <c r="A213" s="727"/>
      <c r="B213" s="727"/>
      <c r="C213" s="727"/>
      <c r="D213" s="727"/>
      <c r="E213" s="727"/>
      <c r="F213" s="727"/>
      <c r="G213" s="727"/>
      <c r="H213" s="727"/>
      <c r="I213" s="727"/>
      <c r="J213" s="727"/>
      <c r="K213" s="727"/>
      <c r="L213" s="727"/>
      <c r="M213" s="727"/>
      <c r="N213" s="727"/>
      <c r="O213" s="727"/>
      <c r="P213" s="727"/>
      <c r="Q213" s="727"/>
      <c r="R213" s="727"/>
      <c r="S213" s="727"/>
      <c r="T213" s="727"/>
      <c r="U213" s="727"/>
      <c r="V213" s="727"/>
      <c r="W213" s="727"/>
      <c r="X213" s="727"/>
      <c r="Y213" s="727"/>
      <c r="Z213" s="727"/>
      <c r="AA213" s="727"/>
      <c r="AB213" s="727"/>
      <c r="AC213" s="727"/>
      <c r="AD213" s="727"/>
      <c r="AE213" s="727"/>
      <c r="AF213" s="727"/>
      <c r="AG213" s="727"/>
      <c r="AH213" s="727"/>
      <c r="AI213" s="727"/>
      <c r="AJ213" s="727"/>
      <c r="AK213" s="727"/>
      <c r="AL213" s="853"/>
    </row>
    <row r="214" spans="1:38">
      <c r="A214" s="727"/>
      <c r="B214" s="727"/>
      <c r="C214" s="727"/>
      <c r="D214" s="727"/>
      <c r="E214" s="727"/>
      <c r="F214" s="727"/>
      <c r="G214" s="727"/>
      <c r="H214" s="727"/>
      <c r="I214" s="727"/>
      <c r="J214" s="727"/>
      <c r="K214" s="727"/>
      <c r="L214" s="727"/>
      <c r="M214" s="727"/>
      <c r="N214" s="727"/>
      <c r="O214" s="727"/>
      <c r="P214" s="727"/>
      <c r="Q214" s="727"/>
      <c r="R214" s="727"/>
      <c r="S214" s="727"/>
      <c r="T214" s="727"/>
      <c r="U214" s="727"/>
      <c r="V214" s="727"/>
      <c r="W214" s="727"/>
      <c r="X214" s="727"/>
      <c r="Y214" s="727"/>
      <c r="Z214" s="727"/>
      <c r="AA214" s="727"/>
      <c r="AB214" s="727"/>
      <c r="AC214" s="727"/>
      <c r="AD214" s="727"/>
      <c r="AE214" s="727"/>
      <c r="AF214" s="727"/>
      <c r="AG214" s="727"/>
      <c r="AH214" s="727"/>
      <c r="AI214" s="727"/>
      <c r="AJ214" s="727"/>
      <c r="AK214" s="727"/>
      <c r="AL214" s="853"/>
    </row>
    <row r="215" spans="1:38">
      <c r="A215" s="727"/>
      <c r="B215" s="727"/>
      <c r="C215" s="727"/>
      <c r="D215" s="727"/>
      <c r="E215" s="727"/>
      <c r="F215" s="727"/>
      <c r="G215" s="727"/>
      <c r="H215" s="727"/>
      <c r="I215" s="727"/>
      <c r="J215" s="727"/>
      <c r="K215" s="727"/>
      <c r="L215" s="727"/>
      <c r="M215" s="727"/>
      <c r="N215" s="727"/>
      <c r="O215" s="727"/>
      <c r="P215" s="727"/>
      <c r="Q215" s="727"/>
      <c r="R215" s="727"/>
      <c r="S215" s="727"/>
      <c r="T215" s="727"/>
      <c r="U215" s="727"/>
      <c r="V215" s="727"/>
      <c r="W215" s="727"/>
      <c r="X215" s="727"/>
      <c r="Y215" s="727"/>
      <c r="Z215" s="727"/>
      <c r="AA215" s="727"/>
      <c r="AB215" s="727"/>
      <c r="AC215" s="727"/>
      <c r="AD215" s="727"/>
      <c r="AE215" s="727"/>
      <c r="AF215" s="727"/>
      <c r="AG215" s="727"/>
      <c r="AH215" s="727"/>
      <c r="AI215" s="727"/>
      <c r="AJ215" s="727"/>
      <c r="AK215" s="727"/>
      <c r="AL215" s="853"/>
    </row>
    <row r="216" spans="1:38">
      <c r="A216" s="727"/>
      <c r="B216" s="727"/>
      <c r="C216" s="727"/>
      <c r="D216" s="727"/>
      <c r="E216" s="727"/>
      <c r="F216" s="727"/>
      <c r="G216" s="727"/>
      <c r="H216" s="727"/>
      <c r="I216" s="727"/>
      <c r="J216" s="727"/>
      <c r="K216" s="727"/>
      <c r="L216" s="727"/>
      <c r="M216" s="727"/>
      <c r="N216" s="727"/>
      <c r="O216" s="727"/>
      <c r="P216" s="727"/>
      <c r="Q216" s="727"/>
      <c r="R216" s="727"/>
      <c r="S216" s="727"/>
      <c r="T216" s="727"/>
      <c r="U216" s="727"/>
      <c r="V216" s="727"/>
      <c r="W216" s="727"/>
      <c r="X216" s="727"/>
      <c r="Y216" s="727"/>
      <c r="Z216" s="727"/>
      <c r="AA216" s="727"/>
      <c r="AB216" s="727"/>
      <c r="AC216" s="727"/>
      <c r="AD216" s="727"/>
      <c r="AE216" s="727"/>
      <c r="AF216" s="727"/>
      <c r="AG216" s="727"/>
      <c r="AH216" s="727"/>
      <c r="AI216" s="727"/>
      <c r="AJ216" s="727"/>
      <c r="AK216" s="727"/>
      <c r="AL216" s="853"/>
    </row>
    <row r="217" spans="1:38">
      <c r="A217" s="727"/>
      <c r="B217" s="727"/>
      <c r="C217" s="727"/>
      <c r="D217" s="727"/>
      <c r="E217" s="727"/>
      <c r="F217" s="727"/>
      <c r="G217" s="727"/>
      <c r="H217" s="727"/>
      <c r="I217" s="727"/>
      <c r="J217" s="727"/>
      <c r="K217" s="727"/>
      <c r="L217" s="727"/>
      <c r="M217" s="727"/>
      <c r="N217" s="727"/>
      <c r="O217" s="727"/>
      <c r="P217" s="727"/>
      <c r="Q217" s="727"/>
      <c r="R217" s="727"/>
      <c r="S217" s="727"/>
      <c r="T217" s="727"/>
      <c r="U217" s="727"/>
      <c r="V217" s="727"/>
      <c r="W217" s="727"/>
      <c r="X217" s="727"/>
      <c r="Y217" s="727"/>
      <c r="Z217" s="727"/>
      <c r="AA217" s="727"/>
      <c r="AB217" s="727"/>
      <c r="AC217" s="727"/>
      <c r="AD217" s="727"/>
      <c r="AE217" s="727"/>
      <c r="AF217" s="727"/>
      <c r="AG217" s="727"/>
      <c r="AH217" s="727"/>
      <c r="AI217" s="727"/>
      <c r="AJ217" s="727"/>
      <c r="AK217" s="727"/>
      <c r="AL217" s="853"/>
    </row>
    <row r="218" spans="1:38">
      <c r="A218" s="727"/>
      <c r="B218" s="727"/>
      <c r="C218" s="727"/>
      <c r="D218" s="727"/>
      <c r="E218" s="727"/>
      <c r="F218" s="727"/>
      <c r="G218" s="727"/>
      <c r="H218" s="727"/>
      <c r="I218" s="727"/>
      <c r="J218" s="727"/>
      <c r="K218" s="727"/>
      <c r="L218" s="727"/>
      <c r="M218" s="727"/>
      <c r="N218" s="727"/>
      <c r="O218" s="727"/>
      <c r="P218" s="727"/>
      <c r="Q218" s="727"/>
      <c r="R218" s="727"/>
      <c r="S218" s="727"/>
      <c r="T218" s="727"/>
      <c r="U218" s="727"/>
      <c r="V218" s="727"/>
      <c r="W218" s="727"/>
      <c r="X218" s="727"/>
      <c r="Y218" s="727"/>
      <c r="Z218" s="727"/>
      <c r="AA218" s="727"/>
      <c r="AB218" s="727"/>
      <c r="AC218" s="727"/>
      <c r="AD218" s="727"/>
      <c r="AE218" s="727"/>
      <c r="AF218" s="727"/>
      <c r="AG218" s="727"/>
      <c r="AH218" s="727"/>
      <c r="AI218" s="727"/>
      <c r="AJ218" s="727"/>
      <c r="AK218" s="727"/>
      <c r="AL218" s="853"/>
    </row>
    <row r="219" spans="1:38">
      <c r="A219" s="727"/>
      <c r="B219" s="727"/>
      <c r="C219" s="727"/>
      <c r="D219" s="727"/>
      <c r="E219" s="727"/>
      <c r="F219" s="727"/>
      <c r="G219" s="727"/>
      <c r="H219" s="727"/>
      <c r="I219" s="727"/>
      <c r="J219" s="727"/>
      <c r="K219" s="727"/>
      <c r="L219" s="727"/>
      <c r="M219" s="727"/>
      <c r="N219" s="727"/>
      <c r="O219" s="727"/>
      <c r="P219" s="727"/>
      <c r="Q219" s="727"/>
      <c r="R219" s="727"/>
      <c r="S219" s="727"/>
      <c r="T219" s="727"/>
      <c r="U219" s="727"/>
      <c r="V219" s="727"/>
      <c r="W219" s="727"/>
      <c r="X219" s="727"/>
      <c r="Y219" s="727"/>
      <c r="Z219" s="727"/>
      <c r="AA219" s="727"/>
      <c r="AB219" s="727"/>
      <c r="AC219" s="727"/>
      <c r="AD219" s="727"/>
      <c r="AE219" s="727"/>
      <c r="AF219" s="727"/>
      <c r="AG219" s="727"/>
      <c r="AH219" s="727"/>
      <c r="AI219" s="727"/>
      <c r="AJ219" s="727"/>
      <c r="AK219" s="727"/>
      <c r="AL219" s="853"/>
    </row>
    <row r="220" spans="1:38">
      <c r="A220" s="727"/>
      <c r="B220" s="727"/>
      <c r="C220" s="727"/>
      <c r="D220" s="727"/>
      <c r="E220" s="727"/>
      <c r="F220" s="727"/>
      <c r="G220" s="727"/>
      <c r="H220" s="727"/>
      <c r="I220" s="727"/>
      <c r="J220" s="727"/>
      <c r="K220" s="727"/>
      <c r="L220" s="727"/>
      <c r="M220" s="727"/>
      <c r="N220" s="727"/>
      <c r="O220" s="727"/>
      <c r="P220" s="727"/>
      <c r="Q220" s="727"/>
      <c r="R220" s="727"/>
      <c r="S220" s="727"/>
      <c r="T220" s="727"/>
      <c r="U220" s="727"/>
      <c r="V220" s="727"/>
      <c r="W220" s="727"/>
      <c r="X220" s="727"/>
      <c r="Y220" s="727"/>
      <c r="Z220" s="727"/>
      <c r="AA220" s="727"/>
      <c r="AB220" s="727"/>
      <c r="AC220" s="727"/>
      <c r="AD220" s="727"/>
      <c r="AE220" s="727"/>
      <c r="AF220" s="727"/>
      <c r="AG220" s="727"/>
      <c r="AH220" s="727"/>
      <c r="AI220" s="727"/>
      <c r="AJ220" s="727"/>
      <c r="AK220" s="727"/>
      <c r="AL220" s="853"/>
    </row>
    <row r="221" spans="1:38">
      <c r="A221" s="727"/>
      <c r="B221" s="727"/>
      <c r="C221" s="727"/>
      <c r="D221" s="727"/>
      <c r="E221" s="727"/>
      <c r="F221" s="727"/>
      <c r="G221" s="727"/>
      <c r="H221" s="727"/>
      <c r="I221" s="727"/>
      <c r="J221" s="727"/>
      <c r="K221" s="727"/>
      <c r="L221" s="727"/>
      <c r="M221" s="727"/>
      <c r="N221" s="727"/>
      <c r="O221" s="727"/>
      <c r="P221" s="727"/>
      <c r="Q221" s="727"/>
      <c r="R221" s="727"/>
      <c r="S221" s="727"/>
      <c r="T221" s="727"/>
      <c r="U221" s="727"/>
      <c r="V221" s="727"/>
      <c r="W221" s="727"/>
      <c r="X221" s="727"/>
      <c r="Y221" s="727"/>
      <c r="Z221" s="727"/>
      <c r="AA221" s="727"/>
      <c r="AB221" s="727"/>
      <c r="AC221" s="727"/>
      <c r="AD221" s="727"/>
      <c r="AE221" s="727"/>
      <c r="AF221" s="727"/>
      <c r="AG221" s="727"/>
      <c r="AH221" s="727"/>
      <c r="AI221" s="727"/>
      <c r="AJ221" s="727"/>
      <c r="AK221" s="727"/>
      <c r="AL221" s="853"/>
    </row>
    <row r="222" spans="1:38">
      <c r="A222" s="727"/>
      <c r="B222" s="727"/>
      <c r="C222" s="727"/>
      <c r="D222" s="727"/>
      <c r="E222" s="727"/>
      <c r="F222" s="727"/>
      <c r="G222" s="727"/>
      <c r="H222" s="727"/>
      <c r="I222" s="727"/>
      <c r="J222" s="727"/>
      <c r="K222" s="727"/>
      <c r="L222" s="727"/>
      <c r="M222" s="727"/>
      <c r="N222" s="727"/>
      <c r="O222" s="727"/>
      <c r="P222" s="727"/>
      <c r="Q222" s="727"/>
      <c r="R222" s="727"/>
      <c r="S222" s="727"/>
      <c r="T222" s="727"/>
      <c r="U222" s="727"/>
      <c r="V222" s="727"/>
      <c r="W222" s="727"/>
      <c r="X222" s="727"/>
      <c r="Y222" s="727"/>
      <c r="Z222" s="727"/>
      <c r="AA222" s="727"/>
      <c r="AB222" s="727"/>
      <c r="AC222" s="727"/>
      <c r="AD222" s="727"/>
      <c r="AE222" s="727"/>
      <c r="AF222" s="727"/>
      <c r="AG222" s="727"/>
      <c r="AH222" s="727"/>
      <c r="AI222" s="727"/>
      <c r="AJ222" s="727"/>
      <c r="AK222" s="727"/>
      <c r="AL222" s="853"/>
    </row>
    <row r="223" spans="1:38">
      <c r="A223" s="727"/>
      <c r="B223" s="727"/>
      <c r="C223" s="727"/>
      <c r="D223" s="727"/>
      <c r="E223" s="727"/>
      <c r="F223" s="727"/>
      <c r="G223" s="727"/>
      <c r="H223" s="727"/>
      <c r="I223" s="727"/>
      <c r="J223" s="727"/>
      <c r="K223" s="727"/>
      <c r="L223" s="727"/>
      <c r="M223" s="727"/>
      <c r="N223" s="727"/>
      <c r="O223" s="727"/>
      <c r="P223" s="727"/>
      <c r="Q223" s="727"/>
      <c r="R223" s="727"/>
      <c r="S223" s="727"/>
      <c r="T223" s="727"/>
      <c r="U223" s="727"/>
      <c r="V223" s="727"/>
      <c r="W223" s="727"/>
      <c r="X223" s="727"/>
      <c r="Y223" s="727"/>
      <c r="Z223" s="727"/>
      <c r="AA223" s="727"/>
      <c r="AB223" s="727"/>
      <c r="AC223" s="727"/>
      <c r="AD223" s="727"/>
      <c r="AE223" s="727"/>
      <c r="AF223" s="727"/>
      <c r="AG223" s="727"/>
      <c r="AH223" s="727"/>
      <c r="AI223" s="727"/>
      <c r="AJ223" s="727"/>
      <c r="AK223" s="727"/>
      <c r="AL223" s="853"/>
    </row>
    <row r="224" spans="1:38">
      <c r="A224" s="727"/>
      <c r="B224" s="727"/>
      <c r="C224" s="727"/>
      <c r="D224" s="727"/>
      <c r="E224" s="727"/>
      <c r="F224" s="727"/>
      <c r="G224" s="727"/>
      <c r="H224" s="727"/>
      <c r="I224" s="727"/>
      <c r="J224" s="727"/>
      <c r="K224" s="727"/>
      <c r="L224" s="727"/>
      <c r="M224" s="727"/>
      <c r="N224" s="727"/>
      <c r="O224" s="727"/>
      <c r="P224" s="727"/>
      <c r="Q224" s="727"/>
      <c r="R224" s="727"/>
      <c r="S224" s="727"/>
      <c r="T224" s="727"/>
      <c r="U224" s="727"/>
      <c r="V224" s="727"/>
      <c r="W224" s="727"/>
      <c r="X224" s="727"/>
      <c r="Y224" s="727"/>
      <c r="Z224" s="727"/>
      <c r="AA224" s="727"/>
      <c r="AB224" s="727"/>
      <c r="AC224" s="727"/>
      <c r="AD224" s="727"/>
      <c r="AE224" s="727"/>
      <c r="AF224" s="727"/>
      <c r="AG224" s="727"/>
      <c r="AH224" s="727"/>
      <c r="AI224" s="727"/>
      <c r="AJ224" s="727"/>
      <c r="AK224" s="727"/>
      <c r="AL224" s="853"/>
    </row>
    <row r="225" spans="1:38">
      <c r="A225" s="727"/>
      <c r="B225" s="727"/>
      <c r="C225" s="727"/>
      <c r="D225" s="727"/>
      <c r="E225" s="727"/>
      <c r="F225" s="727"/>
      <c r="G225" s="727"/>
      <c r="H225" s="727"/>
      <c r="I225" s="727"/>
      <c r="J225" s="727"/>
      <c r="K225" s="727"/>
      <c r="L225" s="727"/>
      <c r="M225" s="727"/>
      <c r="N225" s="727"/>
      <c r="O225" s="727"/>
      <c r="P225" s="727"/>
      <c r="Q225" s="727"/>
      <c r="R225" s="727"/>
      <c r="S225" s="727"/>
      <c r="T225" s="727"/>
      <c r="U225" s="727"/>
      <c r="V225" s="727"/>
      <c r="W225" s="727"/>
      <c r="X225" s="727"/>
      <c r="Y225" s="727"/>
      <c r="Z225" s="727"/>
      <c r="AA225" s="727"/>
      <c r="AB225" s="727"/>
      <c r="AC225" s="727"/>
      <c r="AD225" s="727"/>
      <c r="AE225" s="727"/>
      <c r="AF225" s="727"/>
      <c r="AG225" s="727"/>
      <c r="AH225" s="727"/>
      <c r="AI225" s="727"/>
      <c r="AJ225" s="727"/>
      <c r="AK225" s="727"/>
      <c r="AL225" s="853"/>
    </row>
    <row r="226" spans="1:38">
      <c r="A226" s="727"/>
      <c r="B226" s="727"/>
      <c r="C226" s="727"/>
      <c r="D226" s="727"/>
      <c r="E226" s="727"/>
      <c r="F226" s="727"/>
      <c r="G226" s="727"/>
      <c r="H226" s="727"/>
      <c r="I226" s="727"/>
      <c r="J226" s="727"/>
      <c r="K226" s="727"/>
      <c r="L226" s="727"/>
      <c r="M226" s="727"/>
      <c r="N226" s="727"/>
      <c r="O226" s="727"/>
      <c r="P226" s="727"/>
      <c r="Q226" s="727"/>
      <c r="R226" s="727"/>
      <c r="S226" s="727"/>
      <c r="T226" s="727"/>
      <c r="U226" s="727"/>
      <c r="V226" s="727"/>
      <c r="W226" s="727"/>
      <c r="X226" s="727"/>
      <c r="Y226" s="727"/>
      <c r="Z226" s="727"/>
      <c r="AA226" s="727"/>
      <c r="AB226" s="727"/>
      <c r="AC226" s="727"/>
      <c r="AD226" s="727"/>
      <c r="AE226" s="727"/>
      <c r="AF226" s="727"/>
      <c r="AG226" s="727"/>
      <c r="AH226" s="727"/>
      <c r="AI226" s="727"/>
      <c r="AJ226" s="727"/>
      <c r="AK226" s="727"/>
      <c r="AL226" s="853"/>
    </row>
    <row r="227" spans="1:38">
      <c r="A227" s="727"/>
      <c r="B227" s="727"/>
      <c r="C227" s="727"/>
      <c r="D227" s="727"/>
      <c r="E227" s="727"/>
      <c r="F227" s="727"/>
      <c r="G227" s="727"/>
      <c r="H227" s="727"/>
      <c r="I227" s="727"/>
      <c r="J227" s="727"/>
      <c r="K227" s="727"/>
      <c r="L227" s="727"/>
      <c r="M227" s="727"/>
      <c r="N227" s="727"/>
      <c r="O227" s="727"/>
      <c r="P227" s="727"/>
      <c r="Q227" s="727"/>
      <c r="R227" s="727"/>
      <c r="S227" s="727"/>
      <c r="T227" s="727"/>
      <c r="U227" s="727"/>
      <c r="V227" s="727"/>
      <c r="W227" s="727"/>
      <c r="X227" s="727"/>
      <c r="Y227" s="727"/>
      <c r="Z227" s="727"/>
      <c r="AA227" s="727"/>
      <c r="AB227" s="727"/>
      <c r="AC227" s="727"/>
      <c r="AD227" s="727"/>
      <c r="AE227" s="727"/>
      <c r="AF227" s="727"/>
      <c r="AG227" s="727"/>
      <c r="AH227" s="727"/>
      <c r="AI227" s="727"/>
      <c r="AJ227" s="727"/>
      <c r="AK227" s="727"/>
      <c r="AL227" s="853"/>
    </row>
    <row r="228" spans="1:38">
      <c r="A228" s="727"/>
      <c r="B228" s="727"/>
      <c r="C228" s="727"/>
      <c r="D228" s="727"/>
      <c r="E228" s="727"/>
      <c r="F228" s="727"/>
      <c r="G228" s="727"/>
      <c r="H228" s="727"/>
      <c r="I228" s="727"/>
      <c r="J228" s="727"/>
      <c r="K228" s="727"/>
      <c r="L228" s="727"/>
      <c r="M228" s="727"/>
      <c r="N228" s="727"/>
      <c r="O228" s="727"/>
      <c r="P228" s="727"/>
      <c r="Q228" s="727"/>
      <c r="R228" s="727"/>
      <c r="S228" s="727"/>
      <c r="T228" s="727"/>
      <c r="U228" s="727"/>
      <c r="V228" s="727"/>
      <c r="W228" s="727"/>
      <c r="X228" s="727"/>
      <c r="Y228" s="727"/>
      <c r="Z228" s="727"/>
      <c r="AA228" s="727"/>
      <c r="AB228" s="727"/>
      <c r="AC228" s="727"/>
      <c r="AD228" s="727"/>
      <c r="AE228" s="727"/>
      <c r="AF228" s="727"/>
      <c r="AG228" s="727"/>
      <c r="AH228" s="727"/>
      <c r="AI228" s="727"/>
      <c r="AJ228" s="727"/>
      <c r="AK228" s="727"/>
      <c r="AL228" s="853"/>
    </row>
    <row r="229" spans="1:38">
      <c r="A229" s="727"/>
      <c r="B229" s="727"/>
      <c r="C229" s="727"/>
      <c r="D229" s="727"/>
      <c r="E229" s="727"/>
      <c r="F229" s="727"/>
      <c r="G229" s="727"/>
      <c r="H229" s="727"/>
      <c r="I229" s="727"/>
      <c r="J229" s="727"/>
      <c r="K229" s="727"/>
      <c r="L229" s="727"/>
      <c r="M229" s="727"/>
      <c r="N229" s="727"/>
      <c r="O229" s="727"/>
      <c r="P229" s="727"/>
      <c r="Q229" s="727"/>
      <c r="R229" s="727"/>
      <c r="S229" s="727"/>
      <c r="T229" s="727"/>
      <c r="U229" s="727"/>
      <c r="V229" s="727"/>
      <c r="W229" s="727"/>
      <c r="X229" s="727"/>
      <c r="Y229" s="727"/>
      <c r="Z229" s="727"/>
      <c r="AA229" s="727"/>
      <c r="AB229" s="727"/>
      <c r="AC229" s="727"/>
      <c r="AD229" s="727"/>
      <c r="AE229" s="727"/>
      <c r="AF229" s="727"/>
      <c r="AG229" s="727"/>
      <c r="AH229" s="727"/>
      <c r="AI229" s="727"/>
      <c r="AJ229" s="727"/>
      <c r="AK229" s="727"/>
      <c r="AL229" s="853"/>
    </row>
    <row r="230" spans="1:38">
      <c r="A230" s="727"/>
      <c r="B230" s="727"/>
      <c r="C230" s="727"/>
      <c r="D230" s="727"/>
      <c r="E230" s="727"/>
      <c r="F230" s="727"/>
      <c r="G230" s="727"/>
      <c r="H230" s="727"/>
      <c r="I230" s="727"/>
      <c r="J230" s="727"/>
      <c r="K230" s="727"/>
      <c r="L230" s="727"/>
      <c r="M230" s="727"/>
      <c r="N230" s="727"/>
      <c r="O230" s="727"/>
      <c r="P230" s="727"/>
      <c r="Q230" s="727"/>
      <c r="R230" s="727"/>
      <c r="S230" s="727"/>
      <c r="T230" s="727"/>
      <c r="U230" s="727"/>
      <c r="V230" s="727"/>
      <c r="W230" s="727"/>
      <c r="X230" s="727"/>
      <c r="Y230" s="727"/>
      <c r="Z230" s="727"/>
      <c r="AA230" s="727"/>
      <c r="AB230" s="727"/>
      <c r="AC230" s="727"/>
      <c r="AD230" s="727"/>
      <c r="AE230" s="727"/>
      <c r="AF230" s="727"/>
      <c r="AG230" s="727"/>
      <c r="AH230" s="727"/>
      <c r="AI230" s="727"/>
      <c r="AJ230" s="727"/>
      <c r="AK230" s="727"/>
      <c r="AL230" s="853"/>
    </row>
    <row r="231" spans="1:38">
      <c r="A231" s="727"/>
      <c r="B231" s="727"/>
      <c r="C231" s="727"/>
      <c r="D231" s="727"/>
      <c r="E231" s="727"/>
      <c r="F231" s="727"/>
      <c r="G231" s="727"/>
      <c r="H231" s="727"/>
      <c r="I231" s="727"/>
      <c r="J231" s="727"/>
      <c r="K231" s="727"/>
      <c r="L231" s="727"/>
      <c r="M231" s="727"/>
      <c r="N231" s="727"/>
      <c r="O231" s="727"/>
      <c r="P231" s="727"/>
      <c r="Q231" s="727"/>
      <c r="R231" s="727"/>
      <c r="S231" s="727"/>
      <c r="T231" s="727"/>
      <c r="U231" s="727"/>
      <c r="V231" s="727"/>
      <c r="W231" s="727"/>
      <c r="X231" s="727"/>
      <c r="Y231" s="727"/>
      <c r="Z231" s="727"/>
      <c r="AA231" s="727"/>
      <c r="AB231" s="727"/>
      <c r="AC231" s="727"/>
      <c r="AD231" s="727"/>
      <c r="AE231" s="727"/>
      <c r="AF231" s="727"/>
      <c r="AG231" s="727"/>
      <c r="AH231" s="727"/>
      <c r="AI231" s="727"/>
      <c r="AJ231" s="727"/>
      <c r="AK231" s="727"/>
      <c r="AL231" s="853"/>
    </row>
    <row r="232" spans="1:38">
      <c r="A232" s="727"/>
      <c r="B232" s="727"/>
      <c r="C232" s="727"/>
      <c r="D232" s="727"/>
      <c r="E232" s="727"/>
      <c r="F232" s="727"/>
      <c r="G232" s="727"/>
      <c r="H232" s="727"/>
      <c r="I232" s="727"/>
      <c r="J232" s="727"/>
      <c r="K232" s="727"/>
      <c r="L232" s="727"/>
      <c r="M232" s="727"/>
      <c r="N232" s="727"/>
      <c r="O232" s="727"/>
      <c r="P232" s="727"/>
      <c r="Q232" s="727"/>
      <c r="R232" s="727"/>
      <c r="S232" s="727"/>
      <c r="T232" s="727"/>
      <c r="U232" s="727"/>
      <c r="V232" s="727"/>
      <c r="W232" s="727"/>
      <c r="X232" s="727"/>
      <c r="Y232" s="727"/>
      <c r="Z232" s="727"/>
      <c r="AA232" s="727"/>
      <c r="AB232" s="727"/>
      <c r="AC232" s="727"/>
      <c r="AD232" s="727"/>
      <c r="AE232" s="727"/>
      <c r="AF232" s="727"/>
      <c r="AG232" s="727"/>
      <c r="AH232" s="727"/>
      <c r="AI232" s="727"/>
      <c r="AJ232" s="727"/>
      <c r="AK232" s="727"/>
      <c r="AL232" s="853"/>
    </row>
    <row r="233" spans="1:38">
      <c r="A233" s="727"/>
      <c r="B233" s="727"/>
      <c r="C233" s="727"/>
      <c r="D233" s="727"/>
      <c r="E233" s="727"/>
      <c r="F233" s="727"/>
      <c r="G233" s="727"/>
      <c r="H233" s="727"/>
      <c r="I233" s="727"/>
      <c r="J233" s="727"/>
      <c r="K233" s="727"/>
      <c r="L233" s="727"/>
      <c r="M233" s="727"/>
      <c r="N233" s="727"/>
      <c r="O233" s="727"/>
      <c r="P233" s="727"/>
      <c r="Q233" s="727"/>
      <c r="R233" s="727"/>
      <c r="S233" s="727"/>
      <c r="T233" s="727"/>
      <c r="U233" s="727"/>
      <c r="V233" s="727"/>
      <c r="W233" s="727"/>
      <c r="X233" s="727"/>
      <c r="Y233" s="727"/>
      <c r="Z233" s="727"/>
      <c r="AA233" s="727"/>
      <c r="AB233" s="727"/>
      <c r="AC233" s="727"/>
      <c r="AD233" s="727"/>
      <c r="AE233" s="727"/>
      <c r="AF233" s="727"/>
      <c r="AG233" s="727"/>
      <c r="AH233" s="727"/>
      <c r="AI233" s="727"/>
      <c r="AJ233" s="727"/>
      <c r="AK233" s="727"/>
      <c r="AL233" s="853"/>
    </row>
    <row r="234" spans="1:38">
      <c r="A234" s="727"/>
      <c r="B234" s="727"/>
      <c r="C234" s="727"/>
      <c r="D234" s="727"/>
      <c r="E234" s="727"/>
      <c r="F234" s="727"/>
      <c r="G234" s="727"/>
      <c r="H234" s="727"/>
      <c r="I234" s="727"/>
      <c r="J234" s="727"/>
      <c r="K234" s="727"/>
      <c r="L234" s="727"/>
      <c r="M234" s="727"/>
      <c r="N234" s="727"/>
      <c r="O234" s="727"/>
      <c r="P234" s="727"/>
      <c r="Q234" s="727"/>
      <c r="R234" s="727"/>
      <c r="S234" s="727"/>
      <c r="T234" s="727"/>
      <c r="U234" s="727"/>
      <c r="V234" s="727"/>
      <c r="W234" s="727"/>
      <c r="X234" s="727"/>
      <c r="Y234" s="727"/>
      <c r="Z234" s="727"/>
      <c r="AA234" s="727"/>
      <c r="AB234" s="727"/>
      <c r="AC234" s="727"/>
      <c r="AD234" s="727"/>
      <c r="AE234" s="727"/>
      <c r="AF234" s="727"/>
      <c r="AG234" s="727"/>
      <c r="AH234" s="727"/>
      <c r="AI234" s="727"/>
      <c r="AJ234" s="727"/>
      <c r="AK234" s="727"/>
      <c r="AL234" s="853"/>
    </row>
    <row r="235" spans="1:38">
      <c r="A235" s="727"/>
      <c r="B235" s="727"/>
      <c r="C235" s="727"/>
      <c r="D235" s="727"/>
      <c r="E235" s="727"/>
      <c r="F235" s="727"/>
      <c r="G235" s="727"/>
      <c r="H235" s="727"/>
      <c r="I235" s="727"/>
      <c r="J235" s="727"/>
      <c r="K235" s="727"/>
      <c r="L235" s="727"/>
      <c r="M235" s="727"/>
      <c r="N235" s="727"/>
      <c r="O235" s="727"/>
      <c r="P235" s="727"/>
      <c r="Q235" s="727"/>
      <c r="R235" s="727"/>
      <c r="S235" s="727"/>
      <c r="T235" s="727"/>
      <c r="U235" s="727"/>
      <c r="V235" s="727"/>
      <c r="W235" s="727"/>
      <c r="X235" s="727"/>
      <c r="Y235" s="727"/>
      <c r="Z235" s="727"/>
      <c r="AA235" s="727"/>
      <c r="AB235" s="727"/>
      <c r="AC235" s="727"/>
      <c r="AD235" s="727"/>
      <c r="AE235" s="727"/>
      <c r="AF235" s="727"/>
      <c r="AG235" s="727"/>
      <c r="AH235" s="727"/>
      <c r="AI235" s="727"/>
      <c r="AJ235" s="727"/>
      <c r="AK235" s="727"/>
      <c r="AL235" s="853"/>
    </row>
    <row r="236" spans="1:38">
      <c r="A236" s="727"/>
      <c r="B236" s="727"/>
      <c r="C236" s="727"/>
      <c r="D236" s="727"/>
      <c r="E236" s="727"/>
      <c r="F236" s="727"/>
      <c r="G236" s="727"/>
      <c r="H236" s="727"/>
      <c r="I236" s="727"/>
      <c r="J236" s="727"/>
      <c r="K236" s="727"/>
      <c r="L236" s="727"/>
      <c r="M236" s="727"/>
      <c r="N236" s="727"/>
      <c r="O236" s="727"/>
      <c r="P236" s="727"/>
      <c r="Q236" s="727"/>
      <c r="R236" s="727"/>
      <c r="S236" s="727"/>
      <c r="T236" s="727"/>
      <c r="U236" s="727"/>
      <c r="V236" s="727"/>
      <c r="W236" s="727"/>
      <c r="X236" s="727"/>
      <c r="Y236" s="727"/>
      <c r="Z236" s="727"/>
      <c r="AA236" s="727"/>
      <c r="AB236" s="727"/>
      <c r="AC236" s="727"/>
      <c r="AD236" s="727"/>
      <c r="AE236" s="727"/>
      <c r="AF236" s="727"/>
      <c r="AG236" s="727"/>
      <c r="AH236" s="727"/>
      <c r="AI236" s="727"/>
      <c r="AJ236" s="727"/>
      <c r="AK236" s="727"/>
      <c r="AL236" s="853"/>
    </row>
    <row r="237" spans="1:38">
      <c r="A237" s="727"/>
      <c r="B237" s="727"/>
      <c r="C237" s="727"/>
      <c r="D237" s="727"/>
      <c r="E237" s="727"/>
      <c r="F237" s="727"/>
      <c r="G237" s="727"/>
      <c r="H237" s="727"/>
      <c r="I237" s="727"/>
      <c r="J237" s="727"/>
      <c r="K237" s="727"/>
      <c r="L237" s="727"/>
      <c r="M237" s="727"/>
      <c r="N237" s="727"/>
      <c r="O237" s="727"/>
      <c r="P237" s="727"/>
      <c r="Q237" s="727"/>
      <c r="R237" s="727"/>
      <c r="S237" s="727"/>
      <c r="T237" s="727"/>
      <c r="U237" s="727"/>
      <c r="V237" s="727"/>
      <c r="W237" s="727"/>
      <c r="X237" s="727"/>
      <c r="Y237" s="727"/>
      <c r="Z237" s="727"/>
      <c r="AA237" s="727"/>
      <c r="AB237" s="727"/>
      <c r="AC237" s="727"/>
      <c r="AD237" s="727"/>
      <c r="AE237" s="727"/>
      <c r="AF237" s="727"/>
      <c r="AG237" s="727"/>
      <c r="AH237" s="727"/>
      <c r="AI237" s="727"/>
      <c r="AJ237" s="727"/>
      <c r="AK237" s="727"/>
      <c r="AL237" s="853"/>
    </row>
    <row r="238" spans="1:38">
      <c r="A238" s="727"/>
      <c r="B238" s="727"/>
      <c r="C238" s="727"/>
      <c r="D238" s="727"/>
      <c r="E238" s="727"/>
      <c r="F238" s="727"/>
      <c r="G238" s="727"/>
      <c r="H238" s="727"/>
      <c r="I238" s="727"/>
      <c r="J238" s="727"/>
      <c r="K238" s="727"/>
      <c r="L238" s="727"/>
      <c r="M238" s="727"/>
      <c r="N238" s="727"/>
      <c r="O238" s="727"/>
      <c r="P238" s="727"/>
      <c r="Q238" s="727"/>
      <c r="R238" s="727"/>
      <c r="S238" s="727"/>
      <c r="T238" s="727"/>
      <c r="U238" s="727"/>
      <c r="V238" s="727"/>
      <c r="W238" s="727"/>
      <c r="X238" s="727"/>
      <c r="Y238" s="727"/>
      <c r="Z238" s="727"/>
      <c r="AA238" s="727"/>
      <c r="AB238" s="727"/>
      <c r="AC238" s="727"/>
      <c r="AD238" s="727"/>
      <c r="AE238" s="727"/>
      <c r="AF238" s="727"/>
      <c r="AG238" s="727"/>
      <c r="AH238" s="727"/>
      <c r="AI238" s="727"/>
      <c r="AJ238" s="727"/>
      <c r="AK238" s="727"/>
      <c r="AL238" s="853"/>
    </row>
    <row r="239" spans="1:38">
      <c r="A239" s="727"/>
      <c r="B239" s="727"/>
      <c r="C239" s="727"/>
      <c r="D239" s="727"/>
      <c r="E239" s="727"/>
      <c r="F239" s="727"/>
      <c r="G239" s="727"/>
      <c r="H239" s="727"/>
      <c r="I239" s="727"/>
      <c r="J239" s="727"/>
      <c r="K239" s="727"/>
      <c r="L239" s="727"/>
      <c r="M239" s="727"/>
      <c r="N239" s="727"/>
      <c r="O239" s="727"/>
      <c r="P239" s="727"/>
      <c r="Q239" s="727"/>
      <c r="R239" s="727"/>
      <c r="S239" s="727"/>
      <c r="T239" s="727"/>
      <c r="U239" s="727"/>
      <c r="V239" s="727"/>
      <c r="W239" s="727"/>
      <c r="X239" s="727"/>
      <c r="Y239" s="727"/>
      <c r="Z239" s="727"/>
      <c r="AA239" s="727"/>
      <c r="AB239" s="727"/>
      <c r="AC239" s="727"/>
      <c r="AD239" s="727"/>
      <c r="AE239" s="727"/>
      <c r="AF239" s="727"/>
      <c r="AG239" s="727"/>
      <c r="AH239" s="727"/>
      <c r="AI239" s="727"/>
      <c r="AJ239" s="727"/>
      <c r="AK239" s="727"/>
      <c r="AL239" s="853"/>
    </row>
    <row r="240" spans="1:38">
      <c r="A240" s="727"/>
      <c r="B240" s="727"/>
      <c r="C240" s="727"/>
      <c r="D240" s="727"/>
      <c r="E240" s="727"/>
      <c r="F240" s="727"/>
      <c r="G240" s="727"/>
      <c r="H240" s="727"/>
      <c r="I240" s="727"/>
      <c r="J240" s="727"/>
      <c r="K240" s="727"/>
      <c r="L240" s="727"/>
      <c r="M240" s="727"/>
      <c r="N240" s="727"/>
      <c r="O240" s="727"/>
      <c r="P240" s="727"/>
      <c r="Q240" s="727"/>
      <c r="R240" s="727"/>
      <c r="S240" s="727"/>
      <c r="T240" s="727"/>
      <c r="U240" s="727"/>
      <c r="V240" s="727"/>
      <c r="W240" s="727"/>
      <c r="X240" s="727"/>
      <c r="Y240" s="727"/>
      <c r="Z240" s="727"/>
      <c r="AA240" s="727"/>
      <c r="AB240" s="727"/>
      <c r="AC240" s="727"/>
      <c r="AD240" s="727"/>
      <c r="AE240" s="727"/>
      <c r="AF240" s="727"/>
      <c r="AG240" s="727"/>
      <c r="AH240" s="727"/>
      <c r="AI240" s="727"/>
      <c r="AJ240" s="727"/>
      <c r="AK240" s="727"/>
      <c r="AL240" s="853"/>
    </row>
    <row r="241" spans="1:38">
      <c r="A241" s="727"/>
      <c r="B241" s="727"/>
      <c r="C241" s="727"/>
      <c r="D241" s="727"/>
      <c r="E241" s="727"/>
      <c r="F241" s="727"/>
      <c r="G241" s="727"/>
      <c r="H241" s="727"/>
      <c r="I241" s="727"/>
      <c r="J241" s="727"/>
      <c r="K241" s="727"/>
      <c r="L241" s="727"/>
      <c r="M241" s="727"/>
      <c r="N241" s="727"/>
      <c r="O241" s="727"/>
      <c r="P241" s="727"/>
      <c r="Q241" s="727"/>
      <c r="R241" s="727"/>
      <c r="S241" s="727"/>
      <c r="T241" s="727"/>
      <c r="U241" s="727"/>
      <c r="V241" s="727"/>
      <c r="W241" s="727"/>
      <c r="X241" s="727"/>
      <c r="Y241" s="727"/>
      <c r="Z241" s="727"/>
      <c r="AA241" s="727"/>
      <c r="AB241" s="727"/>
      <c r="AC241" s="727"/>
      <c r="AD241" s="727"/>
      <c r="AE241" s="727"/>
      <c r="AF241" s="727"/>
      <c r="AG241" s="727"/>
      <c r="AH241" s="727"/>
      <c r="AI241" s="727"/>
      <c r="AJ241" s="727"/>
      <c r="AK241" s="727"/>
      <c r="AL241" s="853"/>
    </row>
    <row r="242" spans="1:38">
      <c r="A242" s="727"/>
      <c r="B242" s="727"/>
      <c r="C242" s="727"/>
      <c r="D242" s="727"/>
      <c r="E242" s="727"/>
      <c r="F242" s="727"/>
      <c r="G242" s="727"/>
      <c r="H242" s="727"/>
      <c r="I242" s="727"/>
      <c r="J242" s="727"/>
      <c r="K242" s="727"/>
      <c r="L242" s="727"/>
      <c r="M242" s="727"/>
      <c r="N242" s="727"/>
      <c r="O242" s="727"/>
      <c r="P242" s="727"/>
      <c r="Q242" s="727"/>
      <c r="R242" s="727"/>
      <c r="S242" s="727"/>
      <c r="T242" s="727"/>
      <c r="U242" s="727"/>
      <c r="V242" s="727"/>
      <c r="W242" s="727"/>
      <c r="X242" s="727"/>
      <c r="Y242" s="727"/>
      <c r="Z242" s="727"/>
      <c r="AA242" s="727"/>
      <c r="AB242" s="727"/>
      <c r="AC242" s="727"/>
      <c r="AD242" s="727"/>
      <c r="AE242" s="727"/>
      <c r="AF242" s="727"/>
      <c r="AG242" s="727"/>
      <c r="AH242" s="727"/>
      <c r="AI242" s="727"/>
      <c r="AJ242" s="727"/>
      <c r="AK242" s="727"/>
      <c r="AL242" s="853"/>
    </row>
    <row r="243" spans="1:38">
      <c r="A243" s="727"/>
      <c r="B243" s="727"/>
      <c r="C243" s="727"/>
      <c r="D243" s="727"/>
      <c r="E243" s="727"/>
      <c r="F243" s="727"/>
      <c r="G243" s="727"/>
      <c r="H243" s="727"/>
      <c r="I243" s="727"/>
      <c r="J243" s="727"/>
      <c r="K243" s="727"/>
      <c r="L243" s="727"/>
      <c r="M243" s="727"/>
      <c r="N243" s="727"/>
      <c r="O243" s="727"/>
      <c r="P243" s="727"/>
      <c r="Q243" s="727"/>
      <c r="R243" s="727"/>
      <c r="S243" s="727"/>
      <c r="T243" s="727"/>
      <c r="U243" s="727"/>
      <c r="V243" s="727"/>
      <c r="W243" s="727"/>
      <c r="X243" s="727"/>
      <c r="Y243" s="727"/>
      <c r="Z243" s="727"/>
      <c r="AA243" s="727"/>
      <c r="AB243" s="727"/>
      <c r="AC243" s="727"/>
      <c r="AD243" s="727"/>
      <c r="AE243" s="727"/>
      <c r="AF243" s="727"/>
      <c r="AG243" s="727"/>
      <c r="AH243" s="727"/>
      <c r="AI243" s="727"/>
      <c r="AJ243" s="727"/>
      <c r="AK243" s="727"/>
      <c r="AL243" s="853"/>
    </row>
    <row r="244" spans="1:38">
      <c r="A244" s="727"/>
      <c r="B244" s="727"/>
      <c r="C244" s="727"/>
      <c r="D244" s="727"/>
      <c r="E244" s="727"/>
      <c r="F244" s="727"/>
      <c r="G244" s="727"/>
      <c r="H244" s="727"/>
      <c r="I244" s="727"/>
      <c r="J244" s="727"/>
      <c r="K244" s="727"/>
      <c r="L244" s="727"/>
      <c r="M244" s="727"/>
      <c r="N244" s="727"/>
      <c r="O244" s="727"/>
      <c r="P244" s="727"/>
      <c r="Q244" s="727"/>
      <c r="R244" s="727"/>
      <c r="S244" s="727"/>
      <c r="T244" s="727"/>
      <c r="U244" s="727"/>
      <c r="V244" s="727"/>
      <c r="W244" s="727"/>
      <c r="X244" s="727"/>
      <c r="Y244" s="727"/>
      <c r="Z244" s="727"/>
      <c r="AA244" s="727"/>
      <c r="AB244" s="727"/>
      <c r="AC244" s="727"/>
      <c r="AD244" s="727"/>
      <c r="AE244" s="727"/>
      <c r="AF244" s="727"/>
      <c r="AG244" s="727"/>
      <c r="AH244" s="727"/>
      <c r="AI244" s="727"/>
      <c r="AJ244" s="727"/>
      <c r="AK244" s="727"/>
      <c r="AL244" s="853"/>
    </row>
    <row r="245" spans="1:38">
      <c r="AL245" s="853"/>
    </row>
    <row r="246" spans="1:38">
      <c r="AL246" s="853"/>
    </row>
    <row r="247" spans="1:38">
      <c r="AL247" s="853"/>
    </row>
    <row r="248" spans="1:38">
      <c r="AL248" s="853"/>
    </row>
    <row r="249" spans="1:38">
      <c r="AL249" s="853"/>
    </row>
    <row r="250" spans="1:38">
      <c r="AL250" s="853"/>
    </row>
    <row r="251" spans="1:38">
      <c r="AL251" s="853"/>
    </row>
    <row r="252" spans="1:38">
      <c r="AL252" s="853"/>
    </row>
    <row r="253" spans="1:38">
      <c r="AL253" s="853"/>
    </row>
    <row r="254" spans="1:38">
      <c r="AL254" s="853"/>
    </row>
    <row r="255" spans="1:38">
      <c r="AL255" s="853"/>
    </row>
    <row r="256" spans="1:38">
      <c r="AL256" s="853"/>
    </row>
    <row r="257" spans="38:38">
      <c r="AL257" s="853"/>
    </row>
    <row r="258" spans="38:38">
      <c r="AL258" s="853"/>
    </row>
    <row r="259" spans="38:38">
      <c r="AL259" s="853"/>
    </row>
    <row r="260" spans="38:38">
      <c r="AL260" s="853"/>
    </row>
    <row r="261" spans="38:38">
      <c r="AL261" s="853"/>
    </row>
    <row r="262" spans="38:38">
      <c r="AL262" s="853"/>
    </row>
    <row r="263" spans="38:38">
      <c r="AL263" s="853"/>
    </row>
    <row r="264" spans="38:38">
      <c r="AL264" s="853"/>
    </row>
    <row r="265" spans="38:38">
      <c r="AL265" s="853"/>
    </row>
    <row r="266" spans="38:38">
      <c r="AL266" s="853"/>
    </row>
    <row r="267" spans="38:38">
      <c r="AL267" s="853"/>
    </row>
    <row r="268" spans="38:38">
      <c r="AL268" s="853"/>
    </row>
    <row r="269" spans="38:38">
      <c r="AL269" s="853"/>
    </row>
    <row r="270" spans="38:38">
      <c r="AL270" s="853"/>
    </row>
    <row r="271" spans="38:38">
      <c r="AL271" s="853"/>
    </row>
    <row r="272" spans="38:38">
      <c r="AL272" s="853"/>
    </row>
    <row r="273" spans="38:38">
      <c r="AL273" s="853"/>
    </row>
    <row r="274" spans="38:38">
      <c r="AL274" s="853"/>
    </row>
    <row r="275" spans="38:38">
      <c r="AL275" s="853"/>
    </row>
    <row r="276" spans="38:38">
      <c r="AL276" s="853"/>
    </row>
    <row r="277" spans="38:38">
      <c r="AL277" s="853"/>
    </row>
  </sheetData>
  <mergeCells count="16">
    <mergeCell ref="B19:B21"/>
    <mergeCell ref="C19:C21"/>
    <mergeCell ref="B6:B7"/>
    <mergeCell ref="C6:C7"/>
    <mergeCell ref="B8:B11"/>
    <mergeCell ref="B12:B15"/>
    <mergeCell ref="C12:C15"/>
    <mergeCell ref="B16:B18"/>
    <mergeCell ref="C16:C18"/>
    <mergeCell ref="C8:C11"/>
    <mergeCell ref="G4:G5"/>
    <mergeCell ref="B4:B5"/>
    <mergeCell ref="C4:C5"/>
    <mergeCell ref="D4:D5"/>
    <mergeCell ref="E4:E5"/>
    <mergeCell ref="F4:F5"/>
  </mergeCells>
  <hyperlinks>
    <hyperlink ref="D3" location="'Project-definition'!A1" display="Back to Project definition worksheet"/>
  </hyperlinks>
  <pageMargins left="0.7" right="0.7" top="0.75" bottom="0.75" header="0.3" footer="0.3"/>
  <pageSetup paperSize="9" scale="26"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66FFFF"/>
    <pageSetUpPr fitToPage="1"/>
  </sheetPr>
  <dimension ref="A1:BV256"/>
  <sheetViews>
    <sheetView workbookViewId="0"/>
  </sheetViews>
  <sheetFormatPr defaultRowHeight="14.4"/>
  <cols>
    <col min="1" max="1" width="21.33203125" customWidth="1"/>
    <col min="2" max="2" width="23.33203125" customWidth="1"/>
    <col min="5" max="8" width="11" customWidth="1"/>
    <col min="9" max="9" width="11.6640625" customWidth="1"/>
    <col min="10" max="10" width="11" customWidth="1"/>
    <col min="27" max="27" width="11.5546875" bestFit="1" customWidth="1"/>
  </cols>
  <sheetData>
    <row r="1" spans="1:74" s="326" customFormat="1" ht="24.6">
      <c r="B1" s="327" t="s">
        <v>1156</v>
      </c>
      <c r="K1" s="328"/>
      <c r="L1" s="328"/>
      <c r="M1" s="328"/>
      <c r="N1" s="328"/>
      <c r="AI1" s="727"/>
      <c r="AJ1" s="727"/>
      <c r="AL1" s="727"/>
      <c r="AM1" s="727"/>
      <c r="AN1" s="727"/>
      <c r="AO1" s="727"/>
      <c r="BN1" s="271"/>
      <c r="BO1" s="271"/>
      <c r="BP1" s="271"/>
      <c r="BQ1" s="271"/>
      <c r="BR1" s="271"/>
      <c r="BS1" s="271"/>
      <c r="BT1" s="271"/>
      <c r="BU1" s="271"/>
      <c r="BV1" s="271"/>
    </row>
    <row r="2" spans="1:74" s="326" customFormat="1" ht="13.2">
      <c r="E2" s="19"/>
      <c r="F2" s="19"/>
      <c r="G2" s="19"/>
      <c r="H2" s="19"/>
      <c r="I2" s="19"/>
      <c r="K2" s="19"/>
      <c r="L2" s="19"/>
      <c r="M2" s="19"/>
      <c r="N2" s="19"/>
      <c r="O2" s="19"/>
      <c r="P2" s="19"/>
      <c r="Q2" s="19"/>
      <c r="R2" s="19"/>
      <c r="S2" s="19"/>
      <c r="T2" s="19"/>
      <c r="U2" s="19"/>
      <c r="V2" s="19"/>
      <c r="W2" s="19"/>
      <c r="X2" s="19"/>
      <c r="Y2" s="19"/>
      <c r="Z2" s="21"/>
      <c r="AA2" s="21"/>
      <c r="AB2" s="21"/>
      <c r="AC2" s="19"/>
      <c r="AD2" s="21"/>
      <c r="AE2" s="21"/>
      <c r="AF2" s="19"/>
      <c r="AG2" s="21"/>
      <c r="AI2" s="727"/>
      <c r="AJ2" s="727"/>
      <c r="AL2" s="727"/>
      <c r="AM2" s="727"/>
      <c r="AN2" s="727"/>
      <c r="AO2" s="727"/>
      <c r="BN2" s="271"/>
      <c r="BO2" s="271"/>
      <c r="BP2" s="271"/>
      <c r="BQ2" s="271"/>
      <c r="BR2" s="271"/>
      <c r="BS2" s="271"/>
      <c r="BT2" s="271"/>
      <c r="BU2" s="271"/>
      <c r="BV2" s="271"/>
    </row>
    <row r="3" spans="1:74" s="326" customFormat="1" ht="16.2" thickBot="1">
      <c r="B3" s="332" t="s">
        <v>214</v>
      </c>
      <c r="C3" s="331"/>
      <c r="E3" s="25" t="str">
        <f>Cashflow!E4</f>
        <v>Geological and flow variables</v>
      </c>
      <c r="F3" s="19"/>
      <c r="G3" s="19"/>
      <c r="H3" s="19"/>
      <c r="I3" s="220"/>
      <c r="K3" s="68"/>
      <c r="L3" s="68"/>
      <c r="M3" s="68"/>
      <c r="N3" s="19"/>
      <c r="O3" s="19"/>
      <c r="P3" s="19"/>
      <c r="Q3" s="68"/>
      <c r="R3" s="68"/>
      <c r="S3" s="22"/>
      <c r="T3" s="68"/>
      <c r="U3" s="68"/>
      <c r="V3" s="68"/>
      <c r="W3" s="69"/>
      <c r="X3" s="68"/>
      <c r="Y3" s="68"/>
      <c r="Z3" s="19"/>
      <c r="AA3" s="19"/>
      <c r="AB3" s="19"/>
      <c r="AC3" s="19"/>
      <c r="AD3" s="19"/>
      <c r="AE3" s="21"/>
      <c r="AF3" s="21"/>
      <c r="AG3" s="19"/>
      <c r="AI3" s="727"/>
      <c r="AJ3" s="727"/>
      <c r="AL3" s="727"/>
      <c r="AM3" s="727"/>
      <c r="AN3" s="727"/>
      <c r="AO3" s="727"/>
      <c r="BN3" s="271"/>
      <c r="BO3" s="271"/>
      <c r="BP3" s="271"/>
      <c r="BQ3" s="271"/>
      <c r="BR3" s="271"/>
      <c r="BS3" s="271"/>
      <c r="BT3" s="271"/>
      <c r="BU3" s="271"/>
      <c r="BV3" s="271"/>
    </row>
    <row r="4" spans="1:74" s="326" customFormat="1" ht="13.8" thickBot="1">
      <c r="B4" s="334" t="s">
        <v>211</v>
      </c>
      <c r="C4" s="81"/>
      <c r="D4" s="329"/>
      <c r="E4" s="838" t="str">
        <f>Cashflow!E11</f>
        <v>Reservoir temperature (°C)</v>
      </c>
      <c r="F4" s="836"/>
      <c r="G4" s="836"/>
      <c r="H4" s="836"/>
      <c r="I4" s="837">
        <f>Cashflow!I11</f>
        <v>295</v>
      </c>
      <c r="K4" s="19"/>
      <c r="L4" s="19"/>
      <c r="M4" s="19"/>
      <c r="N4" s="19"/>
      <c r="O4" s="19"/>
      <c r="P4" s="19"/>
      <c r="Q4" s="19"/>
      <c r="R4" s="19"/>
      <c r="S4" s="19"/>
      <c r="T4" s="19"/>
      <c r="U4" s="19"/>
      <c r="V4" s="19"/>
      <c r="W4" s="19"/>
      <c r="X4" s="19"/>
      <c r="Y4" s="19"/>
      <c r="Z4" s="19"/>
      <c r="AA4" s="19"/>
      <c r="AB4" s="19"/>
      <c r="AC4" s="19"/>
      <c r="AD4" s="19"/>
      <c r="AE4" s="19"/>
      <c r="AF4" s="19"/>
      <c r="AG4" s="19"/>
      <c r="AI4" s="727"/>
      <c r="AJ4" s="727"/>
      <c r="AL4" s="727"/>
      <c r="AM4" s="727"/>
      <c r="AN4" s="727"/>
      <c r="AO4" s="727"/>
      <c r="BN4" s="271"/>
      <c r="BO4" s="271"/>
      <c r="BP4" s="271"/>
      <c r="BQ4" s="271"/>
      <c r="BR4" s="271"/>
      <c r="BS4" s="271"/>
      <c r="BT4" s="271"/>
      <c r="BU4" s="271"/>
      <c r="BV4" s="271"/>
    </row>
    <row r="5" spans="1:74" s="326" customFormat="1" ht="13.2">
      <c r="B5" s="334" t="s">
        <v>89</v>
      </c>
      <c r="C5" s="29"/>
      <c r="D5" s="329"/>
      <c r="E5" s="338"/>
      <c r="F5" s="338"/>
      <c r="G5" s="338"/>
      <c r="H5" s="338"/>
      <c r="I5" s="338"/>
      <c r="J5" s="335"/>
      <c r="K5" s="27"/>
      <c r="L5" s="68"/>
      <c r="M5" s="68"/>
      <c r="N5" s="19"/>
      <c r="O5" s="19"/>
      <c r="P5" s="19"/>
      <c r="Q5" s="19"/>
      <c r="R5" s="19"/>
      <c r="S5" s="19"/>
      <c r="T5" s="19"/>
      <c r="U5" s="19"/>
      <c r="V5" s="19"/>
      <c r="W5" s="19"/>
      <c r="X5" s="19"/>
      <c r="Y5" s="19"/>
      <c r="Z5" s="19"/>
      <c r="AA5" s="19"/>
      <c r="AB5" s="19"/>
      <c r="AC5" s="19"/>
      <c r="AD5" s="19"/>
      <c r="AE5" s="19"/>
      <c r="AF5" s="19"/>
      <c r="AG5" s="19"/>
      <c r="AI5" s="727"/>
      <c r="AJ5" s="727"/>
      <c r="AL5" s="727"/>
      <c r="AM5" s="727"/>
      <c r="AN5" s="727"/>
      <c r="AO5" s="727"/>
      <c r="BN5" s="271"/>
      <c r="BO5" s="271"/>
      <c r="BP5" s="271"/>
      <c r="BQ5" s="271"/>
      <c r="BR5" s="271"/>
      <c r="BS5" s="271"/>
      <c r="BT5" s="271"/>
      <c r="BU5" s="271"/>
      <c r="BV5" s="271"/>
    </row>
    <row r="6" spans="1:74" s="326" customFormat="1" ht="13.2">
      <c r="D6" s="329"/>
      <c r="J6" s="335"/>
      <c r="K6" s="27"/>
      <c r="L6" s="19"/>
      <c r="M6" s="19"/>
      <c r="N6" s="19"/>
      <c r="O6" s="19"/>
      <c r="P6" s="19"/>
      <c r="Q6" s="19"/>
      <c r="R6" s="19"/>
      <c r="S6" s="19"/>
      <c r="T6" s="19"/>
      <c r="U6" s="19"/>
      <c r="V6" s="19"/>
      <c r="W6" s="19"/>
      <c r="X6" s="19"/>
      <c r="Y6" s="19"/>
      <c r="Z6" s="19"/>
      <c r="AA6" s="19"/>
      <c r="AB6" s="19"/>
      <c r="AC6" s="19"/>
      <c r="AD6" s="19"/>
      <c r="AE6" s="19"/>
      <c r="AF6" s="19"/>
      <c r="AG6" s="19"/>
      <c r="AI6" s="727"/>
      <c r="AJ6" s="727"/>
      <c r="AL6" s="727"/>
      <c r="AM6" s="727"/>
      <c r="AN6" s="727"/>
      <c r="AO6" s="727"/>
      <c r="BN6" s="271"/>
      <c r="BO6" s="271"/>
      <c r="BP6" s="271"/>
      <c r="BQ6" s="271"/>
      <c r="BR6" s="271"/>
      <c r="BS6" s="271"/>
      <c r="BT6" s="271"/>
      <c r="BU6" s="271"/>
      <c r="BV6" s="271"/>
    </row>
    <row r="7" spans="1:74" ht="18">
      <c r="A7" s="9" t="s">
        <v>59</v>
      </c>
      <c r="B7" s="326"/>
      <c r="C7" s="326"/>
      <c r="D7" s="326"/>
      <c r="E7" s="579"/>
      <c r="F7" s="328"/>
      <c r="G7" s="328"/>
      <c r="H7" s="328"/>
      <c r="I7" s="580"/>
      <c r="J7" s="326"/>
      <c r="K7" s="342"/>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row>
    <row r="8" spans="1:74">
      <c r="A8" s="6" t="s">
        <v>54</v>
      </c>
      <c r="B8" s="501">
        <v>200</v>
      </c>
      <c r="C8" s="501">
        <v>220</v>
      </c>
      <c r="D8" s="501">
        <v>240</v>
      </c>
      <c r="E8" s="501">
        <v>250</v>
      </c>
      <c r="F8" s="501">
        <v>260</v>
      </c>
      <c r="G8" s="501">
        <v>275</v>
      </c>
      <c r="H8" s="501">
        <v>300</v>
      </c>
      <c r="I8" s="501">
        <v>325</v>
      </c>
      <c r="J8" s="501">
        <v>350</v>
      </c>
      <c r="K8" s="501">
        <v>360</v>
      </c>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row>
    <row r="9" spans="1:74">
      <c r="A9" s="6" t="s">
        <v>55</v>
      </c>
      <c r="B9" s="18">
        <v>4.51</v>
      </c>
      <c r="C9" s="18">
        <v>4.63</v>
      </c>
      <c r="D9" s="18">
        <v>4.78</v>
      </c>
      <c r="E9" s="18">
        <v>4.87</v>
      </c>
      <c r="F9" s="18">
        <v>4.9800000000000004</v>
      </c>
      <c r="G9" s="18">
        <v>5.2</v>
      </c>
      <c r="H9" s="18">
        <v>5.65</v>
      </c>
      <c r="I9" s="18">
        <v>6.86</v>
      </c>
      <c r="J9" s="18">
        <v>10.1</v>
      </c>
      <c r="K9" s="18">
        <v>14.6</v>
      </c>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row>
    <row r="10" spans="1:74">
      <c r="A10" s="6" t="s">
        <v>56</v>
      </c>
      <c r="B10" s="18">
        <v>864</v>
      </c>
      <c r="C10" s="18">
        <v>840</v>
      </c>
      <c r="D10" s="18">
        <v>814</v>
      </c>
      <c r="E10" s="18">
        <v>799</v>
      </c>
      <c r="F10" s="18">
        <v>784</v>
      </c>
      <c r="G10" s="18">
        <v>756</v>
      </c>
      <c r="H10" s="18">
        <v>714</v>
      </c>
      <c r="I10" s="18">
        <v>654</v>
      </c>
      <c r="J10" s="18">
        <v>575</v>
      </c>
      <c r="K10" s="18">
        <v>528</v>
      </c>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row>
    <row r="11" spans="1:74">
      <c r="A11" s="17" t="s">
        <v>74</v>
      </c>
      <c r="B11" s="18">
        <v>0.11299999999999999</v>
      </c>
      <c r="C11" s="18">
        <v>0.11200000000000002</v>
      </c>
      <c r="D11" s="18">
        <v>0.11100000000000002</v>
      </c>
      <c r="E11" s="18">
        <v>0.11000000000000001</v>
      </c>
      <c r="F11" s="18">
        <v>0.10900000000000001</v>
      </c>
      <c r="G11" s="18">
        <v>0.1075</v>
      </c>
      <c r="H11" s="18">
        <v>0.1055</v>
      </c>
      <c r="I11" s="18">
        <v>0.10400000000000001</v>
      </c>
      <c r="J11" s="18">
        <v>0.10300000000000001</v>
      </c>
      <c r="K11" s="18">
        <v>0.10200000000000001</v>
      </c>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row>
    <row r="12" spans="1:74">
      <c r="A12" s="17" t="s">
        <v>75</v>
      </c>
      <c r="B12" s="18"/>
      <c r="C12" s="18"/>
      <c r="D12" s="18"/>
      <c r="E12" s="18"/>
      <c r="F12" s="18"/>
      <c r="G12" s="18"/>
      <c r="H12" s="18"/>
      <c r="I12" s="18"/>
      <c r="J12" s="18"/>
      <c r="K12" s="18"/>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row>
    <row r="13" spans="1:74">
      <c r="A13" s="17" t="s">
        <v>76</v>
      </c>
      <c r="B13" s="18"/>
      <c r="C13" s="18"/>
      <c r="D13" s="18"/>
      <c r="E13" s="18"/>
      <c r="F13" s="18"/>
      <c r="G13" s="18"/>
      <c r="H13" s="18"/>
      <c r="I13" s="18"/>
      <c r="J13" s="18"/>
      <c r="K13" s="18"/>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row>
    <row r="14" spans="1:74">
      <c r="A14" s="17" t="s">
        <v>77</v>
      </c>
      <c r="B14" s="18"/>
      <c r="C14" s="18"/>
      <c r="D14" s="18"/>
      <c r="E14" s="18"/>
      <c r="F14" s="18"/>
      <c r="G14" s="18"/>
      <c r="H14" s="18"/>
      <c r="I14" s="18"/>
      <c r="J14" s="18"/>
      <c r="K14" s="18"/>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row>
    <row r="15" spans="1:74">
      <c r="A15" s="100"/>
      <c r="B15" s="100"/>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row>
    <row r="16" spans="1:74">
      <c r="A16" s="100"/>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row>
    <row r="17" spans="1:36" ht="15" thickBot="1">
      <c r="A17" s="100"/>
      <c r="B17" s="100"/>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row>
    <row r="18" spans="1:36" ht="15" thickBot="1">
      <c r="A18" s="504" t="s">
        <v>562</v>
      </c>
      <c r="B18" s="502"/>
      <c r="C18" s="502"/>
      <c r="D18" s="502"/>
      <c r="E18" s="502"/>
      <c r="F18" s="502"/>
      <c r="G18" s="502"/>
      <c r="H18" s="502"/>
      <c r="I18" s="502"/>
      <c r="J18" s="502"/>
      <c r="K18" s="503"/>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row>
    <row r="19" spans="1:36">
      <c r="A19" s="100"/>
      <c r="B19" s="100"/>
      <c r="C19" s="100"/>
      <c r="D19" s="100"/>
      <c r="E19" s="100"/>
      <c r="F19" s="100"/>
      <c r="G19" s="100"/>
      <c r="H19" s="100"/>
      <c r="I19" s="100"/>
      <c r="J19" s="100"/>
      <c r="K19" s="100"/>
      <c r="L19" s="100"/>
      <c r="M19" s="100"/>
      <c r="N19" s="100"/>
      <c r="O19" s="100"/>
      <c r="P19" s="100"/>
      <c r="Q19" s="100"/>
      <c r="R19" s="100"/>
      <c r="S19" s="100"/>
      <c r="T19" s="100"/>
      <c r="U19" s="100"/>
      <c r="V19" s="100"/>
      <c r="W19" s="100"/>
      <c r="X19" s="100"/>
      <c r="Z19" s="100"/>
      <c r="AA19" s="100"/>
      <c r="AB19" s="100"/>
      <c r="AC19" s="100"/>
      <c r="AD19" s="100"/>
      <c r="AE19" s="100"/>
      <c r="AF19" s="100"/>
      <c r="AG19" s="100"/>
      <c r="AH19" s="100"/>
      <c r="AI19" s="100"/>
      <c r="AJ19" s="100"/>
    </row>
    <row r="20" spans="1:36">
      <c r="A20" s="282" t="s">
        <v>57</v>
      </c>
      <c r="B20" s="100"/>
      <c r="C20" s="100"/>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row>
    <row r="21" spans="1:36">
      <c r="A21" s="282" t="s">
        <v>58</v>
      </c>
      <c r="B21" s="100"/>
      <c r="C21" s="100"/>
      <c r="D21" s="100"/>
      <c r="E21" s="100"/>
      <c r="F21" s="100"/>
      <c r="G21" s="100"/>
      <c r="H21" s="100"/>
      <c r="I21" s="100"/>
      <c r="J21" s="100"/>
      <c r="K21" s="100"/>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row>
    <row r="22" spans="1:36">
      <c r="A22" s="284"/>
      <c r="B22" s="100"/>
      <c r="C22" s="100"/>
      <c r="D22" s="100"/>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row>
    <row r="23" spans="1:36">
      <c r="A23" s="283" t="s">
        <v>53</v>
      </c>
      <c r="B23" s="161"/>
      <c r="C23" s="161"/>
      <c r="D23" s="161"/>
      <c r="E23" s="161"/>
      <c r="F23" s="161"/>
      <c r="G23" s="279"/>
      <c r="H23" s="279"/>
      <c r="I23" s="279"/>
      <c r="J23" s="279"/>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row>
    <row r="24" spans="1:36">
      <c r="A24" s="100"/>
      <c r="B24" s="100"/>
      <c r="C24" s="100"/>
      <c r="D24" s="100"/>
      <c r="E24" s="100"/>
      <c r="F24" s="100"/>
      <c r="G24" s="100"/>
      <c r="H24" s="100"/>
      <c r="I24" s="100"/>
      <c r="J24" s="100"/>
      <c r="K24" s="100"/>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row>
    <row r="25" spans="1:36">
      <c r="A25" s="100"/>
      <c r="B25" s="100"/>
      <c r="C25" s="100"/>
      <c r="D25" s="100"/>
      <c r="E25" s="100"/>
      <c r="F25" s="100"/>
      <c r="G25" s="100"/>
      <c r="H25" s="100"/>
      <c r="I25" s="100"/>
      <c r="J25" s="100"/>
      <c r="K25" s="100"/>
      <c r="L25" s="100"/>
      <c r="M25" s="100"/>
      <c r="N25" s="100"/>
      <c r="O25" s="100"/>
      <c r="P25" s="100"/>
      <c r="Q25" s="100"/>
      <c r="R25" s="100"/>
      <c r="S25" s="100"/>
      <c r="T25" s="100"/>
      <c r="U25" s="100"/>
      <c r="V25" s="100"/>
      <c r="W25" s="100"/>
      <c r="X25" s="100"/>
      <c r="Y25" s="100"/>
      <c r="Z25" s="100"/>
      <c r="AA25" s="100"/>
      <c r="AB25" s="100"/>
      <c r="AC25" s="100"/>
      <c r="AD25" s="100"/>
      <c r="AE25" s="100"/>
      <c r="AF25" s="100"/>
      <c r="AG25" s="100"/>
      <c r="AH25" s="100"/>
      <c r="AI25" s="100"/>
      <c r="AJ25" s="100"/>
    </row>
    <row r="26" spans="1:36">
      <c r="A26" s="100"/>
      <c r="B26" s="100"/>
      <c r="C26" s="100"/>
      <c r="D26" s="100"/>
      <c r="E26" s="100"/>
      <c r="F26" s="100"/>
      <c r="G26" s="100"/>
      <c r="H26" s="100"/>
      <c r="I26" s="100"/>
      <c r="J26" s="100"/>
      <c r="K26" s="100"/>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row>
    <row r="27" spans="1:36">
      <c r="A27" s="100"/>
      <c r="B27" s="100"/>
      <c r="C27" s="100"/>
      <c r="D27" s="100"/>
      <c r="E27" s="100"/>
      <c r="F27" s="100"/>
      <c r="G27" s="100"/>
      <c r="H27" s="100"/>
      <c r="I27" s="100"/>
      <c r="J27" s="100"/>
      <c r="K27" s="100"/>
      <c r="L27" s="100"/>
      <c r="M27" s="100"/>
      <c r="N27" s="100"/>
      <c r="O27" s="100"/>
      <c r="P27" s="100"/>
      <c r="Q27" s="100"/>
      <c r="R27" s="100"/>
      <c r="S27" s="100"/>
      <c r="T27" s="100"/>
      <c r="U27" s="100"/>
      <c r="V27" s="100"/>
      <c r="W27" s="100"/>
      <c r="X27" s="100"/>
      <c r="Z27" s="100"/>
      <c r="AA27" s="100"/>
      <c r="AB27" s="100"/>
      <c r="AC27" s="100"/>
      <c r="AD27" s="100"/>
      <c r="AE27" s="100"/>
      <c r="AF27" s="100"/>
      <c r="AG27" s="100"/>
      <c r="AH27" s="100"/>
      <c r="AI27" s="100"/>
      <c r="AJ27" s="100"/>
    </row>
    <row r="28" spans="1:36">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row>
    <row r="29" spans="1:36">
      <c r="A29" s="100"/>
      <c r="B29" s="100"/>
      <c r="C29" s="100"/>
      <c r="D29" s="100"/>
      <c r="E29" s="100"/>
      <c r="F29" s="100"/>
      <c r="G29" s="100"/>
      <c r="H29" s="100"/>
      <c r="I29" s="100"/>
      <c r="J29" s="100"/>
      <c r="K29" s="10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row>
    <row r="30" spans="1:36">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row>
    <row r="31" spans="1:36">
      <c r="A31" s="100"/>
      <c r="B31" s="100"/>
      <c r="C31" s="100"/>
      <c r="D31" s="100"/>
      <c r="E31" s="100"/>
      <c r="F31" s="100"/>
      <c r="G31" s="100"/>
      <c r="H31" s="100"/>
      <c r="I31" s="100"/>
      <c r="J31" s="100"/>
      <c r="K31" s="100"/>
      <c r="L31" s="100"/>
      <c r="M31" s="100"/>
      <c r="N31" s="100"/>
      <c r="O31" s="100"/>
      <c r="P31" s="100"/>
      <c r="Q31" s="653" t="s">
        <v>1105</v>
      </c>
      <c r="R31" s="646" t="s">
        <v>56</v>
      </c>
      <c r="S31" s="100"/>
      <c r="T31" s="100"/>
      <c r="U31" s="100"/>
      <c r="V31" s="100"/>
      <c r="W31" s="278" t="s">
        <v>256</v>
      </c>
      <c r="X31" s="284"/>
      <c r="Y31" s="279"/>
      <c r="AA31" s="100"/>
      <c r="AB31" s="100"/>
      <c r="AC31" s="100"/>
      <c r="AD31" s="100"/>
      <c r="AE31" s="100"/>
      <c r="AF31" s="100"/>
      <c r="AG31" s="100"/>
      <c r="AH31" s="100"/>
      <c r="AI31" s="100"/>
      <c r="AJ31" s="100"/>
    </row>
    <row r="32" spans="1:36">
      <c r="A32" s="100"/>
      <c r="B32" s="100"/>
      <c r="C32" s="100"/>
      <c r="D32" s="100"/>
      <c r="E32" s="100"/>
      <c r="F32" s="100"/>
      <c r="G32" s="100"/>
      <c r="H32" s="100"/>
      <c r="I32" s="100"/>
      <c r="J32" s="100"/>
      <c r="K32" s="100"/>
      <c r="L32" s="100"/>
      <c r="M32" s="100"/>
      <c r="N32" s="100"/>
      <c r="O32" s="100"/>
      <c r="P32" s="662" t="s">
        <v>952</v>
      </c>
      <c r="Q32" s="664">
        <f>INDEX($B$8:$K$8,MATCH($Q$33,$B$8:$K$8,1))</f>
        <v>275</v>
      </c>
      <c r="R32" s="664">
        <f>HLOOKUP(Q32,$B$8:$K$10,3,FALSE)</f>
        <v>756</v>
      </c>
      <c r="S32" s="100"/>
      <c r="T32" s="100"/>
      <c r="U32" s="100"/>
      <c r="V32" s="100"/>
      <c r="W32" s="287" t="s">
        <v>60</v>
      </c>
      <c r="X32" s="8">
        <f>$I$4</f>
        <v>295</v>
      </c>
      <c r="Y32" s="288"/>
      <c r="Z32" s="100"/>
      <c r="AA32" s="100"/>
      <c r="AB32" s="100"/>
      <c r="AC32" s="100"/>
      <c r="AD32" s="100"/>
      <c r="AE32" s="100"/>
      <c r="AF32" s="100"/>
      <c r="AG32" s="100"/>
      <c r="AH32" s="100"/>
      <c r="AI32" s="100"/>
      <c r="AJ32" s="100"/>
    </row>
    <row r="33" spans="1:36">
      <c r="A33" s="100"/>
      <c r="B33" s="100"/>
      <c r="C33" s="100"/>
      <c r="D33" s="100"/>
      <c r="E33" s="100"/>
      <c r="F33" s="100"/>
      <c r="G33" s="100"/>
      <c r="H33" s="100"/>
      <c r="I33" s="100"/>
      <c r="J33" s="100"/>
      <c r="K33" s="100"/>
      <c r="L33" s="100"/>
      <c r="M33" s="100"/>
      <c r="N33" s="100"/>
      <c r="O33" s="100"/>
      <c r="P33" s="662" t="s">
        <v>951</v>
      </c>
      <c r="Q33" s="661">
        <f>$I$4</f>
        <v>295</v>
      </c>
      <c r="R33" s="663">
        <f>R32+(Q33-Q32)*(R34-R32)/(Q34-Q32)</f>
        <v>722.4</v>
      </c>
      <c r="S33" s="289" t="s">
        <v>869</v>
      </c>
      <c r="T33" s="100"/>
      <c r="U33" s="100"/>
      <c r="V33" s="100"/>
      <c r="W33" s="285" t="s">
        <v>78</v>
      </c>
      <c r="X33" s="228">
        <f>-0.0082*X32^2+2.5746*X32+669.92</f>
        <v>715.822</v>
      </c>
      <c r="Y33" s="289" t="s">
        <v>79</v>
      </c>
      <c r="Z33" s="100"/>
      <c r="AA33" s="100"/>
      <c r="AB33" s="100"/>
      <c r="AC33" s="10" t="str">
        <f>IF(OR(X33&gt;1.1*X34,X33&lt;0.9*X34),"error &gt; 10%", "OK, error within 10%")</f>
        <v>OK, error within 10%</v>
      </c>
      <c r="AD33" s="100"/>
      <c r="AE33" s="100"/>
      <c r="AF33" s="100"/>
      <c r="AG33" s="100"/>
      <c r="AH33" s="100"/>
      <c r="AI33" s="100"/>
      <c r="AJ33" s="100"/>
    </row>
    <row r="34" spans="1:36">
      <c r="A34" s="100"/>
      <c r="B34" s="100"/>
      <c r="C34" s="100"/>
      <c r="D34" s="100"/>
      <c r="E34" s="100"/>
      <c r="F34" s="100"/>
      <c r="G34" s="100"/>
      <c r="H34" s="100"/>
      <c r="I34" s="100"/>
      <c r="J34" s="100"/>
      <c r="K34" s="100"/>
      <c r="L34" s="100"/>
      <c r="M34" s="100"/>
      <c r="N34" s="100"/>
      <c r="O34" s="100"/>
      <c r="P34" s="662" t="s">
        <v>952</v>
      </c>
      <c r="Q34" s="664">
        <f>INDEX($B$8:$K$8,MATCH($Q$33,$B$8:$K$8,1)+1)</f>
        <v>300</v>
      </c>
      <c r="R34" s="664">
        <f>HLOOKUP(Q34,$B$8:$K$10,3,FALSE)</f>
        <v>714</v>
      </c>
      <c r="S34" s="100"/>
      <c r="T34" s="100"/>
      <c r="U34" s="100"/>
      <c r="V34" s="100"/>
      <c r="W34" s="285" t="s">
        <v>78</v>
      </c>
      <c r="X34" s="7">
        <f>HLOOKUP(X32,B8:K10,3,TRUE)</f>
        <v>756</v>
      </c>
      <c r="Y34" s="289" t="s">
        <v>70</v>
      </c>
      <c r="Z34" s="100"/>
      <c r="AA34" s="100"/>
      <c r="AB34" s="100"/>
      <c r="AC34" s="100"/>
      <c r="AD34" s="100"/>
      <c r="AE34" s="100"/>
      <c r="AF34" s="100"/>
      <c r="AG34" s="100"/>
      <c r="AH34" s="100"/>
      <c r="AI34" s="100"/>
      <c r="AJ34" s="100"/>
    </row>
    <row r="35" spans="1:36">
      <c r="A35" s="100"/>
      <c r="B35" s="100"/>
      <c r="C35" s="100"/>
      <c r="D35" s="100"/>
      <c r="E35" s="100"/>
      <c r="F35" s="100"/>
      <c r="G35" s="100"/>
      <c r="H35" s="100"/>
      <c r="I35" s="100"/>
      <c r="J35" s="100"/>
      <c r="K35" s="100"/>
      <c r="L35" s="100"/>
      <c r="M35" s="100"/>
      <c r="N35" s="100"/>
      <c r="O35" s="100"/>
      <c r="P35" s="100"/>
      <c r="Q35" s="653" t="s">
        <v>1105</v>
      </c>
      <c r="R35" s="646" t="s">
        <v>1029</v>
      </c>
      <c r="S35" s="100"/>
      <c r="T35" s="100"/>
      <c r="U35" s="100"/>
      <c r="V35" s="100"/>
      <c r="W35" s="10" t="s">
        <v>257</v>
      </c>
      <c r="Y35" s="100"/>
      <c r="Z35" s="100"/>
      <c r="AA35" s="100"/>
      <c r="AC35" s="100"/>
      <c r="AD35" s="100"/>
      <c r="AE35" s="100"/>
      <c r="AF35" s="100"/>
      <c r="AG35" s="100"/>
      <c r="AH35" s="100"/>
      <c r="AI35" s="100"/>
      <c r="AJ35" s="100"/>
    </row>
    <row r="36" spans="1:36">
      <c r="A36" s="100"/>
      <c r="B36" s="100"/>
      <c r="C36" s="100"/>
      <c r="D36" s="100"/>
      <c r="E36" s="100"/>
      <c r="F36" s="100"/>
      <c r="G36" s="100"/>
      <c r="H36" s="100"/>
      <c r="I36" s="100"/>
      <c r="J36" s="100"/>
      <c r="K36" s="100"/>
      <c r="L36" s="100"/>
      <c r="M36" s="100"/>
      <c r="N36" s="100"/>
      <c r="O36" s="100"/>
      <c r="P36" s="662" t="s">
        <v>952</v>
      </c>
      <c r="Q36" s="664">
        <f>INDEX($B$8:$K$8,MATCH($Q$33,$B$8:$K$8,1))</f>
        <v>275</v>
      </c>
      <c r="R36" s="664">
        <f>HLOOKUP(Q36,$B$8:$K$10,2,FALSE)</f>
        <v>5.2</v>
      </c>
      <c r="S36" s="100"/>
      <c r="T36" s="100"/>
      <c r="U36" s="100"/>
      <c r="V36" s="100"/>
      <c r="W36" s="285" t="s">
        <v>60</v>
      </c>
      <c r="X36" s="8">
        <f>$I$4</f>
        <v>295</v>
      </c>
      <c r="Y36" s="100"/>
      <c r="Z36" s="100"/>
      <c r="AA36" s="100"/>
      <c r="AB36" s="100"/>
      <c r="AC36" s="100"/>
      <c r="AD36" s="100"/>
      <c r="AE36" s="100"/>
      <c r="AF36" s="100"/>
      <c r="AG36" s="100"/>
      <c r="AH36" s="100"/>
      <c r="AI36" s="100"/>
      <c r="AJ36" s="100"/>
    </row>
    <row r="37" spans="1:36">
      <c r="A37" s="100"/>
      <c r="B37" s="100"/>
      <c r="C37" s="100"/>
      <c r="D37" s="100"/>
      <c r="E37" s="100"/>
      <c r="F37" s="100"/>
      <c r="G37" s="100"/>
      <c r="H37" s="100"/>
      <c r="I37" s="100"/>
      <c r="J37" s="100"/>
      <c r="K37" s="100"/>
      <c r="L37" s="100"/>
      <c r="M37" s="100"/>
      <c r="N37" s="100"/>
      <c r="O37" s="100"/>
      <c r="P37" s="662" t="s">
        <v>951</v>
      </c>
      <c r="Q37" s="661">
        <f>$I$4</f>
        <v>295</v>
      </c>
      <c r="R37" s="663">
        <f>R36+(Q37-Q36)*(R38-R36)/(Q38-Q36)</f>
        <v>5.5600000000000005</v>
      </c>
      <c r="S37" s="289" t="s">
        <v>869</v>
      </c>
      <c r="T37" s="100"/>
      <c r="U37" s="100"/>
      <c r="V37" s="100"/>
      <c r="W37" s="285" t="s">
        <v>61</v>
      </c>
      <c r="X37" s="95">
        <f>1.16856027664535E-07*X36^4 - 0.000122111973834427*X36^3 + 0.0474925965571098*X36^2 - 8.13251271719681*X36 + 521.356277310597</f>
        <v>5.3955270006437104</v>
      </c>
      <c r="Y37" s="14" t="s">
        <v>230</v>
      </c>
      <c r="Z37" s="100"/>
      <c r="AA37" s="100"/>
      <c r="AB37" s="100"/>
      <c r="AC37" s="10" t="str">
        <f>IF(OR(X37&gt;1.1*X38,X37&lt;0.9*X38),"error &gt; 10%", "OK, error within 10%")</f>
        <v>OK, error within 10%</v>
      </c>
      <c r="AD37" s="100"/>
      <c r="AE37" s="100"/>
      <c r="AF37" s="100"/>
      <c r="AG37" s="100"/>
      <c r="AH37" s="100"/>
      <c r="AI37" s="100"/>
      <c r="AJ37" s="100"/>
    </row>
    <row r="38" spans="1:36">
      <c r="A38" s="100"/>
      <c r="B38" s="100"/>
      <c r="C38" s="100"/>
      <c r="D38" s="100"/>
      <c r="E38" s="100"/>
      <c r="F38" s="100"/>
      <c r="G38" s="100"/>
      <c r="H38" s="100"/>
      <c r="I38" s="100"/>
      <c r="J38" s="100"/>
      <c r="K38" s="100"/>
      <c r="L38" s="100"/>
      <c r="M38" s="100"/>
      <c r="N38" s="100"/>
      <c r="O38" s="100"/>
      <c r="P38" s="710" t="s">
        <v>952</v>
      </c>
      <c r="Q38" s="664">
        <f>INDEX($B$8:$K$8,MATCH($Q$33,$B$8:$K$8,1)+1)</f>
        <v>300</v>
      </c>
      <c r="R38" s="664">
        <f>HLOOKUP(Q38,$B$8:$K$10,2,FALSE)</f>
        <v>5.65</v>
      </c>
      <c r="S38" s="100"/>
      <c r="T38" s="100"/>
      <c r="U38" s="100"/>
      <c r="V38" s="100"/>
      <c r="W38" s="285" t="s">
        <v>61</v>
      </c>
      <c r="X38" s="7">
        <f>HLOOKUP(X36,B8:K10,2,TRUE)</f>
        <v>5.2</v>
      </c>
      <c r="Y38" s="286" t="s">
        <v>70</v>
      </c>
      <c r="Z38" s="100"/>
      <c r="AA38" s="100"/>
      <c r="AB38" s="100"/>
      <c r="AC38" s="100"/>
      <c r="AD38" s="100"/>
      <c r="AE38" s="100"/>
      <c r="AF38" s="100"/>
      <c r="AG38" s="100"/>
      <c r="AH38" s="100"/>
      <c r="AI38" s="100"/>
      <c r="AJ38" s="100"/>
    </row>
    <row r="39" spans="1:36">
      <c r="A39" s="100"/>
      <c r="B39" s="100"/>
      <c r="C39" s="100"/>
      <c r="D39" s="100"/>
      <c r="E39" s="100"/>
      <c r="F39" s="100"/>
      <c r="G39" s="100"/>
      <c r="H39" s="100"/>
      <c r="I39" s="100"/>
      <c r="J39" s="100"/>
      <c r="K39" s="100"/>
      <c r="L39" s="100"/>
      <c r="M39" s="100"/>
      <c r="N39" s="279"/>
      <c r="P39" s="100"/>
      <c r="Q39" s="100"/>
      <c r="R39" s="100"/>
      <c r="T39" s="100"/>
      <c r="U39" s="100"/>
      <c r="V39" s="100"/>
      <c r="W39" s="281"/>
      <c r="X39" s="280"/>
      <c r="Y39" s="279"/>
      <c r="Z39" s="279"/>
      <c r="AA39" s="161"/>
      <c r="AB39" s="279"/>
      <c r="AC39" s="279"/>
      <c r="AD39" s="279"/>
      <c r="AE39" s="100"/>
      <c r="AF39" s="100"/>
      <c r="AG39" s="100"/>
      <c r="AH39" s="100"/>
      <c r="AI39" s="100"/>
      <c r="AJ39" s="100"/>
    </row>
    <row r="40" spans="1:36">
      <c r="A40" s="100"/>
      <c r="B40" s="100"/>
      <c r="C40" s="100"/>
      <c r="D40" s="100"/>
      <c r="E40" s="100"/>
      <c r="F40" s="100"/>
      <c r="G40" s="100"/>
      <c r="H40" s="100"/>
      <c r="I40" s="100"/>
      <c r="J40" s="100"/>
      <c r="K40" s="100"/>
      <c r="L40" s="100"/>
      <c r="M40" s="100"/>
      <c r="N40" s="285"/>
      <c r="O40" s="712"/>
      <c r="P40" s="712"/>
      <c r="Q40" s="712"/>
      <c r="R40" s="712"/>
      <c r="S40" s="712"/>
      <c r="T40" s="712"/>
      <c r="U40" s="712"/>
      <c r="V40" s="712"/>
      <c r="W40" s="712"/>
      <c r="X40" s="712"/>
      <c r="Y40" s="281"/>
      <c r="Z40" s="100"/>
      <c r="AA40" s="100"/>
      <c r="AB40" s="100"/>
      <c r="AC40" s="100"/>
      <c r="AD40" s="100"/>
      <c r="AE40" s="100"/>
      <c r="AF40" s="100"/>
      <c r="AG40" s="100"/>
      <c r="AH40" s="100"/>
      <c r="AI40" s="100"/>
      <c r="AJ40" s="100"/>
    </row>
    <row r="41" spans="1:36">
      <c r="A41" s="100"/>
      <c r="B41" s="100"/>
      <c r="C41" s="100"/>
      <c r="D41" s="100"/>
      <c r="E41" s="100"/>
      <c r="F41" s="100"/>
      <c r="G41" s="100"/>
      <c r="H41" s="100"/>
      <c r="I41" s="100"/>
      <c r="J41" s="100"/>
      <c r="K41" s="100"/>
      <c r="L41" s="100"/>
      <c r="M41" s="100"/>
      <c r="N41" s="279"/>
      <c r="O41" s="711" t="s">
        <v>72</v>
      </c>
      <c r="P41" s="100"/>
      <c r="Q41" s="100"/>
      <c r="R41" s="100"/>
      <c r="T41" s="100"/>
      <c r="U41" s="100"/>
      <c r="V41" s="100"/>
      <c r="W41" s="100"/>
      <c r="X41" s="100"/>
      <c r="Y41" s="279"/>
      <c r="Z41" s="100"/>
      <c r="AA41" s="100"/>
      <c r="AB41" s="100"/>
      <c r="AC41" s="100"/>
      <c r="AD41" s="100"/>
      <c r="AE41" s="100"/>
      <c r="AF41" s="100"/>
      <c r="AG41" s="100"/>
      <c r="AH41" s="100"/>
      <c r="AI41" s="100"/>
      <c r="AJ41" s="100"/>
    </row>
    <row r="42" spans="1:36">
      <c r="A42" s="100"/>
      <c r="B42" s="100"/>
      <c r="C42" s="100"/>
      <c r="D42" s="100"/>
      <c r="E42" s="100"/>
      <c r="F42" s="100"/>
      <c r="G42" s="100"/>
      <c r="H42" s="100"/>
      <c r="I42" s="100"/>
      <c r="J42" s="100"/>
      <c r="K42" s="100"/>
      <c r="L42" s="100"/>
      <c r="M42" s="100"/>
      <c r="N42" s="100"/>
      <c r="O42" s="277" t="s">
        <v>488</v>
      </c>
      <c r="P42" s="100"/>
      <c r="Q42" s="100"/>
      <c r="R42" s="100"/>
      <c r="S42" s="100"/>
      <c r="T42" s="100"/>
      <c r="U42" s="100"/>
      <c r="V42" s="100"/>
      <c r="W42" s="100"/>
      <c r="X42" s="100"/>
      <c r="Y42" s="100"/>
      <c r="Z42" s="100"/>
      <c r="AB42" s="100"/>
      <c r="AC42" s="100"/>
      <c r="AD42" s="100"/>
      <c r="AE42" s="100"/>
      <c r="AF42" s="100"/>
      <c r="AG42" s="100"/>
      <c r="AH42" s="100"/>
      <c r="AI42" s="100"/>
      <c r="AJ42" s="100"/>
    </row>
    <row r="43" spans="1:36">
      <c r="A43" s="100"/>
      <c r="B43" s="100"/>
      <c r="C43" s="100"/>
      <c r="D43" s="100"/>
      <c r="E43" s="100"/>
      <c r="F43" s="100"/>
      <c r="G43" s="100"/>
      <c r="H43" s="100"/>
      <c r="I43" s="100"/>
      <c r="J43" s="100"/>
      <c r="K43" s="100"/>
      <c r="L43" s="100"/>
      <c r="M43" s="100"/>
      <c r="N43" s="100"/>
      <c r="O43" s="276" t="s">
        <v>69</v>
      </c>
      <c r="P43" s="100"/>
      <c r="Q43" s="100"/>
      <c r="R43" s="100"/>
      <c r="S43" s="100"/>
      <c r="T43" s="100"/>
      <c r="U43" s="100"/>
      <c r="V43" s="100"/>
      <c r="W43" s="100"/>
      <c r="X43" s="100"/>
      <c r="Y43" s="100"/>
      <c r="Z43" s="100"/>
      <c r="AA43" s="100"/>
      <c r="AB43" s="100"/>
      <c r="AC43" s="100"/>
      <c r="AD43" s="100"/>
      <c r="AE43" s="100"/>
      <c r="AF43" s="100"/>
      <c r="AG43" s="100"/>
      <c r="AH43" s="100"/>
      <c r="AI43" s="100"/>
      <c r="AJ43" s="100"/>
    </row>
    <row r="44" spans="1:36">
      <c r="A44" s="100"/>
      <c r="B44" s="100"/>
      <c r="C44" s="100"/>
      <c r="D44" s="100"/>
      <c r="E44" s="100"/>
      <c r="F44" s="100"/>
      <c r="G44" s="100"/>
      <c r="H44" s="100"/>
      <c r="I44" s="100"/>
      <c r="J44" s="100"/>
      <c r="K44" s="100"/>
      <c r="L44" s="100"/>
      <c r="M44" s="100"/>
      <c r="N44" s="100"/>
      <c r="O44" s="276" t="s">
        <v>68</v>
      </c>
      <c r="P44" s="100"/>
      <c r="Q44" s="100"/>
      <c r="R44" s="100"/>
      <c r="S44" s="100"/>
      <c r="T44" s="100"/>
      <c r="U44" s="100"/>
      <c r="V44" s="100"/>
      <c r="W44" s="100"/>
      <c r="X44" s="100"/>
      <c r="Y44" s="100"/>
      <c r="Z44" s="100"/>
      <c r="AA44" s="100"/>
      <c r="AB44" s="100"/>
      <c r="AC44" s="100"/>
      <c r="AD44" s="100"/>
      <c r="AE44" s="100"/>
      <c r="AF44" s="100"/>
      <c r="AG44" s="100"/>
      <c r="AH44" s="100"/>
      <c r="AI44" s="100"/>
      <c r="AJ44" s="100"/>
    </row>
    <row r="45" spans="1:36">
      <c r="A45" s="100"/>
      <c r="B45" s="100"/>
      <c r="C45" s="100"/>
      <c r="D45" s="100"/>
      <c r="E45" s="100"/>
      <c r="F45" s="100"/>
      <c r="G45" s="100"/>
      <c r="H45" s="100"/>
      <c r="I45" s="100"/>
      <c r="J45" s="100"/>
      <c r="K45" s="100"/>
      <c r="L45" s="100"/>
      <c r="M45" s="100"/>
      <c r="N45" s="100"/>
      <c r="O45" s="277" t="s">
        <v>71</v>
      </c>
      <c r="P45" s="12" t="s">
        <v>7</v>
      </c>
      <c r="Q45" s="13">
        <f>Volumetrics!C17</f>
        <v>295</v>
      </c>
      <c r="R45" s="275" t="s">
        <v>66</v>
      </c>
      <c r="S45" s="12" t="s">
        <v>67</v>
      </c>
      <c r="T45" s="13">
        <f>Q45*1.8+32</f>
        <v>563</v>
      </c>
      <c r="U45" s="100"/>
      <c r="V45" s="100"/>
      <c r="W45" s="100"/>
      <c r="X45" s="100"/>
      <c r="Y45" s="100"/>
      <c r="Z45" s="100"/>
      <c r="AA45" s="100"/>
      <c r="AB45" s="100"/>
      <c r="AC45" s="100"/>
      <c r="AD45" s="100"/>
      <c r="AE45" s="100"/>
      <c r="AF45" s="100"/>
      <c r="AG45" s="100"/>
      <c r="AH45" s="100"/>
      <c r="AI45" s="100"/>
      <c r="AJ45" s="100"/>
    </row>
    <row r="46" spans="1:36">
      <c r="A46" s="100"/>
      <c r="B46" s="100"/>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row>
    <row r="47" spans="1:36">
      <c r="B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row>
    <row r="48" spans="1:36">
      <c r="A48" s="100"/>
      <c r="B48" s="100"/>
      <c r="C48" s="100"/>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row>
    <row r="49" spans="1:36">
      <c r="A49" s="100"/>
      <c r="B49" s="100"/>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row>
    <row r="50" spans="1:36">
      <c r="A50" s="100"/>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row>
    <row r="51" spans="1:36">
      <c r="A51" s="100"/>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row>
    <row r="52" spans="1:36">
      <c r="A52" s="100"/>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row>
    <row r="53" spans="1:36">
      <c r="A53" s="100"/>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row>
    <row r="54" spans="1:36">
      <c r="A54" s="100"/>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row>
    <row r="55" spans="1:36">
      <c r="A55" s="100"/>
      <c r="B55" s="100"/>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row>
    <row r="56" spans="1:36">
      <c r="A56" s="100"/>
      <c r="B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row>
    <row r="57" spans="1:36">
      <c r="A57" s="100"/>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row>
    <row r="58" spans="1:36">
      <c r="A58" s="100"/>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row>
    <row r="59" spans="1:36">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row>
    <row r="60" spans="1:36">
      <c r="A60" s="100"/>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row>
    <row r="61" spans="1:36">
      <c r="A61" s="100"/>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row>
    <row r="62" spans="1:36">
      <c r="A62" s="100"/>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row>
    <row r="63" spans="1:36">
      <c r="A63" s="100"/>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row>
    <row r="64" spans="1:36">
      <c r="A64" s="100"/>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row>
    <row r="65" spans="1:36">
      <c r="A65" s="100"/>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row>
    <row r="66" spans="1:36">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row>
    <row r="67" spans="1:36">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row>
    <row r="68" spans="1:36">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row>
    <row r="69" spans="1:36">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row>
    <row r="70" spans="1:36">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row>
    <row r="71" spans="1:36">
      <c r="A71" s="100"/>
      <c r="B71" s="100"/>
      <c r="C71" s="100"/>
      <c r="D71" s="100"/>
      <c r="E71" s="100"/>
      <c r="F71" s="100"/>
      <c r="G71" s="100"/>
      <c r="H71" s="100"/>
      <c r="I71" s="100"/>
      <c r="J71" s="100"/>
      <c r="K71" s="100"/>
      <c r="L71" s="100"/>
      <c r="M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row>
    <row r="72" spans="1:36">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row>
    <row r="73" spans="1:36">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row>
    <row r="74" spans="1:36">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row>
    <row r="75" spans="1:36">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row>
    <row r="76" spans="1:36">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row>
    <row r="77" spans="1:36">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row>
    <row r="78" spans="1:36">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row>
    <row r="79" spans="1:36">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row>
    <row r="80" spans="1:36">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row>
    <row r="81" spans="1:36">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row>
    <row r="82" spans="1:36">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row>
    <row r="83" spans="1:36">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row>
    <row r="84" spans="1:36">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row>
    <row r="85" spans="1:36">
      <c r="A85" s="100"/>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row>
    <row r="86" spans="1:36">
      <c r="A86" s="100"/>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row>
    <row r="87" spans="1:36">
      <c r="A87" s="100"/>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row>
    <row r="88" spans="1:36">
      <c r="A88" s="100"/>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row>
    <row r="89" spans="1:36">
      <c r="A89" s="100"/>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row>
    <row r="90" spans="1:36">
      <c r="A90" s="100"/>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row>
    <row r="91" spans="1:36">
      <c r="A91" s="100"/>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row>
    <row r="92" spans="1:36">
      <c r="A92" s="100"/>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row>
    <row r="93" spans="1:36">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row>
    <row r="94" spans="1:36">
      <c r="A94" s="100"/>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row>
    <row r="95" spans="1:36">
      <c r="A95" s="100"/>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row>
    <row r="96" spans="1:36">
      <c r="A96" s="100"/>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row>
    <row r="97" spans="1:36">
      <c r="A97" s="100"/>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row>
    <row r="98" spans="1:36">
      <c r="A98" s="100"/>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row>
    <row r="99" spans="1:36">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row>
    <row r="100" spans="1:36">
      <c r="A100" s="100"/>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row>
    <row r="101" spans="1:36">
      <c r="A101" s="100"/>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row>
    <row r="102" spans="1:36">
      <c r="A102" s="100"/>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row>
    <row r="103" spans="1:36">
      <c r="A103" s="100"/>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row>
    <row r="104" spans="1:36">
      <c r="A104" s="100"/>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row>
    <row r="105" spans="1:36">
      <c r="A105" s="100"/>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row>
    <row r="106" spans="1:36">
      <c r="A106" s="100"/>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row>
    <row r="107" spans="1:36">
      <c r="A107" s="100"/>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row>
    <row r="108" spans="1:36">
      <c r="A108" s="100"/>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row>
    <row r="109" spans="1:36">
      <c r="A109" s="100"/>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row>
    <row r="110" spans="1:36">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row>
    <row r="111" spans="1:36">
      <c r="A111" s="100"/>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row>
    <row r="112" spans="1:36">
      <c r="A112" s="100"/>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row>
    <row r="113" spans="1:36">
      <c r="A113" s="100"/>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row>
    <row r="114" spans="1:36">
      <c r="A114" s="100"/>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row>
    <row r="115" spans="1:36">
      <c r="A115" s="100"/>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row>
    <row r="116" spans="1:36">
      <c r="A116" s="100"/>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row>
    <row r="117" spans="1:36">
      <c r="A117" s="100"/>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row>
    <row r="118" spans="1:36">
      <c r="A118" s="100"/>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row>
    <row r="119" spans="1:36">
      <c r="A119" s="100"/>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row>
    <row r="120" spans="1:36">
      <c r="A120" s="100"/>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row>
    <row r="121" spans="1:36">
      <c r="A121" s="100"/>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row>
    <row r="122" spans="1:36">
      <c r="A122" s="100"/>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row>
    <row r="123" spans="1:36">
      <c r="A123" s="100"/>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row>
    <row r="124" spans="1:36">
      <c r="A124" s="100"/>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row>
    <row r="125" spans="1:36">
      <c r="A125" s="100"/>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row>
    <row r="126" spans="1:36">
      <c r="A126" s="100"/>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row>
    <row r="127" spans="1:36">
      <c r="A127" s="100"/>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row>
    <row r="128" spans="1:36">
      <c r="A128" s="100"/>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row>
    <row r="129" spans="1:36">
      <c r="A129" s="100"/>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row>
    <row r="130" spans="1:36">
      <c r="A130" s="100"/>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row>
    <row r="131" spans="1:36">
      <c r="A131" s="100"/>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row>
    <row r="132" spans="1:36">
      <c r="A132" s="100"/>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row>
    <row r="133" spans="1:36">
      <c r="A133" s="100"/>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row>
    <row r="134" spans="1:36">
      <c r="A134" s="100"/>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row>
    <row r="135" spans="1:36">
      <c r="A135" s="100"/>
      <c r="B135" s="100"/>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row>
    <row r="136" spans="1:36">
      <c r="A136" s="100"/>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row>
    <row r="137" spans="1:36">
      <c r="A137" s="100"/>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row>
    <row r="138" spans="1:36">
      <c r="A138" s="646" t="s">
        <v>862</v>
      </c>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row>
    <row r="139" spans="1:36">
      <c r="A139" s="100"/>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row>
    <row r="140" spans="1:36">
      <c r="A140" s="100"/>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row>
    <row r="141" spans="1:36">
      <c r="A141" s="100"/>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row>
    <row r="142" spans="1:36" ht="43.2">
      <c r="A142" s="100"/>
      <c r="B142" s="100"/>
      <c r="C142" s="100"/>
      <c r="D142" s="100"/>
      <c r="E142" s="100"/>
      <c r="F142" s="100"/>
      <c r="G142" s="644" t="s">
        <v>863</v>
      </c>
      <c r="H142" s="645" t="s">
        <v>865</v>
      </c>
      <c r="I142" s="644" t="s">
        <v>864</v>
      </c>
      <c r="J142" s="645" t="s">
        <v>866</v>
      </c>
      <c r="K142" s="646"/>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row>
    <row r="143" spans="1:36">
      <c r="A143" s="100"/>
      <c r="B143" s="100"/>
      <c r="C143" s="100"/>
      <c r="D143" s="100"/>
      <c r="E143" s="100"/>
      <c r="F143" s="100"/>
      <c r="G143" s="642">
        <v>32</v>
      </c>
      <c r="H143" s="642">
        <v>8.8499999999999995E-2</v>
      </c>
      <c r="I143" s="643">
        <f t="shared" ref="I143:I169" si="0">CONVERT(G143,"F","C")</f>
        <v>0</v>
      </c>
      <c r="J143" s="642">
        <f>CONVERT(H143,"psi","Pa")/1000</f>
        <v>0.61018602044540005</v>
      </c>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row>
    <row r="144" spans="1:36">
      <c r="A144" s="100"/>
      <c r="B144" s="100"/>
      <c r="C144" s="100"/>
      <c r="D144" s="100"/>
      <c r="E144" s="100"/>
      <c r="F144" s="100"/>
      <c r="G144" s="642">
        <v>40</v>
      </c>
      <c r="H144" s="642">
        <v>0.1217</v>
      </c>
      <c r="I144" s="643">
        <f t="shared" si="0"/>
        <v>4.4444444444444446</v>
      </c>
      <c r="J144" s="642">
        <f t="shared" ref="J144:J169" si="1">CONVERT(H144,"psi","Pa")/1000</f>
        <v>0.83909196257858965</v>
      </c>
      <c r="K144" s="100"/>
      <c r="L144" s="100"/>
      <c r="M144" s="100"/>
      <c r="N144" s="100"/>
      <c r="O144" s="653" t="s">
        <v>1105</v>
      </c>
      <c r="P144" s="646" t="s">
        <v>999</v>
      </c>
      <c r="Q144" s="100"/>
      <c r="R144" s="100"/>
      <c r="S144" s="100"/>
      <c r="T144" s="100"/>
      <c r="U144" s="100"/>
      <c r="V144" s="100"/>
      <c r="W144" s="100"/>
      <c r="X144" s="100"/>
      <c r="Y144" s="100"/>
      <c r="Z144" s="100"/>
      <c r="AA144" s="100"/>
      <c r="AB144" s="100"/>
      <c r="AC144" s="100"/>
      <c r="AD144" s="100"/>
      <c r="AE144" s="100"/>
      <c r="AF144" s="100"/>
      <c r="AG144" s="100"/>
      <c r="AH144" s="100"/>
      <c r="AI144" s="100"/>
      <c r="AJ144" s="100"/>
    </row>
    <row r="145" spans="1:36">
      <c r="A145" s="100"/>
      <c r="B145" s="100"/>
      <c r="C145" s="100"/>
      <c r="D145" s="100"/>
      <c r="E145" s="100"/>
      <c r="F145" s="100"/>
      <c r="G145" s="642">
        <v>50</v>
      </c>
      <c r="H145" s="642">
        <v>0.17810000000000001</v>
      </c>
      <c r="I145" s="643">
        <f t="shared" si="0"/>
        <v>10</v>
      </c>
      <c r="J145" s="642">
        <f t="shared" si="1"/>
        <v>1.2279562739132852</v>
      </c>
      <c r="K145" s="100"/>
      <c r="L145" s="100"/>
      <c r="M145" s="100"/>
      <c r="N145" s="662" t="s">
        <v>952</v>
      </c>
      <c r="O145" s="664">
        <f>INDEX($I$143:$I$169,MATCH($O$146,$I$143:$I$169,1))</f>
        <v>287.77777777777777</v>
      </c>
      <c r="P145" s="664">
        <f>VLOOKUP(O145,$I$143:$J$169,2,FALSE)</f>
        <v>7207.9861169970009</v>
      </c>
      <c r="Q145" s="100"/>
      <c r="R145" s="100"/>
      <c r="S145" s="100"/>
      <c r="T145" s="100"/>
      <c r="U145" s="100"/>
      <c r="V145" s="100"/>
      <c r="W145" s="100"/>
      <c r="X145" s="100"/>
      <c r="Y145" s="100"/>
      <c r="Z145" s="100"/>
      <c r="AA145" s="100"/>
      <c r="AB145" s="100"/>
      <c r="AC145" s="100"/>
      <c r="AD145" s="100"/>
      <c r="AE145" s="100"/>
      <c r="AF145" s="100"/>
      <c r="AG145" s="100"/>
      <c r="AH145" s="100"/>
      <c r="AI145" s="100"/>
      <c r="AJ145" s="100"/>
    </row>
    <row r="146" spans="1:36">
      <c r="A146" s="100"/>
      <c r="B146" s="100"/>
      <c r="C146" s="100"/>
      <c r="D146" s="100"/>
      <c r="E146" s="100"/>
      <c r="F146" s="100"/>
      <c r="G146" s="642">
        <v>60</v>
      </c>
      <c r="H146" s="642">
        <v>0.25629999999999997</v>
      </c>
      <c r="I146" s="643">
        <f t="shared" si="0"/>
        <v>15.555555555555555</v>
      </c>
      <c r="J146" s="642">
        <f t="shared" si="1"/>
        <v>1.7671262942390509</v>
      </c>
      <c r="K146" s="100"/>
      <c r="L146" s="100"/>
      <c r="M146" s="100"/>
      <c r="N146" s="662" t="s">
        <v>951</v>
      </c>
      <c r="O146" s="661">
        <f>$I$4</f>
        <v>295</v>
      </c>
      <c r="P146" s="663">
        <f>P145+(O146-O145)*(P147-P145)/(O147-O145)</f>
        <v>8100.3069848303094</v>
      </c>
      <c r="Q146" s="289" t="s">
        <v>869</v>
      </c>
      <c r="R146" s="100"/>
      <c r="S146" s="100"/>
      <c r="T146" s="100"/>
      <c r="U146" s="100"/>
      <c r="V146" s="100"/>
      <c r="W146" s="100"/>
      <c r="X146" s="100"/>
      <c r="Y146" s="100"/>
      <c r="Z146" s="100"/>
      <c r="AA146" s="100"/>
      <c r="AB146" s="100"/>
      <c r="AC146" s="100"/>
      <c r="AD146" s="100"/>
      <c r="AE146" s="100"/>
      <c r="AF146" s="100"/>
      <c r="AG146" s="100"/>
      <c r="AH146" s="100"/>
      <c r="AI146" s="100"/>
      <c r="AJ146" s="100"/>
    </row>
    <row r="147" spans="1:36">
      <c r="A147" s="100"/>
      <c r="B147" s="100"/>
      <c r="C147" s="100"/>
      <c r="D147" s="100"/>
      <c r="E147" s="100"/>
      <c r="F147" s="100"/>
      <c r="G147" s="642">
        <v>70</v>
      </c>
      <c r="H147" s="642">
        <v>0.36309999999999998</v>
      </c>
      <c r="I147" s="643">
        <f t="shared" si="0"/>
        <v>21.111111111111111</v>
      </c>
      <c r="J147" s="642">
        <f t="shared" si="1"/>
        <v>2.5034863731494319</v>
      </c>
      <c r="K147" s="100"/>
      <c r="L147" s="100"/>
      <c r="M147" s="100"/>
      <c r="N147" s="662" t="s">
        <v>952</v>
      </c>
      <c r="O147" s="664">
        <f>INDEX($I$143:$I$169,MATCH($O$146,$I$143:$I$169,1)+1)</f>
        <v>315.55555555555554</v>
      </c>
      <c r="P147" s="664">
        <f>VLOOKUP(O147,$I$143:$J$169,2,FALSE)</f>
        <v>10639.989454817416</v>
      </c>
      <c r="Q147" s="100"/>
      <c r="R147" s="100"/>
      <c r="S147" s="100"/>
      <c r="T147" s="100"/>
      <c r="U147" s="100"/>
      <c r="V147" s="100"/>
      <c r="W147" s="100"/>
      <c r="X147" s="100"/>
      <c r="Y147" s="100"/>
      <c r="Z147" s="100"/>
      <c r="AA147" s="100"/>
      <c r="AB147" s="100"/>
      <c r="AC147" s="100"/>
      <c r="AD147" s="100"/>
      <c r="AE147" s="100"/>
      <c r="AF147" s="100"/>
      <c r="AG147" s="100"/>
      <c r="AH147" s="100"/>
      <c r="AI147" s="100"/>
      <c r="AJ147" s="100"/>
    </row>
    <row r="148" spans="1:36">
      <c r="A148" s="100"/>
      <c r="B148" s="100"/>
      <c r="C148" s="100"/>
      <c r="D148" s="100"/>
      <c r="E148" s="100"/>
      <c r="F148" s="100"/>
      <c r="G148" s="642">
        <v>80</v>
      </c>
      <c r="H148" s="642">
        <v>0.50690000000000002</v>
      </c>
      <c r="I148" s="643">
        <f t="shared" si="0"/>
        <v>26.666666666666664</v>
      </c>
      <c r="J148" s="642">
        <f t="shared" si="1"/>
        <v>3.4949524719070428</v>
      </c>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row>
    <row r="149" spans="1:36">
      <c r="A149" s="100"/>
      <c r="B149" s="100"/>
      <c r="C149" s="100"/>
      <c r="D149" s="100"/>
      <c r="E149" s="100"/>
      <c r="F149" s="100"/>
      <c r="G149" s="642">
        <v>90</v>
      </c>
      <c r="H149" s="642">
        <v>0.69789999999999996</v>
      </c>
      <c r="I149" s="643">
        <f t="shared" si="0"/>
        <v>32.222222222222221</v>
      </c>
      <c r="J149" s="642">
        <f t="shared" si="1"/>
        <v>4.8118511149021996</v>
      </c>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row>
    <row r="150" spans="1:36">
      <c r="A150" s="100"/>
      <c r="B150" s="100"/>
      <c r="C150" s="100"/>
      <c r="D150" s="100"/>
      <c r="E150" s="100"/>
      <c r="F150" s="100"/>
      <c r="G150" s="642">
        <v>100</v>
      </c>
      <c r="H150" s="642">
        <v>0.94930000000000003</v>
      </c>
      <c r="I150" s="643">
        <f t="shared" si="0"/>
        <v>37.777777777777779</v>
      </c>
      <c r="J150" s="642">
        <f t="shared" si="1"/>
        <v>6.5451930984047255</v>
      </c>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row>
    <row r="151" spans="1:36">
      <c r="A151" s="100"/>
      <c r="B151" s="100"/>
      <c r="C151" s="100"/>
      <c r="D151" s="100"/>
      <c r="E151" s="100"/>
      <c r="F151" s="100"/>
      <c r="G151" s="642">
        <v>120</v>
      </c>
      <c r="H151" s="642">
        <v>1.6919999999999999</v>
      </c>
      <c r="I151" s="643">
        <f t="shared" si="0"/>
        <v>48.888888888888886</v>
      </c>
      <c r="J151" s="642">
        <f t="shared" si="1"/>
        <v>11.665929340040869</v>
      </c>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row>
    <row r="152" spans="1:36">
      <c r="A152" s="100"/>
      <c r="B152" s="100"/>
      <c r="C152" s="100"/>
      <c r="D152" s="100"/>
      <c r="E152" s="100"/>
      <c r="F152" s="100"/>
      <c r="G152" s="642">
        <v>140</v>
      </c>
      <c r="H152" s="642">
        <v>2.8879999999999999</v>
      </c>
      <c r="I152" s="643">
        <f t="shared" si="0"/>
        <v>60</v>
      </c>
      <c r="J152" s="642">
        <f t="shared" si="1"/>
        <v>19.912059062670227</v>
      </c>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row>
    <row r="153" spans="1:36">
      <c r="A153" s="100"/>
      <c r="B153" s="100"/>
      <c r="C153" s="100"/>
      <c r="D153" s="100"/>
      <c r="E153" s="100"/>
      <c r="F153" s="100"/>
      <c r="G153" s="642">
        <v>160</v>
      </c>
      <c r="H153" s="642">
        <v>4.7359999999999998</v>
      </c>
      <c r="I153" s="643">
        <f t="shared" si="0"/>
        <v>71.111111111111114</v>
      </c>
      <c r="J153" s="642">
        <f t="shared" si="1"/>
        <v>32.653570540445358</v>
      </c>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row>
    <row r="154" spans="1:36">
      <c r="A154" s="100"/>
      <c r="B154" s="100"/>
      <c r="C154" s="100"/>
      <c r="D154" s="100"/>
      <c r="E154" s="100"/>
      <c r="F154" s="100"/>
      <c r="G154" s="642">
        <v>180</v>
      </c>
      <c r="H154" s="642">
        <v>7.5069999999999997</v>
      </c>
      <c r="I154" s="643">
        <f t="shared" si="0"/>
        <v>82.222222222222214</v>
      </c>
      <c r="J154" s="642">
        <f t="shared" si="1"/>
        <v>51.758942999814892</v>
      </c>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row>
    <row r="155" spans="1:36">
      <c r="A155" s="100"/>
      <c r="B155" s="100"/>
      <c r="C155" s="100"/>
      <c r="D155" s="100"/>
      <c r="E155" s="100"/>
      <c r="F155" s="100"/>
      <c r="G155" s="642">
        <v>200</v>
      </c>
      <c r="H155" s="642">
        <v>11.52</v>
      </c>
      <c r="I155" s="643">
        <f t="shared" si="0"/>
        <v>93.333333333333329</v>
      </c>
      <c r="J155" s="642">
        <f t="shared" si="1"/>
        <v>79.427604017299529</v>
      </c>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row>
    <row r="156" spans="1:36">
      <c r="A156" s="100"/>
      <c r="B156" s="100"/>
      <c r="C156" s="100"/>
      <c r="D156" s="100"/>
      <c r="E156" s="100"/>
      <c r="F156" s="100"/>
      <c r="G156" s="642">
        <v>212</v>
      </c>
      <c r="H156" s="642">
        <v>14.69</v>
      </c>
      <c r="I156" s="643">
        <f t="shared" si="0"/>
        <v>100</v>
      </c>
      <c r="J156" s="642">
        <f t="shared" si="1"/>
        <v>101.28398463664323</v>
      </c>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row>
    <row r="157" spans="1:36">
      <c r="A157" s="100"/>
      <c r="B157" s="100"/>
      <c r="C157" s="100"/>
      <c r="D157" s="100"/>
      <c r="E157" s="100"/>
      <c r="F157" s="100"/>
      <c r="G157" s="642">
        <v>220</v>
      </c>
      <c r="H157" s="642">
        <v>17.190000000000001</v>
      </c>
      <c r="I157" s="643">
        <f t="shared" si="0"/>
        <v>104.44444444444444</v>
      </c>
      <c r="J157" s="642">
        <f t="shared" si="1"/>
        <v>118.52087786956415</v>
      </c>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row>
    <row r="158" spans="1:36">
      <c r="A158" s="100"/>
      <c r="B158" s="100"/>
      <c r="C158" s="100"/>
      <c r="D158" s="100"/>
      <c r="E158" s="100"/>
      <c r="F158" s="100"/>
      <c r="G158" s="642">
        <v>240</v>
      </c>
      <c r="H158" s="642">
        <v>24.97</v>
      </c>
      <c r="I158" s="643">
        <f t="shared" si="0"/>
        <v>115.55555555555556</v>
      </c>
      <c r="J158" s="642">
        <f t="shared" si="1"/>
        <v>172.162089610414</v>
      </c>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row>
    <row r="159" spans="1:36">
      <c r="A159" s="100"/>
      <c r="B159" s="100"/>
      <c r="C159" s="100"/>
      <c r="D159" s="100"/>
      <c r="E159" s="100"/>
      <c r="F159" s="100"/>
      <c r="G159" s="642">
        <v>260</v>
      </c>
      <c r="H159" s="642">
        <v>35.43</v>
      </c>
      <c r="I159" s="643">
        <f t="shared" si="0"/>
        <v>126.66666666666666</v>
      </c>
      <c r="J159" s="642">
        <f t="shared" si="1"/>
        <v>244.28125089695504</v>
      </c>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row>
    <row r="160" spans="1:36">
      <c r="A160" s="100"/>
      <c r="B160" s="100"/>
      <c r="C160" s="100"/>
      <c r="D160" s="100"/>
      <c r="E160" s="100"/>
      <c r="F160" s="100"/>
      <c r="G160" s="642">
        <v>280</v>
      </c>
      <c r="H160" s="642">
        <v>49.2</v>
      </c>
      <c r="I160" s="643">
        <f t="shared" si="0"/>
        <v>137.77777777777777</v>
      </c>
      <c r="J160" s="642">
        <f t="shared" si="1"/>
        <v>339.2220588238834</v>
      </c>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row>
    <row r="161" spans="1:36">
      <c r="A161" s="100"/>
      <c r="B161" s="100"/>
      <c r="C161" s="100"/>
      <c r="D161" s="100"/>
      <c r="E161" s="100"/>
      <c r="F161" s="100"/>
      <c r="G161" s="642">
        <v>300</v>
      </c>
      <c r="H161" s="642">
        <v>67.010000000000005</v>
      </c>
      <c r="I161" s="643">
        <f t="shared" si="0"/>
        <v>148.88888888888889</v>
      </c>
      <c r="J161" s="642">
        <f t="shared" si="1"/>
        <v>462.01768621521194</v>
      </c>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row>
    <row r="162" spans="1:36">
      <c r="A162" s="100"/>
      <c r="B162" s="100"/>
      <c r="C162" s="100"/>
      <c r="D162" s="100"/>
      <c r="E162" s="100"/>
      <c r="F162" s="100"/>
      <c r="G162" s="642">
        <v>350</v>
      </c>
      <c r="H162" s="642">
        <v>134.6</v>
      </c>
      <c r="I162" s="643">
        <f t="shared" si="0"/>
        <v>176.66666666666666</v>
      </c>
      <c r="J162" s="642">
        <f t="shared" si="1"/>
        <v>928.03433166046148</v>
      </c>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row>
    <row r="163" spans="1:36">
      <c r="A163" s="100"/>
      <c r="B163" s="100"/>
      <c r="C163" s="100"/>
      <c r="D163" s="100"/>
      <c r="E163" s="100"/>
      <c r="F163" s="100"/>
      <c r="G163" s="642">
        <v>400</v>
      </c>
      <c r="H163" s="642">
        <v>247.26</v>
      </c>
      <c r="I163" s="643">
        <f t="shared" si="0"/>
        <v>204.44444444444443</v>
      </c>
      <c r="J163" s="642">
        <f t="shared" si="1"/>
        <v>1704.797688308809</v>
      </c>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row>
    <row r="164" spans="1:36">
      <c r="A164" s="100"/>
      <c r="B164" s="100"/>
      <c r="C164" s="100"/>
      <c r="D164" s="100"/>
      <c r="E164" s="100"/>
      <c r="F164" s="100"/>
      <c r="G164" s="642">
        <v>450</v>
      </c>
      <c r="H164" s="642">
        <v>422.55</v>
      </c>
      <c r="I164" s="643">
        <f t="shared" si="0"/>
        <v>232.22222222222223</v>
      </c>
      <c r="J164" s="642">
        <f t="shared" si="1"/>
        <v>2913.3796942282916</v>
      </c>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row>
    <row r="165" spans="1:36">
      <c r="A165" s="100"/>
      <c r="B165" s="100"/>
      <c r="C165" s="100"/>
      <c r="D165" s="100"/>
      <c r="E165" s="100"/>
      <c r="F165" s="100"/>
      <c r="G165" s="642">
        <v>500</v>
      </c>
      <c r="H165" s="642">
        <v>680.86</v>
      </c>
      <c r="I165" s="643">
        <f t="shared" si="0"/>
        <v>260</v>
      </c>
      <c r="J165" s="642">
        <f t="shared" si="1"/>
        <v>4694.364450626611</v>
      </c>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row>
    <row r="166" spans="1:36">
      <c r="A166" s="100"/>
      <c r="B166" s="100"/>
      <c r="C166" s="100"/>
      <c r="D166" s="100"/>
      <c r="E166" s="100"/>
      <c r="F166" s="100"/>
      <c r="G166" s="642">
        <v>550</v>
      </c>
      <c r="H166" s="642">
        <v>1045.43</v>
      </c>
      <c r="I166" s="643">
        <f t="shared" si="0"/>
        <v>287.77777777777777</v>
      </c>
      <c r="J166" s="642">
        <f t="shared" si="1"/>
        <v>7207.9861169970009</v>
      </c>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row>
    <row r="167" spans="1:36">
      <c r="A167" s="100"/>
      <c r="B167" s="100"/>
      <c r="C167" s="100"/>
      <c r="D167" s="100"/>
      <c r="E167" s="100"/>
      <c r="F167" s="100"/>
      <c r="G167" s="642">
        <v>600</v>
      </c>
      <c r="H167" s="642">
        <v>1543.2</v>
      </c>
      <c r="I167" s="643">
        <f t="shared" si="0"/>
        <v>315.55555555555554</v>
      </c>
      <c r="J167" s="642">
        <f t="shared" si="1"/>
        <v>10639.989454817416</v>
      </c>
      <c r="K167" s="100"/>
      <c r="L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row>
    <row r="168" spans="1:36">
      <c r="A168" s="100"/>
      <c r="B168" s="100"/>
      <c r="C168" s="100"/>
      <c r="D168" s="100"/>
      <c r="E168" s="100"/>
      <c r="F168" s="100"/>
      <c r="G168" s="642">
        <v>650</v>
      </c>
      <c r="H168" s="642">
        <v>2208.4</v>
      </c>
      <c r="I168" s="643">
        <f t="shared" si="0"/>
        <v>343.33333333333331</v>
      </c>
      <c r="J168" s="642">
        <f t="shared" si="1"/>
        <v>15226.382006233011</v>
      </c>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row>
    <row r="169" spans="1:36">
      <c r="A169" s="100"/>
      <c r="B169" s="100"/>
      <c r="C169" s="100"/>
      <c r="D169" s="100"/>
      <c r="E169" s="100"/>
      <c r="F169" s="100"/>
      <c r="G169" s="642">
        <v>700</v>
      </c>
      <c r="H169" s="642">
        <v>3094.3</v>
      </c>
      <c r="I169" s="643">
        <f t="shared" si="0"/>
        <v>371.11111111111109</v>
      </c>
      <c r="J169" s="642">
        <f t="shared" si="1"/>
        <v>21334.447492250863</v>
      </c>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row>
    <row r="170" spans="1:36">
      <c r="A170" s="100"/>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row>
    <row r="171" spans="1:36">
      <c r="A171" s="100"/>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row>
    <row r="172" spans="1:36">
      <c r="A172" s="100"/>
      <c r="B172" s="100"/>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row>
    <row r="173" spans="1:36">
      <c r="A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row>
    <row r="174" spans="1:36">
      <c r="A174" s="100"/>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row>
    <row r="175" spans="1:36">
      <c r="A175" s="100"/>
      <c r="B175" s="646" t="s">
        <v>953</v>
      </c>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row>
    <row r="176" spans="1:36">
      <c r="A176" s="100"/>
      <c r="B176" s="100"/>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row>
    <row r="177" spans="1:36">
      <c r="A177" s="100"/>
      <c r="B177" s="100"/>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row>
    <row r="178" spans="1:36">
      <c r="A178" s="100"/>
      <c r="B178" s="131" t="s">
        <v>876</v>
      </c>
      <c r="C178" s="284"/>
      <c r="D178" s="279"/>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row>
    <row r="179" spans="1:36">
      <c r="A179" s="100"/>
      <c r="B179" s="287" t="s">
        <v>60</v>
      </c>
      <c r="C179" s="8">
        <f>$I$4</f>
        <v>295</v>
      </c>
      <c r="D179" s="288"/>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row>
    <row r="180" spans="1:36">
      <c r="A180" s="100"/>
      <c r="B180" s="647" t="s">
        <v>868</v>
      </c>
      <c r="C180" s="228">
        <f>0.0009*C179^3-0.22834*C179^2+17.50778*C179-238.37073</f>
        <v>8160.2733700000017</v>
      </c>
      <c r="D180" s="289" t="s">
        <v>79</v>
      </c>
      <c r="E180" s="100"/>
      <c r="F180" s="100"/>
      <c r="G180" s="100"/>
      <c r="H180" s="10" t="str">
        <f>IF(OR(C180&gt;1.1*C181,C180&lt;0.9*C181),"error &gt; 10%", "OK, error within 10%")</f>
        <v>OK, error within 10%</v>
      </c>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row>
    <row r="181" spans="1:36">
      <c r="A181" s="100"/>
      <c r="B181" s="647" t="s">
        <v>868</v>
      </c>
      <c r="C181" s="7">
        <f>J165+(C179-I165)*(J166-J165)/(I166-I165)</f>
        <v>7861.5277502533027</v>
      </c>
      <c r="D181" s="289" t="s">
        <v>869</v>
      </c>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row>
    <row r="182" spans="1:36">
      <c r="A182" s="100"/>
      <c r="B182" s="100"/>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row>
    <row r="183" spans="1:36">
      <c r="A183" s="100"/>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row>
    <row r="184" spans="1:36">
      <c r="A184" s="100"/>
      <c r="B184" s="100"/>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row>
    <row r="185" spans="1:36">
      <c r="A185" s="100"/>
      <c r="B185" s="100"/>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row>
    <row r="186" spans="1:36">
      <c r="A186" s="100"/>
      <c r="B186" s="100"/>
      <c r="C186" s="644" t="s">
        <v>1106</v>
      </c>
      <c r="D186" s="646" t="s">
        <v>867</v>
      </c>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row>
    <row r="187" spans="1:36">
      <c r="A187" s="100"/>
      <c r="B187" s="100"/>
      <c r="C187" s="643">
        <f>I143</f>
        <v>0</v>
      </c>
      <c r="D187" s="100">
        <f>0.0009*C187^3-0.22834*C187^2+17.50778*C187-238.37073</f>
        <v>-238.37073000000001</v>
      </c>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row>
    <row r="188" spans="1:36">
      <c r="A188" s="100"/>
      <c r="B188" s="100"/>
      <c r="C188" s="643">
        <f t="shared" ref="C188:C213" si="2">I144</f>
        <v>4.4444444444444446</v>
      </c>
      <c r="D188" s="100">
        <f t="shared" ref="D188:D213" si="3">0.0009*C188^3-0.22834*C188^2+17.50778*C188-238.37073</f>
        <v>-164.98978185185186</v>
      </c>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row>
    <row r="189" spans="1:36">
      <c r="A189" s="100"/>
      <c r="B189" s="100"/>
      <c r="C189" s="643">
        <f t="shared" si="2"/>
        <v>10</v>
      </c>
      <c r="D189" s="100">
        <f t="shared" si="3"/>
        <v>-85.22693000000001</v>
      </c>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row>
    <row r="190" spans="1:36">
      <c r="A190" s="100"/>
      <c r="B190" s="100"/>
      <c r="C190" s="643">
        <f t="shared" si="2"/>
        <v>15.555555555555555</v>
      </c>
      <c r="D190" s="100">
        <f t="shared" si="3"/>
        <v>-17.892473209876556</v>
      </c>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row>
    <row r="191" spans="1:36">
      <c r="A191" s="100"/>
      <c r="B191" s="100"/>
      <c r="C191" s="643">
        <f t="shared" si="2"/>
        <v>21.111111111111111</v>
      </c>
      <c r="D191" s="100">
        <f t="shared" si="3"/>
        <v>37.939514444444427</v>
      </c>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row>
    <row r="192" spans="1:36">
      <c r="A192" s="100"/>
      <c r="B192" s="100"/>
      <c r="C192" s="643">
        <f t="shared" si="2"/>
        <v>26.666666666666664</v>
      </c>
      <c r="D192" s="100">
        <f t="shared" si="3"/>
        <v>83.194958888888863</v>
      </c>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row>
    <row r="193" spans="1:36">
      <c r="A193" s="100"/>
      <c r="B193" s="100"/>
      <c r="C193" s="643">
        <f t="shared" si="2"/>
        <v>32.222222222222221</v>
      </c>
      <c r="D193" s="100">
        <f t="shared" si="3"/>
        <v>118.79978604938267</v>
      </c>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row>
    <row r="194" spans="1:36">
      <c r="A194" s="100"/>
      <c r="B194" s="100"/>
      <c r="C194" s="643">
        <f t="shared" si="2"/>
        <v>37.777777777777779</v>
      </c>
      <c r="D194" s="100">
        <f t="shared" si="3"/>
        <v>145.67992185185184</v>
      </c>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row>
    <row r="195" spans="1:36">
      <c r="A195" s="100"/>
      <c r="B195" s="100"/>
      <c r="C195" s="643">
        <f t="shared" si="2"/>
        <v>48.888888888888886</v>
      </c>
      <c r="D195" s="100">
        <f t="shared" si="3"/>
        <v>176.96982308641967</v>
      </c>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row>
    <row r="196" spans="1:36">
      <c r="A196" s="100"/>
      <c r="B196" s="100"/>
      <c r="C196" s="643">
        <f t="shared" si="2"/>
        <v>60</v>
      </c>
      <c r="D196" s="100">
        <f t="shared" si="3"/>
        <v>184.47206999999989</v>
      </c>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row>
    <row r="197" spans="1:36">
      <c r="A197" s="100"/>
      <c r="B197" s="100"/>
      <c r="C197" s="643">
        <f t="shared" si="2"/>
        <v>71.111111111111114</v>
      </c>
      <c r="D197" s="100">
        <f t="shared" si="3"/>
        <v>175.59407000000007</v>
      </c>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row>
    <row r="198" spans="1:36">
      <c r="A198" s="100"/>
      <c r="B198" s="100"/>
      <c r="C198" s="643">
        <f t="shared" si="2"/>
        <v>82.222222222222214</v>
      </c>
      <c r="D198" s="100">
        <f t="shared" si="3"/>
        <v>157.7432304938271</v>
      </c>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row>
    <row r="199" spans="1:36">
      <c r="A199" s="100"/>
      <c r="B199" s="100"/>
      <c r="C199" s="643">
        <f t="shared" si="2"/>
        <v>93.333333333333329</v>
      </c>
      <c r="D199" s="100">
        <f t="shared" si="3"/>
        <v>138.32695888888915</v>
      </c>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row>
    <row r="200" spans="1:36">
      <c r="A200" s="100"/>
      <c r="B200" s="100"/>
      <c r="C200" s="643">
        <f t="shared" si="2"/>
        <v>100</v>
      </c>
      <c r="D200" s="100">
        <f t="shared" si="3"/>
        <v>129.00726999999992</v>
      </c>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row>
    <row r="201" spans="1:36">
      <c r="A201" s="100"/>
      <c r="B201" s="100"/>
      <c r="C201" s="643">
        <f t="shared" si="2"/>
        <v>104.44444444444444</v>
      </c>
      <c r="D201" s="100">
        <f t="shared" si="3"/>
        <v>124.7526625925926</v>
      </c>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row>
    <row r="202" spans="1:36">
      <c r="A202" s="100"/>
      <c r="B202" s="100"/>
      <c r="C202" s="643">
        <f t="shared" si="2"/>
        <v>115.55555555555556</v>
      </c>
      <c r="D202" s="100">
        <f t="shared" si="3"/>
        <v>124.42774901234574</v>
      </c>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row>
    <row r="203" spans="1:36">
      <c r="A203" s="100"/>
      <c r="B203" s="100"/>
      <c r="C203" s="643">
        <f t="shared" si="2"/>
        <v>126.66666666666666</v>
      </c>
      <c r="D203" s="100">
        <f t="shared" si="3"/>
        <v>144.75962555555552</v>
      </c>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row>
    <row r="204" spans="1:36">
      <c r="A204" s="100"/>
      <c r="B204" s="100"/>
      <c r="C204" s="643">
        <f t="shared" si="2"/>
        <v>137.77777777777777</v>
      </c>
      <c r="D204" s="100">
        <f t="shared" si="3"/>
        <v>193.15569962962954</v>
      </c>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row>
    <row r="205" spans="1:36">
      <c r="A205" s="100"/>
      <c r="B205" s="100"/>
      <c r="C205" s="643">
        <f t="shared" si="2"/>
        <v>148.88888888888889</v>
      </c>
      <c r="D205" s="100">
        <f t="shared" si="3"/>
        <v>277.02337864197546</v>
      </c>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row>
    <row r="206" spans="1:36">
      <c r="A206" s="100"/>
      <c r="B206" s="100"/>
      <c r="C206" s="643">
        <f t="shared" si="2"/>
        <v>176.66666666666666</v>
      </c>
      <c r="D206" s="100">
        <f t="shared" si="3"/>
        <v>690.49195888888937</v>
      </c>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row>
    <row r="207" spans="1:36">
      <c r="A207" s="100"/>
      <c r="B207" s="100"/>
      <c r="C207" s="643">
        <f t="shared" si="2"/>
        <v>204.44444444444443</v>
      </c>
      <c r="D207" s="100">
        <f t="shared" si="3"/>
        <v>1487.6951070370365</v>
      </c>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row>
    <row r="208" spans="1:36">
      <c r="A208" s="100"/>
      <c r="B208" s="100"/>
      <c r="C208" s="643">
        <f t="shared" si="2"/>
        <v>232.22222222222223</v>
      </c>
      <c r="D208" s="100">
        <f t="shared" si="3"/>
        <v>2784.373563827161</v>
      </c>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row>
    <row r="209" spans="1:36">
      <c r="A209" s="100"/>
      <c r="B209" s="100"/>
      <c r="C209" s="643">
        <f t="shared" si="2"/>
        <v>260</v>
      </c>
      <c r="D209" s="100">
        <f t="shared" si="3"/>
        <v>4696.2680700000001</v>
      </c>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row>
    <row r="210" spans="1:36">
      <c r="A210" s="100"/>
      <c r="B210" s="100"/>
      <c r="C210" s="643">
        <f t="shared" si="2"/>
        <v>287.77777777777777</v>
      </c>
      <c r="D210" s="100">
        <f t="shared" si="3"/>
        <v>7339.1193662962942</v>
      </c>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row>
    <row r="211" spans="1:36">
      <c r="A211" s="100"/>
      <c r="B211" s="100"/>
      <c r="C211" s="643">
        <f t="shared" si="2"/>
        <v>315.55555555555554</v>
      </c>
      <c r="D211" s="100">
        <f t="shared" si="3"/>
        <v>10828.668193456791</v>
      </c>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row>
    <row r="212" spans="1:36">
      <c r="A212" s="100"/>
      <c r="B212" s="100"/>
      <c r="C212" s="643">
        <f t="shared" si="2"/>
        <v>343.33333333333331</v>
      </c>
      <c r="D212" s="100">
        <f t="shared" si="3"/>
        <v>15280.65529222222</v>
      </c>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row>
    <row r="213" spans="1:36">
      <c r="A213" s="100"/>
      <c r="B213" s="100"/>
      <c r="C213" s="643">
        <f t="shared" si="2"/>
        <v>371.11111111111109</v>
      </c>
      <c r="D213" s="100">
        <f t="shared" si="3"/>
        <v>20810.821403333332</v>
      </c>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row>
    <row r="214" spans="1:36">
      <c r="A214" s="100"/>
      <c r="B214" s="100"/>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row>
    <row r="215" spans="1:36">
      <c r="A215" s="100"/>
      <c r="B215" s="100"/>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row>
    <row r="216" spans="1:36">
      <c r="A216" s="100"/>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row>
    <row r="217" spans="1:36">
      <c r="A217" s="100"/>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row>
    <row r="218" spans="1:36">
      <c r="A218" s="100"/>
      <c r="B218" s="100"/>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row>
    <row r="219" spans="1:36">
      <c r="A219" s="100"/>
      <c r="B219" s="100"/>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row>
    <row r="220" spans="1:36">
      <c r="A220" s="100"/>
      <c r="B220" s="100"/>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row>
    <row r="221" spans="1:36">
      <c r="A221" s="100"/>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row>
    <row r="222" spans="1:36">
      <c r="A222" s="100"/>
      <c r="B222" s="100"/>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row>
    <row r="223" spans="1:36">
      <c r="A223" s="100"/>
      <c r="B223" s="100"/>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row>
    <row r="224" spans="1:36">
      <c r="A224" s="100"/>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row>
    <row r="225" spans="1:36">
      <c r="A225" s="100"/>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row>
    <row r="226" spans="1:36">
      <c r="A226" s="100"/>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row>
    <row r="227" spans="1:36">
      <c r="A227" s="100"/>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row>
    <row r="228" spans="1:36">
      <c r="A228" s="100"/>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row>
    <row r="229" spans="1:36">
      <c r="A229" s="100"/>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row>
    <row r="230" spans="1:36">
      <c r="A230" s="100"/>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row>
    <row r="231" spans="1:36">
      <c r="A231" s="100"/>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row>
    <row r="232" spans="1:36">
      <c r="A232" s="100"/>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row>
    <row r="233" spans="1:36">
      <c r="A233" s="100"/>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row>
    <row r="234" spans="1:36">
      <c r="A234" s="100"/>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row>
    <row r="235" spans="1:36">
      <c r="A235" s="100"/>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row>
    <row r="236" spans="1:36">
      <c r="A236" s="100"/>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row>
    <row r="237" spans="1:36">
      <c r="A237" s="100"/>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row>
    <row r="238" spans="1:36">
      <c r="A238" s="100"/>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row>
    <row r="239" spans="1:36">
      <c r="A239" s="100"/>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row>
    <row r="240" spans="1:36">
      <c r="A240" s="100"/>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row>
    <row r="241" spans="1:36">
      <c r="A241" s="100"/>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row>
    <row r="242" spans="1:36">
      <c r="A242" s="100"/>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row>
    <row r="243" spans="1:36">
      <c r="A243" s="100"/>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row>
    <row r="244" spans="1:36">
      <c r="A244" s="100"/>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row>
    <row r="245" spans="1:36">
      <c r="A245" s="100"/>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row>
    <row r="246" spans="1:36">
      <c r="A246" s="100"/>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row>
    <row r="247" spans="1:36">
      <c r="A247" s="100"/>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row>
    <row r="248" spans="1:36">
      <c r="A248" s="100"/>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row>
    <row r="249" spans="1:36">
      <c r="A249" s="100"/>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row>
    <row r="250" spans="1:36">
      <c r="A250" s="100"/>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row>
    <row r="251" spans="1:36">
      <c r="A251" s="100"/>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row>
    <row r="252" spans="1:36">
      <c r="A252" s="100"/>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row>
    <row r="253" spans="1:36">
      <c r="A253" s="100"/>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row>
    <row r="254" spans="1:36">
      <c r="A254" s="100"/>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row>
    <row r="255" spans="1:36">
      <c r="A255" s="100"/>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row>
    <row r="256" spans="1:36">
      <c r="A256" s="100"/>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row>
  </sheetData>
  <conditionalFormatting sqref="C4">
    <cfRule type="cellIs" dxfId="4" priority="1" stopIfTrue="1" operator="equal">
      <formula>0</formula>
    </cfRule>
  </conditionalFormatting>
  <pageMargins left="0.7" right="0.7" top="0.75" bottom="0.75" header="0.3" footer="0.3"/>
  <pageSetup paperSize="9" scale="26" orientation="landscape" r:id="rId1"/>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66FFFF"/>
    <pageSetUpPr fitToPage="1"/>
  </sheetPr>
  <dimension ref="A1:AJ85"/>
  <sheetViews>
    <sheetView workbookViewId="0"/>
  </sheetViews>
  <sheetFormatPr defaultRowHeight="14.4"/>
  <cols>
    <col min="1" max="1" width="21.33203125" customWidth="1"/>
    <col min="2" max="2" width="17.33203125" customWidth="1"/>
    <col min="3" max="3" width="20.33203125" customWidth="1"/>
    <col min="4" max="4" width="17.44140625" customWidth="1"/>
    <col min="27" max="27" width="11.5546875" customWidth="1"/>
  </cols>
  <sheetData>
    <row r="1" spans="1:36">
      <c r="A1" s="100"/>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row>
    <row r="2" spans="1:36">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row>
    <row r="3" spans="1:36">
      <c r="B3" s="100"/>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row>
    <row r="4" spans="1:36" ht="28.8">
      <c r="A4" s="100"/>
      <c r="B4" s="571" t="s">
        <v>324</v>
      </c>
      <c r="C4" s="572" t="s">
        <v>664</v>
      </c>
      <c r="D4" s="572" t="s">
        <v>665</v>
      </c>
      <c r="E4" s="572"/>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row>
    <row r="5" spans="1:36">
      <c r="A5" s="100"/>
      <c r="B5" s="100">
        <v>500</v>
      </c>
      <c r="C5" s="100">
        <f t="shared" ref="C5:C24" si="0">(0.2*$B5^2+700*$B5+250000)*10^-6</f>
        <v>0.65</v>
      </c>
      <c r="D5" s="570">
        <f t="shared" ref="D5:D24" si="1">(240785+210*$B5*3.28084+0.019069*($B5*3.28084)^2)/10^6</f>
        <v>0.63658745521817162</v>
      </c>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row>
    <row r="6" spans="1:36">
      <c r="A6" s="100"/>
      <c r="B6" s="100">
        <v>1000</v>
      </c>
      <c r="C6" s="100">
        <f t="shared" si="0"/>
        <v>1.1499999999999999</v>
      </c>
      <c r="D6" s="570">
        <f t="shared" si="1"/>
        <v>1.1350184208726863</v>
      </c>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row>
    <row r="7" spans="1:36">
      <c r="A7" s="100"/>
      <c r="B7" s="100">
        <v>1500</v>
      </c>
      <c r="C7" s="100">
        <f t="shared" si="0"/>
        <v>1.75</v>
      </c>
      <c r="D7" s="570">
        <f t="shared" si="1"/>
        <v>1.7360778969635446</v>
      </c>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row>
    <row r="8" spans="1:36">
      <c r="A8" s="100"/>
      <c r="B8" s="100">
        <v>2000</v>
      </c>
      <c r="C8" s="100">
        <f t="shared" si="0"/>
        <v>2.4499999999999997</v>
      </c>
      <c r="D8" s="570">
        <f t="shared" si="1"/>
        <v>2.4397658834907459</v>
      </c>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row>
    <row r="9" spans="1:36">
      <c r="A9" s="100"/>
      <c r="B9" s="100">
        <v>2500</v>
      </c>
      <c r="C9" s="100">
        <f t="shared" si="0"/>
        <v>3.25</v>
      </c>
      <c r="D9" s="570">
        <f t="shared" si="1"/>
        <v>3.2460823804542902</v>
      </c>
      <c r="E9" s="100"/>
      <c r="F9" s="100"/>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row>
    <row r="10" spans="1:36">
      <c r="A10" s="100"/>
      <c r="B10" s="100">
        <v>3000</v>
      </c>
      <c r="C10" s="100">
        <f t="shared" si="0"/>
        <v>4.1499999999999995</v>
      </c>
      <c r="D10" s="570">
        <f t="shared" si="1"/>
        <v>4.1550273878541777</v>
      </c>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row>
    <row r="11" spans="1:36">
      <c r="A11" s="100"/>
      <c r="B11" s="100">
        <v>3500</v>
      </c>
      <c r="C11" s="100">
        <f t="shared" si="0"/>
        <v>5.1499999999999995</v>
      </c>
      <c r="D11" s="570">
        <f t="shared" si="1"/>
        <v>5.1666009056904088</v>
      </c>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row>
    <row r="12" spans="1:36">
      <c r="A12" s="100"/>
      <c r="B12" s="100">
        <v>4000</v>
      </c>
      <c r="C12" s="100">
        <f t="shared" si="0"/>
        <v>6.25</v>
      </c>
      <c r="D12" s="570">
        <f t="shared" si="1"/>
        <v>6.2808029339629821</v>
      </c>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row>
    <row r="13" spans="1:36">
      <c r="A13" s="100"/>
      <c r="B13" s="100">
        <v>4500</v>
      </c>
      <c r="C13" s="100">
        <f t="shared" si="0"/>
        <v>7.4499999999999993</v>
      </c>
      <c r="D13" s="570">
        <f t="shared" si="1"/>
        <v>7.4976334726719003</v>
      </c>
      <c r="E13" s="100"/>
      <c r="F13" s="100"/>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row>
    <row r="14" spans="1:36">
      <c r="A14" s="100"/>
      <c r="B14" s="100">
        <v>5000</v>
      </c>
      <c r="C14" s="100">
        <f t="shared" si="0"/>
        <v>8.75</v>
      </c>
      <c r="D14" s="570">
        <f t="shared" si="1"/>
        <v>8.8170925218171607</v>
      </c>
      <c r="E14" s="100"/>
      <c r="F14" s="100"/>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row>
    <row r="15" spans="1:36">
      <c r="A15" s="100"/>
      <c r="B15" s="100">
        <v>5500</v>
      </c>
      <c r="C15" s="100">
        <f t="shared" si="0"/>
        <v>10.15</v>
      </c>
      <c r="D15" s="570">
        <f t="shared" si="1"/>
        <v>10.239180081398763</v>
      </c>
      <c r="E15" s="100"/>
      <c r="F15" s="100"/>
      <c r="G15" s="100"/>
      <c r="H15" s="100"/>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row>
    <row r="16" spans="1:36">
      <c r="A16" s="100"/>
      <c r="B16" s="100">
        <v>6000</v>
      </c>
      <c r="C16" s="100">
        <f t="shared" si="0"/>
        <v>11.65</v>
      </c>
      <c r="D16" s="570">
        <f t="shared" si="1"/>
        <v>11.763896151416711</v>
      </c>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row>
    <row r="17" spans="1:36">
      <c r="A17" s="100"/>
      <c r="B17" s="100">
        <v>6500</v>
      </c>
      <c r="C17" s="100">
        <f t="shared" si="0"/>
        <v>13.25</v>
      </c>
      <c r="D17" s="570">
        <f t="shared" si="1"/>
        <v>13.391240731870997</v>
      </c>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row>
    <row r="18" spans="1:36">
      <c r="A18" s="100"/>
      <c r="B18" s="100">
        <v>7000</v>
      </c>
      <c r="C18" s="100">
        <f t="shared" si="0"/>
        <v>14.95</v>
      </c>
      <c r="D18" s="570">
        <f t="shared" si="1"/>
        <v>15.121213822761632</v>
      </c>
      <c r="E18" s="100"/>
      <c r="F18" s="100"/>
      <c r="G18" s="100"/>
      <c r="H18" s="100"/>
      <c r="I18" s="100"/>
      <c r="J18" s="100"/>
      <c r="K18" s="100"/>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row>
    <row r="19" spans="1:36">
      <c r="A19" s="100"/>
      <c r="B19" s="100">
        <v>7500</v>
      </c>
      <c r="C19" s="100">
        <f t="shared" si="0"/>
        <v>16.75</v>
      </c>
      <c r="D19" s="570">
        <f t="shared" si="1"/>
        <v>16.95381542408861</v>
      </c>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row>
    <row r="20" spans="1:36">
      <c r="A20" s="100"/>
      <c r="B20" s="100">
        <v>8000</v>
      </c>
      <c r="C20" s="100">
        <f t="shared" si="0"/>
        <v>18.649999999999999</v>
      </c>
      <c r="D20" s="570">
        <f t="shared" si="1"/>
        <v>18.889045535851928</v>
      </c>
      <c r="E20" s="100"/>
      <c r="F20" s="100"/>
      <c r="G20" s="100"/>
      <c r="H20" s="100"/>
      <c r="I20" s="100"/>
      <c r="J20" s="100"/>
      <c r="K20" s="100"/>
      <c r="L20" s="100"/>
      <c r="M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row>
    <row r="21" spans="1:36">
      <c r="A21" s="100"/>
      <c r="B21" s="100">
        <v>8500</v>
      </c>
      <c r="C21" s="100">
        <f t="shared" si="0"/>
        <v>20.65</v>
      </c>
      <c r="D21" s="570">
        <f t="shared" si="1"/>
        <v>20.926904158051592</v>
      </c>
      <c r="E21" s="100"/>
      <c r="F21" s="100"/>
      <c r="G21" s="100"/>
      <c r="H21" s="100"/>
      <c r="I21" s="100"/>
      <c r="J21" s="100"/>
      <c r="K21" s="100"/>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row>
    <row r="22" spans="1:36">
      <c r="A22" s="100"/>
      <c r="B22" s="100">
        <v>9000</v>
      </c>
      <c r="C22" s="100">
        <f t="shared" si="0"/>
        <v>22.75</v>
      </c>
      <c r="D22" s="570">
        <f t="shared" si="1"/>
        <v>23.067391290687599</v>
      </c>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row>
    <row r="23" spans="1:36">
      <c r="A23" s="100"/>
      <c r="B23" s="100">
        <v>9500</v>
      </c>
      <c r="C23" s="100">
        <f t="shared" si="0"/>
        <v>24.95</v>
      </c>
      <c r="D23" s="570">
        <f t="shared" si="1"/>
        <v>25.310506933759946</v>
      </c>
      <c r="E23" s="100"/>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row>
    <row r="24" spans="1:36">
      <c r="A24" s="100"/>
      <c r="B24" s="100">
        <v>10000</v>
      </c>
      <c r="C24" s="100">
        <f t="shared" si="0"/>
        <v>27.25</v>
      </c>
      <c r="D24" s="570">
        <f t="shared" si="1"/>
        <v>27.656251087268643</v>
      </c>
      <c r="E24" s="100"/>
      <c r="F24" s="100"/>
      <c r="G24" s="100"/>
      <c r="H24" s="100"/>
      <c r="I24" s="100"/>
      <c r="J24" s="100"/>
      <c r="K24" s="100"/>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row>
    <row r="25" spans="1:36">
      <c r="A25" s="100"/>
      <c r="B25" s="100"/>
      <c r="C25" s="100"/>
      <c r="D25" s="100"/>
      <c r="E25" s="100"/>
      <c r="F25" s="100"/>
      <c r="G25" s="100"/>
      <c r="H25" s="100"/>
      <c r="I25" s="100"/>
      <c r="J25" s="100"/>
      <c r="K25" s="100"/>
      <c r="L25" s="100"/>
      <c r="M25" s="100"/>
      <c r="N25" s="100"/>
      <c r="O25" s="100"/>
      <c r="P25" s="100"/>
      <c r="Q25" s="100"/>
      <c r="R25" s="100"/>
      <c r="S25" s="100"/>
      <c r="T25" s="100"/>
      <c r="U25" s="100"/>
      <c r="V25" s="100"/>
      <c r="W25" s="100"/>
      <c r="X25" s="100"/>
      <c r="Y25" s="100"/>
      <c r="Z25" s="100"/>
      <c r="AA25" s="100"/>
      <c r="AB25" s="100"/>
      <c r="AC25" s="100"/>
      <c r="AD25" s="100"/>
      <c r="AE25" s="100"/>
      <c r="AF25" s="100"/>
      <c r="AG25" s="100"/>
      <c r="AH25" s="100"/>
      <c r="AI25" s="100"/>
      <c r="AJ25" s="100"/>
    </row>
    <row r="26" spans="1:36">
      <c r="A26" s="100"/>
      <c r="B26" s="100"/>
      <c r="C26" s="100"/>
      <c r="D26" s="100"/>
      <c r="E26" s="100"/>
      <c r="F26" s="100"/>
      <c r="G26" s="100"/>
      <c r="H26" s="100"/>
      <c r="I26" s="100"/>
      <c r="J26" s="100"/>
      <c r="K26" s="100"/>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row>
    <row r="27" spans="1:36">
      <c r="A27" s="100"/>
      <c r="B27" s="100"/>
      <c r="C27" s="100"/>
      <c r="D27" s="100"/>
      <c r="E27" s="100"/>
      <c r="F27" s="100"/>
      <c r="G27" s="100"/>
      <c r="H27" s="100"/>
      <c r="I27" s="100"/>
      <c r="J27" s="100"/>
      <c r="K27" s="100"/>
      <c r="L27" s="10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row>
    <row r="28" spans="1:36">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row>
    <row r="29" spans="1:36">
      <c r="A29" s="100"/>
      <c r="B29" s="100"/>
      <c r="C29" s="100"/>
      <c r="D29" s="100"/>
      <c r="E29" s="100"/>
      <c r="F29" s="100"/>
      <c r="G29" s="100"/>
      <c r="H29" s="100"/>
      <c r="I29" s="100"/>
      <c r="J29" s="100"/>
      <c r="K29" s="10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row>
    <row r="30" spans="1:36">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row>
    <row r="31" spans="1:36">
      <c r="A31" s="100"/>
      <c r="B31" s="100"/>
      <c r="C31" s="100"/>
      <c r="D31" s="100"/>
      <c r="E31" s="100"/>
      <c r="F31" s="100"/>
      <c r="G31" s="100"/>
      <c r="H31" s="100"/>
      <c r="I31" s="100"/>
      <c r="J31" s="100"/>
      <c r="K31" s="100"/>
      <c r="L31" s="100"/>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row>
    <row r="32" spans="1:36">
      <c r="A32" s="100"/>
      <c r="B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row>
    <row r="33" spans="1:36">
      <c r="A33" s="100"/>
      <c r="B33" s="100"/>
      <c r="C33" s="100"/>
      <c r="D33" s="100"/>
      <c r="E33" s="100"/>
      <c r="F33" s="100"/>
      <c r="G33" s="100"/>
      <c r="H33" s="100"/>
      <c r="I33" s="100"/>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row>
    <row r="34" spans="1:36">
      <c r="A34" s="100"/>
      <c r="B34" s="100"/>
      <c r="C34" s="100"/>
      <c r="D34" s="100"/>
      <c r="E34" s="100"/>
      <c r="F34" s="100"/>
      <c r="G34" s="100"/>
      <c r="H34" s="100"/>
      <c r="I34" s="100"/>
      <c r="J34" s="100"/>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row>
    <row r="35" spans="1:36">
      <c r="A35" s="100"/>
      <c r="B35" s="100"/>
      <c r="C35" s="100"/>
      <c r="D35" s="100"/>
      <c r="E35" s="100"/>
      <c r="F35" s="100"/>
      <c r="G35" s="100"/>
      <c r="H35" s="100"/>
      <c r="I35" s="100"/>
      <c r="J35" s="100"/>
      <c r="K35" s="100"/>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row>
    <row r="36" spans="1:36">
      <c r="A36" s="100"/>
      <c r="B36" s="100"/>
      <c r="C36" s="100"/>
      <c r="D36" s="100"/>
      <c r="E36" s="100"/>
      <c r="F36" s="100"/>
      <c r="G36" s="100"/>
      <c r="H36" s="100"/>
      <c r="I36" s="100"/>
      <c r="J36" s="100"/>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row>
    <row r="37" spans="1:36">
      <c r="A37" s="100"/>
      <c r="B37" s="100"/>
      <c r="C37" s="100"/>
      <c r="D37" s="100"/>
      <c r="E37" s="100"/>
      <c r="F37" s="100"/>
      <c r="G37" s="100"/>
      <c r="H37" s="100"/>
      <c r="I37" s="100"/>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row>
    <row r="38" spans="1:36">
      <c r="A38" s="100"/>
      <c r="B38" s="100"/>
      <c r="C38" s="100"/>
      <c r="D38" s="100"/>
      <c r="E38" s="100"/>
      <c r="F38" s="100"/>
      <c r="G38" s="100"/>
      <c r="H38" s="100"/>
      <c r="I38" s="100"/>
      <c r="J38" s="100"/>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row>
    <row r="39" spans="1:36">
      <c r="A39" s="100"/>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row>
    <row r="40" spans="1:36">
      <c r="A40" s="100"/>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row>
    <row r="41" spans="1:36">
      <c r="A41" s="100"/>
      <c r="B41" s="100"/>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row>
    <row r="42" spans="1:36">
      <c r="A42" s="100"/>
      <c r="B42" s="100"/>
      <c r="C42" s="100"/>
      <c r="D42" s="100"/>
      <c r="E42" s="100"/>
      <c r="F42" s="10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row>
    <row r="43" spans="1:36">
      <c r="A43" s="100"/>
      <c r="B43" s="100"/>
      <c r="C43" s="100"/>
      <c r="D43" s="100"/>
      <c r="E43" s="100"/>
      <c r="F43" s="100"/>
      <c r="G43" s="100"/>
      <c r="H43" s="100"/>
      <c r="I43" s="100"/>
      <c r="J43" s="100"/>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row>
    <row r="44" spans="1:36">
      <c r="A44" s="100"/>
      <c r="B44" s="100"/>
      <c r="C44" s="100"/>
      <c r="D44" s="100"/>
      <c r="E44" s="100"/>
      <c r="F44" s="100"/>
      <c r="G44" s="100"/>
      <c r="H44" s="100"/>
      <c r="I44" s="100"/>
      <c r="J44" s="100"/>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row>
    <row r="45" spans="1:36">
      <c r="A45" s="100"/>
      <c r="B45" s="100"/>
      <c r="C45" s="100"/>
      <c r="D45" s="100"/>
      <c r="E45" s="100"/>
      <c r="F45" s="100"/>
      <c r="G45" s="100"/>
      <c r="H45" s="100"/>
      <c r="I45" s="100"/>
      <c r="J45" s="100"/>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row>
    <row r="46" spans="1:36">
      <c r="A46" s="100"/>
      <c r="B46" s="100"/>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row>
    <row r="47" spans="1:36">
      <c r="A47" s="100"/>
      <c r="B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row>
    <row r="48" spans="1:36">
      <c r="A48" s="100"/>
      <c r="B48" s="100"/>
      <c r="C48" s="100"/>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row>
    <row r="49" spans="1:36">
      <c r="A49" s="100"/>
      <c r="B49" s="100"/>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row>
    <row r="50" spans="1:36">
      <c r="A50" s="100"/>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row>
    <row r="51" spans="1:36">
      <c r="A51" s="100"/>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row>
    <row r="52" spans="1:36">
      <c r="A52" s="100"/>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row>
    <row r="53" spans="1:36">
      <c r="A53" s="100"/>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row>
    <row r="54" spans="1:36">
      <c r="A54" s="100"/>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row>
    <row r="55" spans="1:36">
      <c r="A55" s="100"/>
      <c r="B55" s="100"/>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row>
    <row r="56" spans="1:36">
      <c r="A56" s="100"/>
      <c r="B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row>
    <row r="57" spans="1:36">
      <c r="A57" s="100"/>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row>
    <row r="58" spans="1:36">
      <c r="A58" s="100"/>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row>
    <row r="59" spans="1:36">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row>
    <row r="60" spans="1:36">
      <c r="A60" s="100"/>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row>
    <row r="61" spans="1:36">
      <c r="A61" s="100"/>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row>
    <row r="62" spans="1:36">
      <c r="A62" s="100"/>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row>
    <row r="63" spans="1:36">
      <c r="A63" s="100"/>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row>
    <row r="64" spans="1:36">
      <c r="A64" s="100"/>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row>
    <row r="65" spans="1:36">
      <c r="A65" s="100"/>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row>
    <row r="66" spans="1:36">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row>
    <row r="67" spans="1:36">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row>
    <row r="68" spans="1:36">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row>
    <row r="69" spans="1:36">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row>
    <row r="70" spans="1:36">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row>
    <row r="71" spans="1:36">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row>
    <row r="72" spans="1:36">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row>
    <row r="73" spans="1:36">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row>
    <row r="74" spans="1:36">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row>
    <row r="75" spans="1:36">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row>
    <row r="76" spans="1:36">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row>
    <row r="77" spans="1:36">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row>
    <row r="78" spans="1:36">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row>
    <row r="79" spans="1:36">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row>
    <row r="80" spans="1:36">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row>
    <row r="81" spans="1:36">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row>
    <row r="82" spans="1:36">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row>
    <row r="83" spans="1:36">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row>
    <row r="84" spans="1:36">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row>
    <row r="85" spans="1:36">
      <c r="A85" s="100"/>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row>
  </sheetData>
  <pageMargins left="0.7" right="0.7" top="0.75" bottom="0.75" header="0.3" footer="0.3"/>
  <pageSetup paperSize="9" scale="26" orientation="landscape"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FF"/>
  </sheetPr>
  <dimension ref="A1:AV38"/>
  <sheetViews>
    <sheetView workbookViewId="0">
      <selection activeCell="P10" sqref="P10"/>
    </sheetView>
  </sheetViews>
  <sheetFormatPr defaultRowHeight="14.4"/>
  <cols>
    <col min="1" max="1" width="24.33203125" customWidth="1"/>
  </cols>
  <sheetData>
    <row r="1" spans="1:48" s="1029" customFormat="1" ht="15.6">
      <c r="A1" s="1189" t="s">
        <v>1861</v>
      </c>
    </row>
    <row r="2" spans="1:48" s="1029" customFormat="1" ht="15.6">
      <c r="A2" s="1172"/>
    </row>
    <row r="3" spans="1:48" s="1029" customFormat="1">
      <c r="A3" s="1188"/>
      <c r="B3" s="1188"/>
      <c r="C3" s="1188"/>
      <c r="D3" s="1188"/>
      <c r="E3" s="1188"/>
      <c r="F3" s="1188"/>
      <c r="G3" s="1188"/>
      <c r="H3" s="1188"/>
      <c r="I3" s="1188"/>
      <c r="J3" s="1188"/>
      <c r="K3" s="1188"/>
      <c r="L3" s="1188"/>
      <c r="M3" s="1188"/>
      <c r="N3" s="1188"/>
      <c r="O3" s="1188"/>
    </row>
    <row r="4" spans="1:48" s="1029" customFormat="1" ht="15.6">
      <c r="A4" s="1172"/>
    </row>
    <row r="5" spans="1:48" s="1185" customFormat="1">
      <c r="A5" s="1173" t="s">
        <v>1852</v>
      </c>
      <c r="B5" s="1190">
        <v>2000</v>
      </c>
      <c r="C5" s="1190">
        <v>2001</v>
      </c>
      <c r="D5" s="1190">
        <v>2002</v>
      </c>
      <c r="E5" s="1190">
        <v>2003</v>
      </c>
      <c r="F5" s="1190">
        <v>2004</v>
      </c>
      <c r="G5" s="1190">
        <v>2005</v>
      </c>
      <c r="H5" s="1190">
        <v>2006</v>
      </c>
      <c r="I5" s="1190">
        <v>2007</v>
      </c>
      <c r="J5" s="1190">
        <v>2008</v>
      </c>
      <c r="K5" s="1190">
        <v>2009</v>
      </c>
      <c r="L5" s="1190">
        <v>2010</v>
      </c>
      <c r="M5" s="1190">
        <v>2011</v>
      </c>
      <c r="N5" s="1190">
        <v>2012</v>
      </c>
      <c r="O5" s="1190">
        <v>2013</v>
      </c>
      <c r="P5" s="1190">
        <v>2014</v>
      </c>
      <c r="Q5" s="1190">
        <v>2015</v>
      </c>
      <c r="R5" s="1190">
        <v>2016</v>
      </c>
      <c r="S5" s="1190" t="s">
        <v>1853</v>
      </c>
      <c r="T5" s="1174"/>
      <c r="U5" s="1174"/>
      <c r="V5" s="1174"/>
      <c r="W5" s="1174"/>
      <c r="X5" s="1175"/>
      <c r="Y5" s="1176"/>
      <c r="Z5" s="1174"/>
      <c r="AA5" s="1174"/>
      <c r="AB5" s="1174"/>
      <c r="AC5" s="1174"/>
      <c r="AD5" s="1174"/>
      <c r="AE5" s="1174"/>
      <c r="AF5" s="1177"/>
      <c r="AG5" s="1178"/>
      <c r="AH5" s="1179"/>
      <c r="AI5" s="1179"/>
      <c r="AJ5" s="1179"/>
      <c r="AK5" s="1177"/>
      <c r="AL5" s="1180"/>
      <c r="AM5" s="1177"/>
      <c r="AN5" s="1177"/>
      <c r="AO5" s="1181"/>
      <c r="AP5" s="1181"/>
      <c r="AQ5" s="1182"/>
      <c r="AR5" s="1183"/>
      <c r="AS5" s="1181"/>
      <c r="AT5" s="1184"/>
      <c r="AU5" s="1184"/>
      <c r="AV5" s="1184"/>
    </row>
    <row r="6" spans="1:48">
      <c r="A6" s="1186" t="s">
        <v>1854</v>
      </c>
      <c r="B6" s="1191">
        <v>100</v>
      </c>
      <c r="C6" s="1191">
        <v>101.8</v>
      </c>
      <c r="D6" s="1191">
        <v>103.9</v>
      </c>
      <c r="E6" s="1191">
        <v>105.8</v>
      </c>
      <c r="F6" s="1191">
        <v>109.4619035329831</v>
      </c>
      <c r="G6" s="1191">
        <v>120.5</v>
      </c>
      <c r="H6" s="1191">
        <v>158</v>
      </c>
      <c r="I6" s="1191">
        <v>189</v>
      </c>
      <c r="J6" s="1191">
        <v>218</v>
      </c>
      <c r="K6" s="1191">
        <v>205</v>
      </c>
      <c r="L6" s="1191">
        <v>206</v>
      </c>
      <c r="M6" s="1191">
        <v>220</v>
      </c>
      <c r="N6" s="1191">
        <v>229</v>
      </c>
      <c r="O6" s="1191">
        <v>231</v>
      </c>
      <c r="P6" s="1191">
        <v>232</v>
      </c>
      <c r="Q6" s="1191">
        <v>188</v>
      </c>
      <c r="R6" s="1191">
        <v>170</v>
      </c>
      <c r="S6" s="1191">
        <v>172</v>
      </c>
    </row>
    <row r="7" spans="1:48" s="313" customFormat="1">
      <c r="A7" s="1186" t="s">
        <v>1855</v>
      </c>
      <c r="B7" s="1191">
        <v>100</v>
      </c>
      <c r="C7" s="1191">
        <v>100.5</v>
      </c>
      <c r="D7" s="1191">
        <v>102</v>
      </c>
      <c r="E7" s="1191">
        <v>107.5</v>
      </c>
      <c r="F7" s="1191">
        <v>118</v>
      </c>
      <c r="G7" s="1191">
        <v>129</v>
      </c>
      <c r="H7" s="1191">
        <v>144</v>
      </c>
      <c r="I7" s="1191">
        <v>161</v>
      </c>
      <c r="J7" s="1191">
        <v>180</v>
      </c>
      <c r="K7" s="1191">
        <v>169</v>
      </c>
      <c r="L7" s="1191">
        <v>173</v>
      </c>
      <c r="M7" s="1191">
        <v>181</v>
      </c>
      <c r="N7" s="1191">
        <v>190</v>
      </c>
      <c r="O7" s="1191">
        <v>196</v>
      </c>
      <c r="P7" s="1191">
        <v>200</v>
      </c>
      <c r="Q7" s="1191">
        <v>184</v>
      </c>
      <c r="R7" s="1191">
        <v>166</v>
      </c>
      <c r="S7" s="1191">
        <v>168</v>
      </c>
    </row>
    <row r="8" spans="1:48" s="313" customFormat="1">
      <c r="A8" s="1186" t="s">
        <v>1856</v>
      </c>
      <c r="B8" s="1191">
        <v>100</v>
      </c>
      <c r="C8" s="1191">
        <v>103.742</v>
      </c>
      <c r="D8" s="1191">
        <v>104.08</v>
      </c>
      <c r="E8" s="1191">
        <v>104.788</v>
      </c>
      <c r="F8" s="1191">
        <v>118.291</v>
      </c>
      <c r="G8" s="1191">
        <v>127.578</v>
      </c>
      <c r="H8" s="1191">
        <v>149.32</v>
      </c>
      <c r="I8" s="1191">
        <v>171.34800000000001</v>
      </c>
      <c r="J8" s="1191">
        <v>187.749</v>
      </c>
      <c r="K8" s="1191">
        <v>172</v>
      </c>
      <c r="L8" s="1191">
        <v>179</v>
      </c>
      <c r="M8" s="1191">
        <v>196</v>
      </c>
      <c r="N8" s="1191">
        <v>199</v>
      </c>
      <c r="O8" s="1191">
        <v>200</v>
      </c>
      <c r="P8" s="1191">
        <v>203</v>
      </c>
      <c r="Q8" s="1191">
        <v>189</v>
      </c>
      <c r="R8" s="1191">
        <v>180</v>
      </c>
      <c r="S8" s="1191">
        <v>184</v>
      </c>
    </row>
    <row r="9" spans="1:48">
      <c r="A9" s="1186" t="s">
        <v>1857</v>
      </c>
      <c r="B9" s="1191">
        <v>100</v>
      </c>
      <c r="C9" s="1191">
        <v>103</v>
      </c>
      <c r="D9" s="1191">
        <v>108</v>
      </c>
      <c r="E9" s="1191">
        <v>114</v>
      </c>
      <c r="F9" s="1191">
        <v>124</v>
      </c>
      <c r="G9" s="1191">
        <v>136</v>
      </c>
      <c r="H9" s="1191">
        <v>181.07281597756997</v>
      </c>
      <c r="I9" s="1191">
        <v>232.74341965764344</v>
      </c>
      <c r="J9" s="1191">
        <v>223.57374596150424</v>
      </c>
      <c r="K9" s="1191">
        <v>213</v>
      </c>
      <c r="L9" s="1191">
        <v>215</v>
      </c>
      <c r="M9" s="1191">
        <v>219</v>
      </c>
      <c r="N9" s="1191">
        <v>223</v>
      </c>
      <c r="O9" s="1191">
        <v>226.5</v>
      </c>
      <c r="P9" s="1191">
        <v>230.5</v>
      </c>
      <c r="Q9" s="1191">
        <v>228.5</v>
      </c>
      <c r="R9" s="1191">
        <v>227</v>
      </c>
      <c r="S9" s="1191"/>
    </row>
    <row r="10" spans="1:48">
      <c r="A10" s="1187" t="s">
        <v>1858</v>
      </c>
      <c r="B10" s="1191">
        <v>100</v>
      </c>
      <c r="C10" s="1191">
        <v>106</v>
      </c>
      <c r="D10" s="1191">
        <v>111</v>
      </c>
      <c r="E10" s="1191">
        <v>116</v>
      </c>
      <c r="F10" s="1191">
        <v>124</v>
      </c>
      <c r="G10" s="1191">
        <v>135</v>
      </c>
      <c r="H10" s="1191">
        <v>164.33443372398392</v>
      </c>
      <c r="I10" s="1191">
        <v>177.08910695273076</v>
      </c>
      <c r="J10" s="1191">
        <v>188.89495176357488</v>
      </c>
      <c r="K10" s="1191">
        <v>174</v>
      </c>
      <c r="L10" s="1191">
        <v>176</v>
      </c>
      <c r="M10" s="1191">
        <v>180</v>
      </c>
      <c r="N10" s="1191">
        <v>183</v>
      </c>
      <c r="O10" s="1191">
        <v>185.5</v>
      </c>
      <c r="P10" s="1191">
        <v>188.5</v>
      </c>
      <c r="Q10" s="1191">
        <v>187</v>
      </c>
      <c r="R10" s="1191">
        <v>185.5</v>
      </c>
      <c r="S10" s="1191"/>
    </row>
    <row r="11" spans="1:48">
      <c r="A11" s="1187" t="s">
        <v>1859</v>
      </c>
      <c r="B11" s="1191">
        <v>100</v>
      </c>
      <c r="C11" s="1191">
        <v>109.96268634723506</v>
      </c>
      <c r="D11" s="1191">
        <v>117.7443950398919</v>
      </c>
      <c r="E11" s="1191">
        <v>119.13925042438633</v>
      </c>
      <c r="F11" s="1191">
        <v>126.45475809310103</v>
      </c>
      <c r="G11" s="1191">
        <v>133.11383032379436</v>
      </c>
      <c r="H11" s="1191">
        <v>167</v>
      </c>
      <c r="I11" s="1191">
        <v>199</v>
      </c>
      <c r="J11" s="1191">
        <v>199</v>
      </c>
      <c r="K11" s="1191">
        <v>182</v>
      </c>
      <c r="L11" s="1191">
        <v>188</v>
      </c>
      <c r="M11" s="1191">
        <v>188</v>
      </c>
      <c r="N11" s="1191">
        <v>194</v>
      </c>
      <c r="O11" s="1191">
        <v>193</v>
      </c>
      <c r="P11" s="1191">
        <v>191</v>
      </c>
      <c r="Q11" s="1191">
        <v>199</v>
      </c>
      <c r="R11" s="1191">
        <v>197</v>
      </c>
      <c r="S11" s="1191"/>
    </row>
    <row r="12" spans="1:48">
      <c r="A12" s="1187" t="s">
        <v>1860</v>
      </c>
      <c r="B12" s="1191">
        <v>100</v>
      </c>
      <c r="C12" s="1191">
        <v>110.13027178177667</v>
      </c>
      <c r="D12" s="1191">
        <v>118.03701789169703</v>
      </c>
      <c r="E12" s="1191">
        <v>120.62386399479162</v>
      </c>
      <c r="F12" s="1191">
        <v>127.07759458825257</v>
      </c>
      <c r="G12" s="1191">
        <v>133.15804939214286</v>
      </c>
      <c r="H12" s="1191">
        <v>155</v>
      </c>
      <c r="I12" s="1191">
        <v>173</v>
      </c>
      <c r="J12" s="1191">
        <v>180</v>
      </c>
      <c r="K12" s="1191">
        <v>164</v>
      </c>
      <c r="L12" s="1191">
        <v>170</v>
      </c>
      <c r="M12" s="1191">
        <v>168</v>
      </c>
      <c r="N12" s="1191">
        <v>173</v>
      </c>
      <c r="O12" s="1191">
        <v>173</v>
      </c>
      <c r="P12" s="1191">
        <v>170</v>
      </c>
      <c r="Q12" s="1191">
        <v>178</v>
      </c>
      <c r="R12" s="1191">
        <v>177</v>
      </c>
      <c r="S12" s="1191"/>
    </row>
    <row r="13" spans="1:48" s="1029" customFormat="1"/>
    <row r="14" spans="1:48" s="1029" customFormat="1"/>
    <row r="15" spans="1:48" s="1029" customFormat="1"/>
    <row r="16" spans="1:48" s="1029" customFormat="1"/>
    <row r="17" s="1029" customFormat="1"/>
    <row r="18" s="1029" customFormat="1"/>
    <row r="19" s="1029" customFormat="1"/>
    <row r="20" s="1029" customFormat="1"/>
    <row r="21" s="1029" customFormat="1"/>
    <row r="22" s="1029" customFormat="1"/>
    <row r="23" s="1029" customFormat="1"/>
    <row r="24" s="1029" customFormat="1"/>
    <row r="25" s="1029" customFormat="1"/>
    <row r="26" s="1029" customFormat="1"/>
    <row r="27" s="1029" customFormat="1"/>
    <row r="28" s="1029" customFormat="1"/>
    <row r="29" s="1029" customFormat="1"/>
    <row r="30" s="1029" customFormat="1"/>
    <row r="31" s="1029" customFormat="1"/>
    <row r="32" s="1029" customFormat="1"/>
    <row r="33" s="1029" customFormat="1"/>
    <row r="34" s="1029" customFormat="1"/>
    <row r="35" s="1029" customFormat="1"/>
    <row r="36" s="1029" customFormat="1"/>
    <row r="37" s="1029" customFormat="1"/>
    <row r="38" s="1029" customFormat="1"/>
  </sheetData>
  <sheetProtection sheet="1" objects="1" scenarios="1" selectLockedCells="1"/>
  <conditionalFormatting sqref="AM5:AN6">
    <cfRule type="expression" dxfId="3" priority="1">
      <formula>#REF!=1</formula>
    </cfRule>
    <cfRule type="expression" dxfId="2" priority="2">
      <formula>#REF!=2</formula>
    </cfRule>
    <cfRule type="expression" dxfId="1" priority="3">
      <formula>#REF!=3</formula>
    </cfRule>
  </conditionalFormatting>
  <conditionalFormatting sqref="AS5:AS6">
    <cfRule type="expression" dxfId="0" priority="4">
      <formula>#REF!=2</formula>
    </cfRule>
  </conditionalFormatting>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65"/>
  <sheetViews>
    <sheetView workbookViewId="0"/>
  </sheetViews>
  <sheetFormatPr defaultColWidth="9.33203125" defaultRowHeight="13.2"/>
  <cols>
    <col min="1" max="1" width="31.5546875" style="271" customWidth="1"/>
    <col min="2" max="16384" width="9.33203125" style="271"/>
  </cols>
  <sheetData>
    <row r="1" spans="1:32">
      <c r="A1" s="79" t="s">
        <v>210</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row>
    <row r="2" spans="1:32">
      <c r="A2" s="79"/>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row>
    <row r="3" spans="1:32">
      <c r="A3" s="97" t="s">
        <v>186</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row>
    <row r="4" spans="1:32">
      <c r="A4" s="80"/>
      <c r="B4" s="79" t="s">
        <v>229</v>
      </c>
      <c r="C4" s="68"/>
      <c r="D4" s="68"/>
      <c r="E4" s="79" t="s">
        <v>191</v>
      </c>
      <c r="F4" s="68"/>
      <c r="G4" s="68"/>
      <c r="H4" s="79" t="s">
        <v>196</v>
      </c>
      <c r="I4" s="68"/>
      <c r="J4" s="68"/>
      <c r="K4" s="79" t="s">
        <v>193</v>
      </c>
      <c r="L4" s="68"/>
      <c r="M4" s="68"/>
      <c r="N4" s="79" t="s">
        <v>192</v>
      </c>
      <c r="O4" s="68"/>
      <c r="P4" s="68"/>
      <c r="Q4" s="79" t="s">
        <v>199</v>
      </c>
      <c r="R4" s="68"/>
      <c r="S4" s="68"/>
      <c r="T4" s="79" t="s">
        <v>201</v>
      </c>
      <c r="U4" s="68"/>
      <c r="V4" s="68"/>
      <c r="W4" s="79" t="s">
        <v>203</v>
      </c>
      <c r="X4" s="79"/>
      <c r="Y4" s="79" t="s">
        <v>204</v>
      </c>
      <c r="Z4" s="79"/>
      <c r="AA4" s="79" t="s">
        <v>205</v>
      </c>
      <c r="AB4" s="68"/>
      <c r="AC4" s="79" t="s">
        <v>275</v>
      </c>
      <c r="AD4" s="68"/>
      <c r="AE4" s="68"/>
      <c r="AF4" s="68"/>
    </row>
    <row r="5" spans="1:32">
      <c r="A5" s="68" t="s">
        <v>187</v>
      </c>
      <c r="B5" s="68">
        <v>20</v>
      </c>
      <c r="C5" s="68"/>
      <c r="D5" s="68"/>
      <c r="E5" s="68">
        <v>1.0980000000000001</v>
      </c>
      <c r="F5" s="68"/>
      <c r="G5" s="68"/>
      <c r="H5" s="68" t="s">
        <v>206</v>
      </c>
      <c r="I5" s="68"/>
      <c r="J5" s="68"/>
      <c r="K5" s="68">
        <v>32887.699999999997</v>
      </c>
      <c r="L5" s="68"/>
      <c r="M5" s="68"/>
      <c r="N5" s="68">
        <f>K5/B5</f>
        <v>1644.3849999999998</v>
      </c>
      <c r="O5" s="68"/>
      <c r="P5" s="68"/>
      <c r="Q5" s="68">
        <f>K5*1000/86400</f>
        <v>380.64467592592587</v>
      </c>
      <c r="R5" s="68"/>
      <c r="S5" s="68"/>
      <c r="T5" s="68">
        <v>2</v>
      </c>
      <c r="U5" s="68"/>
      <c r="V5" s="68"/>
      <c r="W5" s="68">
        <v>30</v>
      </c>
      <c r="X5" s="68"/>
      <c r="Y5" s="68">
        <v>6.3</v>
      </c>
      <c r="Z5" s="68"/>
      <c r="AA5" s="68">
        <v>3.2</v>
      </c>
      <c r="AB5" s="68"/>
      <c r="AC5" s="68">
        <f>Q5/Y5</f>
        <v>60.419789829512041</v>
      </c>
      <c r="AD5" s="68"/>
      <c r="AE5" s="68"/>
      <c r="AF5" s="68"/>
    </row>
    <row r="6" spans="1:32">
      <c r="A6" s="68" t="s">
        <v>188</v>
      </c>
      <c r="B6" s="68">
        <v>50</v>
      </c>
      <c r="C6" s="68"/>
      <c r="D6" s="68"/>
      <c r="E6" s="68">
        <v>2.726</v>
      </c>
      <c r="F6" s="68"/>
      <c r="G6" s="68"/>
      <c r="H6" s="68" t="s">
        <v>206</v>
      </c>
      <c r="I6" s="68"/>
      <c r="J6" s="68"/>
      <c r="K6" s="68">
        <v>82033.7</v>
      </c>
      <c r="L6" s="68"/>
      <c r="M6" s="68"/>
      <c r="N6" s="68">
        <f>K6/B6</f>
        <v>1640.674</v>
      </c>
      <c r="O6" s="68"/>
      <c r="P6" s="68"/>
      <c r="Q6" s="68">
        <f>K6*1000/86400</f>
        <v>949.46412037037032</v>
      </c>
      <c r="R6" s="68"/>
      <c r="S6" s="68"/>
      <c r="T6" s="68">
        <v>2</v>
      </c>
      <c r="U6" s="68"/>
      <c r="V6" s="68"/>
      <c r="W6" s="68">
        <v>30</v>
      </c>
      <c r="X6" s="68"/>
      <c r="Y6" s="68">
        <v>15.8</v>
      </c>
      <c r="Z6" s="68"/>
      <c r="AA6" s="68">
        <v>7.9</v>
      </c>
      <c r="AB6" s="68"/>
      <c r="AC6" s="68">
        <f>Q6/Y6</f>
        <v>60.09266584622597</v>
      </c>
      <c r="AD6" s="68"/>
      <c r="AE6" s="68"/>
      <c r="AF6" s="68"/>
    </row>
    <row r="7" spans="1:32">
      <c r="A7" s="68" t="s">
        <v>189</v>
      </c>
      <c r="B7" s="68">
        <v>10</v>
      </c>
      <c r="C7" s="68"/>
      <c r="D7" s="68"/>
      <c r="E7" s="68">
        <v>1.022</v>
      </c>
      <c r="F7" s="68"/>
      <c r="G7" s="68"/>
      <c r="H7" s="68" t="s">
        <v>207</v>
      </c>
      <c r="I7" s="68"/>
      <c r="J7" s="68"/>
      <c r="K7" s="68">
        <v>23075.9</v>
      </c>
      <c r="L7" s="68"/>
      <c r="M7" s="68"/>
      <c r="N7" s="68">
        <f>K7/B7</f>
        <v>2307.59</v>
      </c>
      <c r="O7" s="68"/>
      <c r="P7" s="68"/>
      <c r="Q7" s="68">
        <f>K7*1000/86400</f>
        <v>267.08217592592592</v>
      </c>
      <c r="R7" s="68"/>
      <c r="S7" s="68"/>
      <c r="T7" s="84" t="s">
        <v>202</v>
      </c>
      <c r="U7" s="68"/>
      <c r="V7" s="68"/>
      <c r="W7" s="68">
        <v>30</v>
      </c>
      <c r="X7" s="68"/>
      <c r="Y7" s="68">
        <v>3</v>
      </c>
      <c r="Z7" s="68"/>
      <c r="AA7" s="68">
        <v>1.2</v>
      </c>
      <c r="AB7" s="68"/>
      <c r="AC7" s="68">
        <f>Q7/Y7</f>
        <v>89.027391975308646</v>
      </c>
      <c r="AD7" s="68"/>
      <c r="AE7" s="68"/>
      <c r="AF7" s="68"/>
    </row>
    <row r="8" spans="1:32">
      <c r="A8" s="68" t="s">
        <v>190</v>
      </c>
      <c r="B8" s="68">
        <v>50</v>
      </c>
      <c r="C8" s="68"/>
      <c r="D8" s="68"/>
      <c r="E8" s="68">
        <v>3.7900000000000003E-2</v>
      </c>
      <c r="F8" s="68"/>
      <c r="G8" s="68"/>
      <c r="H8" s="68" t="s">
        <v>208</v>
      </c>
      <c r="I8" s="68"/>
      <c r="J8" s="68"/>
      <c r="K8" s="68">
        <v>88203.9</v>
      </c>
      <c r="L8" s="68"/>
      <c r="M8" s="68"/>
      <c r="N8" s="68">
        <f>K8/B8</f>
        <v>1764.078</v>
      </c>
      <c r="O8" s="68"/>
      <c r="P8" s="68"/>
      <c r="Q8" s="68">
        <f>K8*1000/86400</f>
        <v>1020.8784722222222</v>
      </c>
      <c r="R8" s="68"/>
      <c r="S8" s="68"/>
      <c r="T8" s="84" t="s">
        <v>202</v>
      </c>
      <c r="U8" s="68"/>
      <c r="V8" s="68"/>
      <c r="W8" s="68">
        <v>30</v>
      </c>
      <c r="X8" s="68"/>
      <c r="Y8" s="68">
        <v>14.6</v>
      </c>
      <c r="Z8" s="68"/>
      <c r="AA8" s="68">
        <v>6</v>
      </c>
      <c r="AB8" s="68"/>
      <c r="AC8" s="68">
        <f>Q8/Y8</f>
        <v>69.923183028919325</v>
      </c>
      <c r="AD8" s="68"/>
      <c r="AE8" s="68"/>
      <c r="AF8" s="68"/>
    </row>
    <row r="9" spans="1:32">
      <c r="A9" s="68"/>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row>
    <row r="10" spans="1:32">
      <c r="A10" s="97" t="s">
        <v>195</v>
      </c>
      <c r="B10" s="68"/>
      <c r="C10" s="68"/>
      <c r="D10" s="68"/>
      <c r="E10" s="68"/>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row>
    <row r="11" spans="1:32">
      <c r="A11" s="79"/>
      <c r="B11" s="79" t="s">
        <v>229</v>
      </c>
      <c r="C11" s="68"/>
      <c r="D11" s="68"/>
      <c r="E11" s="79" t="s">
        <v>196</v>
      </c>
      <c r="F11" s="79"/>
      <c r="G11" s="68"/>
      <c r="H11" s="79" t="s">
        <v>197</v>
      </c>
      <c r="I11" s="68"/>
      <c r="J11" s="68"/>
      <c r="K11" s="79" t="s">
        <v>197</v>
      </c>
      <c r="L11" s="68"/>
      <c r="M11" s="68"/>
      <c r="N11" s="68"/>
      <c r="O11" s="68"/>
      <c r="P11" s="68"/>
      <c r="Q11" s="68"/>
      <c r="R11" s="68"/>
      <c r="S11" s="68"/>
      <c r="T11" s="68"/>
      <c r="U11" s="68"/>
      <c r="V11" s="68"/>
      <c r="W11" s="68"/>
      <c r="X11" s="68"/>
      <c r="Y11" s="68"/>
      <c r="Z11" s="68"/>
      <c r="AA11" s="68"/>
      <c r="AB11" s="68"/>
      <c r="AC11" s="68"/>
      <c r="AD11" s="68"/>
      <c r="AE11" s="68"/>
      <c r="AF11" s="68"/>
    </row>
    <row r="12" spans="1:32">
      <c r="A12" s="68" t="s">
        <v>185</v>
      </c>
      <c r="B12" s="68">
        <v>3</v>
      </c>
      <c r="C12" s="68"/>
      <c r="D12" s="68"/>
      <c r="E12" s="68">
        <v>160</v>
      </c>
      <c r="F12" s="68"/>
      <c r="G12" s="68"/>
      <c r="H12" s="68">
        <v>50</v>
      </c>
      <c r="I12" s="68"/>
      <c r="J12" s="83" t="s">
        <v>198</v>
      </c>
      <c r="K12" s="68">
        <v>80</v>
      </c>
      <c r="L12" s="68"/>
      <c r="M12" s="68"/>
      <c r="N12" s="68"/>
      <c r="O12" s="68"/>
      <c r="P12" s="68"/>
      <c r="Q12" s="68"/>
      <c r="R12" s="68"/>
      <c r="S12" s="68"/>
      <c r="T12" s="68"/>
      <c r="U12" s="68"/>
      <c r="V12" s="68"/>
      <c r="W12" s="68"/>
      <c r="X12" s="68"/>
      <c r="Y12" s="68"/>
      <c r="Z12" s="68"/>
      <c r="AA12" s="68"/>
      <c r="AB12" s="68"/>
      <c r="AC12" s="68"/>
      <c r="AD12" s="68"/>
      <c r="AE12" s="68"/>
      <c r="AF12" s="68"/>
    </row>
    <row r="13" spans="1:32">
      <c r="A13" s="68"/>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row>
    <row r="14" spans="1:32">
      <c r="A14" s="97" t="s">
        <v>215</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row>
    <row r="15" spans="1:32">
      <c r="A15" s="79"/>
      <c r="B15" s="79" t="s">
        <v>216</v>
      </c>
      <c r="C15" s="68"/>
      <c r="D15" s="68"/>
      <c r="E15" s="79" t="s">
        <v>218</v>
      </c>
      <c r="F15" s="79"/>
      <c r="G15" s="68"/>
      <c r="H15" s="79" t="s">
        <v>217</v>
      </c>
      <c r="I15" s="68"/>
      <c r="J15" s="68"/>
      <c r="K15" s="68"/>
      <c r="L15" s="68"/>
      <c r="M15" s="68"/>
      <c r="N15" s="68"/>
      <c r="O15" s="68"/>
      <c r="P15" s="68"/>
      <c r="Q15" s="68"/>
      <c r="R15" s="68"/>
      <c r="S15" s="68"/>
      <c r="T15" s="68"/>
      <c r="U15" s="68"/>
      <c r="V15" s="68"/>
      <c r="W15" s="68"/>
      <c r="X15" s="68"/>
      <c r="Y15" s="68"/>
      <c r="Z15" s="68"/>
      <c r="AA15" s="68"/>
      <c r="AB15" s="68"/>
      <c r="AC15" s="68"/>
      <c r="AD15" s="68"/>
      <c r="AE15" s="68"/>
      <c r="AF15" s="68"/>
    </row>
    <row r="16" spans="1:32">
      <c r="A16" s="68" t="s">
        <v>224</v>
      </c>
      <c r="B16" s="68">
        <v>1190</v>
      </c>
      <c r="C16" s="68"/>
      <c r="D16" s="68"/>
      <c r="E16" s="68">
        <v>760</v>
      </c>
      <c r="F16" s="68"/>
      <c r="G16" s="68"/>
      <c r="H16" s="68">
        <v>186</v>
      </c>
      <c r="I16" s="68"/>
      <c r="J16" s="68"/>
      <c r="K16" s="68"/>
      <c r="L16" s="68"/>
      <c r="M16" s="68"/>
      <c r="N16" s="68"/>
      <c r="O16" s="68"/>
      <c r="P16" s="68"/>
      <c r="Q16" s="68"/>
      <c r="R16" s="68"/>
      <c r="S16" s="68"/>
      <c r="T16" s="68"/>
      <c r="U16" s="68"/>
      <c r="V16" s="68"/>
      <c r="W16" s="68"/>
      <c r="X16" s="68"/>
      <c r="Y16" s="68"/>
      <c r="Z16" s="68"/>
      <c r="AA16" s="68"/>
      <c r="AB16" s="68"/>
      <c r="AC16" s="68"/>
      <c r="AD16" s="68"/>
      <c r="AE16" s="68"/>
      <c r="AF16" s="68"/>
    </row>
    <row r="17" spans="1:32">
      <c r="A17" s="68" t="s">
        <v>220</v>
      </c>
      <c r="B17" s="68">
        <v>1672</v>
      </c>
      <c r="C17" s="68"/>
      <c r="D17" s="68"/>
      <c r="E17" s="68">
        <v>1000</v>
      </c>
      <c r="F17" s="68"/>
      <c r="G17" s="68"/>
      <c r="H17" s="84" t="s">
        <v>219</v>
      </c>
      <c r="I17" s="68"/>
      <c r="J17" s="68"/>
      <c r="K17" s="68"/>
      <c r="L17" s="68"/>
      <c r="M17" s="68"/>
      <c r="N17" s="68"/>
      <c r="O17" s="68"/>
      <c r="P17" s="68"/>
      <c r="Q17" s="68"/>
      <c r="R17" s="68"/>
      <c r="S17" s="68"/>
      <c r="T17" s="68"/>
      <c r="U17" s="68"/>
      <c r="V17" s="68"/>
      <c r="W17" s="68"/>
      <c r="X17" s="68"/>
      <c r="Y17" s="68"/>
      <c r="Z17" s="68"/>
      <c r="AA17" s="68"/>
      <c r="AB17" s="68"/>
      <c r="AC17" s="68"/>
      <c r="AD17" s="68"/>
      <c r="AE17" s="68"/>
      <c r="AF17" s="68"/>
    </row>
    <row r="18" spans="1:32">
      <c r="A18" s="68" t="s">
        <v>221</v>
      </c>
      <c r="B18" s="68">
        <v>1672</v>
      </c>
      <c r="C18" s="68"/>
      <c r="D18" s="68"/>
      <c r="E18" s="68">
        <v>900</v>
      </c>
      <c r="F18" s="68"/>
      <c r="G18" s="68"/>
      <c r="H18" s="68">
        <v>160</v>
      </c>
      <c r="I18" s="68"/>
      <c r="J18" s="68"/>
      <c r="K18" s="68"/>
      <c r="L18" s="68"/>
      <c r="M18" s="68"/>
      <c r="N18" s="68"/>
      <c r="O18" s="68"/>
      <c r="P18" s="68"/>
      <c r="Q18" s="68"/>
      <c r="R18" s="68"/>
      <c r="S18" s="68"/>
      <c r="T18" s="68"/>
      <c r="U18" s="68"/>
      <c r="V18" s="68"/>
      <c r="W18" s="68"/>
      <c r="X18" s="68"/>
      <c r="Y18" s="68"/>
      <c r="Z18" s="68"/>
      <c r="AA18" s="68"/>
      <c r="AB18" s="68"/>
      <c r="AC18" s="68"/>
      <c r="AD18" s="68"/>
      <c r="AE18" s="68"/>
      <c r="AF18" s="68"/>
    </row>
    <row r="19" spans="1:32">
      <c r="A19" s="68" t="s">
        <v>222</v>
      </c>
      <c r="B19" s="68">
        <v>1340</v>
      </c>
      <c r="C19" s="68"/>
      <c r="D19" s="68"/>
      <c r="E19" s="84" t="s">
        <v>10</v>
      </c>
      <c r="F19" s="84"/>
      <c r="G19" s="68"/>
      <c r="H19" s="68">
        <v>175</v>
      </c>
      <c r="I19" s="68"/>
      <c r="J19" s="68"/>
      <c r="K19" s="68"/>
      <c r="L19" s="68"/>
      <c r="M19" s="68"/>
      <c r="N19" s="68"/>
      <c r="O19" s="68"/>
      <c r="P19" s="68"/>
      <c r="Q19" s="68"/>
      <c r="R19" s="68"/>
      <c r="S19" s="68"/>
      <c r="T19" s="68"/>
      <c r="U19" s="68"/>
      <c r="V19" s="68"/>
      <c r="W19" s="68"/>
      <c r="X19" s="68"/>
      <c r="Y19" s="68"/>
      <c r="Z19" s="68"/>
      <c r="AA19" s="68"/>
      <c r="AB19" s="68"/>
      <c r="AC19" s="68"/>
      <c r="AD19" s="68"/>
      <c r="AE19" s="68"/>
      <c r="AF19" s="68"/>
    </row>
    <row r="20" spans="1:32">
      <c r="A20" s="68" t="s">
        <v>223</v>
      </c>
      <c r="B20" s="68">
        <v>1200</v>
      </c>
      <c r="C20" s="68"/>
      <c r="D20" s="68"/>
      <c r="E20" s="68">
        <v>1000</v>
      </c>
      <c r="F20" s="68"/>
      <c r="G20" s="68"/>
      <c r="H20" s="68">
        <v>160</v>
      </c>
      <c r="I20" s="68"/>
      <c r="J20" s="68"/>
      <c r="K20" s="68"/>
      <c r="L20" s="68"/>
      <c r="M20" s="68"/>
      <c r="N20" s="68"/>
      <c r="O20" s="68"/>
      <c r="P20" s="68"/>
      <c r="Q20" s="68"/>
      <c r="R20" s="68"/>
      <c r="S20" s="68"/>
      <c r="T20" s="68"/>
      <c r="U20" s="68"/>
      <c r="V20" s="68"/>
      <c r="W20" s="68"/>
      <c r="X20" s="68"/>
      <c r="Y20" s="68"/>
      <c r="Z20" s="68"/>
      <c r="AA20" s="68"/>
      <c r="AB20" s="68"/>
      <c r="AC20" s="68"/>
      <c r="AD20" s="68"/>
      <c r="AE20" s="68"/>
      <c r="AF20" s="68"/>
    </row>
    <row r="21" spans="1:32">
      <c r="A21" s="68"/>
      <c r="B21" s="68"/>
      <c r="C21" s="68"/>
      <c r="D21" s="68"/>
      <c r="E21" s="68"/>
      <c r="F21" s="68"/>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row>
    <row r="22" spans="1:32">
      <c r="A22" s="68"/>
      <c r="B22" s="68"/>
      <c r="C22" s="68"/>
      <c r="D22" s="68"/>
      <c r="E22" s="68"/>
      <c r="F22" s="68"/>
      <c r="G22" s="68"/>
      <c r="H22" s="68"/>
      <c r="I22" s="68"/>
      <c r="J22" s="68"/>
      <c r="K22" s="68"/>
      <c r="L22" s="68"/>
      <c r="M22" s="68"/>
      <c r="N22" s="68"/>
      <c r="O22" s="68"/>
      <c r="P22" s="68"/>
      <c r="Q22" s="68"/>
      <c r="R22" s="68"/>
      <c r="S22" s="68"/>
      <c r="T22" s="68"/>
      <c r="U22" s="68"/>
      <c r="V22" s="68"/>
      <c r="W22" s="68"/>
      <c r="X22" s="68"/>
      <c r="Y22" s="68"/>
      <c r="Z22" s="68"/>
      <c r="AA22" s="68"/>
      <c r="AB22" s="68"/>
      <c r="AC22" s="68"/>
      <c r="AD22" s="68"/>
      <c r="AE22" s="68"/>
      <c r="AF22" s="68"/>
    </row>
    <row r="23" spans="1:32">
      <c r="A23" s="97" t="s">
        <v>252</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row>
    <row r="24" spans="1:32">
      <c r="A24" s="68" t="s">
        <v>255</v>
      </c>
      <c r="B24" s="68"/>
      <c r="C24" s="68"/>
      <c r="D24" s="68"/>
      <c r="E24" s="68"/>
      <c r="F24" s="68"/>
      <c r="G24" s="68"/>
      <c r="H24" s="68"/>
      <c r="I24" s="68"/>
      <c r="J24" s="68"/>
      <c r="K24" s="68"/>
      <c r="L24" s="68"/>
      <c r="M24" s="68"/>
      <c r="N24" s="68"/>
      <c r="O24" s="68"/>
      <c r="P24" s="68"/>
      <c r="Q24" s="68"/>
      <c r="R24" s="68"/>
      <c r="S24" s="68"/>
      <c r="T24" s="68"/>
      <c r="U24" s="68"/>
      <c r="V24" s="68"/>
      <c r="W24" s="68"/>
      <c r="X24" s="68"/>
      <c r="Y24" s="68"/>
      <c r="Z24" s="68"/>
      <c r="AA24" s="68"/>
      <c r="AB24" s="68"/>
      <c r="AC24" s="68"/>
      <c r="AD24" s="68"/>
      <c r="AE24" s="68"/>
      <c r="AF24" s="68"/>
    </row>
    <row r="25" spans="1:32">
      <c r="B25" s="219" t="s">
        <v>254</v>
      </c>
      <c r="C25" s="68"/>
      <c r="D25" s="68"/>
      <c r="F25" s="219" t="s">
        <v>253</v>
      </c>
      <c r="G25" s="68"/>
      <c r="H25" s="68"/>
      <c r="I25" s="79" t="s">
        <v>296</v>
      </c>
      <c r="J25" s="79"/>
      <c r="K25" s="68"/>
      <c r="L25" s="68"/>
      <c r="M25" s="68"/>
      <c r="N25" s="68"/>
      <c r="O25" s="68"/>
      <c r="P25" s="68"/>
      <c r="Q25" s="68"/>
      <c r="R25" s="68"/>
      <c r="S25" s="68"/>
      <c r="T25" s="68"/>
      <c r="U25" s="68"/>
      <c r="V25" s="68"/>
      <c r="W25" s="68"/>
      <c r="X25" s="68"/>
      <c r="Y25" s="68"/>
      <c r="Z25" s="68"/>
      <c r="AA25" s="68"/>
      <c r="AB25" s="68"/>
      <c r="AC25" s="68"/>
      <c r="AD25" s="68"/>
      <c r="AE25" s="68"/>
      <c r="AF25" s="68"/>
    </row>
    <row r="26" spans="1:32">
      <c r="A26" s="129">
        <f t="shared" ref="A26:A34" si="0">E26/3.28084</f>
        <v>380.99998780800041</v>
      </c>
      <c r="B26" s="70" t="s">
        <v>295</v>
      </c>
      <c r="C26" s="129">
        <f t="shared" ref="C26:C34" si="1">G26/3.28084</f>
        <v>761.69517562575436</v>
      </c>
      <c r="D26" s="68"/>
      <c r="E26" s="68">
        <v>1250</v>
      </c>
      <c r="F26" s="70" t="s">
        <v>295</v>
      </c>
      <c r="G26" s="68">
        <v>2499</v>
      </c>
      <c r="H26" s="68"/>
      <c r="I26" s="68">
        <v>0.30399999999999999</v>
      </c>
      <c r="J26" s="68"/>
      <c r="K26" s="68"/>
      <c r="L26" s="68"/>
      <c r="M26" s="68"/>
      <c r="N26" s="68"/>
      <c r="O26" s="68"/>
      <c r="P26" s="68"/>
      <c r="Q26" s="68"/>
      <c r="R26" s="68"/>
      <c r="S26" s="68"/>
      <c r="T26" s="68"/>
      <c r="U26" s="68"/>
      <c r="V26" s="68"/>
      <c r="W26" s="68"/>
      <c r="X26" s="68"/>
      <c r="Y26" s="68"/>
      <c r="Z26" s="68"/>
      <c r="AA26" s="68"/>
      <c r="AB26" s="68"/>
      <c r="AC26" s="68"/>
      <c r="AD26" s="68"/>
      <c r="AE26" s="68"/>
      <c r="AF26" s="68"/>
    </row>
    <row r="27" spans="1:32">
      <c r="A27" s="129">
        <f t="shared" si="0"/>
        <v>761.99997561600082</v>
      </c>
      <c r="B27" s="70" t="s">
        <v>295</v>
      </c>
      <c r="C27" s="129">
        <f t="shared" si="1"/>
        <v>1142.6951634337547</v>
      </c>
      <c r="D27" s="68"/>
      <c r="E27" s="68">
        <v>2500</v>
      </c>
      <c r="F27" s="70" t="s">
        <v>295</v>
      </c>
      <c r="G27" s="68">
        <v>3749</v>
      </c>
      <c r="H27" s="68"/>
      <c r="I27" s="68">
        <v>0.36399999999999999</v>
      </c>
      <c r="J27" s="68"/>
      <c r="K27" s="68"/>
      <c r="L27" s="68"/>
      <c r="M27" s="68"/>
      <c r="N27" s="68"/>
      <c r="O27" s="68"/>
      <c r="P27" s="68"/>
      <c r="Q27" s="68"/>
      <c r="R27" s="68"/>
      <c r="S27" s="68"/>
      <c r="T27" s="68"/>
      <c r="U27" s="68"/>
      <c r="V27" s="68"/>
      <c r="W27" s="68"/>
      <c r="X27" s="68"/>
      <c r="Y27" s="68"/>
      <c r="Z27" s="68"/>
      <c r="AA27" s="68"/>
      <c r="AB27" s="68"/>
      <c r="AC27" s="68"/>
      <c r="AD27" s="68"/>
      <c r="AE27" s="68"/>
      <c r="AF27" s="68"/>
    </row>
    <row r="28" spans="1:32">
      <c r="A28" s="129">
        <f t="shared" si="0"/>
        <v>1142.9999634240012</v>
      </c>
      <c r="B28" s="70" t="s">
        <v>295</v>
      </c>
      <c r="C28" s="129">
        <f t="shared" si="1"/>
        <v>1523.6951512417552</v>
      </c>
      <c r="D28" s="68"/>
      <c r="E28" s="68">
        <v>3750</v>
      </c>
      <c r="F28" s="70" t="s">
        <v>295</v>
      </c>
      <c r="G28" s="68">
        <v>4999</v>
      </c>
      <c r="H28" s="68"/>
      <c r="I28" s="68">
        <v>0.41599999999999998</v>
      </c>
      <c r="J28" s="68"/>
      <c r="K28" s="68"/>
      <c r="L28" s="68"/>
      <c r="M28" s="68"/>
      <c r="N28" s="68"/>
      <c r="O28" s="68"/>
      <c r="P28" s="68"/>
      <c r="Q28" s="68"/>
      <c r="R28" s="68"/>
      <c r="S28" s="68"/>
      <c r="T28" s="68"/>
      <c r="U28" s="68"/>
      <c r="V28" s="68"/>
      <c r="W28" s="68"/>
      <c r="X28" s="68"/>
      <c r="Y28" s="68"/>
      <c r="Z28" s="68"/>
      <c r="AA28" s="68"/>
      <c r="AB28" s="68"/>
      <c r="AC28" s="68"/>
      <c r="AD28" s="68"/>
      <c r="AE28" s="68"/>
      <c r="AF28" s="68"/>
    </row>
    <row r="29" spans="1:32">
      <c r="A29" s="129">
        <f t="shared" si="0"/>
        <v>1523.9999512320016</v>
      </c>
      <c r="B29" s="70" t="s">
        <v>295</v>
      </c>
      <c r="C29" s="129">
        <f t="shared" si="1"/>
        <v>2285.6951268577559</v>
      </c>
      <c r="D29" s="68"/>
      <c r="E29" s="68">
        <v>5000</v>
      </c>
      <c r="F29" s="70" t="s">
        <v>295</v>
      </c>
      <c r="G29" s="68">
        <v>7499</v>
      </c>
      <c r="H29" s="68"/>
      <c r="I29" s="68">
        <v>0.86799999999999999</v>
      </c>
      <c r="J29" s="68"/>
      <c r="K29" s="68"/>
      <c r="L29" s="68"/>
      <c r="M29" s="68"/>
      <c r="N29" s="68"/>
      <c r="O29" s="68"/>
      <c r="P29" s="68"/>
      <c r="Q29" s="68"/>
      <c r="R29" s="68"/>
      <c r="S29" s="68"/>
      <c r="T29" s="68"/>
      <c r="U29" s="68"/>
      <c r="V29" s="68"/>
      <c r="W29" s="68"/>
      <c r="X29" s="68"/>
      <c r="Y29" s="68"/>
      <c r="Z29" s="68"/>
      <c r="AA29" s="68"/>
      <c r="AB29" s="68"/>
      <c r="AC29" s="68"/>
      <c r="AD29" s="68"/>
      <c r="AE29" s="68"/>
      <c r="AF29" s="68"/>
    </row>
    <row r="30" spans="1:32">
      <c r="A30" s="129">
        <f t="shared" si="0"/>
        <v>2285.9999268480024</v>
      </c>
      <c r="B30" s="70" t="s">
        <v>295</v>
      </c>
      <c r="C30" s="129">
        <f t="shared" si="1"/>
        <v>3047.6951024737568</v>
      </c>
      <c r="D30" s="68"/>
      <c r="E30" s="68">
        <v>7500</v>
      </c>
      <c r="F30" s="70" t="s">
        <v>295</v>
      </c>
      <c r="G30" s="68">
        <v>9999</v>
      </c>
      <c r="H30" s="68"/>
      <c r="I30" s="68">
        <v>1.9750000000000001</v>
      </c>
      <c r="J30" s="68"/>
      <c r="K30" s="68"/>
      <c r="L30" s="68"/>
      <c r="M30" s="68"/>
      <c r="N30" s="68"/>
      <c r="O30" s="68"/>
      <c r="P30" s="68"/>
      <c r="Q30" s="68"/>
      <c r="R30" s="68"/>
      <c r="S30" s="68"/>
      <c r="T30" s="68"/>
      <c r="U30" s="68"/>
      <c r="V30" s="68"/>
      <c r="W30" s="68"/>
      <c r="X30" s="68"/>
      <c r="Y30" s="68"/>
      <c r="Z30" s="68"/>
      <c r="AA30" s="68"/>
      <c r="AB30" s="68"/>
      <c r="AC30" s="68"/>
      <c r="AD30" s="68"/>
      <c r="AE30" s="68"/>
      <c r="AF30" s="68"/>
    </row>
    <row r="31" spans="1:32">
      <c r="A31" s="129">
        <f t="shared" si="0"/>
        <v>3047.9999024640033</v>
      </c>
      <c r="B31" s="70" t="s">
        <v>295</v>
      </c>
      <c r="C31" s="129">
        <f t="shared" si="1"/>
        <v>3809.6950780897573</v>
      </c>
      <c r="D31" s="68"/>
      <c r="E31" s="68">
        <v>10000</v>
      </c>
      <c r="F31" s="70" t="s">
        <v>295</v>
      </c>
      <c r="G31" s="68">
        <v>12499</v>
      </c>
      <c r="H31" s="68"/>
      <c r="I31" s="68">
        <v>3.4119999999999999</v>
      </c>
      <c r="J31" s="68"/>
      <c r="K31" s="68"/>
      <c r="L31" s="68"/>
      <c r="M31" s="68"/>
      <c r="N31" s="68"/>
      <c r="O31" s="68"/>
      <c r="P31" s="68"/>
      <c r="Q31" s="68"/>
      <c r="R31" s="68"/>
      <c r="S31" s="68"/>
      <c r="T31" s="68"/>
      <c r="U31" s="68"/>
      <c r="V31" s="68"/>
      <c r="W31" s="68"/>
      <c r="X31" s="68"/>
      <c r="Y31" s="68"/>
      <c r="Z31" s="68"/>
      <c r="AA31" s="68"/>
      <c r="AB31" s="68"/>
      <c r="AC31" s="68"/>
      <c r="AD31" s="68"/>
      <c r="AE31" s="68"/>
      <c r="AF31" s="68"/>
    </row>
    <row r="32" spans="1:32">
      <c r="A32" s="129">
        <f t="shared" si="0"/>
        <v>3809.9998780800038</v>
      </c>
      <c r="B32" s="70" t="s">
        <v>295</v>
      </c>
      <c r="C32" s="129">
        <f t="shared" si="1"/>
        <v>4571.6950537057583</v>
      </c>
      <c r="D32" s="68"/>
      <c r="E32" s="68">
        <v>12500</v>
      </c>
      <c r="F32" s="70" t="s">
        <v>295</v>
      </c>
      <c r="G32" s="68">
        <v>14999</v>
      </c>
      <c r="H32" s="68"/>
      <c r="I32" s="68">
        <v>5.5270000000000001</v>
      </c>
      <c r="J32" s="68"/>
      <c r="K32" s="68"/>
      <c r="L32" s="68"/>
      <c r="M32" s="68"/>
      <c r="N32" s="68"/>
      <c r="O32" s="68"/>
      <c r="P32" s="68"/>
      <c r="Q32" s="68"/>
      <c r="R32" s="68"/>
      <c r="S32" s="68"/>
      <c r="T32" s="68"/>
      <c r="U32" s="68"/>
      <c r="V32" s="68"/>
      <c r="W32" s="68"/>
      <c r="X32" s="68"/>
      <c r="Y32" s="68"/>
      <c r="Z32" s="68"/>
      <c r="AA32" s="68"/>
      <c r="AB32" s="68"/>
      <c r="AC32" s="68"/>
      <c r="AD32" s="68"/>
      <c r="AE32" s="68"/>
      <c r="AF32" s="68"/>
    </row>
    <row r="33" spans="1:32">
      <c r="A33" s="129">
        <f t="shared" si="0"/>
        <v>4571.9998536960047</v>
      </c>
      <c r="B33" s="70" t="s">
        <v>295</v>
      </c>
      <c r="C33" s="129">
        <f t="shared" si="1"/>
        <v>5333.6950293217587</v>
      </c>
      <c r="D33" s="68"/>
      <c r="E33" s="68">
        <v>15000</v>
      </c>
      <c r="F33" s="70" t="s">
        <v>295</v>
      </c>
      <c r="G33" s="68">
        <v>17499</v>
      </c>
      <c r="H33" s="68"/>
      <c r="I33" s="68">
        <v>7.57</v>
      </c>
      <c r="J33" s="68"/>
      <c r="K33" s="68"/>
      <c r="L33" s="68"/>
      <c r="M33" s="68"/>
      <c r="N33" s="68"/>
      <c r="O33" s="68"/>
      <c r="P33" s="68"/>
      <c r="Q33" s="68"/>
      <c r="R33" s="68"/>
      <c r="S33" s="68"/>
      <c r="T33" s="68"/>
      <c r="U33" s="68"/>
      <c r="V33" s="68"/>
      <c r="W33" s="68"/>
      <c r="X33" s="68"/>
      <c r="Y33" s="68"/>
      <c r="Z33" s="68"/>
      <c r="AA33" s="68"/>
      <c r="AB33" s="68"/>
      <c r="AC33" s="68"/>
      <c r="AD33" s="68"/>
      <c r="AE33" s="68"/>
      <c r="AF33" s="68"/>
    </row>
    <row r="34" spans="1:32">
      <c r="A34" s="129">
        <f t="shared" si="0"/>
        <v>53339.998293120057</v>
      </c>
      <c r="B34" s="70" t="s">
        <v>295</v>
      </c>
      <c r="C34" s="129">
        <f t="shared" si="1"/>
        <v>6095.6950049377601</v>
      </c>
      <c r="D34" s="68"/>
      <c r="E34" s="68">
        <v>175000</v>
      </c>
      <c r="F34" s="70" t="s">
        <v>295</v>
      </c>
      <c r="G34" s="68">
        <v>19999</v>
      </c>
      <c r="H34" s="68"/>
      <c r="I34" s="68">
        <v>9.4139999999999997</v>
      </c>
      <c r="J34" s="68"/>
      <c r="K34" s="68"/>
      <c r="L34" s="68"/>
      <c r="M34" s="68"/>
      <c r="N34" s="68"/>
      <c r="O34" s="68"/>
      <c r="P34" s="68"/>
      <c r="Q34" s="68"/>
      <c r="R34" s="68"/>
      <c r="S34" s="68"/>
      <c r="T34" s="68"/>
      <c r="U34" s="68"/>
      <c r="V34" s="68"/>
      <c r="W34" s="68"/>
      <c r="X34" s="68"/>
      <c r="Y34" s="68"/>
      <c r="Z34" s="68"/>
      <c r="AA34" s="68"/>
      <c r="AB34" s="68"/>
      <c r="AC34" s="68"/>
      <c r="AD34" s="68"/>
      <c r="AE34" s="68"/>
      <c r="AF34" s="68"/>
    </row>
    <row r="35" spans="1:32">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row>
    <row r="36" spans="1:32">
      <c r="B36" s="68"/>
      <c r="C36" s="68"/>
      <c r="D36" s="68"/>
      <c r="E36" s="68"/>
      <c r="F36" s="68"/>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row>
    <row r="37" spans="1:32">
      <c r="A37" s="97" t="s">
        <v>436</v>
      </c>
      <c r="B37" s="68"/>
      <c r="C37" s="68"/>
      <c r="D37" s="68"/>
      <c r="E37" s="68"/>
      <c r="F37" s="68"/>
      <c r="G37" s="68"/>
      <c r="H37" s="68"/>
      <c r="I37" s="68"/>
      <c r="J37" s="68"/>
      <c r="K37" s="68"/>
      <c r="L37" s="68"/>
      <c r="M37" s="68"/>
      <c r="N37" s="68"/>
      <c r="O37" s="68"/>
      <c r="P37" s="68"/>
      <c r="Q37" s="68"/>
      <c r="R37" s="68"/>
      <c r="S37" s="68"/>
      <c r="T37" s="68"/>
      <c r="U37" s="68"/>
      <c r="V37" s="68"/>
      <c r="W37" s="68"/>
      <c r="X37" s="68"/>
      <c r="Y37" s="68"/>
      <c r="Z37" s="68"/>
      <c r="AA37" s="68"/>
      <c r="AB37" s="68"/>
      <c r="AC37" s="68"/>
      <c r="AD37" s="68"/>
      <c r="AE37" s="68"/>
      <c r="AF37" s="68"/>
    </row>
    <row r="38" spans="1:32">
      <c r="A38" s="272" t="s">
        <v>443</v>
      </c>
      <c r="B38" s="68"/>
      <c r="C38" s="68"/>
      <c r="D38" s="68"/>
      <c r="E38" s="68"/>
      <c r="F38" s="79" t="s">
        <v>444</v>
      </c>
      <c r="G38" s="68"/>
      <c r="H38" s="68"/>
      <c r="I38" s="68"/>
      <c r="J38" s="68"/>
      <c r="K38" s="68"/>
      <c r="L38" s="68"/>
      <c r="M38" s="68"/>
      <c r="N38" s="68"/>
      <c r="O38" s="68"/>
      <c r="P38" s="68"/>
      <c r="Q38" s="68"/>
      <c r="R38" s="68"/>
      <c r="S38" s="68"/>
      <c r="T38" s="68"/>
      <c r="U38" s="68"/>
      <c r="V38" s="68"/>
      <c r="W38" s="68"/>
      <c r="X38" s="68"/>
      <c r="Y38" s="68"/>
      <c r="Z38" s="68"/>
      <c r="AA38" s="68"/>
      <c r="AB38" s="68"/>
      <c r="AC38" s="68"/>
      <c r="AD38" s="68"/>
      <c r="AE38" s="68"/>
      <c r="AF38" s="68"/>
    </row>
    <row r="39" spans="1:32">
      <c r="A39" s="68" t="s">
        <v>438</v>
      </c>
      <c r="B39" s="68"/>
      <c r="C39" s="68"/>
      <c r="D39" s="68"/>
      <c r="E39" s="68"/>
      <c r="F39" s="271" t="s">
        <v>437</v>
      </c>
      <c r="H39" s="68"/>
      <c r="I39" s="68"/>
      <c r="J39" s="68"/>
      <c r="K39" s="68"/>
      <c r="L39" s="68"/>
      <c r="M39" s="68"/>
      <c r="N39" s="68"/>
      <c r="O39" s="68"/>
      <c r="P39" s="68"/>
      <c r="Q39" s="68"/>
      <c r="R39" s="68"/>
      <c r="S39" s="68"/>
      <c r="T39" s="68"/>
      <c r="U39" s="68"/>
      <c r="V39" s="68"/>
      <c r="W39" s="68"/>
      <c r="X39" s="68"/>
      <c r="Y39" s="68"/>
      <c r="Z39" s="68"/>
      <c r="AA39" s="68"/>
      <c r="AB39" s="68"/>
      <c r="AC39" s="68"/>
      <c r="AD39" s="68"/>
      <c r="AE39" s="68"/>
      <c r="AF39" s="68"/>
    </row>
    <row r="40" spans="1:32">
      <c r="A40" s="68" t="s">
        <v>440</v>
      </c>
      <c r="B40" s="68"/>
      <c r="C40" s="68"/>
      <c r="D40" s="68"/>
      <c r="E40" s="68"/>
      <c r="F40" s="68" t="s">
        <v>439</v>
      </c>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row>
    <row r="41" spans="1:32">
      <c r="A41" s="68" t="s">
        <v>442</v>
      </c>
      <c r="B41" s="68"/>
      <c r="C41" s="68"/>
      <c r="D41" s="68"/>
      <c r="E41" s="68"/>
      <c r="F41" s="68" t="s">
        <v>441</v>
      </c>
      <c r="G41" s="68"/>
      <c r="H41" s="68"/>
      <c r="I41" s="68"/>
      <c r="J41" s="68"/>
      <c r="K41" s="68"/>
      <c r="L41" s="68"/>
      <c r="M41" s="68"/>
      <c r="N41" s="68"/>
      <c r="O41" s="68"/>
      <c r="P41" s="68"/>
      <c r="Q41" s="68"/>
      <c r="R41" s="68"/>
      <c r="S41" s="68"/>
      <c r="T41" s="68"/>
      <c r="U41" s="68"/>
      <c r="V41" s="68"/>
      <c r="W41" s="68"/>
      <c r="X41" s="68"/>
      <c r="Y41" s="68"/>
      <c r="Z41" s="68"/>
      <c r="AA41" s="68"/>
      <c r="AB41" s="68"/>
      <c r="AC41" s="68"/>
      <c r="AD41" s="68"/>
      <c r="AE41" s="68"/>
      <c r="AF41" s="68"/>
    </row>
    <row r="42" spans="1:32">
      <c r="A42" s="68" t="s">
        <v>446</v>
      </c>
      <c r="B42" s="68"/>
      <c r="C42" s="68"/>
      <c r="D42" s="68"/>
      <c r="E42" s="68"/>
      <c r="F42" s="68" t="s">
        <v>445</v>
      </c>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row>
    <row r="43" spans="1:32">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row>
    <row r="44" spans="1:32">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row>
    <row r="45" spans="1:32">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c r="AA45" s="68"/>
      <c r="AB45" s="68"/>
      <c r="AC45" s="68"/>
      <c r="AD45" s="68"/>
      <c r="AE45" s="68"/>
      <c r="AF45" s="68"/>
    </row>
    <row r="46" spans="1:32">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row>
    <row r="47" spans="1:32">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c r="AA47" s="68"/>
      <c r="AB47" s="68"/>
      <c r="AC47" s="68"/>
      <c r="AD47" s="68"/>
      <c r="AE47" s="68"/>
      <c r="AF47" s="68"/>
    </row>
    <row r="48" spans="1:32">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c r="AD48" s="68"/>
      <c r="AE48" s="68"/>
      <c r="AF48" s="68"/>
    </row>
    <row r="49" spans="1:32">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c r="AD49" s="68"/>
      <c r="AE49" s="68"/>
      <c r="AF49" s="68"/>
    </row>
    <row r="50" spans="1:32">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row>
    <row r="51" spans="1:32">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row>
    <row r="52" spans="1:32">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row>
    <row r="53" spans="1:32">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row>
    <row r="54" spans="1:32">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row>
    <row r="55" spans="1:32">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row>
    <row r="56" spans="1:32">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row>
    <row r="57" spans="1:32">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row>
    <row r="58" spans="1:32">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row>
    <row r="59" spans="1:32">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row>
    <row r="60" spans="1:32">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row>
    <row r="61" spans="1:32">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row>
    <row r="62" spans="1:32">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row>
    <row r="63" spans="1:32">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row>
    <row r="64" spans="1:32">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row>
    <row r="65" spans="1:32">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112"/>
  <sheetViews>
    <sheetView workbookViewId="0"/>
  </sheetViews>
  <sheetFormatPr defaultRowHeight="14.4"/>
  <cols>
    <col min="1" max="1" width="9.33203125" style="11"/>
    <col min="2" max="2" width="48.33203125" customWidth="1"/>
  </cols>
  <sheetData>
    <row r="1" spans="1:9">
      <c r="A1" s="227" t="s">
        <v>374</v>
      </c>
    </row>
    <row r="2" spans="1:9">
      <c r="A2" s="11">
        <v>1</v>
      </c>
      <c r="B2" s="297" t="s">
        <v>313</v>
      </c>
      <c r="C2" t="s">
        <v>314</v>
      </c>
    </row>
    <row r="3" spans="1:9">
      <c r="B3" s="297"/>
    </row>
    <row r="4" spans="1:9">
      <c r="A4" s="11">
        <v>2</v>
      </c>
      <c r="B4" t="s">
        <v>654</v>
      </c>
      <c r="C4" t="s">
        <v>326</v>
      </c>
      <c r="I4" t="s">
        <v>327</v>
      </c>
    </row>
    <row r="6" spans="1:9">
      <c r="A6" s="11">
        <v>3</v>
      </c>
      <c r="B6" t="s">
        <v>348</v>
      </c>
      <c r="C6" t="s">
        <v>258</v>
      </c>
    </row>
    <row r="8" spans="1:9">
      <c r="B8" s="298" t="s">
        <v>369</v>
      </c>
    </row>
    <row r="9" spans="1:9">
      <c r="A9" s="11">
        <v>4</v>
      </c>
      <c r="B9" t="s">
        <v>349</v>
      </c>
      <c r="C9" t="s">
        <v>350</v>
      </c>
      <c r="E9" t="s">
        <v>351</v>
      </c>
      <c r="F9">
        <v>1</v>
      </c>
      <c r="G9">
        <v>14.7</v>
      </c>
      <c r="H9">
        <v>150</v>
      </c>
      <c r="I9" t="s">
        <v>357</v>
      </c>
    </row>
    <row r="10" spans="1:9">
      <c r="F10" t="s">
        <v>354</v>
      </c>
      <c r="G10" t="s">
        <v>352</v>
      </c>
      <c r="H10" t="s">
        <v>355</v>
      </c>
      <c r="I10" t="s">
        <v>360</v>
      </c>
    </row>
    <row r="11" spans="1:9">
      <c r="F11">
        <v>1.93</v>
      </c>
      <c r="G11">
        <v>1.97</v>
      </c>
      <c r="H11">
        <v>2.2599999999999998</v>
      </c>
      <c r="I11" t="s">
        <v>353</v>
      </c>
    </row>
    <row r="13" spans="1:9">
      <c r="A13" s="11">
        <v>5</v>
      </c>
      <c r="B13" t="s">
        <v>356</v>
      </c>
      <c r="C13" t="s">
        <v>358</v>
      </c>
      <c r="F13">
        <v>100</v>
      </c>
      <c r="G13">
        <v>200</v>
      </c>
      <c r="H13">
        <v>300</v>
      </c>
      <c r="I13" t="s">
        <v>359</v>
      </c>
    </row>
    <row r="14" spans="1:9">
      <c r="F14">
        <v>4.2190000000000003</v>
      </c>
      <c r="G14">
        <v>4.51</v>
      </c>
      <c r="H14">
        <v>5.65</v>
      </c>
      <c r="I14" t="s">
        <v>353</v>
      </c>
    </row>
    <row r="16" spans="1:9">
      <c r="A16" s="11">
        <v>6</v>
      </c>
      <c r="B16" t="s">
        <v>365</v>
      </c>
      <c r="C16" t="s">
        <v>366</v>
      </c>
      <c r="F16" t="s">
        <v>367</v>
      </c>
      <c r="G16">
        <v>4.2</v>
      </c>
      <c r="H16" t="s">
        <v>353</v>
      </c>
    </row>
    <row r="17" spans="1:8">
      <c r="F17" t="s">
        <v>368</v>
      </c>
      <c r="G17">
        <v>3.2</v>
      </c>
      <c r="H17" t="s">
        <v>353</v>
      </c>
    </row>
    <row r="18" spans="1:8">
      <c r="A18" s="11">
        <v>7</v>
      </c>
      <c r="B18" t="s">
        <v>371</v>
      </c>
      <c r="C18" t="s">
        <v>370</v>
      </c>
    </row>
    <row r="20" spans="1:8">
      <c r="A20" s="11">
        <v>8</v>
      </c>
      <c r="B20" s="2" t="s">
        <v>373</v>
      </c>
      <c r="C20" t="s">
        <v>372</v>
      </c>
    </row>
    <row r="23" spans="1:8">
      <c r="A23" s="11">
        <v>9</v>
      </c>
      <c r="B23" t="s">
        <v>361</v>
      </c>
      <c r="C23" t="s">
        <v>362</v>
      </c>
      <c r="E23">
        <v>1</v>
      </c>
      <c r="F23">
        <v>10</v>
      </c>
      <c r="G23" t="s">
        <v>363</v>
      </c>
    </row>
    <row r="24" spans="1:8">
      <c r="E24">
        <v>18</v>
      </c>
      <c r="F24">
        <v>180</v>
      </c>
      <c r="G24" t="s">
        <v>364</v>
      </c>
    </row>
    <row r="26" spans="1:8">
      <c r="A26" s="11">
        <v>10</v>
      </c>
      <c r="B26" t="s">
        <v>375</v>
      </c>
      <c r="C26" t="s">
        <v>376</v>
      </c>
    </row>
    <row r="28" spans="1:8">
      <c r="A28" s="11">
        <v>11</v>
      </c>
      <c r="B28" t="s">
        <v>377</v>
      </c>
      <c r="C28" t="s">
        <v>378</v>
      </c>
      <c r="D28" t="s">
        <v>1151</v>
      </c>
    </row>
    <row r="30" spans="1:8">
      <c r="A30" s="11">
        <v>12</v>
      </c>
      <c r="B30" t="s">
        <v>379</v>
      </c>
      <c r="C30" t="s">
        <v>382</v>
      </c>
      <c r="D30" t="s">
        <v>380</v>
      </c>
      <c r="F30" t="s">
        <v>381</v>
      </c>
    </row>
    <row r="32" spans="1:8">
      <c r="A32" s="11">
        <v>13</v>
      </c>
      <c r="B32" t="s">
        <v>384</v>
      </c>
      <c r="C32" t="s">
        <v>385</v>
      </c>
    </row>
    <row r="34" spans="1:5">
      <c r="A34" s="11">
        <v>14</v>
      </c>
      <c r="B34" t="s">
        <v>387</v>
      </c>
      <c r="C34" t="s">
        <v>388</v>
      </c>
      <c r="E34" t="s">
        <v>389</v>
      </c>
    </row>
    <row r="35" spans="1:5">
      <c r="E35" t="s">
        <v>390</v>
      </c>
    </row>
    <row r="37" spans="1:5">
      <c r="A37" s="11">
        <v>15</v>
      </c>
      <c r="B37" t="s">
        <v>421</v>
      </c>
      <c r="C37" t="s">
        <v>420</v>
      </c>
    </row>
    <row r="39" spans="1:5">
      <c r="A39" s="11">
        <v>16</v>
      </c>
      <c r="B39" t="s">
        <v>453</v>
      </c>
      <c r="C39" t="s">
        <v>452</v>
      </c>
    </row>
    <row r="41" spans="1:5">
      <c r="A41" s="11">
        <v>17</v>
      </c>
      <c r="B41" t="s">
        <v>621</v>
      </c>
      <c r="C41" t="s">
        <v>620</v>
      </c>
    </row>
    <row r="43" spans="1:5">
      <c r="A43" s="11">
        <v>18</v>
      </c>
      <c r="B43" t="s">
        <v>657</v>
      </c>
      <c r="C43" t="s">
        <v>656</v>
      </c>
    </row>
    <row r="44" spans="1:5">
      <c r="C44" t="s">
        <v>658</v>
      </c>
    </row>
    <row r="45" spans="1:5">
      <c r="B45" s="564" t="s">
        <v>660</v>
      </c>
      <c r="C45" t="s">
        <v>659</v>
      </c>
    </row>
    <row r="47" spans="1:5">
      <c r="B47" s="298" t="s">
        <v>663</v>
      </c>
    </row>
    <row r="48" spans="1:5">
      <c r="A48" s="11">
        <v>19</v>
      </c>
      <c r="B48" t="s">
        <v>669</v>
      </c>
      <c r="C48" t="s">
        <v>662</v>
      </c>
    </row>
    <row r="50" spans="1:4">
      <c r="A50" s="11">
        <v>20</v>
      </c>
      <c r="B50" t="s">
        <v>667</v>
      </c>
      <c r="C50" t="s">
        <v>666</v>
      </c>
    </row>
    <row r="51" spans="1:4">
      <c r="D51" t="s">
        <v>668</v>
      </c>
    </row>
    <row r="52" spans="1:4">
      <c r="A52" s="11">
        <v>21</v>
      </c>
      <c r="B52" t="s">
        <v>671</v>
      </c>
      <c r="C52" t="s">
        <v>672</v>
      </c>
    </row>
    <row r="53" spans="1:4">
      <c r="D53" t="s">
        <v>670</v>
      </c>
    </row>
    <row r="54" spans="1:4">
      <c r="B54" s="574" t="s">
        <v>673</v>
      </c>
    </row>
    <row r="55" spans="1:4">
      <c r="A55" s="11">
        <v>22</v>
      </c>
      <c r="B55" t="s">
        <v>676</v>
      </c>
      <c r="C55" t="s">
        <v>675</v>
      </c>
    </row>
    <row r="56" spans="1:4">
      <c r="D56" t="s">
        <v>674</v>
      </c>
    </row>
    <row r="57" spans="1:4">
      <c r="A57" s="11">
        <v>23</v>
      </c>
      <c r="B57" t="s">
        <v>679</v>
      </c>
      <c r="C57" t="s">
        <v>678</v>
      </c>
    </row>
    <row r="58" spans="1:4">
      <c r="D58" t="s">
        <v>677</v>
      </c>
    </row>
    <row r="60" spans="1:4">
      <c r="B60" s="298" t="s">
        <v>700</v>
      </c>
    </row>
    <row r="61" spans="1:4">
      <c r="A61" s="11">
        <v>24</v>
      </c>
      <c r="B61" t="s">
        <v>702</v>
      </c>
      <c r="C61" t="s">
        <v>701</v>
      </c>
    </row>
    <row r="64" spans="1:4">
      <c r="A64" s="11">
        <v>25</v>
      </c>
      <c r="B64" t="s">
        <v>705</v>
      </c>
      <c r="C64" t="s">
        <v>704</v>
      </c>
      <c r="D64" t="s">
        <v>703</v>
      </c>
    </row>
    <row r="66" spans="1:6">
      <c r="B66" s="298" t="s">
        <v>714</v>
      </c>
    </row>
    <row r="67" spans="1:6">
      <c r="A67" s="11">
        <v>26</v>
      </c>
      <c r="B67" s="2" t="s">
        <v>716</v>
      </c>
      <c r="C67" t="s">
        <v>717</v>
      </c>
      <c r="F67" t="s">
        <v>715</v>
      </c>
    </row>
    <row r="69" spans="1:6">
      <c r="B69" s="592" t="s">
        <v>721</v>
      </c>
    </row>
    <row r="70" spans="1:6">
      <c r="A70" s="11">
        <v>27</v>
      </c>
      <c r="B70" s="2" t="s">
        <v>719</v>
      </c>
      <c r="C70" t="s">
        <v>720</v>
      </c>
      <c r="F70" t="s">
        <v>718</v>
      </c>
    </row>
    <row r="71" spans="1:6">
      <c r="B71" s="2"/>
    </row>
    <row r="72" spans="1:6">
      <c r="A72" s="11">
        <v>28</v>
      </c>
      <c r="B72" s="2" t="s">
        <v>760</v>
      </c>
      <c r="C72" t="s">
        <v>764</v>
      </c>
      <c r="F72" t="s">
        <v>759</v>
      </c>
    </row>
    <row r="73" spans="1:6">
      <c r="B73" s="2"/>
    </row>
    <row r="74" spans="1:6">
      <c r="A74" s="11">
        <v>29</v>
      </c>
      <c r="B74" s="2" t="s">
        <v>762</v>
      </c>
      <c r="C74" t="s">
        <v>763</v>
      </c>
      <c r="F74" t="s">
        <v>761</v>
      </c>
    </row>
    <row r="75" spans="1:6">
      <c r="B75" s="2"/>
    </row>
    <row r="76" spans="1:6">
      <c r="A76" s="11">
        <v>30</v>
      </c>
      <c r="B76" s="2" t="s">
        <v>765</v>
      </c>
      <c r="C76" t="s">
        <v>766</v>
      </c>
      <c r="F76" t="s">
        <v>767</v>
      </c>
    </row>
    <row r="78" spans="1:6">
      <c r="B78" s="298" t="s">
        <v>722</v>
      </c>
    </row>
    <row r="79" spans="1:6">
      <c r="A79" s="11">
        <v>31</v>
      </c>
      <c r="B79" t="s">
        <v>724</v>
      </c>
      <c r="C79" t="s">
        <v>725</v>
      </c>
      <c r="E79" s="593" t="s">
        <v>723</v>
      </c>
    </row>
    <row r="81" spans="1:5">
      <c r="B81" s="298" t="s">
        <v>726</v>
      </c>
    </row>
    <row r="82" spans="1:5">
      <c r="A82" s="11">
        <v>32</v>
      </c>
      <c r="B82" s="2" t="s">
        <v>728</v>
      </c>
      <c r="E82" t="s">
        <v>727</v>
      </c>
    </row>
    <row r="84" spans="1:5">
      <c r="B84" s="298" t="s">
        <v>729</v>
      </c>
    </row>
    <row r="85" spans="1:5">
      <c r="A85" s="11">
        <v>33</v>
      </c>
      <c r="B85" s="2" t="s">
        <v>731</v>
      </c>
      <c r="D85" t="s">
        <v>730</v>
      </c>
    </row>
    <row r="87" spans="1:5">
      <c r="B87" s="298" t="s">
        <v>736</v>
      </c>
    </row>
    <row r="88" spans="1:5">
      <c r="A88" s="11">
        <v>34</v>
      </c>
      <c r="B88" s="2" t="s">
        <v>732</v>
      </c>
      <c r="E88" s="593" t="s">
        <v>733</v>
      </c>
    </row>
    <row r="90" spans="1:5">
      <c r="B90" s="298" t="s">
        <v>734</v>
      </c>
    </row>
    <row r="91" spans="1:5">
      <c r="A91" s="11">
        <v>35</v>
      </c>
      <c r="B91" s="2" t="s">
        <v>737</v>
      </c>
      <c r="E91" t="s">
        <v>735</v>
      </c>
    </row>
    <row r="93" spans="1:5">
      <c r="B93" s="1" t="s">
        <v>849</v>
      </c>
    </row>
    <row r="94" spans="1:5">
      <c r="A94" s="11">
        <v>36</v>
      </c>
      <c r="B94" t="s">
        <v>851</v>
      </c>
      <c r="C94" t="s">
        <v>852</v>
      </c>
      <c r="E94" t="s">
        <v>850</v>
      </c>
    </row>
    <row r="95" spans="1:5">
      <c r="A95" s="11">
        <v>37</v>
      </c>
      <c r="B95" s="2" t="s">
        <v>854</v>
      </c>
      <c r="C95" t="s">
        <v>855</v>
      </c>
      <c r="E95" t="s">
        <v>853</v>
      </c>
    </row>
    <row r="97" spans="2:5">
      <c r="B97" t="s">
        <v>858</v>
      </c>
    </row>
    <row r="98" spans="2:5">
      <c r="B98" t="s">
        <v>859</v>
      </c>
      <c r="E98" t="s">
        <v>860</v>
      </c>
    </row>
    <row r="100" spans="2:5">
      <c r="B100" s="1" t="s">
        <v>1066</v>
      </c>
    </row>
    <row r="101" spans="2:5">
      <c r="B101" t="s">
        <v>1064</v>
      </c>
      <c r="E101" t="s">
        <v>1065</v>
      </c>
    </row>
    <row r="103" spans="2:5">
      <c r="B103" s="1" t="s">
        <v>1067</v>
      </c>
      <c r="E103" t="s">
        <v>1068</v>
      </c>
    </row>
    <row r="105" spans="2:5">
      <c r="B105" t="s">
        <v>1098</v>
      </c>
      <c r="E105" t="s">
        <v>1099</v>
      </c>
    </row>
    <row r="107" spans="2:5">
      <c r="B107" t="s">
        <v>1152</v>
      </c>
      <c r="C107" t="s">
        <v>1154</v>
      </c>
      <c r="E107" t="s">
        <v>1153</v>
      </c>
    </row>
    <row r="109" spans="2:5">
      <c r="B109" t="s">
        <v>1503</v>
      </c>
      <c r="C109" t="s">
        <v>1504</v>
      </c>
      <c r="D109" t="s">
        <v>372</v>
      </c>
    </row>
    <row r="112" spans="2:5" ht="37.200000000000003" customHeight="1"/>
  </sheetData>
  <hyperlinks>
    <hyperlink ref="E79" r:id="rId1"/>
    <hyperlink ref="E88" r:id="rId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CFF"/>
  </sheetPr>
  <dimension ref="A1:AZ109"/>
  <sheetViews>
    <sheetView tabSelected="1" zoomScale="70" zoomScaleNormal="70" workbookViewId="0">
      <selection activeCell="E32" sqref="E32"/>
    </sheetView>
  </sheetViews>
  <sheetFormatPr defaultColWidth="8.6640625" defaultRowHeight="14.4"/>
  <cols>
    <col min="1" max="1" width="53.44140625" style="1073" customWidth="1"/>
    <col min="2" max="2" width="11.6640625" style="1073" bestFit="1" customWidth="1"/>
    <col min="3" max="3" width="12" style="1073" customWidth="1"/>
    <col min="4" max="4" width="84" style="1073" customWidth="1"/>
    <col min="5" max="5" width="8.6640625" style="1073"/>
    <col min="6" max="6" width="42.88671875" style="1073" customWidth="1"/>
    <col min="7" max="16384" width="8.6640625" style="1073"/>
  </cols>
  <sheetData>
    <row r="1" spans="1:52" ht="24.6">
      <c r="A1" s="1067" t="str">
        <f>"Key Performance Indicators '"&amp;'Project-definition'!B9&amp;"' geothermal field"</f>
        <v>Key Performance Indicators 'Hotrock exploration' geothermal field</v>
      </c>
      <c r="B1" s="1068"/>
      <c r="C1" s="1069"/>
      <c r="D1" s="1070"/>
      <c r="E1" s="1071"/>
      <c r="F1" s="1072"/>
      <c r="G1" s="1072"/>
      <c r="H1" s="1072"/>
      <c r="I1" s="1072"/>
      <c r="J1" s="1072"/>
      <c r="K1" s="1072"/>
      <c r="L1" s="1072"/>
      <c r="M1" s="1072"/>
      <c r="N1" s="1072"/>
      <c r="O1" s="1072"/>
      <c r="P1" s="1072"/>
      <c r="Q1" s="1072"/>
      <c r="R1" s="1072"/>
      <c r="S1" s="1072"/>
      <c r="T1" s="1072"/>
      <c r="U1" s="1072"/>
      <c r="V1" s="1072"/>
      <c r="W1" s="1072"/>
      <c r="X1" s="1072"/>
      <c r="Y1" s="1072"/>
      <c r="Z1" s="1072"/>
      <c r="AA1" s="1072"/>
      <c r="AB1" s="1072"/>
      <c r="AC1" s="1072"/>
      <c r="AD1" s="1072"/>
      <c r="AE1" s="1072"/>
      <c r="AF1" s="1072"/>
      <c r="AG1" s="1072"/>
      <c r="AH1" s="1072"/>
      <c r="AI1" s="1072"/>
      <c r="AJ1" s="1072"/>
      <c r="AK1" s="1072"/>
      <c r="AL1" s="1072"/>
      <c r="AM1" s="1072"/>
      <c r="AN1" s="1072"/>
      <c r="AO1" s="1072"/>
      <c r="AP1" s="1072"/>
      <c r="AQ1" s="1072"/>
      <c r="AR1" s="1072"/>
      <c r="AS1" s="1072"/>
      <c r="AT1" s="1072"/>
      <c r="AU1" s="1072"/>
      <c r="AV1" s="1072"/>
      <c r="AW1" s="1072"/>
      <c r="AX1" s="1072"/>
      <c r="AY1" s="1072"/>
      <c r="AZ1" s="1072"/>
    </row>
    <row r="2" spans="1:52">
      <c r="A2" s="1074" t="str">
        <f ca="1">IF(Cashflow!$AA$16=4,"Discount rate = "&amp;Cashflow!$AA$16*100&amp;"%; Average flow = "&amp;TEXT(Cashflow!AH34, "0.00")&amp;" L/s; "&amp;Cashflow!$AG$5&amp;" wells/platform; Prod : Inj ratio = "&amp;TEXT(Cashflow!$Q$8,"0.00"),IF(Cashflow!$AA$16=3,"Discount rate = "&amp;Cashflow!$AA$16*100&amp;"%;  Average flow = "&amp;TEXT(Cashflow!AH34,"0")&amp;" L/s; "&amp;Cashflow!$AG$5&amp;" wells/platform; Prod : Inj ratio = "&amp;TEXT(Cashflow!$Q$8,"0.00"),IF(Cashflow!$AA$16=2,"@Discount rate = "&amp;Cashflow!$AA$16*100&amp;"%;  Average flow = "&amp;TEXT(Cashflow!AH34,"0.00")&amp;" L/s;","Discount rate = "&amp;Cashflow!$AA$16*100&amp;"%; Average flow = "&amp;TEXT(Cashflow!AH34,"0.00")&amp;" L/s; "&amp;Cashflow!$AG$5&amp;" wells/platform; Prod : Inj ratio = "&amp;TEXT(Cashflow!$Q$8,"0.00"))))</f>
        <v>Discount rate = 12%; Average flow = 404 L/s; 5 wells/platform; Prod : Inj ratio = 001</v>
      </c>
      <c r="B2" s="1075"/>
      <c r="C2" s="1076"/>
      <c r="D2" s="1077"/>
      <c r="E2" s="1071"/>
      <c r="F2" s="1072"/>
      <c r="G2" s="1072"/>
      <c r="H2" s="1072"/>
      <c r="I2" s="1072"/>
      <c r="J2" s="1072"/>
      <c r="K2" s="1072"/>
      <c r="L2" s="1072"/>
      <c r="M2" s="1072"/>
      <c r="N2" s="1072"/>
      <c r="O2" s="1072"/>
      <c r="P2" s="1072"/>
      <c r="Q2" s="1072"/>
      <c r="R2" s="1072"/>
      <c r="S2" s="1072"/>
      <c r="T2" s="1072"/>
      <c r="U2" s="1072"/>
      <c r="V2" s="1072"/>
      <c r="W2" s="1072"/>
      <c r="X2" s="1072"/>
      <c r="Y2" s="1072"/>
      <c r="Z2" s="1072"/>
      <c r="AA2" s="1072"/>
      <c r="AB2" s="1072"/>
      <c r="AC2" s="1072"/>
      <c r="AD2" s="1072"/>
      <c r="AE2" s="1072"/>
      <c r="AF2" s="1072"/>
      <c r="AG2" s="1072"/>
      <c r="AH2" s="1072"/>
      <c r="AI2" s="1072"/>
      <c r="AJ2" s="1072"/>
      <c r="AK2" s="1072"/>
      <c r="AL2" s="1072"/>
      <c r="AM2" s="1072"/>
      <c r="AN2" s="1072"/>
      <c r="AO2" s="1072"/>
      <c r="AP2" s="1072"/>
      <c r="AQ2" s="1072"/>
      <c r="AR2" s="1072"/>
      <c r="AS2" s="1072"/>
      <c r="AT2" s="1072"/>
      <c r="AU2" s="1072"/>
      <c r="AV2" s="1072"/>
      <c r="AW2" s="1072"/>
      <c r="AX2" s="1072"/>
      <c r="AY2" s="1072"/>
      <c r="AZ2" s="1072"/>
    </row>
    <row r="3" spans="1:52">
      <c r="A3" s="1074" t="str">
        <f>IF(Cashflow!$AA$7="Yes","Royalty = "&amp;Cashflow!$AA$6 &amp;"% &amp; tax-deductible; Tax = "&amp;Cashflow!$AA$8 * 100 &amp;"%; Depreciation period = "&amp;Cashflow!$AA$10&amp;" yrs","Royalty = "&amp;Cashflow!$AA$6 * 100 &amp;"% &amp; not tax-deductible; Tax = "&amp;Cashflow!$AA$8 * 100 &amp;"%; Depreciation period = "&amp;Cashflow!$AA$10&amp;" yrs")</f>
        <v>Royalty = 2.5% &amp; not tax-deductible; Tax = 25%; Depreciation period = 10 yrs</v>
      </c>
      <c r="B3" s="1075"/>
      <c r="C3" s="1076"/>
      <c r="D3" s="1077"/>
      <c r="E3" s="1071"/>
      <c r="F3" s="1072"/>
      <c r="G3" s="1072"/>
      <c r="H3" s="1072"/>
      <c r="I3" s="1072"/>
      <c r="J3" s="1072"/>
      <c r="K3" s="1072"/>
      <c r="L3" s="1072"/>
      <c r="M3" s="1072"/>
      <c r="N3" s="1072"/>
      <c r="O3" s="1072"/>
      <c r="P3" s="1072"/>
      <c r="Q3" s="1072"/>
      <c r="R3" s="1072"/>
      <c r="S3" s="1072"/>
      <c r="T3" s="1072"/>
      <c r="U3" s="1072"/>
      <c r="V3" s="1072"/>
      <c r="W3" s="1072"/>
      <c r="X3" s="1072"/>
      <c r="Y3" s="1072"/>
      <c r="Z3" s="1072"/>
      <c r="AA3" s="1072"/>
      <c r="AB3" s="1072"/>
      <c r="AC3" s="1072"/>
      <c r="AD3" s="1072"/>
      <c r="AE3" s="1072"/>
      <c r="AF3" s="1072"/>
      <c r="AG3" s="1072"/>
      <c r="AH3" s="1072"/>
      <c r="AI3" s="1072"/>
      <c r="AJ3" s="1072"/>
      <c r="AK3" s="1072"/>
      <c r="AL3" s="1072"/>
      <c r="AM3" s="1072"/>
      <c r="AN3" s="1072"/>
      <c r="AO3" s="1072"/>
      <c r="AP3" s="1072"/>
      <c r="AQ3" s="1072"/>
      <c r="AR3" s="1072"/>
      <c r="AS3" s="1072"/>
      <c r="AT3" s="1072"/>
      <c r="AU3" s="1072"/>
      <c r="AV3" s="1072"/>
      <c r="AW3" s="1072"/>
      <c r="AX3" s="1072"/>
      <c r="AY3" s="1072"/>
      <c r="AZ3" s="1072"/>
    </row>
    <row r="4" spans="1:52">
      <c r="A4" s="1078" t="s">
        <v>1662</v>
      </c>
      <c r="B4" s="1079" t="s">
        <v>233</v>
      </c>
      <c r="C4" s="1080" t="s">
        <v>64</v>
      </c>
      <c r="D4" s="1081" t="s">
        <v>1661</v>
      </c>
      <c r="E4" s="1071"/>
      <c r="F4" s="365" t="s">
        <v>84</v>
      </c>
      <c r="G4" s="356"/>
      <c r="H4" s="1072"/>
      <c r="I4" s="1072"/>
      <c r="J4" s="1072"/>
      <c r="K4" s="1072"/>
      <c r="L4" s="1072"/>
      <c r="M4" s="1072"/>
      <c r="N4" s="1072"/>
      <c r="O4" s="1072"/>
      <c r="P4" s="1072"/>
      <c r="Q4" s="1072"/>
      <c r="R4" s="1072"/>
      <c r="S4" s="1072"/>
      <c r="T4" s="1072"/>
      <c r="U4" s="1072"/>
      <c r="V4" s="1072"/>
      <c r="W4" s="1072"/>
      <c r="X4" s="1072"/>
      <c r="Y4" s="1072"/>
      <c r="Z4" s="1072"/>
      <c r="AA4" s="1072"/>
      <c r="AB4" s="1072"/>
      <c r="AC4" s="1072"/>
      <c r="AD4" s="1072"/>
      <c r="AE4" s="1072"/>
      <c r="AF4" s="1072"/>
      <c r="AG4" s="1072"/>
      <c r="AH4" s="1072"/>
      <c r="AI4" s="1072"/>
      <c r="AJ4" s="1072"/>
      <c r="AK4" s="1072"/>
      <c r="AL4" s="1072"/>
      <c r="AM4" s="1072"/>
      <c r="AN4" s="1072"/>
      <c r="AO4" s="1072"/>
      <c r="AP4" s="1072"/>
      <c r="AQ4" s="1072"/>
      <c r="AR4" s="1072"/>
      <c r="AS4" s="1072"/>
      <c r="AT4" s="1072"/>
      <c r="AU4" s="1072"/>
      <c r="AV4" s="1072"/>
      <c r="AW4" s="1072"/>
      <c r="AX4" s="1072"/>
      <c r="AY4" s="1072"/>
      <c r="AZ4" s="1072"/>
    </row>
    <row r="5" spans="1:52" ht="15" customHeight="1">
      <c r="A5" s="1133" t="s">
        <v>1691</v>
      </c>
      <c r="B5" s="1082">
        <f ca="1">Cashflow!AG65/1000</f>
        <v>15.851480392265289</v>
      </c>
      <c r="C5" s="1102" t="s">
        <v>1850</v>
      </c>
      <c r="D5" s="1170" t="str">
        <f ca="1">"This is equivalent to "&amp;TEXT(E5,"0.0")&amp;" PJ, or "&amp;TEXT(E5/1000,"0.000")&amp;" EJ"</f>
        <v>This is equivalent to 57 PJ, or 0.000 EJ</v>
      </c>
      <c r="E5" s="1171">
        <f ca="1">B5*3.6</f>
        <v>57.065329412155045</v>
      </c>
      <c r="F5" s="370" t="s">
        <v>87</v>
      </c>
      <c r="G5" s="485"/>
      <c r="H5" s="1072"/>
      <c r="I5" s="1072"/>
      <c r="J5" s="1072"/>
      <c r="K5" s="1072"/>
      <c r="L5" s="1072"/>
      <c r="M5" s="1072"/>
      <c r="N5" s="1072"/>
      <c r="O5" s="1072"/>
      <c r="P5" s="1072"/>
      <c r="Q5" s="1072"/>
      <c r="R5" s="1072"/>
      <c r="S5" s="1072"/>
      <c r="T5" s="1072"/>
      <c r="U5" s="1072"/>
      <c r="V5" s="1072"/>
      <c r="W5" s="1072"/>
      <c r="X5" s="1072"/>
      <c r="Y5" s="1072"/>
      <c r="Z5" s="1072"/>
      <c r="AA5" s="1072"/>
      <c r="AB5" s="1072"/>
      <c r="AC5" s="1072"/>
      <c r="AD5" s="1072"/>
      <c r="AE5" s="1072"/>
      <c r="AF5" s="1072"/>
      <c r="AG5" s="1072"/>
      <c r="AH5" s="1072"/>
      <c r="AI5" s="1072"/>
      <c r="AJ5" s="1072"/>
      <c r="AK5" s="1072"/>
      <c r="AL5" s="1072"/>
      <c r="AM5" s="1072"/>
      <c r="AN5" s="1072"/>
      <c r="AO5" s="1072"/>
      <c r="AP5" s="1072"/>
      <c r="AQ5" s="1072"/>
      <c r="AR5" s="1072"/>
      <c r="AS5" s="1072"/>
      <c r="AT5" s="1072"/>
      <c r="AU5" s="1072"/>
      <c r="AV5" s="1072"/>
      <c r="AW5" s="1072"/>
      <c r="AX5" s="1072"/>
      <c r="AY5" s="1072"/>
      <c r="AZ5" s="1072"/>
    </row>
    <row r="6" spans="1:52" ht="15" customHeight="1">
      <c r="A6" s="1134" t="str">
        <f>IF(Cashflow!$AA$16=1,"PV Electricity sales @PV"&amp;Cashflow!$AA$16 &amp;"%, ref " &amp;Cashflow!$V$5&amp;", $"&amp;Cashflow!$Y$4 &amp;"/bbl","PV Electricity sales @ PV "&amp; DCF!$C$3 * 100 &amp;"%, ref " &amp;Cashflow!$V$5)</f>
        <v>PV Electricity sales @ PV 12%, ref 2017</v>
      </c>
      <c r="B6" s="1082">
        <f ca="1">CumDCF!AG7</f>
        <v>309.2290048986747</v>
      </c>
      <c r="C6" s="1083" t="s">
        <v>279</v>
      </c>
      <c r="D6" s="1085"/>
      <c r="E6" s="1071"/>
      <c r="F6" s="370" t="s">
        <v>584</v>
      </c>
      <c r="G6" s="62"/>
      <c r="H6" s="1072"/>
      <c r="I6" s="1072"/>
      <c r="J6" s="1072"/>
      <c r="K6" s="1072"/>
      <c r="L6" s="1072"/>
      <c r="M6" s="1072"/>
      <c r="N6" s="1072"/>
      <c r="O6" s="1072"/>
      <c r="P6" s="1072"/>
      <c r="Q6" s="1072"/>
      <c r="R6" s="1072"/>
      <c r="S6" s="1072"/>
      <c r="T6" s="1072"/>
      <c r="U6" s="1072"/>
      <c r="V6" s="1072"/>
      <c r="W6" s="1072"/>
      <c r="X6" s="1072"/>
      <c r="Y6" s="1072"/>
      <c r="Z6" s="1072"/>
      <c r="AA6" s="1072"/>
      <c r="AB6" s="1072"/>
      <c r="AC6" s="1072"/>
      <c r="AD6" s="1072"/>
      <c r="AE6" s="1072"/>
      <c r="AF6" s="1072"/>
      <c r="AG6" s="1072"/>
      <c r="AH6" s="1072"/>
      <c r="AI6" s="1072"/>
      <c r="AJ6" s="1072"/>
      <c r="AK6" s="1072"/>
      <c r="AL6" s="1072"/>
      <c r="AM6" s="1072"/>
      <c r="AN6" s="1072"/>
      <c r="AO6" s="1072"/>
      <c r="AP6" s="1072"/>
      <c r="AQ6" s="1072"/>
      <c r="AR6" s="1072"/>
      <c r="AS6" s="1072"/>
      <c r="AT6" s="1072"/>
      <c r="AU6" s="1072"/>
      <c r="AV6" s="1072"/>
      <c r="AW6" s="1072"/>
      <c r="AX6" s="1072"/>
      <c r="AY6" s="1072"/>
      <c r="AZ6" s="1072"/>
    </row>
    <row r="7" spans="1:52" ht="15" customHeight="1">
      <c r="A7" s="1134" t="str">
        <f>IF('Project-definition'!AA17=0, "Cum. Government Take @ govt discount rate 0%", "Cum. Government Take @ govt discount rate "&amp;TEXT('Project-definition'!AA17, "#,##%"))</f>
        <v>Cum. Government Take @ govt discount rate 0%</v>
      </c>
      <c r="B7" s="1082">
        <f ca="1">-DCF!AH28</f>
        <v>382.81767359024383</v>
      </c>
      <c r="C7" s="1083" t="s">
        <v>279</v>
      </c>
      <c r="D7" s="1085" t="s">
        <v>1626</v>
      </c>
      <c r="E7" s="1071"/>
      <c r="F7" s="370" t="s">
        <v>582</v>
      </c>
      <c r="G7" s="512"/>
      <c r="H7" s="1072"/>
      <c r="I7" s="1072"/>
      <c r="J7" s="1072"/>
      <c r="K7" s="1072"/>
      <c r="L7" s="1072"/>
      <c r="M7" s="1072"/>
      <c r="N7" s="1072"/>
      <c r="O7" s="1072"/>
      <c r="P7" s="1072"/>
      <c r="Q7" s="1072"/>
      <c r="R7" s="1072"/>
      <c r="S7" s="1072"/>
      <c r="T7" s="1072"/>
      <c r="U7" s="1072"/>
      <c r="V7" s="1072"/>
      <c r="W7" s="1072"/>
      <c r="X7" s="1072"/>
      <c r="Y7" s="1072"/>
      <c r="Z7" s="1072"/>
      <c r="AA7" s="1072"/>
      <c r="AB7" s="1072"/>
      <c r="AC7" s="1072"/>
      <c r="AD7" s="1072"/>
      <c r="AE7" s="1072"/>
      <c r="AF7" s="1072"/>
      <c r="AG7" s="1072"/>
      <c r="AH7" s="1072"/>
      <c r="AI7" s="1072"/>
      <c r="AJ7" s="1072"/>
      <c r="AK7" s="1072"/>
      <c r="AL7" s="1072"/>
      <c r="AM7" s="1072"/>
      <c r="AN7" s="1072"/>
      <c r="AO7" s="1072"/>
      <c r="AP7" s="1072"/>
      <c r="AQ7" s="1072"/>
      <c r="AR7" s="1072"/>
      <c r="AS7" s="1072"/>
      <c r="AT7" s="1072"/>
      <c r="AU7" s="1072"/>
      <c r="AV7" s="1072"/>
      <c r="AW7" s="1072"/>
      <c r="AX7" s="1072"/>
      <c r="AY7" s="1072"/>
      <c r="AZ7" s="1072"/>
    </row>
    <row r="8" spans="1:52" ht="15" customHeight="1">
      <c r="A8" s="1134" t="str">
        <f>"Cum. Government Take @ company discount rate "&amp;TEXT('Project-definition'!AA16, "#,##%")</f>
        <v>Cum. Government Take @ company discount rate 12%</v>
      </c>
      <c r="B8" s="1086">
        <f ca="1">-CumDCF!$AG$20</f>
        <v>43.528355569859791</v>
      </c>
      <c r="C8" s="1083" t="s">
        <v>279</v>
      </c>
      <c r="D8" s="1085" t="s">
        <v>1627</v>
      </c>
      <c r="E8" s="1071"/>
      <c r="F8" s="1072"/>
      <c r="G8" s="1072"/>
      <c r="H8" s="1072"/>
      <c r="I8" s="1072"/>
      <c r="J8" s="1072"/>
      <c r="K8" s="1072"/>
      <c r="L8" s="1072"/>
      <c r="M8" s="1072"/>
      <c r="N8" s="1072"/>
      <c r="O8" s="1072"/>
      <c r="P8" s="1072"/>
      <c r="Q8" s="1072">
        <v>1</v>
      </c>
      <c r="R8" s="1072"/>
      <c r="S8" s="1072"/>
      <c r="T8" s="1072"/>
      <c r="U8" s="1072"/>
      <c r="V8" s="1072"/>
      <c r="W8" s="1072"/>
      <c r="X8" s="1072"/>
      <c r="Y8" s="1072"/>
      <c r="Z8" s="1072"/>
      <c r="AA8" s="1072"/>
      <c r="AB8" s="1072"/>
      <c r="AC8" s="1072"/>
      <c r="AD8" s="1072"/>
      <c r="AE8" s="1072"/>
      <c r="AF8" s="1072"/>
      <c r="AG8" s="1072"/>
      <c r="AH8" s="1072"/>
      <c r="AI8" s="1072"/>
      <c r="AJ8" s="1072"/>
      <c r="AK8" s="1072"/>
      <c r="AL8" s="1072"/>
      <c r="AM8" s="1072"/>
      <c r="AN8" s="1072"/>
      <c r="AO8" s="1072"/>
      <c r="AP8" s="1072"/>
      <c r="AQ8" s="1072"/>
      <c r="AR8" s="1072"/>
      <c r="AS8" s="1072"/>
      <c r="AT8" s="1072"/>
      <c r="AU8" s="1072"/>
      <c r="AV8" s="1072"/>
      <c r="AW8" s="1072"/>
      <c r="AX8" s="1072"/>
      <c r="AY8" s="1072"/>
      <c r="AZ8" s="1072"/>
    </row>
    <row r="9" spans="1:52" ht="15" customHeight="1">
      <c r="A9" s="1134" t="str">
        <f>"Post-tax NPV @ PV "&amp;'Project-definition'!AA16*100&amp;"%, ref. "&amp;'Project-definition'!AA18</f>
        <v>Post-tax NPV @ PV 12%, ref. 2017</v>
      </c>
      <c r="B9" s="1087">
        <f ca="1">CumDCF!$AG$28</f>
        <v>-55.421897793874066</v>
      </c>
      <c r="C9" s="1083" t="s">
        <v>279</v>
      </c>
      <c r="D9" s="1084" t="str">
        <f>IF(DCF!$C$5=Cashflow!$V$5,"","Ref year for discounting ≠ 1st year of evaluation")</f>
        <v/>
      </c>
      <c r="E9" s="1071"/>
      <c r="F9" s="1072"/>
      <c r="G9" s="1072"/>
      <c r="H9" s="1072"/>
      <c r="I9" s="1072"/>
      <c r="J9" s="1072"/>
      <c r="K9" s="1072"/>
      <c r="L9" s="1072"/>
      <c r="M9" s="1072"/>
      <c r="N9" s="1072"/>
      <c r="O9" s="1072"/>
      <c r="P9" s="1072"/>
      <c r="Q9" s="1072"/>
      <c r="R9" s="1072"/>
      <c r="S9" s="1072"/>
      <c r="T9" s="1072"/>
      <c r="U9" s="1072"/>
      <c r="V9" s="1072"/>
      <c r="W9" s="1072"/>
      <c r="X9" s="1072"/>
      <c r="Y9" s="1072"/>
      <c r="Z9" s="1072"/>
      <c r="AA9" s="1072"/>
      <c r="AB9" s="1072"/>
      <c r="AC9" s="1072"/>
      <c r="AD9" s="1072"/>
      <c r="AE9" s="1072"/>
      <c r="AF9" s="1072"/>
      <c r="AG9" s="1072"/>
      <c r="AH9" s="1072"/>
      <c r="AI9" s="1072"/>
      <c r="AJ9" s="1072"/>
      <c r="AK9" s="1072"/>
      <c r="AL9" s="1072"/>
      <c r="AM9" s="1072"/>
      <c r="AN9" s="1072"/>
      <c r="AO9" s="1072"/>
      <c r="AP9" s="1072"/>
      <c r="AQ9" s="1072"/>
      <c r="AR9" s="1072"/>
      <c r="AS9" s="1072"/>
      <c r="AT9" s="1072"/>
      <c r="AU9" s="1072"/>
      <c r="AV9" s="1072"/>
      <c r="AW9" s="1072"/>
      <c r="AX9" s="1072"/>
      <c r="AY9" s="1072"/>
      <c r="AZ9" s="1072"/>
    </row>
    <row r="10" spans="1:52" ht="15" customHeight="1">
      <c r="A10" s="1135" t="str">
        <f>"Pre-tax NPV @ PV "&amp;'Project-definition'!AA16*100&amp;"%, ref. "&amp;'Project-definition'!AA18</f>
        <v>Pre-tax NPV @ PV 12%, ref. 2017</v>
      </c>
      <c r="B10" s="1088">
        <f ca="1">B9+B8</f>
        <v>-11.893542224014276</v>
      </c>
      <c r="C10" s="1083" t="s">
        <v>279</v>
      </c>
      <c r="D10" s="1089" t="s">
        <v>1865</v>
      </c>
      <c r="E10" s="1071"/>
      <c r="F10" s="1072"/>
      <c r="G10" s="1072"/>
      <c r="H10" s="1072"/>
      <c r="I10" s="1072"/>
      <c r="J10" s="1072"/>
      <c r="K10" s="1072"/>
      <c r="L10" s="1072"/>
      <c r="M10" s="1072"/>
      <c r="N10" s="1072"/>
      <c r="O10" s="1072"/>
      <c r="P10" s="1072"/>
      <c r="Q10" s="1072"/>
      <c r="R10" s="1072"/>
      <c r="S10" s="1072"/>
      <c r="T10" s="1072"/>
      <c r="U10" s="1072"/>
      <c r="V10" s="1072"/>
      <c r="W10" s="1072"/>
      <c r="X10" s="1072"/>
      <c r="Y10" s="1072"/>
      <c r="Z10" s="1072"/>
      <c r="AA10" s="1072"/>
      <c r="AB10" s="1072"/>
      <c r="AC10" s="1072"/>
      <c r="AD10" s="1072"/>
      <c r="AE10" s="1072"/>
      <c r="AF10" s="1072"/>
      <c r="AG10" s="1072"/>
      <c r="AH10" s="1072"/>
      <c r="AI10" s="1072"/>
      <c r="AJ10" s="1072"/>
      <c r="AK10" s="1072"/>
      <c r="AL10" s="1072"/>
      <c r="AM10" s="1072"/>
      <c r="AN10" s="1072"/>
      <c r="AO10" s="1072"/>
      <c r="AP10" s="1072"/>
      <c r="AQ10" s="1072"/>
      <c r="AR10" s="1072"/>
      <c r="AS10" s="1072"/>
      <c r="AT10" s="1072"/>
      <c r="AU10" s="1072"/>
      <c r="AV10" s="1072"/>
      <c r="AW10" s="1072"/>
      <c r="AX10" s="1072"/>
      <c r="AY10" s="1072"/>
      <c r="AZ10" s="1072"/>
    </row>
    <row r="11" spans="1:52" ht="15" customHeight="1">
      <c r="A11" s="1135" t="s">
        <v>234</v>
      </c>
      <c r="B11" s="1090">
        <f ca="1">IF(B9&lt;0,-1,IRR(Cashflow!C96:AG96, 0.15))</f>
        <v>-1</v>
      </c>
      <c r="C11" s="1091"/>
      <c r="D11" s="1085" t="str">
        <f ca="1">IF(B9&lt;0,"If NPV&lt;0, the IRR is set to -100%",IF(B11&lt;Cashflow!AA16,"Wrong IRR calculation, check nr of sign changes in cumulative NCF time-series",""))</f>
        <v>If NPV&lt;0, the IRR is set to -100%</v>
      </c>
      <c r="E11" s="1071"/>
      <c r="F11" s="1072"/>
      <c r="G11" s="1072"/>
      <c r="H11" s="1072"/>
      <c r="I11" s="1072"/>
      <c r="J11" s="1072"/>
      <c r="K11" s="1072"/>
      <c r="L11" s="1072"/>
      <c r="M11" s="1072"/>
      <c r="N11" s="1072"/>
      <c r="O11" s="1072"/>
      <c r="P11" s="1072"/>
      <c r="Q11" s="1072"/>
      <c r="R11" s="1072"/>
      <c r="S11" s="1072"/>
      <c r="T11" s="1072"/>
      <c r="U11" s="1072"/>
      <c r="V11" s="1072"/>
      <c r="W11" s="1072"/>
      <c r="X11" s="1072"/>
      <c r="Y11" s="1072"/>
      <c r="Z11" s="1072"/>
      <c r="AA11" s="1072"/>
      <c r="AB11" s="1072"/>
      <c r="AC11" s="1072"/>
      <c r="AD11" s="1072"/>
      <c r="AE11" s="1072"/>
      <c r="AF11" s="1072"/>
      <c r="AG11" s="1072"/>
      <c r="AH11" s="1072"/>
      <c r="AI11" s="1072"/>
      <c r="AJ11" s="1072"/>
      <c r="AK11" s="1072"/>
      <c r="AL11" s="1072"/>
      <c r="AM11" s="1072"/>
      <c r="AN11" s="1072"/>
      <c r="AO11" s="1072"/>
      <c r="AP11" s="1072"/>
      <c r="AQ11" s="1072"/>
      <c r="AR11" s="1072"/>
      <c r="AS11" s="1072"/>
      <c r="AT11" s="1072"/>
      <c r="AU11" s="1072"/>
      <c r="AV11" s="1072"/>
      <c r="AW11" s="1072"/>
      <c r="AX11" s="1072"/>
      <c r="AY11" s="1072"/>
      <c r="AZ11" s="1072"/>
    </row>
    <row r="12" spans="1:52" ht="15" customHeight="1">
      <c r="A12" s="1135" t="s">
        <v>1663</v>
      </c>
      <c r="B12" s="1087">
        <f ca="1">MIN(CumCF!C27:AG27)</f>
        <v>-401.46750000000003</v>
      </c>
      <c r="C12" s="1083" t="s">
        <v>279</v>
      </c>
      <c r="D12" s="1092" t="str">
        <f ca="1">IF(B12&gt;=0,"NCF&gt;0 all years","Max. undiscounted exposure in year "&amp;HLOOKUP(B12,CumCF!C27:AG29,3,FALSE))</f>
        <v>Max. undiscounted exposure in year 2024</v>
      </c>
      <c r="E12" s="1071"/>
      <c r="F12" s="1072"/>
      <c r="G12" s="1072"/>
      <c r="H12" s="1072"/>
      <c r="I12" s="1072"/>
      <c r="J12" s="1072"/>
      <c r="K12" s="1072"/>
      <c r="L12" s="1072"/>
      <c r="M12" s="1072"/>
      <c r="N12" s="1072"/>
      <c r="O12" s="1072"/>
      <c r="P12" s="1072"/>
      <c r="Q12" s="1072"/>
      <c r="R12" s="1072"/>
      <c r="S12" s="1072"/>
      <c r="T12" s="1072"/>
      <c r="U12" s="1072"/>
      <c r="V12" s="1072"/>
      <c r="W12" s="1072"/>
      <c r="X12" s="1072"/>
      <c r="Y12" s="1072"/>
      <c r="Z12" s="1072"/>
      <c r="AA12" s="1072"/>
      <c r="AB12" s="1072"/>
      <c r="AC12" s="1072"/>
      <c r="AD12" s="1072"/>
      <c r="AE12" s="1072"/>
      <c r="AF12" s="1072"/>
      <c r="AG12" s="1072"/>
      <c r="AH12" s="1072"/>
      <c r="AI12" s="1072"/>
      <c r="AJ12" s="1072"/>
      <c r="AK12" s="1072"/>
      <c r="AL12" s="1072"/>
      <c r="AM12" s="1072"/>
      <c r="AN12" s="1072"/>
      <c r="AO12" s="1072"/>
      <c r="AP12" s="1072"/>
      <c r="AQ12" s="1072"/>
      <c r="AR12" s="1072"/>
      <c r="AS12" s="1072"/>
      <c r="AT12" s="1072"/>
      <c r="AU12" s="1072"/>
      <c r="AV12" s="1072"/>
      <c r="AW12" s="1072"/>
      <c r="AX12" s="1072"/>
      <c r="AY12" s="1072"/>
      <c r="AZ12" s="1072"/>
    </row>
    <row r="13" spans="1:52" ht="15" customHeight="1">
      <c r="A13" s="1135" t="s">
        <v>1664</v>
      </c>
      <c r="B13" s="1088">
        <f ca="1">MIN(CumDCF!C28:AG28)</f>
        <v>-246.48965895209412</v>
      </c>
      <c r="C13" s="1083" t="s">
        <v>279</v>
      </c>
      <c r="D13" s="1093" t="str">
        <f ca="1">IF(B13&gt;=0,"NCF&gt;0 all years","Max. discounted exposure in year "&amp;HLOOKUP(B13,CumDCF!C28:AG30,3,FALSE))</f>
        <v>Max. discounted exposure in year 2024</v>
      </c>
      <c r="E13" s="1071"/>
      <c r="F13" s="1072"/>
      <c r="G13" s="1072"/>
      <c r="H13" s="1072"/>
      <c r="I13" s="1072"/>
      <c r="J13" s="1072"/>
      <c r="K13" s="1072"/>
      <c r="L13" s="1072"/>
      <c r="M13" s="1072"/>
      <c r="N13" s="1072"/>
      <c r="O13" s="1072"/>
      <c r="P13" s="1072"/>
      <c r="Q13" s="1072"/>
      <c r="R13" s="1072"/>
      <c r="S13" s="1072"/>
      <c r="T13" s="1072"/>
      <c r="U13" s="1072"/>
      <c r="V13" s="1072"/>
      <c r="W13" s="1072"/>
      <c r="X13" s="1072"/>
      <c r="Y13" s="1072"/>
      <c r="Z13" s="1072"/>
      <c r="AA13" s="1072"/>
      <c r="AB13" s="1072"/>
      <c r="AC13" s="1072"/>
      <c r="AD13" s="1072"/>
      <c r="AE13" s="1072"/>
      <c r="AF13" s="1072"/>
      <c r="AG13" s="1072"/>
      <c r="AH13" s="1072"/>
      <c r="AI13" s="1072"/>
      <c r="AJ13" s="1072"/>
      <c r="AK13" s="1072"/>
      <c r="AL13" s="1072"/>
      <c r="AM13" s="1072"/>
      <c r="AN13" s="1072"/>
      <c r="AO13" s="1072"/>
      <c r="AP13" s="1072"/>
      <c r="AQ13" s="1072"/>
      <c r="AR13" s="1072"/>
      <c r="AS13" s="1072"/>
      <c r="AT13" s="1072"/>
      <c r="AU13" s="1072"/>
      <c r="AV13" s="1072"/>
      <c r="AW13" s="1072"/>
      <c r="AX13" s="1072"/>
      <c r="AY13" s="1072"/>
      <c r="AZ13" s="1072"/>
    </row>
    <row r="14" spans="1:52" ht="15" customHeight="1">
      <c r="A14" s="1135" t="s">
        <v>1665</v>
      </c>
      <c r="B14" s="1094">
        <f ca="1">-CumCF!AG27/CumCF!AG13</f>
        <v>1.6556832717998418</v>
      </c>
      <c r="C14" s="1083" t="s">
        <v>235</v>
      </c>
      <c r="D14" s="1103" t="s">
        <v>1896</v>
      </c>
      <c r="E14" s="1071"/>
      <c r="F14" s="1072"/>
      <c r="G14" s="1072"/>
      <c r="H14" s="1072"/>
      <c r="I14" s="1072"/>
      <c r="J14" s="1072"/>
      <c r="K14" s="1072"/>
      <c r="L14" s="1072"/>
      <c r="M14" s="1072"/>
      <c r="N14" s="1072"/>
      <c r="O14" s="1072"/>
      <c r="P14" s="1072"/>
      <c r="Q14" s="1072"/>
      <c r="R14" s="1072"/>
      <c r="S14" s="1072"/>
      <c r="T14" s="1072"/>
      <c r="U14" s="1072"/>
      <c r="V14" s="1072"/>
      <c r="W14" s="1072"/>
      <c r="X14" s="1072"/>
      <c r="Y14" s="1072"/>
      <c r="Z14" s="1072"/>
      <c r="AA14" s="1072"/>
      <c r="AB14" s="1072"/>
      <c r="AC14" s="1072"/>
      <c r="AD14" s="1072"/>
      <c r="AE14" s="1072"/>
      <c r="AF14" s="1072"/>
      <c r="AG14" s="1072"/>
      <c r="AH14" s="1072"/>
      <c r="AI14" s="1072"/>
      <c r="AJ14" s="1072"/>
      <c r="AK14" s="1072"/>
      <c r="AL14" s="1072"/>
      <c r="AM14" s="1072"/>
      <c r="AN14" s="1072"/>
      <c r="AO14" s="1072"/>
      <c r="AP14" s="1072"/>
      <c r="AQ14" s="1072"/>
      <c r="AR14" s="1072"/>
      <c r="AS14" s="1072"/>
      <c r="AT14" s="1072"/>
      <c r="AU14" s="1072"/>
      <c r="AV14" s="1072"/>
      <c r="AW14" s="1072"/>
      <c r="AX14" s="1072"/>
      <c r="AY14" s="1072"/>
      <c r="AZ14" s="1072"/>
    </row>
    <row r="15" spans="1:52" ht="15" customHeight="1">
      <c r="A15" s="1134" t="s">
        <v>1666</v>
      </c>
      <c r="B15" s="1096">
        <f ca="1">-CumDCF!AG28/CumDCF!AG13</f>
        <v>-0.1996206931529016</v>
      </c>
      <c r="C15" s="1083" t="s">
        <v>235</v>
      </c>
      <c r="D15" s="1103" t="s">
        <v>1897</v>
      </c>
      <c r="E15" s="1071"/>
      <c r="F15" s="1072"/>
      <c r="G15" s="1072"/>
      <c r="H15" s="1072"/>
      <c r="I15" s="1072"/>
      <c r="J15" s="1072"/>
      <c r="K15" s="1072"/>
      <c r="L15" s="1072"/>
      <c r="M15" s="1072"/>
      <c r="N15" s="1072"/>
      <c r="O15" s="1072"/>
      <c r="P15" s="1072"/>
      <c r="Q15" s="1072"/>
      <c r="R15" s="1072"/>
      <c r="S15" s="1072"/>
      <c r="T15" s="1072"/>
      <c r="U15" s="1072"/>
      <c r="V15" s="1072"/>
      <c r="W15" s="1072"/>
      <c r="X15" s="1072"/>
      <c r="Y15" s="1072"/>
      <c r="Z15" s="1072"/>
      <c r="AA15" s="1072"/>
      <c r="AB15" s="1072"/>
      <c r="AC15" s="1072"/>
      <c r="AD15" s="1072"/>
      <c r="AE15" s="1072"/>
      <c r="AF15" s="1072"/>
      <c r="AG15" s="1072"/>
      <c r="AH15" s="1072"/>
      <c r="AI15" s="1072"/>
      <c r="AJ15" s="1072"/>
      <c r="AK15" s="1072"/>
      <c r="AL15" s="1072"/>
      <c r="AM15" s="1072"/>
      <c r="AN15" s="1072"/>
      <c r="AO15" s="1072"/>
      <c r="AP15" s="1072"/>
      <c r="AQ15" s="1072"/>
      <c r="AR15" s="1072"/>
      <c r="AS15" s="1072"/>
      <c r="AT15" s="1072"/>
      <c r="AU15" s="1072"/>
      <c r="AV15" s="1072"/>
      <c r="AW15" s="1072"/>
      <c r="AX15" s="1072"/>
      <c r="AY15" s="1072"/>
      <c r="AZ15" s="1072"/>
    </row>
    <row r="16" spans="1:52" ht="15" customHeight="1">
      <c r="A16" s="1134" t="s">
        <v>1667</v>
      </c>
      <c r="B16" s="1087">
        <f ca="1">-CumDCF!AG13/Cashflow!AH60</f>
        <v>2.6264373140674278</v>
      </c>
      <c r="C16" s="1083" t="s">
        <v>1668</v>
      </c>
      <c r="D16" s="1093" t="s">
        <v>272</v>
      </c>
      <c r="E16" s="1071"/>
      <c r="F16" s="1072"/>
      <c r="G16" s="1072"/>
      <c r="H16" s="1072"/>
      <c r="I16" s="1072"/>
      <c r="J16" s="1072"/>
      <c r="K16" s="1072"/>
      <c r="L16" s="1072"/>
      <c r="M16" s="1072"/>
      <c r="N16" s="1072"/>
      <c r="O16" s="1072"/>
      <c r="P16" s="1072"/>
      <c r="Q16" s="1072"/>
      <c r="R16" s="1072"/>
      <c r="S16" s="1072"/>
      <c r="T16" s="1072"/>
      <c r="U16" s="1072"/>
      <c r="V16" s="1072"/>
      <c r="W16" s="1072"/>
      <c r="X16" s="1072"/>
      <c r="Y16" s="1072"/>
      <c r="Z16" s="1072"/>
      <c r="AA16" s="1072"/>
      <c r="AB16" s="1072"/>
      <c r="AC16" s="1072"/>
      <c r="AD16" s="1072"/>
      <c r="AE16" s="1072"/>
      <c r="AF16" s="1072"/>
      <c r="AG16" s="1072"/>
      <c r="AH16" s="1072"/>
      <c r="AI16" s="1072"/>
      <c r="AJ16" s="1072"/>
      <c r="AK16" s="1072"/>
      <c r="AL16" s="1072"/>
      <c r="AM16" s="1072"/>
      <c r="AN16" s="1072"/>
      <c r="AO16" s="1072"/>
      <c r="AP16" s="1072"/>
      <c r="AQ16" s="1072"/>
      <c r="AR16" s="1072"/>
      <c r="AS16" s="1072"/>
      <c r="AT16" s="1072"/>
      <c r="AU16" s="1072"/>
      <c r="AV16" s="1072"/>
      <c r="AW16" s="1072"/>
      <c r="AX16" s="1072"/>
      <c r="AY16" s="1072"/>
      <c r="AZ16" s="1072"/>
    </row>
    <row r="17" spans="1:52" ht="15" customHeight="1">
      <c r="A17" s="1134" t="s">
        <v>1669</v>
      </c>
      <c r="B17" s="1097">
        <f ca="1">-(CumCF!AG13+CumCF!AG14)/Cashflow!AG64*10^6</f>
        <v>50.05761346695796</v>
      </c>
      <c r="C17" s="1083" t="s">
        <v>1670</v>
      </c>
      <c r="D17" s="1093"/>
      <c r="E17" s="1071"/>
      <c r="F17" s="1072"/>
      <c r="G17" s="1072"/>
      <c r="H17" s="1072"/>
      <c r="I17" s="1072"/>
      <c r="J17" s="1072"/>
      <c r="K17" s="1072"/>
      <c r="L17" s="1072"/>
      <c r="M17" s="1072"/>
      <c r="N17" s="1072"/>
      <c r="O17" s="1072"/>
      <c r="P17" s="1072"/>
      <c r="Q17" s="1072"/>
      <c r="R17" s="1072"/>
      <c r="S17" s="1072"/>
      <c r="T17" s="1072"/>
      <c r="U17" s="1072"/>
      <c r="V17" s="1072"/>
      <c r="W17" s="1072"/>
      <c r="X17" s="1072"/>
      <c r="Y17" s="1072"/>
      <c r="Z17" s="1072"/>
      <c r="AA17" s="1072"/>
      <c r="AB17" s="1072"/>
      <c r="AC17" s="1072"/>
      <c r="AD17" s="1072"/>
      <c r="AE17" s="1072"/>
      <c r="AF17" s="1072"/>
      <c r="AG17" s="1072"/>
      <c r="AH17" s="1072"/>
      <c r="AI17" s="1072"/>
      <c r="AJ17" s="1072"/>
      <c r="AK17" s="1072"/>
      <c r="AL17" s="1072"/>
      <c r="AM17" s="1072"/>
      <c r="AN17" s="1072"/>
      <c r="AO17" s="1072"/>
      <c r="AP17" s="1072"/>
      <c r="AQ17" s="1072"/>
      <c r="AR17" s="1072"/>
      <c r="AS17" s="1072"/>
      <c r="AT17" s="1072"/>
      <c r="AU17" s="1072"/>
      <c r="AV17" s="1072"/>
      <c r="AW17" s="1072"/>
      <c r="AX17" s="1072"/>
      <c r="AY17" s="1072"/>
      <c r="AZ17" s="1072"/>
    </row>
    <row r="18" spans="1:52" ht="15" customHeight="1">
      <c r="A18" s="1134" t="s">
        <v>1671</v>
      </c>
      <c r="B18" s="1096">
        <f ca="1">-(CumDCF!AG13+CumDCF!AG14)/Cashflow!AG64*10^6</f>
        <v>20.577306271689601</v>
      </c>
      <c r="C18" s="1083" t="s">
        <v>1670</v>
      </c>
      <c r="D18" s="1093" t="s">
        <v>273</v>
      </c>
      <c r="E18" s="1098"/>
      <c r="F18" s="1072"/>
      <c r="G18" s="1072"/>
      <c r="H18" s="1072"/>
      <c r="I18" s="1072"/>
      <c r="J18" s="1072"/>
      <c r="K18" s="1072"/>
      <c r="L18" s="1072"/>
      <c r="M18" s="1072"/>
      <c r="N18" s="1072"/>
      <c r="O18" s="1072"/>
      <c r="P18" s="1072"/>
      <c r="Q18" s="1072"/>
      <c r="R18" s="1072"/>
      <c r="S18" s="1072"/>
      <c r="T18" s="1072"/>
      <c r="U18" s="1072"/>
      <c r="V18" s="1072"/>
      <c r="W18" s="1072"/>
      <c r="X18" s="1072"/>
      <c r="Y18" s="1072"/>
      <c r="Z18" s="1072"/>
      <c r="AA18" s="1072"/>
      <c r="AB18" s="1072"/>
      <c r="AC18" s="1072"/>
      <c r="AD18" s="1072"/>
      <c r="AE18" s="1072"/>
      <c r="AF18" s="1072"/>
      <c r="AG18" s="1072"/>
      <c r="AH18" s="1072"/>
      <c r="AI18" s="1072"/>
      <c r="AJ18" s="1072"/>
      <c r="AK18" s="1072"/>
      <c r="AL18" s="1072"/>
      <c r="AM18" s="1072"/>
      <c r="AN18" s="1072"/>
      <c r="AO18" s="1072"/>
      <c r="AP18" s="1072"/>
      <c r="AQ18" s="1072"/>
      <c r="AR18" s="1072"/>
      <c r="AS18" s="1072"/>
      <c r="AT18" s="1072"/>
      <c r="AU18" s="1072"/>
      <c r="AV18" s="1072"/>
      <c r="AW18" s="1072"/>
      <c r="AX18" s="1072"/>
      <c r="AY18" s="1072"/>
      <c r="AZ18" s="1072"/>
    </row>
    <row r="19" spans="1:52" ht="15" customHeight="1">
      <c r="A19" s="1134" t="s">
        <v>1672</v>
      </c>
      <c r="B19" s="1094">
        <f ca="1">-(CumDCF!AG13+CumDCF!AG14)/CumDCF!AG6*10^6</f>
        <v>134.8400202234929</v>
      </c>
      <c r="C19" s="1083" t="s">
        <v>1670</v>
      </c>
      <c r="D19" s="1093" t="s">
        <v>274</v>
      </c>
      <c r="E19" s="1071"/>
      <c r="F19" s="1072"/>
      <c r="G19" s="1072"/>
      <c r="H19" s="1072"/>
      <c r="I19" s="1072"/>
      <c r="J19" s="1072"/>
      <c r="K19" s="1072"/>
      <c r="L19" s="1072"/>
      <c r="M19" s="1072"/>
      <c r="N19" s="1072"/>
      <c r="O19" s="1072"/>
      <c r="P19" s="1072"/>
      <c r="Q19" s="1072"/>
      <c r="R19" s="1072"/>
      <c r="S19" s="1072"/>
      <c r="T19" s="1072"/>
      <c r="U19" s="1072"/>
      <c r="V19" s="1072"/>
      <c r="W19" s="1072"/>
      <c r="X19" s="1072"/>
      <c r="Y19" s="1072"/>
      <c r="Z19" s="1072"/>
      <c r="AA19" s="1072"/>
      <c r="AB19" s="1072"/>
      <c r="AC19" s="1072"/>
      <c r="AD19" s="1072"/>
      <c r="AE19" s="1072"/>
      <c r="AF19" s="1072"/>
      <c r="AG19" s="1072"/>
      <c r="AH19" s="1072"/>
      <c r="AI19" s="1072"/>
      <c r="AJ19" s="1072"/>
      <c r="AK19" s="1072"/>
      <c r="AL19" s="1072"/>
      <c r="AM19" s="1072"/>
      <c r="AN19" s="1072"/>
      <c r="AO19" s="1072"/>
      <c r="AP19" s="1072"/>
      <c r="AQ19" s="1072"/>
      <c r="AR19" s="1072"/>
      <c r="AS19" s="1072"/>
      <c r="AT19" s="1072"/>
      <c r="AU19" s="1072"/>
      <c r="AV19" s="1072"/>
      <c r="AW19" s="1072"/>
      <c r="AX19" s="1072"/>
      <c r="AY19" s="1072"/>
      <c r="AZ19" s="1072"/>
    </row>
    <row r="20" spans="1:52" ht="15" customHeight="1">
      <c r="A20" s="1134" t="s">
        <v>1673</v>
      </c>
      <c r="B20" s="1117">
        <v>19.34</v>
      </c>
      <c r="C20" s="1083" t="s">
        <v>1670</v>
      </c>
      <c r="D20" s="1089" t="s">
        <v>1906</v>
      </c>
      <c r="E20" s="1071"/>
      <c r="F20" s="1072"/>
      <c r="G20" s="1072"/>
      <c r="H20" s="1072"/>
      <c r="I20" s="1072"/>
      <c r="J20" s="1072"/>
      <c r="K20" s="1072"/>
      <c r="L20" s="1072"/>
      <c r="M20" s="1072"/>
      <c r="N20" s="1072"/>
      <c r="O20" s="1072"/>
      <c r="P20" s="1072"/>
      <c r="Q20" s="1072"/>
      <c r="R20" s="1072"/>
      <c r="S20" s="1072"/>
      <c r="T20" s="1072"/>
      <c r="U20" s="1072"/>
      <c r="V20" s="1072"/>
      <c r="W20" s="1072"/>
      <c r="X20" s="1072"/>
      <c r="Y20" s="1072"/>
      <c r="Z20" s="1072"/>
      <c r="AA20" s="1072"/>
      <c r="AB20" s="1072"/>
      <c r="AC20" s="1072"/>
      <c r="AD20" s="1072"/>
      <c r="AE20" s="1072"/>
      <c r="AF20" s="1072"/>
      <c r="AG20" s="1072"/>
      <c r="AH20" s="1072"/>
      <c r="AI20" s="1072"/>
      <c r="AJ20" s="1072"/>
      <c r="AK20" s="1072"/>
      <c r="AL20" s="1072"/>
      <c r="AM20" s="1072"/>
      <c r="AN20" s="1072"/>
      <c r="AO20" s="1072"/>
      <c r="AP20" s="1072"/>
      <c r="AQ20" s="1072"/>
      <c r="AR20" s="1072"/>
      <c r="AS20" s="1072"/>
      <c r="AT20" s="1072"/>
      <c r="AU20" s="1072"/>
      <c r="AV20" s="1072"/>
      <c r="AW20" s="1072"/>
      <c r="AX20" s="1072"/>
      <c r="AY20" s="1072"/>
      <c r="AZ20" s="1072"/>
    </row>
    <row r="21" spans="1:52" ht="15" customHeight="1">
      <c r="A21" s="1134" t="s">
        <v>1674</v>
      </c>
      <c r="B21" s="1099">
        <f ca="1">IF(CumCF!C31=1,,CumCF!C31-Cashflow!$V$5)</f>
        <v>15</v>
      </c>
      <c r="C21" s="1083" t="s">
        <v>8</v>
      </c>
      <c r="D21" s="1084" t="str">
        <f ca="1">IF(B21&gt;30,"Cum. undisc. NCF&lt;0 over full evaluation period","")</f>
        <v/>
      </c>
      <c r="E21" s="1071"/>
      <c r="F21" s="1072"/>
      <c r="G21" s="1072"/>
      <c r="H21" s="1072"/>
      <c r="I21" s="1072"/>
      <c r="J21" s="1072"/>
      <c r="K21" s="1072"/>
      <c r="L21" s="1072"/>
      <c r="M21" s="1072"/>
      <c r="N21" s="1072"/>
      <c r="O21" s="1072"/>
      <c r="P21" s="1072"/>
      <c r="Q21" s="1072"/>
      <c r="R21" s="1072"/>
      <c r="S21" s="1072"/>
      <c r="T21" s="1072"/>
      <c r="U21" s="1072"/>
      <c r="V21" s="1072"/>
      <c r="W21" s="1072"/>
      <c r="X21" s="1072"/>
      <c r="Y21" s="1072"/>
      <c r="Z21" s="1072"/>
      <c r="AA21" s="1072"/>
      <c r="AB21" s="1072"/>
      <c r="AC21" s="1072"/>
      <c r="AD21" s="1072"/>
      <c r="AE21" s="1072"/>
      <c r="AF21" s="1072"/>
      <c r="AG21" s="1072"/>
      <c r="AH21" s="1072"/>
      <c r="AI21" s="1072"/>
      <c r="AJ21" s="1072"/>
      <c r="AK21" s="1072"/>
      <c r="AL21" s="1072"/>
      <c r="AM21" s="1072"/>
      <c r="AN21" s="1072"/>
      <c r="AO21" s="1072"/>
      <c r="AP21" s="1072"/>
      <c r="AQ21" s="1072"/>
      <c r="AR21" s="1072"/>
      <c r="AS21" s="1072"/>
      <c r="AT21" s="1072"/>
      <c r="AU21" s="1072"/>
      <c r="AV21" s="1072"/>
      <c r="AW21" s="1072"/>
      <c r="AX21" s="1072"/>
      <c r="AY21" s="1072"/>
      <c r="AZ21" s="1072"/>
    </row>
    <row r="22" spans="1:52" ht="15" customHeight="1">
      <c r="A22" s="1134" t="s">
        <v>1675</v>
      </c>
      <c r="B22" s="1100">
        <f ca="1">IF(CumDCF!C32=1,"&gt;"&amp;ROUND(Cashflow!V5+30-Cashflow!V6,1),CumDCF!C32-Cashflow!$V$5)</f>
        <v>31</v>
      </c>
      <c r="C22" s="1083" t="s">
        <v>8</v>
      </c>
      <c r="D22" s="1084" t="str">
        <f ca="1">IF(B22&gt;30,"Cum. disc. NCF&lt;0 over full evaluation period","")</f>
        <v>Cum. disc. NCF&lt;0 over full evaluation period</v>
      </c>
      <c r="E22" s="1071"/>
      <c r="F22" s="1072"/>
      <c r="G22" s="1072"/>
      <c r="H22" s="1072"/>
      <c r="I22" s="1072"/>
      <c r="J22" s="1072"/>
      <c r="K22" s="1072"/>
      <c r="L22" s="1072"/>
      <c r="M22" s="1072"/>
      <c r="N22" s="1072"/>
      <c r="O22" s="1072"/>
      <c r="P22" s="1072"/>
      <c r="Q22" s="1072"/>
      <c r="R22" s="1072"/>
      <c r="S22" s="1072"/>
      <c r="T22" s="1072"/>
      <c r="U22" s="1072"/>
      <c r="V22" s="1072"/>
      <c r="W22" s="1072"/>
      <c r="X22" s="1072"/>
      <c r="Y22" s="1072"/>
      <c r="Z22" s="1072"/>
      <c r="AA22" s="1072"/>
      <c r="AB22" s="1072"/>
      <c r="AC22" s="1072"/>
      <c r="AD22" s="1072"/>
      <c r="AE22" s="1072"/>
      <c r="AF22" s="1072"/>
      <c r="AG22" s="1072"/>
      <c r="AH22" s="1072"/>
      <c r="AI22" s="1072"/>
      <c r="AJ22" s="1072"/>
      <c r="AK22" s="1072"/>
      <c r="AL22" s="1072"/>
      <c r="AM22" s="1072"/>
      <c r="AN22" s="1072"/>
      <c r="AO22" s="1072"/>
      <c r="AP22" s="1072"/>
      <c r="AQ22" s="1072"/>
      <c r="AR22" s="1072"/>
      <c r="AS22" s="1072"/>
      <c r="AT22" s="1072"/>
      <c r="AU22" s="1072"/>
      <c r="AV22" s="1072"/>
      <c r="AW22" s="1072"/>
      <c r="AX22" s="1072"/>
      <c r="AY22" s="1072"/>
      <c r="AZ22" s="1072"/>
    </row>
    <row r="23" spans="1:52" ht="15" customHeight="1">
      <c r="A23" s="1133" t="s">
        <v>1690</v>
      </c>
      <c r="B23" s="1101">
        <f ca="1">'Project-definition'!AA20*KPI!B5</f>
        <v>1030.3462254972437</v>
      </c>
      <c r="C23" s="1102" t="s">
        <v>1689</v>
      </c>
      <c r="D23" s="1103" t="str">
        <f>"Based on user-input for average gridmix of "&amp;'Project-definition'!AA20&amp;" Mt CO2/TWh"</f>
        <v>Based on user-input for average gridmix of 65 Mt CO2/TWh</v>
      </c>
      <c r="E23" s="1071"/>
      <c r="F23" s="1072"/>
      <c r="G23" s="1072"/>
      <c r="H23" s="1072"/>
      <c r="I23" s="1072"/>
      <c r="J23" s="1072"/>
      <c r="K23" s="1072"/>
      <c r="L23" s="1072"/>
      <c r="M23" s="1072"/>
      <c r="N23" s="1072"/>
      <c r="O23" s="1072"/>
      <c r="P23" s="1072"/>
      <c r="Q23" s="1072"/>
      <c r="R23" s="1072"/>
      <c r="S23" s="1072"/>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c r="AT23" s="1072"/>
      <c r="AU23" s="1072"/>
      <c r="AV23" s="1072"/>
      <c r="AW23" s="1072"/>
      <c r="AX23" s="1072"/>
      <c r="AY23" s="1072"/>
      <c r="AZ23" s="1072"/>
    </row>
    <row r="24" spans="1:52" ht="15" customHeight="1">
      <c r="A24" s="1134" t="s">
        <v>1676</v>
      </c>
      <c r="B24" s="1099">
        <f ca="1">Cashflow!AH136+Cashflow!AH142+Cashflow!AH148</f>
        <v>15</v>
      </c>
      <c r="C24" s="1083" t="s">
        <v>130</v>
      </c>
      <c r="D24" s="1095" t="str">
        <f ca="1">"@ avg. gross liquid rate per prod well = "&amp;ROUND(Cashflow!AH36,0)&amp;" L/s"</f>
        <v>@ avg. gross liquid rate per prod well = 47 L/s</v>
      </c>
      <c r="E24" s="1071"/>
      <c r="F24" s="1072"/>
      <c r="G24" s="1072"/>
      <c r="H24" s="1072"/>
      <c r="I24" s="1072"/>
      <c r="J24" s="1072"/>
      <c r="K24" s="1072"/>
      <c r="L24" s="1072"/>
      <c r="M24" s="1072"/>
      <c r="N24" s="1072"/>
      <c r="O24" s="1072"/>
      <c r="P24" s="1072"/>
      <c r="Q24" s="1072"/>
      <c r="R24" s="1072"/>
      <c r="S24" s="1072"/>
      <c r="T24" s="1072"/>
      <c r="U24" s="1072"/>
      <c r="V24" s="1072"/>
      <c r="W24" s="1072"/>
      <c r="X24" s="1072"/>
      <c r="Y24" s="1072"/>
      <c r="Z24" s="1072"/>
      <c r="AA24" s="1072"/>
      <c r="AB24" s="1072"/>
      <c r="AC24" s="1072"/>
      <c r="AD24" s="1072"/>
      <c r="AE24" s="1072"/>
      <c r="AF24" s="1072"/>
      <c r="AG24" s="1072"/>
      <c r="AH24" s="1072"/>
      <c r="AI24" s="1072"/>
      <c r="AJ24" s="1072"/>
      <c r="AK24" s="1072"/>
      <c r="AL24" s="1072"/>
      <c r="AM24" s="1072"/>
      <c r="AN24" s="1072"/>
      <c r="AO24" s="1072"/>
      <c r="AP24" s="1072"/>
      <c r="AQ24" s="1072"/>
      <c r="AR24" s="1072"/>
      <c r="AS24" s="1072"/>
      <c r="AT24" s="1072"/>
      <c r="AU24" s="1072"/>
      <c r="AV24" s="1072"/>
      <c r="AW24" s="1072"/>
      <c r="AX24" s="1072"/>
      <c r="AY24" s="1072"/>
      <c r="AZ24" s="1072"/>
    </row>
    <row r="25" spans="1:52" ht="15" customHeight="1">
      <c r="A25" s="1134" t="s">
        <v>1677</v>
      </c>
      <c r="B25" s="1104">
        <f ca="1">Cashflow!AH136+Cashflow!AH142+Cashflow!AH148+Cashflow!AH156</f>
        <v>22</v>
      </c>
      <c r="C25" s="1083" t="s">
        <v>130</v>
      </c>
      <c r="D25" s="1095" t="str">
        <f>IF('Project-definition'!Q7="Yes","Note: successful expl and appr wells ARE re-used as injectors","Note: successful expl and appr wells are NOT re-used as injectors")</f>
        <v>Note: successful expl and appr wells ARE re-used as injectors</v>
      </c>
      <c r="E25" s="1071"/>
      <c r="F25" s="1072"/>
      <c r="G25" s="1072"/>
      <c r="H25" s="1072"/>
      <c r="I25" s="1072"/>
      <c r="J25" s="1072"/>
      <c r="K25" s="1072"/>
      <c r="L25" s="1072"/>
      <c r="M25" s="1072"/>
      <c r="N25" s="1072"/>
      <c r="O25" s="1072"/>
      <c r="P25" s="1072"/>
      <c r="Q25" s="1072"/>
      <c r="R25" s="1072"/>
      <c r="S25" s="1072"/>
      <c r="T25" s="1072"/>
      <c r="U25" s="1072"/>
      <c r="V25" s="1072"/>
      <c r="W25" s="1072"/>
      <c r="X25" s="1072"/>
      <c r="Y25" s="1072"/>
      <c r="Z25" s="1072"/>
      <c r="AA25" s="1072"/>
      <c r="AB25" s="1072"/>
      <c r="AC25" s="1072"/>
      <c r="AD25" s="1072"/>
      <c r="AE25" s="1072"/>
      <c r="AF25" s="1072"/>
      <c r="AG25" s="1072"/>
      <c r="AH25" s="1072"/>
      <c r="AI25" s="1072"/>
      <c r="AJ25" s="1072"/>
      <c r="AK25" s="1072"/>
      <c r="AL25" s="1072"/>
      <c r="AM25" s="1072"/>
      <c r="AN25" s="1072"/>
      <c r="AO25" s="1072"/>
      <c r="AP25" s="1072"/>
      <c r="AQ25" s="1072"/>
      <c r="AR25" s="1072"/>
      <c r="AS25" s="1072"/>
      <c r="AT25" s="1072"/>
      <c r="AU25" s="1072"/>
      <c r="AV25" s="1072"/>
      <c r="AW25" s="1072"/>
      <c r="AX25" s="1072"/>
      <c r="AY25" s="1072"/>
      <c r="AZ25" s="1072"/>
    </row>
    <row r="26" spans="1:52" ht="15" customHeight="1">
      <c r="A26" s="1133" t="s">
        <v>1697</v>
      </c>
      <c r="B26" s="1099">
        <f ca="1">B27+B25-B24</f>
        <v>18</v>
      </c>
      <c r="C26" s="1083" t="s">
        <v>130</v>
      </c>
      <c r="D26" s="1103" t="str">
        <f ca="1">Cashflow!AH154&amp;" successful production wells; "&amp;Cashflow!AH155&amp;" injection wells ("&amp;(Cashflow!AH155-Cashflow!AH156)&amp;" re-used completed expl and appr wells)"</f>
        <v>9 successful production wells; 9 injection wells (2 re-used completed expl and appr wells)</v>
      </c>
      <c r="E26" s="1071"/>
      <c r="F26" s="1072"/>
      <c r="G26" s="1072"/>
      <c r="H26" s="1072"/>
      <c r="I26" s="1072"/>
      <c r="J26" s="1072"/>
      <c r="K26" s="1072"/>
      <c r="L26" s="1072"/>
      <c r="M26" s="1072"/>
      <c r="N26" s="1072"/>
      <c r="O26" s="1072"/>
      <c r="P26" s="1072"/>
      <c r="Q26" s="1072"/>
      <c r="R26" s="1072"/>
      <c r="S26" s="1072"/>
      <c r="T26" s="1072"/>
      <c r="U26" s="1072"/>
      <c r="V26" s="1072"/>
      <c r="W26" s="1072"/>
      <c r="X26" s="1072"/>
      <c r="Y26" s="1072"/>
      <c r="Z26" s="1072"/>
      <c r="AA26" s="1072"/>
      <c r="AB26" s="1072"/>
      <c r="AC26" s="1072"/>
      <c r="AD26" s="1072"/>
      <c r="AE26" s="1072"/>
      <c r="AF26" s="1072"/>
      <c r="AG26" s="1072"/>
      <c r="AH26" s="1072"/>
      <c r="AI26" s="1072"/>
      <c r="AJ26" s="1072"/>
      <c r="AK26" s="1072"/>
      <c r="AL26" s="1072"/>
      <c r="AM26" s="1072"/>
      <c r="AN26" s="1072"/>
      <c r="AO26" s="1072"/>
      <c r="AP26" s="1072"/>
      <c r="AQ26" s="1072"/>
      <c r="AR26" s="1072"/>
      <c r="AS26" s="1072"/>
      <c r="AT26" s="1072"/>
      <c r="AU26" s="1072"/>
      <c r="AV26" s="1072"/>
      <c r="AW26" s="1072"/>
      <c r="AX26" s="1072"/>
      <c r="AY26" s="1072"/>
      <c r="AZ26" s="1072"/>
    </row>
    <row r="27" spans="1:52" ht="15" customHeight="1">
      <c r="A27" s="1134" t="s">
        <v>1678</v>
      </c>
      <c r="B27" s="1099">
        <f ca="1">Cashflow!AH138+Cashflow!AH144+Cashflow!AH150</f>
        <v>11</v>
      </c>
      <c r="C27" s="1083" t="s">
        <v>130</v>
      </c>
      <c r="D27" s="1095" t="str">
        <f ca="1">Cashflow!AH138&amp;" successful expl wells; "&amp;Cashflow!AH144&amp;" successful appr wells; "&amp;Cashflow!AH150&amp;" successful devt wells"</f>
        <v>1 successful expl wells; 1 successful appr wells; 9 successful devt wells</v>
      </c>
      <c r="E27" s="1071"/>
      <c r="F27" s="1072"/>
      <c r="G27" s="1072"/>
      <c r="H27" s="1072"/>
      <c r="I27" s="1072"/>
      <c r="J27" s="1072"/>
      <c r="K27" s="1072"/>
      <c r="L27" s="1072"/>
      <c r="M27" s="1072"/>
      <c r="N27" s="1072"/>
      <c r="O27" s="1072"/>
      <c r="P27" s="1072"/>
      <c r="Q27" s="1072"/>
      <c r="R27" s="1072"/>
      <c r="S27" s="1072"/>
      <c r="T27" s="1072"/>
      <c r="U27" s="1072"/>
      <c r="V27" s="1072"/>
      <c r="W27" s="1072"/>
      <c r="X27" s="1072"/>
      <c r="Y27" s="1072"/>
      <c r="Z27" s="1072"/>
      <c r="AA27" s="1072"/>
      <c r="AB27" s="1072"/>
      <c r="AC27" s="1072"/>
      <c r="AD27" s="1072"/>
      <c r="AE27" s="1072"/>
      <c r="AF27" s="1072"/>
      <c r="AG27" s="1072"/>
      <c r="AH27" s="1072"/>
      <c r="AI27" s="1072"/>
      <c r="AJ27" s="1072"/>
      <c r="AK27" s="1072"/>
      <c r="AL27" s="1072"/>
      <c r="AM27" s="1072"/>
      <c r="AN27" s="1072"/>
      <c r="AO27" s="1072"/>
      <c r="AP27" s="1072"/>
      <c r="AQ27" s="1072"/>
      <c r="AR27" s="1072"/>
      <c r="AS27" s="1072"/>
      <c r="AT27" s="1072"/>
      <c r="AU27" s="1072"/>
      <c r="AV27" s="1072"/>
      <c r="AW27" s="1072"/>
      <c r="AX27" s="1072"/>
      <c r="AY27" s="1072"/>
      <c r="AZ27" s="1072"/>
    </row>
    <row r="28" spans="1:52" ht="15" customHeight="1">
      <c r="A28" s="1134" t="s">
        <v>1660</v>
      </c>
      <c r="B28" s="1099">
        <f ca="1">B24-B27</f>
        <v>4</v>
      </c>
      <c r="C28" s="1083" t="s">
        <v>130</v>
      </c>
      <c r="D28" s="1095" t="str">
        <f ca="1">Cashflow!AH140&amp;" failed expl wells; "&amp;Cashflow!AH146&amp;" failed appr wells; "&amp;Cashflow!AH152&amp;" failed devt wells"</f>
        <v>1 failed expl wells; 1 failed appr wells; 2 failed devt wells</v>
      </c>
      <c r="E28" s="1071"/>
      <c r="F28" s="1072"/>
      <c r="G28" s="1072"/>
      <c r="H28" s="1072"/>
      <c r="I28" s="1072"/>
      <c r="J28" s="1072"/>
      <c r="K28" s="1072"/>
      <c r="L28" s="1072"/>
      <c r="M28" s="1072"/>
      <c r="N28" s="1072"/>
      <c r="O28" s="1072"/>
      <c r="P28" s="1072"/>
      <c r="Q28" s="1072"/>
      <c r="R28" s="1072"/>
      <c r="S28" s="1072"/>
      <c r="T28" s="1072"/>
      <c r="U28" s="1072"/>
      <c r="V28" s="1072"/>
      <c r="W28" s="1072"/>
      <c r="X28" s="1072"/>
      <c r="Y28" s="1072"/>
      <c r="Z28" s="1072"/>
      <c r="AA28" s="1072"/>
      <c r="AB28" s="1072"/>
      <c r="AC28" s="1072"/>
      <c r="AD28" s="1072"/>
      <c r="AE28" s="1072"/>
      <c r="AF28" s="1072"/>
      <c r="AG28" s="1072"/>
      <c r="AH28" s="1072"/>
      <c r="AI28" s="1072"/>
      <c r="AJ28" s="1072"/>
      <c r="AK28" s="1072"/>
      <c r="AL28" s="1072"/>
      <c r="AM28" s="1072"/>
      <c r="AN28" s="1072"/>
      <c r="AO28" s="1072"/>
      <c r="AP28" s="1072"/>
      <c r="AQ28" s="1072"/>
      <c r="AR28" s="1072"/>
      <c r="AS28" s="1072"/>
      <c r="AT28" s="1072"/>
      <c r="AU28" s="1072"/>
      <c r="AV28" s="1072"/>
      <c r="AW28" s="1072"/>
      <c r="AX28" s="1072"/>
      <c r="AY28" s="1072"/>
      <c r="AZ28" s="1072"/>
    </row>
    <row r="29" spans="1:52" ht="15" customHeight="1">
      <c r="A29" s="1133" t="s">
        <v>1683</v>
      </c>
      <c r="B29" s="1105">
        <f ca="1">B27/B24</f>
        <v>0.73333333333333328</v>
      </c>
      <c r="C29" s="1083" t="s">
        <v>130</v>
      </c>
      <c r="D29" s="1095"/>
      <c r="E29" s="1071"/>
      <c r="F29" s="1072"/>
      <c r="G29" s="1072"/>
      <c r="H29" s="1072"/>
      <c r="I29" s="1072"/>
      <c r="J29" s="1072"/>
      <c r="K29" s="1072"/>
      <c r="L29" s="1072"/>
      <c r="M29" s="1072"/>
      <c r="N29" s="1072"/>
      <c r="O29" s="1072"/>
      <c r="P29" s="1072"/>
      <c r="Q29" s="1072"/>
      <c r="R29" s="1072"/>
      <c r="S29" s="1072"/>
      <c r="T29" s="1072"/>
      <c r="U29" s="1072"/>
      <c r="V29" s="1072"/>
      <c r="W29" s="1072"/>
      <c r="X29" s="1072"/>
      <c r="Y29" s="1072"/>
      <c r="Z29" s="1072"/>
      <c r="AA29" s="1072"/>
      <c r="AB29" s="1072"/>
      <c r="AC29" s="1072"/>
      <c r="AD29" s="1072"/>
      <c r="AE29" s="1072"/>
      <c r="AF29" s="1072"/>
      <c r="AG29" s="1072"/>
      <c r="AH29" s="1072"/>
      <c r="AI29" s="1072"/>
      <c r="AJ29" s="1072"/>
      <c r="AK29" s="1072"/>
      <c r="AL29" s="1072"/>
      <c r="AM29" s="1072"/>
      <c r="AN29" s="1072"/>
      <c r="AO29" s="1072"/>
      <c r="AP29" s="1072"/>
      <c r="AQ29" s="1072"/>
      <c r="AR29" s="1072"/>
      <c r="AS29" s="1072"/>
      <c r="AT29" s="1072"/>
      <c r="AU29" s="1072"/>
      <c r="AV29" s="1072"/>
      <c r="AW29" s="1072"/>
      <c r="AX29" s="1072"/>
      <c r="AY29" s="1072"/>
      <c r="AZ29" s="1072"/>
    </row>
    <row r="30" spans="1:52" ht="15" customHeight="1">
      <c r="A30" s="1134" t="s">
        <v>1629</v>
      </c>
      <c r="B30" s="1106">
        <f ca="1">CEILING(Cashflow!AG121/Cashflow!$AG$5,1)</f>
        <v>5</v>
      </c>
      <c r="C30" s="1083" t="s">
        <v>539</v>
      </c>
      <c r="D30" s="1095" t="str">
        <f>"Max. "&amp;'Project-definition'!AG5&amp;" wells per cluster, new cluster capex "&amp;'Project-definition'!AG6&amp;" $ MM/cluster"</f>
        <v>Max. 5 wells per cluster, new cluster capex 2 $ MM/cluster</v>
      </c>
      <c r="E30" s="1071"/>
      <c r="F30" s="1072"/>
      <c r="G30" s="1072"/>
      <c r="H30" s="1072"/>
      <c r="I30" s="1072"/>
      <c r="J30" s="1072"/>
      <c r="K30" s="1072"/>
      <c r="L30" s="1072"/>
      <c r="M30" s="1072"/>
      <c r="N30" s="1072"/>
      <c r="O30" s="1072"/>
      <c r="P30" s="1072"/>
      <c r="Q30" s="1072"/>
      <c r="R30" s="1072"/>
      <c r="S30" s="1072"/>
      <c r="T30" s="1072"/>
      <c r="U30" s="1072"/>
      <c r="V30" s="1072"/>
      <c r="W30" s="1072"/>
      <c r="X30" s="1072"/>
      <c r="Y30" s="1072"/>
      <c r="Z30" s="1072"/>
      <c r="AA30" s="1072"/>
      <c r="AB30" s="1072"/>
      <c r="AC30" s="1072"/>
      <c r="AD30" s="1072"/>
      <c r="AE30" s="1072"/>
      <c r="AF30" s="1072"/>
      <c r="AG30" s="1072"/>
      <c r="AH30" s="1072"/>
      <c r="AI30" s="1072"/>
      <c r="AJ30" s="1072"/>
      <c r="AK30" s="1072"/>
      <c r="AL30" s="1072"/>
      <c r="AM30" s="1072"/>
      <c r="AN30" s="1072"/>
      <c r="AO30" s="1072"/>
      <c r="AP30" s="1072"/>
      <c r="AQ30" s="1072"/>
      <c r="AR30" s="1072"/>
      <c r="AS30" s="1072"/>
      <c r="AT30" s="1072"/>
      <c r="AU30" s="1072"/>
      <c r="AV30" s="1072"/>
      <c r="AW30" s="1072"/>
      <c r="AX30" s="1072"/>
      <c r="AY30" s="1072"/>
      <c r="AZ30" s="1072"/>
    </row>
    <row r="31" spans="1:52" ht="15" customHeight="1">
      <c r="A31" s="1134" t="s">
        <v>237</v>
      </c>
      <c r="B31" s="1107" t="str">
        <f ca="1">IF(MAX('Well Opex'!C85:AG85)&gt;Cashflow!$V$8,IF(Cashflow!$V$8="","","Yes-"&amp;HLOOKUP(MAX('Well Opex'!C85:AG85),'Well Opex'!C85:AG90,6,FALSE)),"No")</f>
        <v>No</v>
      </c>
      <c r="C31" s="1083" t="s">
        <v>236</v>
      </c>
      <c r="D31" s="1084" t="str">
        <f ca="1">IF(OR(B31="No",B31=""),"",MAX('Well Opex'!C85:AG85)&amp;" wells worked-over vs. "&amp;Cashflow!V8&amp;" wells W/O rig capacity")</f>
        <v/>
      </c>
      <c r="E31" s="1071"/>
      <c r="F31" s="1072"/>
      <c r="G31" s="1072"/>
      <c r="H31" s="1072"/>
      <c r="I31" s="1072"/>
      <c r="J31" s="1072"/>
      <c r="K31" s="1072"/>
      <c r="L31" s="1072"/>
      <c r="M31" s="1072"/>
      <c r="N31" s="1072"/>
      <c r="O31" s="1072"/>
      <c r="P31" s="1072"/>
      <c r="Q31" s="1072"/>
      <c r="R31" s="1072"/>
      <c r="S31" s="1072"/>
      <c r="T31" s="1072"/>
      <c r="U31" s="1072"/>
      <c r="V31" s="1072"/>
      <c r="W31" s="1072"/>
      <c r="X31" s="1072"/>
      <c r="Y31" s="1072"/>
      <c r="Z31" s="1072"/>
      <c r="AA31" s="1072"/>
      <c r="AB31" s="1072"/>
      <c r="AC31" s="1072"/>
      <c r="AD31" s="1072"/>
      <c r="AE31" s="1072"/>
      <c r="AF31" s="1072"/>
      <c r="AG31" s="1072"/>
      <c r="AH31" s="1072"/>
      <c r="AI31" s="1072"/>
      <c r="AJ31" s="1072"/>
      <c r="AK31" s="1072"/>
      <c r="AL31" s="1072"/>
      <c r="AM31" s="1072"/>
      <c r="AN31" s="1072"/>
      <c r="AO31" s="1072"/>
      <c r="AP31" s="1072"/>
      <c r="AQ31" s="1072"/>
      <c r="AR31" s="1072"/>
      <c r="AS31" s="1072"/>
      <c r="AT31" s="1072"/>
      <c r="AU31" s="1072"/>
      <c r="AV31" s="1072"/>
      <c r="AW31" s="1072"/>
      <c r="AX31" s="1072"/>
      <c r="AY31" s="1072"/>
      <c r="AZ31" s="1072"/>
    </row>
    <row r="32" spans="1:52" ht="15" customHeight="1">
      <c r="A32" s="1134" t="s">
        <v>238</v>
      </c>
      <c r="B32" s="1108">
        <f ca="1">IF(Cashflow!C117=0,ROUND(Cashflow!V5+30-Cashflow!V6,1),Cashflow!C117-Cashflow!V6)</f>
        <v>22</v>
      </c>
      <c r="C32" s="1083" t="s">
        <v>8</v>
      </c>
      <c r="D32" s="1095" t="str">
        <f ca="1">IF(Cashflow!C117=0,"Still producing at end of evaluation period","Field C/I year "&amp;Cashflow!C117&amp;" (Reason: "&amp;Cashflow!AG112&amp;")")</f>
        <v>Still producing at end of evaluation period</v>
      </c>
      <c r="E32" s="1071"/>
      <c r="F32" s="1072"/>
      <c r="G32" s="1072"/>
      <c r="H32" s="1072"/>
      <c r="I32" s="1072"/>
      <c r="J32" s="1072"/>
      <c r="K32" s="1072"/>
      <c r="L32" s="1072"/>
      <c r="M32" s="1072"/>
      <c r="N32" s="1072"/>
      <c r="O32" s="1072"/>
      <c r="P32" s="1072"/>
      <c r="Q32" s="1072"/>
      <c r="R32" s="1072"/>
      <c r="S32" s="1072"/>
      <c r="T32" s="1072"/>
      <c r="U32" s="1072"/>
      <c r="V32" s="1072"/>
      <c r="W32" s="1072"/>
      <c r="X32" s="1072"/>
      <c r="Y32" s="1072"/>
      <c r="Z32" s="1072"/>
      <c r="AA32" s="1072"/>
      <c r="AB32" s="1072"/>
      <c r="AC32" s="1072"/>
      <c r="AD32" s="1072"/>
      <c r="AE32" s="1072"/>
      <c r="AF32" s="1072"/>
      <c r="AG32" s="1072"/>
      <c r="AH32" s="1072"/>
      <c r="AI32" s="1072"/>
      <c r="AJ32" s="1072"/>
      <c r="AK32" s="1072"/>
      <c r="AL32" s="1072"/>
      <c r="AM32" s="1072"/>
      <c r="AN32" s="1072"/>
      <c r="AO32" s="1072"/>
      <c r="AP32" s="1072"/>
      <c r="AQ32" s="1072"/>
      <c r="AR32" s="1072"/>
      <c r="AS32" s="1072"/>
      <c r="AT32" s="1072"/>
      <c r="AU32" s="1072"/>
      <c r="AV32" s="1072"/>
      <c r="AW32" s="1072"/>
      <c r="AX32" s="1072"/>
      <c r="AY32" s="1072"/>
      <c r="AZ32" s="1072"/>
    </row>
    <row r="33" spans="1:52" ht="15" customHeight="1">
      <c r="A33" s="1133" t="s">
        <v>1698</v>
      </c>
      <c r="B33" s="1108">
        <f ca="1">Cashflow!AH65/Cashflow!AH32*1000/Cashflow!AH154</f>
        <v>10.285061251886688</v>
      </c>
      <c r="C33" s="1083" t="s">
        <v>1679</v>
      </c>
      <c r="D33" s="1095" t="str">
        <f ca="1">IF(B33&gt;15, "Well capacity unrealistically high: check assumptions", "")</f>
        <v/>
      </c>
      <c r="E33" s="1071"/>
      <c r="F33" s="1072"/>
      <c r="G33" s="1072"/>
      <c r="H33" s="1072"/>
      <c r="I33" s="1072"/>
      <c r="J33" s="1072"/>
      <c r="K33" s="1072"/>
      <c r="L33" s="1072"/>
      <c r="M33" s="1072"/>
      <c r="N33" s="1072"/>
      <c r="O33" s="1072"/>
      <c r="P33" s="1072"/>
      <c r="Q33" s="1072"/>
      <c r="R33" s="1072"/>
      <c r="S33" s="1072"/>
      <c r="T33" s="1072"/>
      <c r="U33" s="1072"/>
      <c r="V33" s="1072"/>
      <c r="W33" s="1072"/>
      <c r="X33" s="1072"/>
      <c r="Y33" s="1072"/>
      <c r="Z33" s="1072"/>
      <c r="AA33" s="1072"/>
      <c r="AB33" s="1072"/>
      <c r="AC33" s="1072"/>
      <c r="AD33" s="1072"/>
      <c r="AE33" s="1072"/>
      <c r="AF33" s="1072"/>
      <c r="AG33" s="1072"/>
      <c r="AH33" s="1072"/>
      <c r="AI33" s="1072"/>
      <c r="AJ33" s="1072"/>
      <c r="AK33" s="1072"/>
      <c r="AL33" s="1072"/>
      <c r="AM33" s="1072"/>
      <c r="AN33" s="1072"/>
      <c r="AO33" s="1072"/>
      <c r="AP33" s="1072"/>
      <c r="AQ33" s="1072"/>
      <c r="AR33" s="1072"/>
      <c r="AS33" s="1072"/>
      <c r="AT33" s="1072"/>
      <c r="AU33" s="1072"/>
      <c r="AV33" s="1072"/>
      <c r="AW33" s="1072"/>
      <c r="AX33" s="1072"/>
      <c r="AY33" s="1072"/>
      <c r="AZ33" s="1072"/>
    </row>
    <row r="34" spans="1:52" ht="15" customHeight="1">
      <c r="A34" s="1134" t="s">
        <v>1630</v>
      </c>
      <c r="B34" s="1104">
        <f ca="1">Cashflow!AH65/Cashflow!AH32*1000</f>
        <v>92.565551266980194</v>
      </c>
      <c r="C34" s="1083" t="s">
        <v>1680</v>
      </c>
      <c r="D34" s="1095"/>
      <c r="E34" s="1071"/>
      <c r="F34" s="1072"/>
      <c r="G34" s="1072"/>
      <c r="H34" s="1072"/>
      <c r="I34" s="1072"/>
      <c r="J34" s="1072"/>
      <c r="K34" s="1072"/>
      <c r="L34" s="1072"/>
      <c r="M34" s="1072"/>
      <c r="N34" s="1072"/>
      <c r="O34" s="1072"/>
      <c r="P34" s="1072"/>
      <c r="Q34" s="1072"/>
      <c r="R34" s="1072"/>
      <c r="S34" s="1072"/>
      <c r="T34" s="1072"/>
      <c r="U34" s="1072"/>
      <c r="V34" s="1072"/>
      <c r="W34" s="1072"/>
      <c r="X34" s="1072"/>
      <c r="Y34" s="1072"/>
      <c r="Z34" s="1072"/>
      <c r="AA34" s="1072"/>
      <c r="AB34" s="1072"/>
      <c r="AC34" s="1072"/>
      <c r="AD34" s="1072"/>
      <c r="AE34" s="1072"/>
      <c r="AF34" s="1072"/>
      <c r="AG34" s="1072"/>
      <c r="AH34" s="1072"/>
      <c r="AI34" s="1072"/>
      <c r="AJ34" s="1072"/>
      <c r="AK34" s="1072"/>
      <c r="AL34" s="1072"/>
      <c r="AM34" s="1072"/>
      <c r="AN34" s="1072"/>
      <c r="AO34" s="1072"/>
      <c r="AP34" s="1072"/>
      <c r="AQ34" s="1072"/>
      <c r="AR34" s="1072"/>
      <c r="AS34" s="1072"/>
      <c r="AT34" s="1072"/>
      <c r="AU34" s="1072"/>
      <c r="AV34" s="1072"/>
      <c r="AW34" s="1072"/>
      <c r="AX34" s="1072"/>
      <c r="AY34" s="1072"/>
      <c r="AZ34" s="1072"/>
    </row>
    <row r="35" spans="1:52" ht="15" customHeight="1">
      <c r="A35" s="1134" t="s">
        <v>1632</v>
      </c>
      <c r="B35" s="1099">
        <f>Cashflow!AM18</f>
        <v>325.27397884144108</v>
      </c>
      <c r="C35" s="1083" t="s">
        <v>1680</v>
      </c>
      <c r="D35" s="1095"/>
      <c r="E35" s="1071"/>
      <c r="F35" s="1072"/>
      <c r="G35" s="1072"/>
      <c r="H35" s="1072"/>
      <c r="I35" s="1072"/>
      <c r="J35" s="1072"/>
      <c r="K35" s="1072"/>
      <c r="L35" s="1072"/>
      <c r="M35" s="1072"/>
      <c r="N35" s="1072"/>
      <c r="O35" s="1072"/>
      <c r="P35" s="1072"/>
      <c r="Q35" s="1072"/>
      <c r="R35" s="1072"/>
      <c r="S35" s="1072"/>
      <c r="T35" s="1072"/>
      <c r="U35" s="1072"/>
      <c r="V35" s="1072"/>
      <c r="W35" s="1072"/>
      <c r="X35" s="1072"/>
      <c r="Y35" s="1072"/>
      <c r="Z35" s="1072"/>
      <c r="AA35" s="1072"/>
      <c r="AB35" s="1072"/>
      <c r="AC35" s="1072"/>
      <c r="AD35" s="1072"/>
      <c r="AE35" s="1072"/>
      <c r="AF35" s="1072"/>
      <c r="AG35" s="1072"/>
      <c r="AH35" s="1072"/>
      <c r="AI35" s="1072"/>
      <c r="AJ35" s="1072"/>
      <c r="AK35" s="1072"/>
      <c r="AL35" s="1072"/>
      <c r="AM35" s="1072"/>
      <c r="AN35" s="1072"/>
      <c r="AO35" s="1072"/>
      <c r="AP35" s="1072"/>
      <c r="AQ35" s="1072"/>
      <c r="AR35" s="1072"/>
      <c r="AS35" s="1072"/>
      <c r="AT35" s="1072"/>
      <c r="AU35" s="1072"/>
      <c r="AV35" s="1072"/>
      <c r="AW35" s="1072"/>
      <c r="AX35" s="1072"/>
      <c r="AY35" s="1072"/>
      <c r="AZ35" s="1072"/>
    </row>
    <row r="36" spans="1:52" ht="15" customHeight="1" thickBot="1">
      <c r="A36" s="1136" t="s">
        <v>1514</v>
      </c>
      <c r="B36" s="1109">
        <f ca="1">IF(Cashflow!AM18-B34&lt;0,0,Cashflow!AM18-B34)</f>
        <v>232.70842757446087</v>
      </c>
      <c r="C36" s="1110" t="s">
        <v>1680</v>
      </c>
      <c r="D36" s="1111" t="str">
        <f ca="1">IF(B36=0,"Effective MW of field &gt; max theor. power capacity ref. Sarmiento et al. paper","")</f>
        <v/>
      </c>
      <c r="E36" s="1072"/>
      <c r="F36" s="1072"/>
      <c r="G36" s="1072"/>
      <c r="H36" s="1072"/>
      <c r="I36" s="1072"/>
      <c r="J36" s="1072"/>
      <c r="K36" s="1072"/>
      <c r="L36" s="1072"/>
      <c r="M36" s="1072"/>
      <c r="N36" s="1072"/>
      <c r="O36" s="1072"/>
      <c r="P36" s="1072"/>
      <c r="Q36" s="1072"/>
      <c r="R36" s="1072"/>
      <c r="S36" s="1072"/>
      <c r="T36" s="1072"/>
      <c r="U36" s="1072"/>
      <c r="V36" s="1072"/>
      <c r="W36" s="1072"/>
      <c r="X36" s="1072"/>
      <c r="Y36" s="1072"/>
      <c r="Z36" s="1072"/>
      <c r="AA36" s="1072"/>
      <c r="AB36" s="1072"/>
      <c r="AC36" s="1072"/>
      <c r="AD36" s="1072"/>
      <c r="AE36" s="1072"/>
      <c r="AF36" s="1072"/>
      <c r="AG36" s="1072"/>
      <c r="AH36" s="1072"/>
      <c r="AI36" s="1072"/>
      <c r="AJ36" s="1072"/>
      <c r="AK36" s="1072"/>
      <c r="AL36" s="1072"/>
      <c r="AM36" s="1072"/>
      <c r="AN36" s="1072"/>
      <c r="AO36" s="1072"/>
      <c r="AP36" s="1072"/>
      <c r="AQ36" s="1072"/>
      <c r="AR36" s="1072"/>
      <c r="AS36" s="1072"/>
      <c r="AT36" s="1072"/>
      <c r="AU36" s="1072"/>
      <c r="AV36" s="1072"/>
      <c r="AW36" s="1072"/>
      <c r="AX36" s="1072"/>
      <c r="AY36" s="1072"/>
      <c r="AZ36" s="1072"/>
    </row>
    <row r="37" spans="1:52">
      <c r="A37" s="1072"/>
      <c r="B37" s="1072"/>
      <c r="C37" s="1072"/>
      <c r="D37" s="1072"/>
      <c r="E37" s="1072"/>
      <c r="F37" s="1072"/>
      <c r="G37" s="1072"/>
      <c r="H37" s="1072"/>
      <c r="I37" s="1072"/>
      <c r="J37" s="1072"/>
      <c r="K37" s="1072"/>
      <c r="L37" s="1072"/>
      <c r="M37" s="1072"/>
      <c r="N37" s="1072"/>
      <c r="O37" s="1072"/>
      <c r="P37" s="1072"/>
      <c r="Q37" s="1072"/>
      <c r="R37" s="1072"/>
      <c r="S37" s="1072"/>
      <c r="T37" s="1072"/>
      <c r="U37" s="1072"/>
      <c r="V37" s="1072"/>
      <c r="W37" s="1072"/>
      <c r="X37" s="1072"/>
      <c r="Y37" s="1072"/>
      <c r="Z37" s="1072"/>
      <c r="AA37" s="1072"/>
      <c r="AB37" s="1072"/>
      <c r="AC37" s="1072"/>
      <c r="AD37" s="1072"/>
      <c r="AE37" s="1072"/>
      <c r="AF37" s="1072"/>
      <c r="AG37" s="1072"/>
      <c r="AH37" s="1072"/>
      <c r="AI37" s="1072"/>
      <c r="AJ37" s="1072"/>
      <c r="AK37" s="1072"/>
      <c r="AL37" s="1072"/>
      <c r="AM37" s="1072"/>
      <c r="AN37" s="1072"/>
      <c r="AO37" s="1072"/>
      <c r="AP37" s="1072"/>
      <c r="AQ37" s="1072"/>
      <c r="AR37" s="1072"/>
      <c r="AS37" s="1072"/>
      <c r="AT37" s="1072"/>
      <c r="AU37" s="1072"/>
      <c r="AV37" s="1072"/>
      <c r="AW37" s="1072"/>
      <c r="AX37" s="1072"/>
      <c r="AY37" s="1072"/>
      <c r="AZ37" s="1072"/>
    </row>
    <row r="38" spans="1:52">
      <c r="A38" s="1072"/>
      <c r="B38" s="1072"/>
      <c r="C38" s="1072"/>
      <c r="D38" s="1072"/>
      <c r="E38" s="1072"/>
      <c r="F38" s="1072"/>
      <c r="G38" s="1072"/>
      <c r="H38" s="1072"/>
      <c r="I38" s="1072"/>
      <c r="J38" s="1072"/>
      <c r="K38" s="1072"/>
      <c r="L38" s="1072"/>
      <c r="M38" s="1072"/>
      <c r="N38" s="1072"/>
      <c r="O38" s="1072"/>
      <c r="P38" s="1072"/>
      <c r="Q38" s="1072"/>
      <c r="R38" s="1072"/>
      <c r="S38" s="1072"/>
      <c r="T38" s="1072"/>
      <c r="U38" s="1072"/>
      <c r="V38" s="1072"/>
      <c r="W38" s="1072"/>
      <c r="X38" s="1072"/>
      <c r="Y38" s="1072"/>
      <c r="Z38" s="1072"/>
      <c r="AA38" s="1072"/>
      <c r="AB38" s="1072"/>
      <c r="AC38" s="1072"/>
      <c r="AD38" s="1072"/>
      <c r="AE38" s="1072"/>
      <c r="AF38" s="1072"/>
      <c r="AG38" s="1072"/>
      <c r="AH38" s="1072"/>
      <c r="AI38" s="1072"/>
      <c r="AJ38" s="1072"/>
      <c r="AK38" s="1072"/>
      <c r="AL38" s="1072"/>
      <c r="AM38" s="1072"/>
      <c r="AN38" s="1072"/>
      <c r="AO38" s="1072"/>
      <c r="AP38" s="1072"/>
      <c r="AQ38" s="1072"/>
      <c r="AR38" s="1072"/>
      <c r="AS38" s="1072"/>
      <c r="AT38" s="1072"/>
      <c r="AU38" s="1072"/>
      <c r="AV38" s="1072"/>
      <c r="AW38" s="1072"/>
      <c r="AX38" s="1072"/>
      <c r="AY38" s="1072"/>
      <c r="AZ38" s="1072"/>
    </row>
    <row r="39" spans="1:52">
      <c r="A39" s="1072"/>
      <c r="B39" s="1072"/>
      <c r="C39" s="1072"/>
      <c r="D39" s="1072"/>
      <c r="E39" s="1072"/>
      <c r="F39" s="1072"/>
      <c r="G39" s="1072"/>
      <c r="H39" s="1072"/>
      <c r="I39" s="1072"/>
      <c r="J39" s="1072"/>
      <c r="K39" s="1072"/>
      <c r="L39" s="1072"/>
      <c r="M39" s="1072"/>
      <c r="N39" s="1072"/>
      <c r="O39" s="1072"/>
      <c r="P39" s="1072"/>
      <c r="Q39" s="1072"/>
      <c r="R39" s="1072"/>
      <c r="S39" s="1072"/>
      <c r="T39" s="1072"/>
      <c r="U39" s="1072"/>
      <c r="V39" s="1072"/>
      <c r="W39" s="1072"/>
      <c r="X39" s="1072"/>
      <c r="Y39" s="1072"/>
      <c r="Z39" s="1072"/>
      <c r="AA39" s="1072"/>
      <c r="AB39" s="1072"/>
      <c r="AC39" s="1072"/>
      <c r="AD39" s="1072"/>
      <c r="AE39" s="1072"/>
      <c r="AF39" s="1072"/>
      <c r="AG39" s="1072"/>
      <c r="AH39" s="1072"/>
      <c r="AI39" s="1072"/>
      <c r="AJ39" s="1072"/>
      <c r="AK39" s="1072"/>
      <c r="AL39" s="1072"/>
      <c r="AM39" s="1072"/>
      <c r="AN39" s="1072"/>
      <c r="AO39" s="1072"/>
      <c r="AP39" s="1072"/>
      <c r="AQ39" s="1072"/>
      <c r="AR39" s="1072"/>
      <c r="AS39" s="1072"/>
      <c r="AT39" s="1072"/>
      <c r="AU39" s="1072"/>
      <c r="AV39" s="1072"/>
      <c r="AW39" s="1072"/>
      <c r="AX39" s="1072"/>
      <c r="AY39" s="1072"/>
      <c r="AZ39" s="1072"/>
    </row>
    <row r="40" spans="1:52">
      <c r="A40" s="1072"/>
      <c r="B40" s="1072"/>
      <c r="C40" s="1072"/>
      <c r="D40" s="1072"/>
      <c r="E40" s="1072"/>
      <c r="F40" s="1072"/>
      <c r="G40" s="1072"/>
      <c r="H40" s="1072"/>
      <c r="I40" s="1072"/>
      <c r="J40" s="1072"/>
      <c r="K40" s="1072"/>
      <c r="L40" s="1072"/>
      <c r="M40" s="1072"/>
      <c r="N40" s="1072"/>
      <c r="O40" s="1072"/>
      <c r="P40" s="1072"/>
      <c r="Q40" s="1072"/>
      <c r="R40" s="1072"/>
      <c r="S40" s="1072"/>
      <c r="T40" s="1072"/>
      <c r="U40" s="1072"/>
      <c r="V40" s="1072"/>
      <c r="W40" s="1072"/>
      <c r="X40" s="1072"/>
      <c r="Y40" s="1072"/>
      <c r="Z40" s="1072"/>
      <c r="AA40" s="1072"/>
      <c r="AB40" s="1072"/>
      <c r="AC40" s="1072"/>
      <c r="AD40" s="1072"/>
      <c r="AE40" s="1072"/>
      <c r="AF40" s="1072"/>
      <c r="AG40" s="1072"/>
      <c r="AH40" s="1072"/>
      <c r="AI40" s="1072"/>
      <c r="AJ40" s="1072"/>
      <c r="AK40" s="1072"/>
      <c r="AL40" s="1072"/>
      <c r="AM40" s="1072"/>
      <c r="AN40" s="1072"/>
      <c r="AO40" s="1072"/>
      <c r="AP40" s="1072"/>
      <c r="AQ40" s="1072"/>
      <c r="AR40" s="1072"/>
      <c r="AS40" s="1072"/>
      <c r="AT40" s="1072"/>
      <c r="AU40" s="1072"/>
      <c r="AV40" s="1072"/>
      <c r="AW40" s="1072"/>
      <c r="AX40" s="1072"/>
      <c r="AY40" s="1072"/>
      <c r="AZ40" s="1072"/>
    </row>
    <row r="41" spans="1:52">
      <c r="A41" s="1072"/>
      <c r="B41" s="1072"/>
      <c r="C41" s="1072"/>
      <c r="D41" s="1072"/>
      <c r="E41" s="1072"/>
      <c r="F41" s="1072"/>
      <c r="G41" s="1072"/>
      <c r="H41" s="1072"/>
      <c r="I41" s="1072"/>
      <c r="J41" s="1072"/>
      <c r="K41" s="1072"/>
      <c r="L41" s="1072"/>
      <c r="M41" s="1072"/>
      <c r="N41" s="1072"/>
      <c r="O41" s="1072"/>
      <c r="P41" s="1072"/>
      <c r="Q41" s="1072"/>
      <c r="R41" s="1072"/>
      <c r="S41" s="1072"/>
      <c r="T41" s="1072"/>
      <c r="U41" s="1072"/>
      <c r="V41" s="1072"/>
      <c r="W41" s="1072"/>
      <c r="X41" s="1072"/>
      <c r="Y41" s="1072"/>
      <c r="Z41" s="1072"/>
      <c r="AA41" s="1072"/>
      <c r="AB41" s="1072"/>
      <c r="AC41" s="1072"/>
      <c r="AD41" s="1072"/>
      <c r="AE41" s="1072"/>
      <c r="AF41" s="1072"/>
      <c r="AG41" s="1072"/>
      <c r="AH41" s="1072"/>
      <c r="AI41" s="1072"/>
      <c r="AJ41" s="1072"/>
      <c r="AK41" s="1072"/>
      <c r="AL41" s="1072"/>
      <c r="AM41" s="1072"/>
      <c r="AN41" s="1072"/>
      <c r="AO41" s="1072"/>
      <c r="AP41" s="1072"/>
      <c r="AQ41" s="1072"/>
      <c r="AR41" s="1072"/>
      <c r="AS41" s="1072"/>
      <c r="AT41" s="1072"/>
      <c r="AU41" s="1072"/>
      <c r="AV41" s="1072"/>
      <c r="AW41" s="1072"/>
      <c r="AX41" s="1072"/>
      <c r="AY41" s="1072"/>
      <c r="AZ41" s="1072"/>
    </row>
    <row r="42" spans="1:52">
      <c r="A42" s="1072"/>
      <c r="B42" s="1072"/>
      <c r="C42" s="1072"/>
      <c r="D42" s="1072"/>
      <c r="E42" s="1072"/>
      <c r="F42" s="1072"/>
      <c r="G42" s="1072"/>
      <c r="H42" s="1072"/>
      <c r="I42" s="1072"/>
      <c r="J42" s="1072"/>
      <c r="K42" s="1072"/>
      <c r="L42" s="1072"/>
      <c r="M42" s="1072"/>
      <c r="N42" s="1072"/>
      <c r="O42" s="1072"/>
      <c r="P42" s="1072"/>
      <c r="Q42" s="1072"/>
      <c r="R42" s="1072"/>
      <c r="S42" s="1072"/>
      <c r="T42" s="1072"/>
      <c r="U42" s="1072"/>
      <c r="V42" s="1072"/>
      <c r="W42" s="1072"/>
      <c r="X42" s="1072"/>
      <c r="Y42" s="1072"/>
      <c r="Z42" s="1072"/>
      <c r="AA42" s="1072"/>
      <c r="AB42" s="1072"/>
      <c r="AC42" s="1072"/>
      <c r="AD42" s="1072"/>
      <c r="AE42" s="1072"/>
      <c r="AF42" s="1072"/>
      <c r="AG42" s="1072"/>
      <c r="AH42" s="1072"/>
      <c r="AI42" s="1072"/>
      <c r="AJ42" s="1072"/>
      <c r="AK42" s="1072"/>
      <c r="AL42" s="1072"/>
      <c r="AM42" s="1072"/>
      <c r="AN42" s="1072"/>
      <c r="AO42" s="1072"/>
      <c r="AP42" s="1072"/>
      <c r="AQ42" s="1072"/>
      <c r="AR42" s="1072"/>
      <c r="AS42" s="1072"/>
      <c r="AT42" s="1072"/>
      <c r="AU42" s="1072"/>
      <c r="AV42" s="1072"/>
      <c r="AW42" s="1072"/>
      <c r="AX42" s="1072"/>
      <c r="AY42" s="1072"/>
      <c r="AZ42" s="1072"/>
    </row>
    <row r="43" spans="1:52">
      <c r="A43" s="1072"/>
      <c r="B43" s="1072"/>
      <c r="C43" s="1072"/>
      <c r="D43" s="1072"/>
      <c r="E43" s="1072"/>
      <c r="F43" s="1072"/>
      <c r="G43" s="1072"/>
      <c r="H43" s="1072"/>
      <c r="I43" s="1072"/>
      <c r="J43" s="1072"/>
      <c r="K43" s="1072"/>
      <c r="L43" s="1072"/>
      <c r="M43" s="1072"/>
      <c r="N43" s="1072"/>
      <c r="O43" s="1072"/>
      <c r="P43" s="1072"/>
      <c r="Q43" s="1072"/>
      <c r="R43" s="1072"/>
      <c r="S43" s="1072"/>
      <c r="T43" s="1072"/>
      <c r="U43" s="1072"/>
      <c r="V43" s="1072"/>
      <c r="W43" s="1072"/>
      <c r="X43" s="1072"/>
      <c r="Y43" s="1072"/>
      <c r="Z43" s="1072"/>
      <c r="AA43" s="1072"/>
      <c r="AB43" s="1072"/>
      <c r="AC43" s="1072"/>
      <c r="AD43" s="1072"/>
      <c r="AE43" s="1072"/>
      <c r="AF43" s="1072"/>
      <c r="AG43" s="1072"/>
      <c r="AH43" s="1072"/>
      <c r="AI43" s="1072"/>
      <c r="AJ43" s="1072"/>
      <c r="AK43" s="1072"/>
      <c r="AL43" s="1072"/>
      <c r="AM43" s="1072"/>
      <c r="AN43" s="1072"/>
      <c r="AO43" s="1072"/>
      <c r="AP43" s="1072"/>
      <c r="AQ43" s="1072"/>
      <c r="AR43" s="1072"/>
      <c r="AS43" s="1072"/>
      <c r="AT43" s="1072"/>
      <c r="AU43" s="1072"/>
      <c r="AV43" s="1072"/>
      <c r="AW43" s="1072"/>
      <c r="AX43" s="1072"/>
      <c r="AY43" s="1072"/>
      <c r="AZ43" s="1072"/>
    </row>
    <row r="44" spans="1:52">
      <c r="A44" s="1072"/>
      <c r="B44" s="1072"/>
      <c r="C44" s="1072"/>
      <c r="D44" s="1072"/>
      <c r="E44" s="1072"/>
      <c r="F44" s="1072"/>
      <c r="G44" s="1072"/>
      <c r="H44" s="1072"/>
      <c r="I44" s="1072"/>
      <c r="J44" s="1072"/>
      <c r="K44" s="1072"/>
      <c r="L44" s="1072"/>
      <c r="M44" s="1072"/>
      <c r="N44" s="1072"/>
      <c r="O44" s="1072"/>
      <c r="P44" s="1072"/>
      <c r="Q44" s="1072"/>
      <c r="R44" s="1072"/>
      <c r="S44" s="1072"/>
      <c r="T44" s="1072"/>
      <c r="U44" s="1072"/>
      <c r="V44" s="1072"/>
      <c r="W44" s="1072"/>
      <c r="X44" s="1072"/>
      <c r="Y44" s="1072"/>
      <c r="Z44" s="1072"/>
      <c r="AA44" s="1072"/>
      <c r="AB44" s="1072"/>
      <c r="AC44" s="1072"/>
      <c r="AD44" s="1072"/>
      <c r="AE44" s="1072"/>
      <c r="AF44" s="1072"/>
      <c r="AG44" s="1072"/>
      <c r="AH44" s="1072"/>
      <c r="AI44" s="1072"/>
      <c r="AJ44" s="1072"/>
      <c r="AK44" s="1072"/>
      <c r="AL44" s="1072"/>
      <c r="AM44" s="1072"/>
      <c r="AN44" s="1072"/>
      <c r="AO44" s="1072"/>
      <c r="AP44" s="1072"/>
      <c r="AQ44" s="1072"/>
      <c r="AR44" s="1072"/>
      <c r="AS44" s="1072"/>
      <c r="AT44" s="1072"/>
      <c r="AU44" s="1072"/>
      <c r="AV44" s="1072"/>
      <c r="AW44" s="1072"/>
      <c r="AX44" s="1072"/>
      <c r="AY44" s="1072"/>
      <c r="AZ44" s="1072"/>
    </row>
    <row r="45" spans="1:52">
      <c r="A45" s="1072"/>
      <c r="B45" s="1072"/>
      <c r="C45" s="1072"/>
      <c r="D45" s="1072"/>
      <c r="E45" s="1072"/>
      <c r="F45" s="1072"/>
      <c r="G45" s="1072"/>
      <c r="H45" s="1072"/>
      <c r="I45" s="1072"/>
      <c r="J45" s="1072"/>
      <c r="K45" s="1072"/>
      <c r="L45" s="1072"/>
      <c r="M45" s="1072"/>
      <c r="N45" s="1072"/>
      <c r="O45" s="1072"/>
      <c r="P45" s="1072"/>
      <c r="Q45" s="1072"/>
      <c r="R45" s="1072"/>
      <c r="S45" s="1072"/>
      <c r="T45" s="1072"/>
      <c r="U45" s="1072"/>
      <c r="V45" s="1072"/>
      <c r="W45" s="1072"/>
      <c r="X45" s="1072"/>
      <c r="Y45" s="1072"/>
      <c r="Z45" s="1072"/>
      <c r="AA45" s="1072"/>
      <c r="AB45" s="1072"/>
      <c r="AC45" s="1072"/>
      <c r="AD45" s="1072"/>
      <c r="AE45" s="1072"/>
      <c r="AF45" s="1072"/>
      <c r="AG45" s="1072"/>
      <c r="AH45" s="1072"/>
      <c r="AI45" s="1072"/>
      <c r="AJ45" s="1072"/>
      <c r="AK45" s="1072"/>
      <c r="AL45" s="1072"/>
      <c r="AM45" s="1072"/>
      <c r="AN45" s="1072"/>
      <c r="AO45" s="1072"/>
      <c r="AP45" s="1072"/>
      <c r="AQ45" s="1072"/>
      <c r="AR45" s="1072"/>
      <c r="AS45" s="1072"/>
      <c r="AT45" s="1072"/>
      <c r="AU45" s="1072"/>
      <c r="AV45" s="1072"/>
      <c r="AW45" s="1072"/>
      <c r="AX45" s="1072"/>
      <c r="AY45" s="1072"/>
      <c r="AZ45" s="1072"/>
    </row>
    <row r="46" spans="1:52">
      <c r="A46" s="1072"/>
      <c r="B46" s="1072"/>
      <c r="C46" s="1072"/>
      <c r="D46" s="1072"/>
      <c r="E46" s="1072"/>
      <c r="F46" s="1072"/>
      <c r="G46" s="1072"/>
      <c r="H46" s="1072"/>
      <c r="I46" s="1072"/>
      <c r="J46" s="1072"/>
      <c r="K46" s="1072"/>
      <c r="L46" s="1072"/>
      <c r="M46" s="1072"/>
      <c r="N46" s="1072"/>
      <c r="O46" s="1072"/>
      <c r="P46" s="1072"/>
      <c r="Q46" s="1072"/>
      <c r="R46" s="1072"/>
      <c r="S46" s="1072"/>
      <c r="T46" s="1072"/>
      <c r="U46" s="1072"/>
      <c r="V46" s="1072"/>
      <c r="W46" s="1072"/>
      <c r="X46" s="1072"/>
      <c r="Y46" s="1072"/>
      <c r="Z46" s="1072"/>
      <c r="AA46" s="1072"/>
      <c r="AB46" s="1072"/>
      <c r="AC46" s="1072"/>
      <c r="AD46" s="1072"/>
      <c r="AE46" s="1072"/>
      <c r="AF46" s="1072"/>
      <c r="AG46" s="1072"/>
      <c r="AH46" s="1072"/>
      <c r="AI46" s="1072"/>
      <c r="AJ46" s="1072"/>
      <c r="AK46" s="1072"/>
      <c r="AL46" s="1072"/>
      <c r="AM46" s="1072"/>
      <c r="AN46" s="1072"/>
      <c r="AO46" s="1072"/>
      <c r="AP46" s="1072"/>
      <c r="AQ46" s="1072"/>
      <c r="AR46" s="1072"/>
      <c r="AS46" s="1072"/>
      <c r="AT46" s="1072"/>
      <c r="AU46" s="1072"/>
      <c r="AV46" s="1072"/>
      <c r="AW46" s="1072"/>
      <c r="AX46" s="1072"/>
      <c r="AY46" s="1072"/>
      <c r="AZ46" s="1072"/>
    </row>
    <row r="47" spans="1:52">
      <c r="A47" s="1072"/>
      <c r="B47" s="1072"/>
      <c r="C47" s="1072"/>
      <c r="D47" s="1072"/>
      <c r="E47" s="1072"/>
      <c r="F47" s="1072"/>
      <c r="G47" s="1072"/>
      <c r="H47" s="1072"/>
      <c r="I47" s="1072"/>
      <c r="J47" s="1072"/>
      <c r="K47" s="1072"/>
      <c r="L47" s="1072"/>
      <c r="M47" s="1072"/>
      <c r="N47" s="1072"/>
      <c r="O47" s="1072"/>
      <c r="P47" s="1072"/>
      <c r="Q47" s="1072"/>
      <c r="R47" s="1072"/>
      <c r="S47" s="1072"/>
      <c r="T47" s="1072"/>
      <c r="U47" s="1072"/>
      <c r="V47" s="1072"/>
      <c r="W47" s="1072"/>
      <c r="X47" s="1072"/>
      <c r="Y47" s="1072"/>
      <c r="Z47" s="1072"/>
      <c r="AA47" s="1072"/>
      <c r="AB47" s="1072"/>
      <c r="AC47" s="1072"/>
      <c r="AD47" s="1072"/>
      <c r="AE47" s="1072"/>
      <c r="AF47" s="1072"/>
      <c r="AG47" s="1072"/>
      <c r="AH47" s="1072"/>
      <c r="AI47" s="1072"/>
      <c r="AJ47" s="1072"/>
      <c r="AK47" s="1072"/>
      <c r="AL47" s="1072"/>
      <c r="AM47" s="1072"/>
      <c r="AN47" s="1072"/>
      <c r="AO47" s="1072"/>
      <c r="AP47" s="1072"/>
      <c r="AQ47" s="1072"/>
      <c r="AR47" s="1072"/>
      <c r="AS47" s="1072"/>
      <c r="AT47" s="1072"/>
      <c r="AU47" s="1072"/>
      <c r="AV47" s="1072"/>
      <c r="AW47" s="1072"/>
      <c r="AX47" s="1072"/>
      <c r="AY47" s="1072"/>
      <c r="AZ47" s="1072"/>
    </row>
    <row r="48" spans="1:52">
      <c r="A48" s="1072"/>
      <c r="B48" s="1072"/>
      <c r="C48" s="1072"/>
      <c r="D48" s="1072"/>
      <c r="E48" s="1072"/>
      <c r="F48" s="1072"/>
      <c r="G48" s="1072"/>
      <c r="H48" s="1072"/>
      <c r="I48" s="1072"/>
      <c r="J48" s="1072"/>
      <c r="K48" s="1072"/>
      <c r="L48" s="1072"/>
      <c r="M48" s="1072"/>
      <c r="N48" s="1072"/>
      <c r="O48" s="1072"/>
      <c r="P48" s="1072"/>
      <c r="Q48" s="1072"/>
      <c r="R48" s="1072"/>
      <c r="S48" s="1072"/>
      <c r="T48" s="1072"/>
      <c r="U48" s="1072"/>
      <c r="V48" s="1072"/>
      <c r="W48" s="1072"/>
      <c r="X48" s="1072"/>
      <c r="Y48" s="1072"/>
      <c r="Z48" s="1072"/>
      <c r="AA48" s="1072"/>
      <c r="AB48" s="1072"/>
      <c r="AC48" s="1072"/>
      <c r="AD48" s="1072"/>
      <c r="AE48" s="1072"/>
      <c r="AF48" s="1072"/>
      <c r="AG48" s="1072"/>
      <c r="AH48" s="1072"/>
      <c r="AI48" s="1072"/>
      <c r="AJ48" s="1072"/>
      <c r="AK48" s="1072"/>
      <c r="AL48" s="1072"/>
      <c r="AM48" s="1072"/>
      <c r="AN48" s="1072"/>
      <c r="AO48" s="1072"/>
      <c r="AP48" s="1072"/>
      <c r="AQ48" s="1072"/>
      <c r="AR48" s="1072"/>
      <c r="AS48" s="1072"/>
      <c r="AT48" s="1072"/>
      <c r="AU48" s="1072"/>
      <c r="AV48" s="1072"/>
      <c r="AW48" s="1072"/>
      <c r="AX48" s="1072"/>
      <c r="AY48" s="1072"/>
      <c r="AZ48" s="1072"/>
    </row>
    <row r="49" spans="1:52">
      <c r="A49" s="1072"/>
      <c r="B49" s="1072"/>
      <c r="C49" s="1072"/>
      <c r="D49" s="1072"/>
      <c r="E49" s="1072"/>
      <c r="F49" s="1072"/>
      <c r="G49" s="1072"/>
      <c r="H49" s="1072"/>
      <c r="I49" s="1072"/>
      <c r="J49" s="1072"/>
      <c r="K49" s="1072"/>
      <c r="L49" s="1072"/>
      <c r="M49" s="1072"/>
      <c r="N49" s="1072"/>
      <c r="O49" s="1072"/>
      <c r="P49" s="1072"/>
      <c r="Q49" s="1072"/>
      <c r="R49" s="1072"/>
      <c r="S49" s="1072"/>
      <c r="T49" s="1072"/>
      <c r="U49" s="1072"/>
      <c r="V49" s="1072"/>
      <c r="W49" s="1072"/>
      <c r="X49" s="1072"/>
      <c r="Y49" s="1072"/>
      <c r="Z49" s="1072"/>
      <c r="AA49" s="1072"/>
      <c r="AB49" s="1072"/>
      <c r="AC49" s="1072"/>
      <c r="AD49" s="1072"/>
      <c r="AE49" s="1072"/>
      <c r="AF49" s="1072"/>
      <c r="AG49" s="1072"/>
      <c r="AH49" s="1072"/>
      <c r="AI49" s="1072"/>
      <c r="AJ49" s="1072"/>
      <c r="AK49" s="1072"/>
      <c r="AL49" s="1072"/>
      <c r="AM49" s="1072"/>
      <c r="AN49" s="1072"/>
      <c r="AO49" s="1072"/>
      <c r="AP49" s="1072"/>
      <c r="AQ49" s="1072"/>
      <c r="AR49" s="1072"/>
      <c r="AS49" s="1072"/>
      <c r="AT49" s="1072"/>
      <c r="AU49" s="1072"/>
      <c r="AV49" s="1072"/>
      <c r="AW49" s="1072"/>
      <c r="AX49" s="1072"/>
      <c r="AY49" s="1072"/>
      <c r="AZ49" s="1072"/>
    </row>
    <row r="50" spans="1:52">
      <c r="A50" s="1072"/>
      <c r="B50" s="1072"/>
      <c r="C50" s="1072"/>
      <c r="D50" s="1072"/>
      <c r="E50" s="1072"/>
      <c r="F50" s="1072"/>
      <c r="G50" s="1072"/>
      <c r="H50" s="1072"/>
      <c r="I50" s="1072"/>
      <c r="J50" s="1072"/>
      <c r="K50" s="1072"/>
      <c r="L50" s="1072"/>
      <c r="M50" s="1072"/>
      <c r="N50" s="1072"/>
      <c r="O50" s="1072"/>
      <c r="P50" s="1072"/>
      <c r="Q50" s="1072"/>
      <c r="R50" s="1072"/>
      <c r="S50" s="1072"/>
      <c r="T50" s="1072"/>
      <c r="U50" s="1072"/>
      <c r="V50" s="1072"/>
      <c r="W50" s="1072"/>
      <c r="X50" s="1072"/>
      <c r="Y50" s="1072"/>
      <c r="Z50" s="1072"/>
      <c r="AA50" s="1072"/>
      <c r="AB50" s="1072"/>
      <c r="AC50" s="1072"/>
      <c r="AD50" s="1072"/>
      <c r="AE50" s="1072"/>
      <c r="AF50" s="1072"/>
      <c r="AG50" s="1072"/>
      <c r="AH50" s="1072"/>
      <c r="AI50" s="1072"/>
      <c r="AJ50" s="1072"/>
      <c r="AK50" s="1072"/>
      <c r="AL50" s="1072"/>
      <c r="AM50" s="1072"/>
      <c r="AN50" s="1072"/>
      <c r="AO50" s="1072"/>
      <c r="AP50" s="1072"/>
      <c r="AQ50" s="1072"/>
      <c r="AR50" s="1072"/>
      <c r="AS50" s="1072"/>
      <c r="AT50" s="1072"/>
      <c r="AU50" s="1072"/>
      <c r="AV50" s="1072"/>
      <c r="AW50" s="1072"/>
      <c r="AX50" s="1072"/>
      <c r="AY50" s="1072"/>
      <c r="AZ50" s="1072"/>
    </row>
    <row r="51" spans="1:52">
      <c r="A51" s="1072"/>
      <c r="B51" s="1072"/>
      <c r="C51" s="1072"/>
      <c r="D51" s="1072"/>
      <c r="E51" s="1072"/>
      <c r="F51" s="1072"/>
      <c r="G51" s="1072"/>
      <c r="H51" s="1072"/>
      <c r="I51" s="1072"/>
      <c r="J51" s="1072"/>
      <c r="K51" s="1072"/>
      <c r="L51" s="1072"/>
      <c r="M51" s="1072"/>
      <c r="N51" s="1072"/>
      <c r="O51" s="1072"/>
      <c r="P51" s="1072"/>
      <c r="Q51" s="1072"/>
      <c r="R51" s="1072"/>
      <c r="S51" s="1072"/>
      <c r="T51" s="1072"/>
      <c r="U51" s="1072"/>
      <c r="V51" s="1072"/>
      <c r="W51" s="1072"/>
      <c r="X51" s="1072"/>
      <c r="Y51" s="1072"/>
      <c r="Z51" s="1072"/>
      <c r="AA51" s="1072"/>
      <c r="AB51" s="1072"/>
      <c r="AC51" s="1072"/>
      <c r="AD51" s="1072"/>
      <c r="AE51" s="1072"/>
      <c r="AF51" s="1072"/>
      <c r="AG51" s="1072"/>
      <c r="AH51" s="1072"/>
      <c r="AI51" s="1072"/>
      <c r="AJ51" s="1072"/>
      <c r="AK51" s="1072"/>
      <c r="AL51" s="1072"/>
      <c r="AM51" s="1072"/>
      <c r="AN51" s="1072"/>
      <c r="AO51" s="1072"/>
      <c r="AP51" s="1072"/>
      <c r="AQ51" s="1072"/>
      <c r="AR51" s="1072"/>
      <c r="AS51" s="1072"/>
      <c r="AT51" s="1072"/>
      <c r="AU51" s="1072"/>
      <c r="AV51" s="1072"/>
      <c r="AW51" s="1072"/>
      <c r="AX51" s="1072"/>
      <c r="AY51" s="1072"/>
      <c r="AZ51" s="1072"/>
    </row>
    <row r="52" spans="1:52">
      <c r="A52" s="1072"/>
      <c r="B52" s="1072"/>
      <c r="C52" s="1072"/>
      <c r="D52" s="1072"/>
      <c r="E52" s="1072"/>
      <c r="F52" s="1072"/>
      <c r="G52" s="1072"/>
      <c r="H52" s="1072"/>
      <c r="I52" s="1072"/>
      <c r="J52" s="1072"/>
      <c r="K52" s="1072"/>
      <c r="L52" s="1072"/>
      <c r="M52" s="1072"/>
      <c r="N52" s="1072"/>
      <c r="O52" s="1072"/>
      <c r="P52" s="1072"/>
      <c r="Q52" s="1072"/>
      <c r="R52" s="1072"/>
      <c r="S52" s="1072"/>
      <c r="T52" s="1072"/>
      <c r="U52" s="1072"/>
      <c r="V52" s="1072"/>
      <c r="W52" s="1072"/>
      <c r="X52" s="1072"/>
      <c r="Y52" s="1072"/>
      <c r="Z52" s="1072"/>
      <c r="AA52" s="1072"/>
      <c r="AB52" s="1072"/>
      <c r="AC52" s="1072"/>
      <c r="AD52" s="1072"/>
      <c r="AE52" s="1072"/>
      <c r="AF52" s="1072"/>
      <c r="AG52" s="1072"/>
      <c r="AH52" s="1072"/>
      <c r="AI52" s="1072"/>
      <c r="AJ52" s="1072"/>
      <c r="AK52" s="1072"/>
      <c r="AL52" s="1072"/>
      <c r="AM52" s="1072"/>
      <c r="AN52" s="1072"/>
      <c r="AO52" s="1072"/>
      <c r="AP52" s="1072"/>
      <c r="AQ52" s="1072"/>
      <c r="AR52" s="1072"/>
      <c r="AS52" s="1072"/>
      <c r="AT52" s="1072"/>
      <c r="AU52" s="1072"/>
      <c r="AV52" s="1072"/>
      <c r="AW52" s="1072"/>
      <c r="AX52" s="1072"/>
      <c r="AY52" s="1072"/>
      <c r="AZ52" s="1072"/>
    </row>
    <row r="53" spans="1:52">
      <c r="A53" s="1072"/>
      <c r="B53" s="1072"/>
      <c r="C53" s="1072"/>
      <c r="D53" s="1072"/>
      <c r="E53" s="1072"/>
      <c r="F53" s="1072"/>
      <c r="G53" s="1072"/>
      <c r="H53" s="1072"/>
      <c r="I53" s="1072"/>
      <c r="J53" s="1072"/>
      <c r="K53" s="1072"/>
      <c r="L53" s="1072"/>
      <c r="M53" s="1072"/>
      <c r="N53" s="1072"/>
      <c r="O53" s="1072"/>
      <c r="P53" s="1072"/>
      <c r="Q53" s="1072"/>
      <c r="R53" s="1072"/>
      <c r="S53" s="1072"/>
      <c r="T53" s="1072"/>
      <c r="U53" s="1072"/>
      <c r="V53" s="1072"/>
      <c r="W53" s="1072"/>
      <c r="X53" s="1072"/>
      <c r="Y53" s="1072"/>
      <c r="Z53" s="1072"/>
      <c r="AA53" s="1072"/>
      <c r="AB53" s="1072"/>
      <c r="AC53" s="1072"/>
      <c r="AD53" s="1072"/>
      <c r="AE53" s="1072"/>
      <c r="AF53" s="1072"/>
      <c r="AG53" s="1072"/>
      <c r="AH53" s="1072"/>
      <c r="AI53" s="1072"/>
      <c r="AJ53" s="1072"/>
      <c r="AK53" s="1072"/>
      <c r="AL53" s="1072"/>
      <c r="AM53" s="1072"/>
      <c r="AN53" s="1072"/>
      <c r="AO53" s="1072"/>
      <c r="AP53" s="1072"/>
      <c r="AQ53" s="1072"/>
      <c r="AR53" s="1072"/>
      <c r="AS53" s="1072"/>
      <c r="AT53" s="1072"/>
      <c r="AU53" s="1072"/>
      <c r="AV53" s="1072"/>
      <c r="AW53" s="1072"/>
      <c r="AX53" s="1072"/>
      <c r="AY53" s="1072"/>
      <c r="AZ53" s="1072"/>
    </row>
    <row r="54" spans="1:52">
      <c r="A54" s="1072"/>
      <c r="B54" s="1072"/>
      <c r="C54" s="1072"/>
      <c r="D54" s="1072"/>
      <c r="E54" s="1072"/>
      <c r="F54" s="1072"/>
      <c r="G54" s="1072"/>
      <c r="H54" s="1072"/>
      <c r="I54" s="1072"/>
      <c r="J54" s="1072"/>
      <c r="K54" s="1072"/>
      <c r="L54" s="1072"/>
      <c r="M54" s="1072"/>
      <c r="N54" s="1072"/>
      <c r="O54" s="1072"/>
      <c r="P54" s="1072"/>
      <c r="Q54" s="1072"/>
      <c r="R54" s="1072"/>
      <c r="S54" s="1072"/>
      <c r="T54" s="1072"/>
      <c r="U54" s="1072"/>
      <c r="V54" s="1072"/>
      <c r="W54" s="1072"/>
      <c r="X54" s="1072"/>
      <c r="Y54" s="1072"/>
      <c r="Z54" s="1072"/>
      <c r="AA54" s="1072"/>
      <c r="AB54" s="1072"/>
      <c r="AC54" s="1072"/>
      <c r="AD54" s="1072"/>
      <c r="AE54" s="1072"/>
      <c r="AF54" s="1072"/>
      <c r="AG54" s="1072"/>
      <c r="AH54" s="1072"/>
      <c r="AI54" s="1072"/>
      <c r="AJ54" s="1072"/>
      <c r="AK54" s="1072"/>
      <c r="AL54" s="1072"/>
      <c r="AM54" s="1072"/>
      <c r="AN54" s="1072"/>
      <c r="AO54" s="1072"/>
      <c r="AP54" s="1072"/>
      <c r="AQ54" s="1072"/>
      <c r="AR54" s="1072"/>
      <c r="AS54" s="1072"/>
      <c r="AT54" s="1072"/>
      <c r="AU54" s="1072"/>
      <c r="AV54" s="1072"/>
      <c r="AW54" s="1072"/>
      <c r="AX54" s="1072"/>
      <c r="AY54" s="1072"/>
      <c r="AZ54" s="1072"/>
    </row>
    <row r="55" spans="1:52">
      <c r="A55" s="1072"/>
      <c r="B55" s="1072"/>
      <c r="C55" s="1072"/>
      <c r="D55" s="1072"/>
      <c r="E55" s="1072"/>
      <c r="F55" s="1072"/>
      <c r="G55" s="1072"/>
      <c r="H55" s="1072"/>
      <c r="I55" s="1072"/>
      <c r="J55" s="1072"/>
      <c r="K55" s="1072"/>
      <c r="L55" s="1072"/>
      <c r="M55" s="1072"/>
      <c r="N55" s="1072"/>
      <c r="O55" s="1072"/>
      <c r="P55" s="1072"/>
      <c r="Q55" s="1072"/>
      <c r="R55" s="1072"/>
      <c r="S55" s="1072"/>
      <c r="T55" s="1072"/>
      <c r="U55" s="1072"/>
      <c r="V55" s="1072"/>
      <c r="W55" s="1072"/>
      <c r="X55" s="1072"/>
      <c r="Y55" s="1072"/>
      <c r="Z55" s="1072"/>
      <c r="AA55" s="1072"/>
      <c r="AB55" s="1072"/>
      <c r="AC55" s="1072"/>
      <c r="AD55" s="1072"/>
      <c r="AE55" s="1072"/>
      <c r="AF55" s="1072"/>
      <c r="AG55" s="1072"/>
      <c r="AH55" s="1072"/>
      <c r="AI55" s="1072"/>
      <c r="AJ55" s="1072"/>
      <c r="AK55" s="1072"/>
      <c r="AL55" s="1072"/>
      <c r="AM55" s="1072"/>
      <c r="AN55" s="1072"/>
      <c r="AO55" s="1072"/>
      <c r="AP55" s="1072"/>
      <c r="AQ55" s="1072"/>
      <c r="AR55" s="1072"/>
      <c r="AS55" s="1072"/>
      <c r="AT55" s="1072"/>
      <c r="AU55" s="1072"/>
      <c r="AV55" s="1072"/>
      <c r="AW55" s="1072"/>
      <c r="AX55" s="1072"/>
      <c r="AY55" s="1072"/>
      <c r="AZ55" s="1072"/>
    </row>
    <row r="56" spans="1:52">
      <c r="A56" s="1072"/>
      <c r="B56" s="1072"/>
      <c r="C56" s="1072"/>
      <c r="D56" s="1072"/>
      <c r="E56" s="1072"/>
      <c r="F56" s="1072"/>
      <c r="G56" s="1072"/>
      <c r="H56" s="1072"/>
      <c r="I56" s="1072"/>
      <c r="J56" s="1072"/>
      <c r="K56" s="1072"/>
      <c r="L56" s="1072"/>
      <c r="M56" s="1072"/>
      <c r="N56" s="1072"/>
      <c r="O56" s="1072"/>
      <c r="P56" s="1072"/>
      <c r="Q56" s="1072"/>
      <c r="R56" s="1072"/>
      <c r="S56" s="1072"/>
      <c r="T56" s="1072"/>
      <c r="U56" s="1072"/>
      <c r="V56" s="1072"/>
      <c r="W56" s="1072"/>
      <c r="X56" s="1072"/>
      <c r="Y56" s="1072"/>
      <c r="Z56" s="1072"/>
      <c r="AA56" s="1072"/>
      <c r="AB56" s="1072"/>
      <c r="AC56" s="1072"/>
      <c r="AD56" s="1072"/>
      <c r="AE56" s="1072"/>
      <c r="AF56" s="1072"/>
      <c r="AG56" s="1072"/>
      <c r="AH56" s="1072"/>
      <c r="AI56" s="1072"/>
      <c r="AJ56" s="1072"/>
      <c r="AK56" s="1072"/>
      <c r="AL56" s="1072"/>
      <c r="AM56" s="1072"/>
      <c r="AN56" s="1072"/>
      <c r="AO56" s="1072"/>
      <c r="AP56" s="1072"/>
      <c r="AQ56" s="1072"/>
      <c r="AR56" s="1072"/>
      <c r="AS56" s="1072"/>
      <c r="AT56" s="1072"/>
      <c r="AU56" s="1072"/>
      <c r="AV56" s="1072"/>
      <c r="AW56" s="1072"/>
      <c r="AX56" s="1072"/>
      <c r="AY56" s="1072"/>
      <c r="AZ56" s="1072"/>
    </row>
    <row r="57" spans="1:52">
      <c r="A57" s="1072"/>
      <c r="B57" s="1072"/>
      <c r="C57" s="1072"/>
      <c r="D57" s="1072"/>
      <c r="E57" s="1072"/>
      <c r="F57" s="1072"/>
      <c r="G57" s="1072"/>
      <c r="H57" s="1072"/>
      <c r="I57" s="1072"/>
      <c r="J57" s="1072"/>
      <c r="K57" s="1072"/>
      <c r="L57" s="1072"/>
      <c r="M57" s="1072"/>
      <c r="N57" s="1072"/>
      <c r="O57" s="1072"/>
      <c r="P57" s="1072"/>
      <c r="Q57" s="1072"/>
      <c r="R57" s="1072"/>
      <c r="S57" s="1072"/>
      <c r="T57" s="1072"/>
      <c r="U57" s="1072"/>
      <c r="V57" s="1072"/>
      <c r="W57" s="1072"/>
      <c r="X57" s="1072"/>
      <c r="Y57" s="1072"/>
      <c r="Z57" s="1072"/>
      <c r="AA57" s="1072"/>
      <c r="AB57" s="1072"/>
      <c r="AC57" s="1072"/>
      <c r="AD57" s="1072"/>
      <c r="AE57" s="1072"/>
      <c r="AF57" s="1072"/>
      <c r="AG57" s="1072"/>
      <c r="AH57" s="1072"/>
      <c r="AI57" s="1072"/>
      <c r="AJ57" s="1072"/>
      <c r="AK57" s="1072"/>
      <c r="AL57" s="1072"/>
      <c r="AM57" s="1072"/>
      <c r="AN57" s="1072"/>
      <c r="AO57" s="1072"/>
      <c r="AP57" s="1072"/>
      <c r="AQ57" s="1072"/>
      <c r="AR57" s="1072"/>
      <c r="AS57" s="1072"/>
      <c r="AT57" s="1072"/>
      <c r="AU57" s="1072"/>
      <c r="AV57" s="1072"/>
      <c r="AW57" s="1072"/>
      <c r="AX57" s="1072"/>
      <c r="AY57" s="1072"/>
      <c r="AZ57" s="1072"/>
    </row>
    <row r="58" spans="1:52">
      <c r="A58" s="1072"/>
      <c r="B58" s="1072"/>
      <c r="C58" s="1072"/>
      <c r="D58" s="1072"/>
      <c r="E58" s="1072"/>
      <c r="F58" s="1072"/>
      <c r="G58" s="1072"/>
      <c r="H58" s="1072"/>
      <c r="I58" s="1072"/>
      <c r="J58" s="1072"/>
      <c r="K58" s="1072"/>
      <c r="L58" s="1072"/>
      <c r="M58" s="1072"/>
      <c r="N58" s="1072"/>
      <c r="O58" s="1072"/>
      <c r="P58" s="1072"/>
      <c r="Q58" s="1072"/>
      <c r="R58" s="1072"/>
      <c r="S58" s="1072"/>
      <c r="T58" s="1072"/>
      <c r="U58" s="1072"/>
      <c r="V58" s="1072"/>
      <c r="W58" s="1072"/>
      <c r="X58" s="1072"/>
      <c r="Y58" s="1072"/>
      <c r="Z58" s="1072"/>
      <c r="AA58" s="1072"/>
      <c r="AB58" s="1072"/>
      <c r="AC58" s="1072"/>
      <c r="AD58" s="1072"/>
      <c r="AE58" s="1072"/>
      <c r="AF58" s="1072"/>
      <c r="AG58" s="1072"/>
      <c r="AH58" s="1072"/>
      <c r="AI58" s="1072"/>
      <c r="AJ58" s="1072"/>
      <c r="AK58" s="1072"/>
      <c r="AL58" s="1072"/>
      <c r="AM58" s="1072"/>
      <c r="AN58" s="1072"/>
      <c r="AO58" s="1072"/>
      <c r="AP58" s="1072"/>
      <c r="AQ58" s="1072"/>
      <c r="AR58" s="1072"/>
      <c r="AS58" s="1072"/>
      <c r="AT58" s="1072"/>
      <c r="AU58" s="1072"/>
      <c r="AV58" s="1072"/>
      <c r="AW58" s="1072"/>
      <c r="AX58" s="1072"/>
      <c r="AY58" s="1072"/>
      <c r="AZ58" s="1072"/>
    </row>
    <row r="59" spans="1:52">
      <c r="A59" s="1072"/>
      <c r="B59" s="1072"/>
      <c r="C59" s="1072"/>
      <c r="D59" s="1072"/>
      <c r="E59" s="1072"/>
      <c r="F59" s="1072"/>
      <c r="G59" s="1072"/>
      <c r="H59" s="1072"/>
      <c r="I59" s="1072"/>
      <c r="J59" s="1072"/>
      <c r="K59" s="1072"/>
      <c r="L59" s="1072"/>
      <c r="M59" s="1072"/>
      <c r="N59" s="1072"/>
      <c r="O59" s="1072"/>
      <c r="P59" s="1072"/>
      <c r="Q59" s="1072"/>
      <c r="R59" s="1072"/>
      <c r="S59" s="1072"/>
      <c r="T59" s="1072"/>
      <c r="U59" s="1072"/>
      <c r="V59" s="1072"/>
      <c r="W59" s="1072"/>
      <c r="X59" s="1072"/>
      <c r="Y59" s="1072"/>
      <c r="Z59" s="1072"/>
      <c r="AA59" s="1072"/>
      <c r="AB59" s="1072"/>
      <c r="AC59" s="1072"/>
      <c r="AD59" s="1072"/>
      <c r="AE59" s="1072"/>
      <c r="AF59" s="1072"/>
      <c r="AG59" s="1072"/>
      <c r="AH59" s="1072"/>
      <c r="AI59" s="1072"/>
      <c r="AJ59" s="1072"/>
      <c r="AK59" s="1072"/>
      <c r="AL59" s="1072"/>
      <c r="AM59" s="1072"/>
      <c r="AN59" s="1072"/>
      <c r="AO59" s="1072"/>
      <c r="AP59" s="1072"/>
      <c r="AQ59" s="1072"/>
      <c r="AR59" s="1072"/>
      <c r="AS59" s="1072"/>
      <c r="AT59" s="1072"/>
      <c r="AU59" s="1072"/>
      <c r="AV59" s="1072"/>
      <c r="AW59" s="1072"/>
      <c r="AX59" s="1072"/>
      <c r="AY59" s="1072"/>
      <c r="AZ59" s="1072"/>
    </row>
    <row r="60" spans="1:52">
      <c r="A60" s="1072"/>
      <c r="B60" s="1072"/>
      <c r="C60" s="1072"/>
      <c r="D60" s="1072"/>
      <c r="E60" s="1072"/>
      <c r="F60" s="1072"/>
      <c r="G60" s="1072"/>
      <c r="H60" s="1072"/>
      <c r="I60" s="1072"/>
      <c r="J60" s="1072"/>
      <c r="K60" s="1072"/>
      <c r="L60" s="1072"/>
      <c r="M60" s="1072"/>
      <c r="N60" s="1072"/>
      <c r="O60" s="1072"/>
      <c r="P60" s="1072"/>
      <c r="Q60" s="1072"/>
      <c r="R60" s="1072"/>
      <c r="S60" s="1072"/>
      <c r="T60" s="1072"/>
      <c r="U60" s="1072"/>
      <c r="V60" s="1072"/>
      <c r="W60" s="1072"/>
      <c r="X60" s="1072"/>
      <c r="Y60" s="1072"/>
      <c r="Z60" s="1072"/>
      <c r="AA60" s="1072"/>
      <c r="AB60" s="1072"/>
      <c r="AC60" s="1072"/>
      <c r="AD60" s="1072"/>
      <c r="AE60" s="1072"/>
      <c r="AF60" s="1072"/>
      <c r="AG60" s="1072"/>
      <c r="AH60" s="1072"/>
      <c r="AI60" s="1072"/>
      <c r="AJ60" s="1072"/>
      <c r="AK60" s="1072"/>
      <c r="AL60" s="1072"/>
      <c r="AM60" s="1072"/>
      <c r="AN60" s="1072"/>
      <c r="AO60" s="1072"/>
      <c r="AP60" s="1072"/>
      <c r="AQ60" s="1072"/>
      <c r="AR60" s="1072"/>
      <c r="AS60" s="1072"/>
      <c r="AT60" s="1072"/>
      <c r="AU60" s="1072"/>
      <c r="AV60" s="1072"/>
      <c r="AW60" s="1072"/>
      <c r="AX60" s="1072"/>
      <c r="AY60" s="1072"/>
      <c r="AZ60" s="1072"/>
    </row>
    <row r="61" spans="1:52">
      <c r="A61" s="1072"/>
      <c r="B61" s="1072"/>
      <c r="C61" s="1072"/>
      <c r="D61" s="1072"/>
      <c r="E61" s="1072"/>
      <c r="F61" s="1072"/>
      <c r="G61" s="1072"/>
      <c r="H61" s="1072"/>
      <c r="I61" s="1072"/>
      <c r="J61" s="1072"/>
      <c r="K61" s="1072"/>
      <c r="L61" s="1072"/>
      <c r="M61" s="1072"/>
      <c r="N61" s="1072"/>
      <c r="O61" s="1072"/>
      <c r="P61" s="1072"/>
      <c r="Q61" s="1072"/>
      <c r="R61" s="1072"/>
      <c r="S61" s="1072"/>
      <c r="T61" s="1072"/>
      <c r="U61" s="1072"/>
      <c r="V61" s="1072"/>
      <c r="W61" s="1072"/>
      <c r="X61" s="1072"/>
      <c r="Y61" s="1072"/>
      <c r="Z61" s="1072"/>
      <c r="AA61" s="1072"/>
      <c r="AB61" s="1072"/>
      <c r="AC61" s="1072"/>
      <c r="AD61" s="1072"/>
      <c r="AE61" s="1072"/>
      <c r="AF61" s="1072"/>
      <c r="AG61" s="1072"/>
      <c r="AH61" s="1072"/>
      <c r="AI61" s="1072"/>
      <c r="AJ61" s="1072"/>
      <c r="AK61" s="1072"/>
      <c r="AL61" s="1072"/>
      <c r="AM61" s="1072"/>
      <c r="AN61" s="1072"/>
      <c r="AO61" s="1072"/>
      <c r="AP61" s="1072"/>
      <c r="AQ61" s="1072"/>
      <c r="AR61" s="1072"/>
      <c r="AS61" s="1072"/>
      <c r="AT61" s="1072"/>
      <c r="AU61" s="1072"/>
      <c r="AV61" s="1072"/>
      <c r="AW61" s="1072"/>
      <c r="AX61" s="1072"/>
      <c r="AY61" s="1072"/>
      <c r="AZ61" s="1072"/>
    </row>
    <row r="62" spans="1:52">
      <c r="A62" s="1072"/>
      <c r="B62" s="1072"/>
      <c r="C62" s="1072"/>
      <c r="D62" s="1072"/>
      <c r="E62" s="1072"/>
      <c r="F62" s="1072"/>
      <c r="G62" s="1072"/>
      <c r="H62" s="1072"/>
      <c r="I62" s="1072"/>
      <c r="J62" s="1072"/>
      <c r="K62" s="1072"/>
      <c r="L62" s="1072"/>
      <c r="M62" s="1072"/>
      <c r="N62" s="1072"/>
      <c r="O62" s="1072"/>
      <c r="P62" s="1072"/>
      <c r="Q62" s="1072"/>
      <c r="R62" s="1072"/>
      <c r="S62" s="1072"/>
      <c r="T62" s="1072"/>
      <c r="U62" s="1072"/>
      <c r="V62" s="1072"/>
      <c r="W62" s="1072"/>
      <c r="X62" s="1072"/>
      <c r="Y62" s="1072"/>
      <c r="Z62" s="1072"/>
      <c r="AA62" s="1072"/>
      <c r="AB62" s="1072"/>
      <c r="AC62" s="1072"/>
      <c r="AD62" s="1072"/>
      <c r="AE62" s="1072"/>
      <c r="AF62" s="1072"/>
      <c r="AG62" s="1072"/>
      <c r="AH62" s="1072"/>
      <c r="AI62" s="1072"/>
      <c r="AJ62" s="1072"/>
      <c r="AK62" s="1072"/>
      <c r="AL62" s="1072"/>
      <c r="AM62" s="1072"/>
      <c r="AN62" s="1072"/>
      <c r="AO62" s="1072"/>
      <c r="AP62" s="1072"/>
      <c r="AQ62" s="1072"/>
      <c r="AR62" s="1072"/>
      <c r="AS62" s="1072"/>
      <c r="AT62" s="1072"/>
      <c r="AU62" s="1072"/>
      <c r="AV62" s="1072"/>
      <c r="AW62" s="1072"/>
      <c r="AX62" s="1072"/>
      <c r="AY62" s="1072"/>
      <c r="AZ62" s="1072"/>
    </row>
    <row r="63" spans="1:52">
      <c r="A63" s="1072"/>
      <c r="B63" s="1072"/>
      <c r="C63" s="1072"/>
      <c r="D63" s="1072"/>
      <c r="E63" s="1072"/>
      <c r="F63" s="1072"/>
      <c r="G63" s="1072"/>
      <c r="H63" s="1072"/>
      <c r="I63" s="1072"/>
      <c r="J63" s="1072"/>
      <c r="K63" s="1072"/>
      <c r="L63" s="1072"/>
      <c r="M63" s="1072"/>
      <c r="N63" s="1072"/>
      <c r="O63" s="1072"/>
      <c r="P63" s="1072"/>
      <c r="Q63" s="1072"/>
      <c r="R63" s="1072"/>
      <c r="S63" s="1072"/>
      <c r="T63" s="1072"/>
      <c r="U63" s="1072"/>
      <c r="V63" s="1072"/>
      <c r="W63" s="1072"/>
      <c r="X63" s="1072"/>
      <c r="Y63" s="1072"/>
      <c r="Z63" s="1072"/>
      <c r="AA63" s="1072"/>
      <c r="AB63" s="1072"/>
      <c r="AC63" s="1072"/>
      <c r="AD63" s="1072"/>
      <c r="AE63" s="1072"/>
      <c r="AF63" s="1072"/>
      <c r="AG63" s="1072"/>
      <c r="AH63" s="1072"/>
      <c r="AI63" s="1072"/>
      <c r="AJ63" s="1072"/>
      <c r="AK63" s="1072"/>
      <c r="AL63" s="1072"/>
      <c r="AM63" s="1072"/>
      <c r="AN63" s="1072"/>
      <c r="AO63" s="1072"/>
      <c r="AP63" s="1072"/>
      <c r="AQ63" s="1072"/>
      <c r="AR63" s="1072"/>
      <c r="AS63" s="1072"/>
      <c r="AT63" s="1072"/>
      <c r="AU63" s="1072"/>
      <c r="AV63" s="1072"/>
      <c r="AW63" s="1072"/>
      <c r="AX63" s="1072"/>
      <c r="AY63" s="1072"/>
      <c r="AZ63" s="1072"/>
    </row>
    <row r="64" spans="1:52">
      <c r="A64" s="1072"/>
      <c r="B64" s="1072"/>
      <c r="C64" s="1072"/>
      <c r="D64" s="1072"/>
      <c r="E64" s="1072"/>
      <c r="F64" s="1072"/>
      <c r="G64" s="1072"/>
      <c r="H64" s="1072"/>
      <c r="I64" s="1072"/>
      <c r="J64" s="1072"/>
      <c r="K64" s="1072"/>
      <c r="L64" s="1072"/>
      <c r="M64" s="1072"/>
      <c r="N64" s="1072"/>
      <c r="O64" s="1072"/>
      <c r="P64" s="1072"/>
      <c r="Q64" s="1072"/>
      <c r="R64" s="1072"/>
      <c r="S64" s="1072"/>
      <c r="T64" s="1072"/>
      <c r="U64" s="1072"/>
      <c r="V64" s="1072"/>
      <c r="W64" s="1072"/>
      <c r="X64" s="1072"/>
      <c r="Y64" s="1072"/>
      <c r="Z64" s="1072"/>
      <c r="AA64" s="1072"/>
      <c r="AB64" s="1072"/>
      <c r="AC64" s="1072"/>
      <c r="AD64" s="1072"/>
      <c r="AE64" s="1072"/>
      <c r="AF64" s="1072"/>
      <c r="AG64" s="1072"/>
      <c r="AH64" s="1072"/>
      <c r="AI64" s="1072"/>
      <c r="AJ64" s="1072"/>
      <c r="AK64" s="1072"/>
      <c r="AL64" s="1072"/>
      <c r="AM64" s="1072"/>
      <c r="AN64" s="1072"/>
      <c r="AO64" s="1072"/>
      <c r="AP64" s="1072"/>
      <c r="AQ64" s="1072"/>
      <c r="AR64" s="1072"/>
      <c r="AS64" s="1072"/>
      <c r="AT64" s="1072"/>
      <c r="AU64" s="1072"/>
      <c r="AV64" s="1072"/>
      <c r="AW64" s="1072"/>
      <c r="AX64" s="1072"/>
      <c r="AY64" s="1072"/>
      <c r="AZ64" s="1072"/>
    </row>
    <row r="65" spans="1:52">
      <c r="A65" s="1072"/>
      <c r="B65" s="1072"/>
      <c r="C65" s="1072"/>
      <c r="D65" s="1072"/>
      <c r="E65" s="1072"/>
      <c r="F65" s="1072"/>
      <c r="G65" s="1072"/>
      <c r="H65" s="1072"/>
      <c r="I65" s="1072"/>
      <c r="J65" s="1072"/>
      <c r="K65" s="1072"/>
      <c r="L65" s="1072"/>
      <c r="M65" s="1072"/>
      <c r="N65" s="1072"/>
      <c r="O65" s="1072"/>
      <c r="P65" s="1072"/>
      <c r="Q65" s="1072"/>
      <c r="R65" s="1072"/>
      <c r="S65" s="1072"/>
      <c r="T65" s="1072"/>
      <c r="U65" s="1072"/>
      <c r="V65" s="1072"/>
      <c r="W65" s="1072"/>
      <c r="X65" s="1072"/>
      <c r="Y65" s="1072"/>
      <c r="Z65" s="1072"/>
      <c r="AA65" s="1072"/>
      <c r="AB65" s="1072"/>
      <c r="AC65" s="1072"/>
      <c r="AD65" s="1072"/>
      <c r="AE65" s="1072"/>
      <c r="AF65" s="1072"/>
      <c r="AG65" s="1072"/>
      <c r="AH65" s="1072"/>
      <c r="AI65" s="1072"/>
      <c r="AJ65" s="1072"/>
      <c r="AK65" s="1072"/>
      <c r="AL65" s="1072"/>
      <c r="AM65" s="1072"/>
      <c r="AN65" s="1072"/>
      <c r="AO65" s="1072"/>
      <c r="AP65" s="1072"/>
      <c r="AQ65" s="1072"/>
      <c r="AR65" s="1072"/>
      <c r="AS65" s="1072"/>
      <c r="AT65" s="1072"/>
      <c r="AU65" s="1072"/>
      <c r="AV65" s="1072"/>
      <c r="AW65" s="1072"/>
      <c r="AX65" s="1072"/>
      <c r="AY65" s="1072"/>
      <c r="AZ65" s="1072"/>
    </row>
    <row r="66" spans="1:52">
      <c r="A66" s="1072"/>
      <c r="B66" s="1072"/>
      <c r="C66" s="1072"/>
      <c r="D66" s="1072"/>
      <c r="E66" s="1072"/>
      <c r="F66" s="1072"/>
      <c r="G66" s="1072"/>
      <c r="H66" s="1072"/>
      <c r="I66" s="1072"/>
      <c r="J66" s="1072"/>
      <c r="K66" s="1072"/>
      <c r="L66" s="1072"/>
      <c r="M66" s="1072"/>
      <c r="N66" s="1072"/>
      <c r="O66" s="1072"/>
      <c r="P66" s="1072"/>
      <c r="Q66" s="1072"/>
      <c r="R66" s="1072"/>
      <c r="S66" s="1072"/>
      <c r="T66" s="1072"/>
      <c r="U66" s="1072"/>
      <c r="V66" s="1072"/>
      <c r="W66" s="1072"/>
      <c r="X66" s="1072"/>
      <c r="Y66" s="1072"/>
      <c r="Z66" s="1072"/>
      <c r="AA66" s="1072"/>
      <c r="AB66" s="1072"/>
      <c r="AC66" s="1072"/>
      <c r="AD66" s="1072"/>
      <c r="AE66" s="1072"/>
      <c r="AF66" s="1072"/>
      <c r="AG66" s="1072"/>
      <c r="AH66" s="1072"/>
      <c r="AI66" s="1072"/>
      <c r="AJ66" s="1072"/>
      <c r="AK66" s="1072"/>
      <c r="AL66" s="1072"/>
      <c r="AM66" s="1072"/>
      <c r="AN66" s="1072"/>
      <c r="AO66" s="1072"/>
      <c r="AP66" s="1072"/>
      <c r="AQ66" s="1072"/>
      <c r="AR66" s="1072"/>
      <c r="AS66" s="1072"/>
      <c r="AT66" s="1072"/>
      <c r="AU66" s="1072"/>
      <c r="AV66" s="1072"/>
      <c r="AW66" s="1072"/>
      <c r="AX66" s="1072"/>
      <c r="AY66" s="1072"/>
      <c r="AZ66" s="1072"/>
    </row>
    <row r="67" spans="1:52">
      <c r="A67" s="1072"/>
      <c r="B67" s="1072"/>
      <c r="C67" s="1072"/>
      <c r="D67" s="1072"/>
      <c r="E67" s="1072"/>
      <c r="F67" s="1072"/>
      <c r="G67" s="1072"/>
      <c r="H67" s="1072"/>
      <c r="I67" s="1072"/>
      <c r="J67" s="1072"/>
      <c r="K67" s="1072"/>
      <c r="L67" s="1072"/>
      <c r="M67" s="1072"/>
      <c r="N67" s="1072"/>
      <c r="O67" s="1072"/>
      <c r="P67" s="1072"/>
      <c r="Q67" s="1072"/>
      <c r="R67" s="1072"/>
      <c r="S67" s="1072"/>
      <c r="T67" s="1072"/>
      <c r="U67" s="1072"/>
      <c r="V67" s="1072"/>
      <c r="W67" s="1072"/>
      <c r="X67" s="1072"/>
      <c r="Y67" s="1072"/>
      <c r="Z67" s="1072"/>
      <c r="AA67" s="1072"/>
      <c r="AB67" s="1072"/>
      <c r="AC67" s="1072"/>
      <c r="AD67" s="1072"/>
      <c r="AE67" s="1072"/>
      <c r="AF67" s="1072"/>
      <c r="AG67" s="1072"/>
      <c r="AH67" s="1072"/>
      <c r="AI67" s="1072"/>
      <c r="AJ67" s="1072"/>
      <c r="AK67" s="1072"/>
      <c r="AL67" s="1072"/>
      <c r="AM67" s="1072"/>
      <c r="AN67" s="1072"/>
      <c r="AO67" s="1072"/>
      <c r="AP67" s="1072"/>
      <c r="AQ67" s="1072"/>
      <c r="AR67" s="1072"/>
      <c r="AS67" s="1072"/>
      <c r="AT67" s="1072"/>
      <c r="AU67" s="1072"/>
      <c r="AV67" s="1072"/>
      <c r="AW67" s="1072"/>
      <c r="AX67" s="1072"/>
      <c r="AY67" s="1072"/>
      <c r="AZ67" s="1072"/>
    </row>
    <row r="68" spans="1:52">
      <c r="A68" s="1072"/>
      <c r="B68" s="1072"/>
      <c r="C68" s="1072"/>
      <c r="D68" s="1072"/>
      <c r="E68" s="1072"/>
      <c r="F68" s="1072"/>
      <c r="G68" s="1072"/>
      <c r="H68" s="1072"/>
      <c r="I68" s="1072"/>
      <c r="J68" s="1072"/>
      <c r="K68" s="1072"/>
      <c r="L68" s="1072"/>
      <c r="M68" s="1072"/>
      <c r="N68" s="1072"/>
      <c r="O68" s="1072"/>
      <c r="P68" s="1072"/>
      <c r="Q68" s="1072"/>
      <c r="R68" s="1072"/>
      <c r="S68" s="1072"/>
      <c r="T68" s="1072"/>
      <c r="U68" s="1072"/>
      <c r="V68" s="1072"/>
      <c r="W68" s="1072"/>
      <c r="X68" s="1072"/>
      <c r="Y68" s="1072"/>
      <c r="Z68" s="1072"/>
      <c r="AA68" s="1072"/>
      <c r="AB68" s="1072"/>
      <c r="AC68" s="1072"/>
      <c r="AD68" s="1072"/>
      <c r="AE68" s="1072"/>
      <c r="AF68" s="1072"/>
      <c r="AG68" s="1072"/>
      <c r="AH68" s="1072"/>
      <c r="AI68" s="1072"/>
      <c r="AJ68" s="1072"/>
      <c r="AK68" s="1072"/>
      <c r="AL68" s="1072"/>
      <c r="AM68" s="1072"/>
      <c r="AN68" s="1072"/>
      <c r="AO68" s="1072"/>
      <c r="AP68" s="1072"/>
      <c r="AQ68" s="1072"/>
      <c r="AR68" s="1072"/>
      <c r="AS68" s="1072"/>
      <c r="AT68" s="1072"/>
      <c r="AU68" s="1072"/>
      <c r="AV68" s="1072"/>
      <c r="AW68" s="1072"/>
      <c r="AX68" s="1072"/>
      <c r="AY68" s="1072"/>
      <c r="AZ68" s="1072"/>
    </row>
    <row r="69" spans="1:52">
      <c r="A69" s="1072"/>
      <c r="B69" s="1072"/>
      <c r="C69" s="1072"/>
      <c r="D69" s="1072"/>
      <c r="E69" s="1072"/>
      <c r="F69" s="1072"/>
      <c r="G69" s="1072"/>
      <c r="H69" s="1072"/>
      <c r="I69" s="1072"/>
      <c r="J69" s="1072"/>
      <c r="K69" s="1072"/>
      <c r="L69" s="1072"/>
      <c r="M69" s="1072"/>
      <c r="N69" s="1072"/>
      <c r="O69" s="1072"/>
      <c r="P69" s="1072"/>
      <c r="Q69" s="1072"/>
      <c r="R69" s="1072"/>
      <c r="S69" s="1072"/>
      <c r="T69" s="1072"/>
      <c r="U69" s="1072"/>
      <c r="V69" s="1072"/>
      <c r="W69" s="1072"/>
      <c r="X69" s="1072"/>
      <c r="Y69" s="1072"/>
      <c r="Z69" s="1072"/>
      <c r="AA69" s="1072"/>
      <c r="AB69" s="1072"/>
      <c r="AC69" s="1072"/>
      <c r="AD69" s="1072"/>
      <c r="AE69" s="1072"/>
      <c r="AF69" s="1072"/>
      <c r="AG69" s="1072"/>
      <c r="AH69" s="1072"/>
      <c r="AI69" s="1072"/>
      <c r="AJ69" s="1072"/>
      <c r="AK69" s="1072"/>
      <c r="AL69" s="1072"/>
      <c r="AM69" s="1072"/>
      <c r="AN69" s="1072"/>
      <c r="AO69" s="1072"/>
      <c r="AP69" s="1072"/>
      <c r="AQ69" s="1072"/>
      <c r="AR69" s="1072"/>
      <c r="AS69" s="1072"/>
      <c r="AT69" s="1072"/>
      <c r="AU69" s="1072"/>
      <c r="AV69" s="1072"/>
      <c r="AW69" s="1072"/>
      <c r="AX69" s="1072"/>
      <c r="AY69" s="1072"/>
      <c r="AZ69" s="1072"/>
    </row>
    <row r="70" spans="1:52">
      <c r="A70" s="1072"/>
      <c r="B70" s="1072"/>
      <c r="C70" s="1072"/>
      <c r="D70" s="1072"/>
      <c r="E70" s="1072"/>
      <c r="F70" s="1072"/>
      <c r="G70" s="1072"/>
      <c r="H70" s="1072"/>
      <c r="I70" s="1072"/>
      <c r="J70" s="1072"/>
      <c r="K70" s="1072"/>
      <c r="L70" s="1072"/>
      <c r="M70" s="1072"/>
      <c r="N70" s="1072"/>
      <c r="O70" s="1072"/>
      <c r="P70" s="1072"/>
      <c r="Q70" s="1072"/>
      <c r="R70" s="1072"/>
      <c r="S70" s="1072"/>
      <c r="T70" s="1072"/>
      <c r="U70" s="1072"/>
      <c r="V70" s="1072"/>
      <c r="W70" s="1072"/>
      <c r="X70" s="1072"/>
      <c r="Y70" s="1072"/>
      <c r="Z70" s="1072"/>
      <c r="AA70" s="1072"/>
      <c r="AB70" s="1072"/>
      <c r="AC70" s="1072"/>
      <c r="AD70" s="1072"/>
      <c r="AE70" s="1072"/>
      <c r="AF70" s="1072"/>
      <c r="AG70" s="1072"/>
      <c r="AH70" s="1072"/>
      <c r="AI70" s="1072"/>
      <c r="AJ70" s="1072"/>
      <c r="AK70" s="1072"/>
      <c r="AL70" s="1072"/>
      <c r="AM70" s="1072"/>
      <c r="AN70" s="1072"/>
      <c r="AO70" s="1072"/>
      <c r="AP70" s="1072"/>
      <c r="AQ70" s="1072"/>
      <c r="AR70" s="1072"/>
      <c r="AS70" s="1072"/>
      <c r="AT70" s="1072"/>
      <c r="AU70" s="1072"/>
      <c r="AV70" s="1072"/>
      <c r="AW70" s="1072"/>
      <c r="AX70" s="1072"/>
      <c r="AY70" s="1072"/>
      <c r="AZ70" s="1072"/>
    </row>
    <row r="71" spans="1:52">
      <c r="A71" s="1072"/>
      <c r="B71" s="1072"/>
      <c r="C71" s="1072"/>
      <c r="D71" s="1072"/>
      <c r="E71" s="1072"/>
      <c r="F71" s="1072"/>
      <c r="G71" s="1072"/>
      <c r="H71" s="1072"/>
      <c r="I71" s="1072"/>
      <c r="J71" s="1072"/>
      <c r="K71" s="1072"/>
      <c r="L71" s="1072"/>
      <c r="M71" s="1072"/>
      <c r="N71" s="1072"/>
      <c r="O71" s="1072"/>
      <c r="P71" s="1072"/>
      <c r="Q71" s="1072"/>
      <c r="R71" s="1072"/>
      <c r="S71" s="1072"/>
      <c r="T71" s="1072"/>
      <c r="U71" s="1072"/>
      <c r="V71" s="1072"/>
      <c r="W71" s="1072"/>
      <c r="X71" s="1072"/>
      <c r="Y71" s="1072"/>
      <c r="Z71" s="1072"/>
      <c r="AA71" s="1072"/>
      <c r="AB71" s="1072"/>
      <c r="AC71" s="1072"/>
      <c r="AD71" s="1072"/>
      <c r="AE71" s="1072"/>
      <c r="AF71" s="1072"/>
      <c r="AG71" s="1072"/>
      <c r="AH71" s="1072"/>
      <c r="AI71" s="1072"/>
      <c r="AJ71" s="1072"/>
      <c r="AK71" s="1072"/>
      <c r="AL71" s="1072"/>
      <c r="AM71" s="1072"/>
      <c r="AN71" s="1072"/>
      <c r="AO71" s="1072"/>
      <c r="AP71" s="1072"/>
      <c r="AQ71" s="1072"/>
      <c r="AR71" s="1072"/>
      <c r="AS71" s="1072"/>
      <c r="AT71" s="1072"/>
      <c r="AU71" s="1072"/>
      <c r="AV71" s="1072"/>
      <c r="AW71" s="1072"/>
      <c r="AX71" s="1072"/>
      <c r="AY71" s="1072"/>
      <c r="AZ71" s="1072"/>
    </row>
    <row r="72" spans="1:52">
      <c r="A72" s="1072"/>
      <c r="B72" s="1072"/>
      <c r="C72" s="1072"/>
      <c r="D72" s="1072"/>
      <c r="E72" s="1072"/>
      <c r="F72" s="1072"/>
      <c r="G72" s="1072"/>
      <c r="H72" s="1072"/>
      <c r="I72" s="1072"/>
      <c r="J72" s="1072"/>
      <c r="K72" s="1072"/>
      <c r="L72" s="1072"/>
      <c r="M72" s="1072"/>
      <c r="N72" s="1072"/>
      <c r="O72" s="1072"/>
      <c r="P72" s="1072"/>
      <c r="Q72" s="1072"/>
      <c r="R72" s="1072"/>
      <c r="S72" s="1072"/>
      <c r="T72" s="1072"/>
      <c r="U72" s="1072"/>
      <c r="V72" s="1072"/>
      <c r="W72" s="1072"/>
      <c r="X72" s="1072"/>
      <c r="Y72" s="1072"/>
      <c r="Z72" s="1072"/>
      <c r="AA72" s="1072"/>
      <c r="AB72" s="1072"/>
      <c r="AC72" s="1072"/>
      <c r="AD72" s="1072"/>
      <c r="AE72" s="1072"/>
      <c r="AF72" s="1072"/>
      <c r="AG72" s="1072"/>
      <c r="AH72" s="1072"/>
      <c r="AI72" s="1072"/>
      <c r="AJ72" s="1072"/>
      <c r="AK72" s="1072"/>
      <c r="AL72" s="1072"/>
      <c r="AM72" s="1072"/>
      <c r="AN72" s="1072"/>
      <c r="AO72" s="1072"/>
      <c r="AP72" s="1072"/>
      <c r="AQ72" s="1072"/>
      <c r="AR72" s="1072"/>
      <c r="AS72" s="1072"/>
      <c r="AT72" s="1072"/>
      <c r="AU72" s="1072"/>
      <c r="AV72" s="1072"/>
      <c r="AW72" s="1072"/>
      <c r="AX72" s="1072"/>
      <c r="AY72" s="1072"/>
      <c r="AZ72" s="1072"/>
    </row>
    <row r="73" spans="1:52">
      <c r="A73" s="1072"/>
      <c r="B73" s="1072"/>
      <c r="C73" s="1072"/>
      <c r="D73" s="1072"/>
      <c r="E73" s="1072"/>
      <c r="F73" s="1072"/>
      <c r="G73" s="1072"/>
      <c r="H73" s="1072"/>
      <c r="I73" s="1072"/>
      <c r="J73" s="1072"/>
      <c r="K73" s="1072"/>
      <c r="L73" s="1072"/>
      <c r="M73" s="1072"/>
      <c r="N73" s="1072"/>
      <c r="O73" s="1072"/>
      <c r="P73" s="1072"/>
      <c r="Q73" s="1072"/>
      <c r="R73" s="1072"/>
      <c r="S73" s="1072"/>
      <c r="T73" s="1072"/>
      <c r="U73" s="1072"/>
      <c r="V73" s="1072"/>
      <c r="W73" s="1072"/>
      <c r="X73" s="1072"/>
      <c r="Y73" s="1072"/>
      <c r="Z73" s="1072"/>
      <c r="AA73" s="1072"/>
      <c r="AB73" s="1072"/>
      <c r="AC73" s="1072"/>
      <c r="AD73" s="1072"/>
      <c r="AE73" s="1072"/>
      <c r="AF73" s="1072"/>
      <c r="AG73" s="1072"/>
      <c r="AH73" s="1072"/>
      <c r="AI73" s="1072"/>
      <c r="AJ73" s="1072"/>
      <c r="AK73" s="1072"/>
      <c r="AL73" s="1072"/>
      <c r="AM73" s="1072"/>
      <c r="AN73" s="1072"/>
      <c r="AO73" s="1072"/>
      <c r="AP73" s="1072"/>
      <c r="AQ73" s="1072"/>
      <c r="AR73" s="1072"/>
      <c r="AS73" s="1072"/>
      <c r="AT73" s="1072"/>
      <c r="AU73" s="1072"/>
      <c r="AV73" s="1072"/>
      <c r="AW73" s="1072"/>
      <c r="AX73" s="1072"/>
      <c r="AY73" s="1072"/>
      <c r="AZ73" s="1072"/>
    </row>
    <row r="74" spans="1:52">
      <c r="A74" s="1072"/>
      <c r="B74" s="1072"/>
      <c r="C74" s="1072"/>
      <c r="D74" s="1072"/>
      <c r="E74" s="1072"/>
      <c r="F74" s="1072"/>
      <c r="G74" s="1072"/>
      <c r="H74" s="1072"/>
      <c r="I74" s="1072"/>
      <c r="J74" s="1072"/>
      <c r="K74" s="1072"/>
      <c r="L74" s="1072"/>
      <c r="M74" s="1072"/>
      <c r="N74" s="1072"/>
      <c r="O74" s="1072"/>
      <c r="P74" s="1072"/>
      <c r="Q74" s="1072"/>
      <c r="R74" s="1072"/>
      <c r="S74" s="1072"/>
      <c r="T74" s="1072"/>
      <c r="U74" s="1072"/>
      <c r="V74" s="1072"/>
      <c r="W74" s="1072"/>
      <c r="X74" s="1072"/>
      <c r="Y74" s="1072"/>
      <c r="Z74" s="1072"/>
      <c r="AA74" s="1072"/>
      <c r="AB74" s="1072"/>
      <c r="AC74" s="1072"/>
      <c r="AD74" s="1072"/>
      <c r="AE74" s="1072"/>
      <c r="AF74" s="1072"/>
      <c r="AG74" s="1072"/>
      <c r="AH74" s="1072"/>
      <c r="AI74" s="1072"/>
      <c r="AJ74" s="1072"/>
      <c r="AK74" s="1072"/>
      <c r="AL74" s="1072"/>
      <c r="AM74" s="1072"/>
      <c r="AN74" s="1072"/>
      <c r="AO74" s="1072"/>
      <c r="AP74" s="1072"/>
      <c r="AQ74" s="1072"/>
      <c r="AR74" s="1072"/>
      <c r="AS74" s="1072"/>
      <c r="AT74" s="1072"/>
      <c r="AU74" s="1072"/>
      <c r="AV74" s="1072"/>
      <c r="AW74" s="1072"/>
      <c r="AX74" s="1072"/>
      <c r="AY74" s="1072"/>
      <c r="AZ74" s="1072"/>
    </row>
    <row r="75" spans="1:52">
      <c r="A75" s="1072"/>
      <c r="B75" s="1072"/>
      <c r="C75" s="1072"/>
      <c r="D75" s="1072"/>
      <c r="E75" s="1072"/>
      <c r="F75" s="1072"/>
      <c r="G75" s="1072"/>
      <c r="H75" s="1072"/>
      <c r="I75" s="1072"/>
      <c r="J75" s="1072"/>
      <c r="K75" s="1072"/>
      <c r="L75" s="1072"/>
      <c r="M75" s="1072"/>
      <c r="N75" s="1072"/>
      <c r="O75" s="1072"/>
      <c r="P75" s="1072"/>
      <c r="Q75" s="1072"/>
      <c r="R75" s="1072"/>
      <c r="S75" s="1072"/>
      <c r="T75" s="1072"/>
      <c r="U75" s="1072"/>
      <c r="V75" s="1072"/>
      <c r="W75" s="1072"/>
      <c r="X75" s="1072"/>
      <c r="Y75" s="1072"/>
      <c r="Z75" s="1072"/>
      <c r="AA75" s="1072"/>
      <c r="AB75" s="1072"/>
      <c r="AC75" s="1072"/>
      <c r="AD75" s="1072"/>
      <c r="AE75" s="1072"/>
      <c r="AF75" s="1072"/>
      <c r="AG75" s="1072"/>
      <c r="AH75" s="1072"/>
      <c r="AI75" s="1072"/>
      <c r="AJ75" s="1072"/>
      <c r="AK75" s="1072"/>
      <c r="AL75" s="1072"/>
      <c r="AM75" s="1072"/>
      <c r="AN75" s="1072"/>
      <c r="AO75" s="1072"/>
      <c r="AP75" s="1072"/>
      <c r="AQ75" s="1072"/>
      <c r="AR75" s="1072"/>
      <c r="AS75" s="1072"/>
      <c r="AT75" s="1072"/>
      <c r="AU75" s="1072"/>
      <c r="AV75" s="1072"/>
      <c r="AW75" s="1072"/>
      <c r="AX75" s="1072"/>
      <c r="AY75" s="1072"/>
      <c r="AZ75" s="1072"/>
    </row>
    <row r="76" spans="1:52">
      <c r="A76" s="1072"/>
      <c r="B76" s="1072"/>
      <c r="C76" s="1072"/>
      <c r="D76" s="1072"/>
      <c r="E76" s="1072"/>
      <c r="F76" s="1072"/>
      <c r="G76" s="1072"/>
      <c r="H76" s="1072"/>
      <c r="I76" s="1072"/>
      <c r="J76" s="1072"/>
      <c r="K76" s="1072"/>
      <c r="L76" s="1072"/>
      <c r="M76" s="1072"/>
      <c r="N76" s="1072"/>
      <c r="O76" s="1072"/>
      <c r="P76" s="1072"/>
      <c r="Q76" s="1072"/>
      <c r="R76" s="1072"/>
      <c r="S76" s="1072"/>
      <c r="T76" s="1072"/>
      <c r="U76" s="1072"/>
      <c r="V76" s="1072"/>
      <c r="W76" s="1072"/>
      <c r="X76" s="1072"/>
      <c r="Y76" s="1072"/>
      <c r="Z76" s="1072"/>
      <c r="AA76" s="1072"/>
      <c r="AB76" s="1072"/>
      <c r="AC76" s="1072"/>
      <c r="AD76" s="1072"/>
      <c r="AE76" s="1072"/>
      <c r="AF76" s="1072"/>
      <c r="AG76" s="1072"/>
      <c r="AH76" s="1072"/>
      <c r="AI76" s="1072"/>
      <c r="AJ76" s="1072"/>
      <c r="AK76" s="1072"/>
      <c r="AL76" s="1072"/>
      <c r="AM76" s="1072"/>
      <c r="AN76" s="1072"/>
      <c r="AO76" s="1072"/>
      <c r="AP76" s="1072"/>
      <c r="AQ76" s="1072"/>
      <c r="AR76" s="1072"/>
      <c r="AS76" s="1072"/>
      <c r="AT76" s="1072"/>
      <c r="AU76" s="1072"/>
      <c r="AV76" s="1072"/>
      <c r="AW76" s="1072"/>
      <c r="AX76" s="1072"/>
      <c r="AY76" s="1072"/>
      <c r="AZ76" s="1072"/>
    </row>
    <row r="77" spans="1:52">
      <c r="A77" s="1072"/>
      <c r="B77" s="1072"/>
      <c r="C77" s="1072"/>
      <c r="D77" s="1072"/>
      <c r="E77" s="1072"/>
      <c r="F77" s="1072"/>
      <c r="G77" s="1072"/>
      <c r="H77" s="1072"/>
      <c r="I77" s="1072"/>
      <c r="J77" s="1072"/>
      <c r="K77" s="1072"/>
      <c r="L77" s="1072"/>
      <c r="M77" s="1072"/>
      <c r="N77" s="1072"/>
      <c r="O77" s="1072"/>
      <c r="P77" s="1072"/>
      <c r="Q77" s="1072"/>
      <c r="R77" s="1072"/>
      <c r="S77" s="1072"/>
      <c r="T77" s="1072"/>
      <c r="U77" s="1072"/>
      <c r="V77" s="1072"/>
      <c r="W77" s="1072"/>
      <c r="X77" s="1072"/>
      <c r="Y77" s="1072"/>
      <c r="Z77" s="1072"/>
      <c r="AA77" s="1072"/>
      <c r="AB77" s="1072"/>
      <c r="AC77" s="1072"/>
      <c r="AD77" s="1072"/>
      <c r="AE77" s="1072"/>
      <c r="AF77" s="1072"/>
      <c r="AG77" s="1072"/>
      <c r="AH77" s="1072"/>
      <c r="AI77" s="1072"/>
      <c r="AJ77" s="1072"/>
      <c r="AK77" s="1072"/>
      <c r="AL77" s="1072"/>
      <c r="AM77" s="1072"/>
      <c r="AN77" s="1072"/>
      <c r="AO77" s="1072"/>
      <c r="AP77" s="1072"/>
      <c r="AQ77" s="1072"/>
      <c r="AR77" s="1072"/>
      <c r="AS77" s="1072"/>
      <c r="AT77" s="1072"/>
      <c r="AU77" s="1072"/>
      <c r="AV77" s="1072"/>
      <c r="AW77" s="1072"/>
      <c r="AX77" s="1072"/>
      <c r="AY77" s="1072"/>
      <c r="AZ77" s="1072"/>
    </row>
    <row r="78" spans="1:52">
      <c r="A78" s="1072"/>
      <c r="B78" s="1072"/>
      <c r="C78" s="1072"/>
      <c r="D78" s="1072"/>
      <c r="E78" s="1072"/>
      <c r="F78" s="1072"/>
      <c r="G78" s="1072"/>
      <c r="H78" s="1072"/>
      <c r="I78" s="1072"/>
      <c r="J78" s="1072"/>
      <c r="K78" s="1072"/>
      <c r="L78" s="1072"/>
      <c r="M78" s="1072"/>
      <c r="N78" s="1072"/>
      <c r="O78" s="1072"/>
      <c r="P78" s="1072"/>
      <c r="Q78" s="1072"/>
      <c r="R78" s="1072"/>
      <c r="S78" s="1072"/>
      <c r="T78" s="1072"/>
      <c r="U78" s="1072"/>
      <c r="V78" s="1072"/>
      <c r="W78" s="1072"/>
      <c r="X78" s="1072"/>
      <c r="Y78" s="1072"/>
      <c r="Z78" s="1072"/>
      <c r="AA78" s="1072"/>
      <c r="AB78" s="1072"/>
      <c r="AC78" s="1072"/>
      <c r="AD78" s="1072"/>
      <c r="AE78" s="1072"/>
      <c r="AF78" s="1072"/>
      <c r="AG78" s="1072"/>
      <c r="AH78" s="1072"/>
      <c r="AI78" s="1072"/>
      <c r="AJ78" s="1072"/>
      <c r="AK78" s="1072"/>
      <c r="AL78" s="1072"/>
      <c r="AM78" s="1072"/>
      <c r="AN78" s="1072"/>
      <c r="AO78" s="1072"/>
      <c r="AP78" s="1072"/>
      <c r="AQ78" s="1072"/>
      <c r="AR78" s="1072"/>
      <c r="AS78" s="1072"/>
      <c r="AT78" s="1072"/>
      <c r="AU78" s="1072"/>
      <c r="AV78" s="1072"/>
      <c r="AW78" s="1072"/>
      <c r="AX78" s="1072"/>
      <c r="AY78" s="1072"/>
      <c r="AZ78" s="1072"/>
    </row>
    <row r="79" spans="1:52">
      <c r="A79" s="1072"/>
      <c r="B79" s="1072"/>
      <c r="C79" s="1072"/>
      <c r="D79" s="1072"/>
      <c r="E79" s="1072"/>
      <c r="F79" s="1072"/>
      <c r="G79" s="1072"/>
      <c r="H79" s="1072"/>
      <c r="I79" s="1072"/>
      <c r="J79" s="1072"/>
      <c r="K79" s="1072"/>
      <c r="L79" s="1072"/>
      <c r="M79" s="1072"/>
      <c r="N79" s="1072"/>
      <c r="O79" s="1072"/>
      <c r="P79" s="1072"/>
      <c r="Q79" s="1072"/>
      <c r="R79" s="1072"/>
      <c r="S79" s="1072"/>
      <c r="T79" s="1072"/>
      <c r="U79" s="1072"/>
      <c r="V79" s="1072"/>
      <c r="W79" s="1072"/>
      <c r="X79" s="1072"/>
      <c r="Y79" s="1072"/>
      <c r="Z79" s="1072"/>
      <c r="AA79" s="1072"/>
      <c r="AB79" s="1072"/>
      <c r="AC79" s="1072"/>
      <c r="AD79" s="1072"/>
      <c r="AE79" s="1072"/>
      <c r="AF79" s="1072"/>
      <c r="AG79" s="1072"/>
      <c r="AH79" s="1072"/>
      <c r="AI79" s="1072"/>
      <c r="AJ79" s="1072"/>
      <c r="AK79" s="1072"/>
      <c r="AL79" s="1072"/>
      <c r="AM79" s="1072"/>
      <c r="AN79" s="1072"/>
      <c r="AO79" s="1072"/>
      <c r="AP79" s="1072"/>
      <c r="AQ79" s="1072"/>
      <c r="AR79" s="1072"/>
      <c r="AS79" s="1072"/>
      <c r="AT79" s="1072"/>
      <c r="AU79" s="1072"/>
      <c r="AV79" s="1072"/>
      <c r="AW79" s="1072"/>
      <c r="AX79" s="1072"/>
      <c r="AY79" s="1072"/>
      <c r="AZ79" s="1072"/>
    </row>
    <row r="80" spans="1:52">
      <c r="A80" s="1072"/>
      <c r="B80" s="1072"/>
      <c r="C80" s="1072"/>
      <c r="D80" s="1072"/>
      <c r="E80" s="1072"/>
      <c r="F80" s="1072"/>
      <c r="G80" s="1072"/>
      <c r="H80" s="1072"/>
      <c r="I80" s="1072"/>
      <c r="J80" s="1072"/>
      <c r="K80" s="1072"/>
      <c r="L80" s="1072"/>
      <c r="M80" s="1072"/>
      <c r="N80" s="1072"/>
      <c r="O80" s="1072"/>
      <c r="P80" s="1072"/>
      <c r="Q80" s="1072"/>
      <c r="R80" s="1072"/>
      <c r="S80" s="1072"/>
      <c r="T80" s="1072"/>
      <c r="U80" s="1072"/>
      <c r="V80" s="1072"/>
      <c r="W80" s="1072"/>
      <c r="X80" s="1072"/>
      <c r="Y80" s="1072"/>
      <c r="Z80" s="1072"/>
      <c r="AA80" s="1072"/>
      <c r="AB80" s="1072"/>
      <c r="AC80" s="1072"/>
      <c r="AD80" s="1072"/>
      <c r="AE80" s="1072"/>
      <c r="AF80" s="1072"/>
      <c r="AG80" s="1072"/>
      <c r="AH80" s="1072"/>
      <c r="AI80" s="1072"/>
      <c r="AJ80" s="1072"/>
      <c r="AK80" s="1072"/>
      <c r="AL80" s="1072"/>
      <c r="AM80" s="1072"/>
      <c r="AN80" s="1072"/>
      <c r="AO80" s="1072"/>
      <c r="AP80" s="1072"/>
      <c r="AQ80" s="1072"/>
      <c r="AR80" s="1072"/>
      <c r="AS80" s="1072"/>
      <c r="AT80" s="1072"/>
      <c r="AU80" s="1072"/>
      <c r="AV80" s="1072"/>
      <c r="AW80" s="1072"/>
      <c r="AX80" s="1072"/>
      <c r="AY80" s="1072"/>
      <c r="AZ80" s="1072"/>
    </row>
    <row r="81" spans="1:52">
      <c r="A81" s="1072"/>
      <c r="B81" s="1072"/>
      <c r="C81" s="1072"/>
      <c r="D81" s="1072"/>
      <c r="E81" s="1072"/>
      <c r="F81" s="1072"/>
      <c r="G81" s="1072"/>
      <c r="H81" s="1072"/>
      <c r="I81" s="1072"/>
      <c r="J81" s="1072"/>
      <c r="K81" s="1072"/>
      <c r="L81" s="1072"/>
      <c r="M81" s="1072"/>
      <c r="N81" s="1072"/>
      <c r="O81" s="1072"/>
      <c r="P81" s="1072"/>
      <c r="Q81" s="1072"/>
      <c r="R81" s="1072"/>
      <c r="S81" s="1072"/>
      <c r="T81" s="1072"/>
      <c r="U81" s="1072"/>
      <c r="V81" s="1072"/>
      <c r="W81" s="1072"/>
      <c r="X81" s="1072"/>
      <c r="Y81" s="1072"/>
      <c r="Z81" s="1072"/>
      <c r="AA81" s="1072"/>
      <c r="AB81" s="1072"/>
      <c r="AC81" s="1072"/>
      <c r="AD81" s="1072"/>
      <c r="AE81" s="1072"/>
      <c r="AF81" s="1072"/>
      <c r="AG81" s="1072"/>
      <c r="AH81" s="1072"/>
      <c r="AI81" s="1072"/>
      <c r="AJ81" s="1072"/>
      <c r="AK81" s="1072"/>
      <c r="AL81" s="1072"/>
      <c r="AM81" s="1072"/>
      <c r="AN81" s="1072"/>
      <c r="AO81" s="1072"/>
      <c r="AP81" s="1072"/>
      <c r="AQ81" s="1072"/>
      <c r="AR81" s="1072"/>
      <c r="AS81" s="1072"/>
      <c r="AT81" s="1072"/>
      <c r="AU81" s="1072"/>
      <c r="AV81" s="1072"/>
      <c r="AW81" s="1072"/>
      <c r="AX81" s="1072"/>
      <c r="AY81" s="1072"/>
      <c r="AZ81" s="1072"/>
    </row>
    <row r="82" spans="1:52">
      <c r="A82" s="1072"/>
      <c r="B82" s="1072"/>
      <c r="C82" s="1072"/>
      <c r="D82" s="1072"/>
      <c r="E82" s="1072"/>
      <c r="F82" s="1072"/>
      <c r="G82" s="1072"/>
      <c r="H82" s="1072"/>
      <c r="I82" s="1072"/>
      <c r="J82" s="1072"/>
      <c r="K82" s="1072"/>
      <c r="L82" s="1072"/>
      <c r="M82" s="1072"/>
      <c r="N82" s="1072"/>
      <c r="O82" s="1072"/>
      <c r="P82" s="1072"/>
      <c r="Q82" s="1072"/>
      <c r="R82" s="1072"/>
      <c r="S82" s="1072"/>
      <c r="T82" s="1072"/>
      <c r="U82" s="1072"/>
      <c r="V82" s="1072"/>
      <c r="W82" s="1072"/>
      <c r="X82" s="1072"/>
      <c r="Y82" s="1072"/>
      <c r="Z82" s="1072"/>
      <c r="AA82" s="1072"/>
      <c r="AB82" s="1072"/>
      <c r="AC82" s="1072"/>
      <c r="AD82" s="1072"/>
      <c r="AE82" s="1072"/>
      <c r="AF82" s="1072"/>
      <c r="AG82" s="1072"/>
      <c r="AH82" s="1072"/>
      <c r="AI82" s="1072"/>
      <c r="AJ82" s="1072"/>
      <c r="AK82" s="1072"/>
      <c r="AL82" s="1072"/>
      <c r="AM82" s="1072"/>
      <c r="AN82" s="1072"/>
      <c r="AO82" s="1072"/>
      <c r="AP82" s="1072"/>
      <c r="AQ82" s="1072"/>
      <c r="AR82" s="1072"/>
      <c r="AS82" s="1072"/>
      <c r="AT82" s="1072"/>
      <c r="AU82" s="1072"/>
      <c r="AV82" s="1072"/>
      <c r="AW82" s="1072"/>
      <c r="AX82" s="1072"/>
      <c r="AY82" s="1072"/>
      <c r="AZ82" s="1072"/>
    </row>
    <row r="83" spans="1:52">
      <c r="A83" s="1072"/>
      <c r="B83" s="1072"/>
      <c r="C83" s="1072"/>
      <c r="D83" s="1072"/>
      <c r="E83" s="1072"/>
      <c r="F83" s="1072"/>
      <c r="G83" s="1072"/>
      <c r="H83" s="1072"/>
      <c r="I83" s="1072"/>
      <c r="J83" s="1072"/>
      <c r="K83" s="1072"/>
      <c r="L83" s="1072"/>
      <c r="M83" s="1072"/>
      <c r="N83" s="1072"/>
      <c r="O83" s="1072"/>
      <c r="P83" s="1072"/>
      <c r="Q83" s="1072"/>
      <c r="R83" s="1072"/>
      <c r="S83" s="1072"/>
      <c r="T83" s="1072"/>
      <c r="U83" s="1072"/>
      <c r="V83" s="1072"/>
      <c r="W83" s="1072"/>
      <c r="X83" s="1072"/>
      <c r="Y83" s="1072"/>
      <c r="Z83" s="1072"/>
      <c r="AA83" s="1072"/>
      <c r="AB83" s="1072"/>
      <c r="AC83" s="1072"/>
      <c r="AD83" s="1072"/>
      <c r="AE83" s="1072"/>
      <c r="AF83" s="1072"/>
      <c r="AG83" s="1072"/>
      <c r="AH83" s="1072"/>
      <c r="AI83" s="1072"/>
      <c r="AJ83" s="1072"/>
      <c r="AK83" s="1072"/>
      <c r="AL83" s="1072"/>
      <c r="AM83" s="1072"/>
      <c r="AN83" s="1072"/>
      <c r="AO83" s="1072"/>
      <c r="AP83" s="1072"/>
      <c r="AQ83" s="1072"/>
      <c r="AR83" s="1072"/>
      <c r="AS83" s="1072"/>
      <c r="AT83" s="1072"/>
      <c r="AU83" s="1072"/>
      <c r="AV83" s="1072"/>
      <c r="AW83" s="1072"/>
      <c r="AX83" s="1072"/>
      <c r="AY83" s="1072"/>
      <c r="AZ83" s="1072"/>
    </row>
    <row r="84" spans="1:52">
      <c r="A84" s="1072"/>
      <c r="B84" s="1072"/>
      <c r="C84" s="1072"/>
      <c r="D84" s="1072"/>
      <c r="E84" s="1072"/>
      <c r="F84" s="1072"/>
      <c r="G84" s="1072"/>
      <c r="H84" s="1072"/>
      <c r="I84" s="1072"/>
      <c r="J84" s="1072"/>
      <c r="K84" s="1072"/>
      <c r="L84" s="1072"/>
      <c r="M84" s="1072"/>
      <c r="N84" s="1072"/>
      <c r="O84" s="1072"/>
      <c r="P84" s="1072"/>
      <c r="Q84" s="1072"/>
      <c r="R84" s="1072"/>
      <c r="S84" s="1072"/>
      <c r="T84" s="1072"/>
      <c r="U84" s="1072"/>
      <c r="V84" s="1072"/>
      <c r="W84" s="1072"/>
      <c r="X84" s="1072"/>
      <c r="Y84" s="1072"/>
      <c r="Z84" s="1072"/>
      <c r="AA84" s="1072"/>
      <c r="AB84" s="1072"/>
      <c r="AC84" s="1072"/>
      <c r="AD84" s="1072"/>
      <c r="AE84" s="1072"/>
      <c r="AF84" s="1072"/>
      <c r="AG84" s="1072"/>
      <c r="AH84" s="1072"/>
      <c r="AI84" s="1072"/>
      <c r="AJ84" s="1072"/>
      <c r="AK84" s="1072"/>
      <c r="AL84" s="1072"/>
      <c r="AM84" s="1072"/>
      <c r="AN84" s="1072"/>
      <c r="AO84" s="1072"/>
      <c r="AP84" s="1072"/>
      <c r="AQ84" s="1072"/>
      <c r="AR84" s="1072"/>
      <c r="AS84" s="1072"/>
      <c r="AT84" s="1072"/>
      <c r="AU84" s="1072"/>
      <c r="AV84" s="1072"/>
      <c r="AW84" s="1072"/>
      <c r="AX84" s="1072"/>
      <c r="AY84" s="1072"/>
      <c r="AZ84" s="1072"/>
    </row>
    <row r="85" spans="1:52">
      <c r="A85" s="1072"/>
      <c r="B85" s="1072"/>
      <c r="C85" s="1072"/>
      <c r="D85" s="1072"/>
      <c r="E85" s="1072"/>
      <c r="F85" s="1072"/>
      <c r="G85" s="1072"/>
      <c r="H85" s="1072"/>
      <c r="I85" s="1072"/>
      <c r="J85" s="1072"/>
      <c r="K85" s="1072"/>
      <c r="L85" s="1072"/>
      <c r="M85" s="1072"/>
      <c r="N85" s="1072"/>
      <c r="O85" s="1072"/>
      <c r="P85" s="1072"/>
      <c r="Q85" s="1072"/>
      <c r="R85" s="1072"/>
      <c r="S85" s="1072"/>
      <c r="T85" s="1072"/>
      <c r="U85" s="1072"/>
      <c r="V85" s="1072"/>
      <c r="W85" s="1072"/>
      <c r="X85" s="1072"/>
      <c r="Y85" s="1072"/>
      <c r="Z85" s="1072"/>
      <c r="AA85" s="1072"/>
      <c r="AB85" s="1072"/>
      <c r="AC85" s="1072"/>
      <c r="AD85" s="1072"/>
      <c r="AE85" s="1072"/>
      <c r="AF85" s="1072"/>
      <c r="AG85" s="1072"/>
      <c r="AH85" s="1072"/>
      <c r="AI85" s="1072"/>
      <c r="AJ85" s="1072"/>
      <c r="AK85" s="1072"/>
      <c r="AL85" s="1072"/>
      <c r="AM85" s="1072"/>
      <c r="AN85" s="1072"/>
      <c r="AO85" s="1072"/>
      <c r="AP85" s="1072"/>
      <c r="AQ85" s="1072"/>
      <c r="AR85" s="1072"/>
      <c r="AS85" s="1072"/>
      <c r="AT85" s="1072"/>
      <c r="AU85" s="1072"/>
      <c r="AV85" s="1072"/>
      <c r="AW85" s="1072"/>
      <c r="AX85" s="1072"/>
      <c r="AY85" s="1072"/>
      <c r="AZ85" s="1072"/>
    </row>
    <row r="86" spans="1:52">
      <c r="A86" s="1072"/>
      <c r="B86" s="1072"/>
      <c r="C86" s="1072"/>
      <c r="D86" s="1072"/>
      <c r="E86" s="1072"/>
      <c r="F86" s="1072"/>
      <c r="G86" s="1072"/>
      <c r="H86" s="1072"/>
      <c r="I86" s="1072"/>
      <c r="J86" s="1072"/>
      <c r="K86" s="1072"/>
      <c r="L86" s="1072"/>
      <c r="M86" s="1072"/>
      <c r="N86" s="1072"/>
      <c r="O86" s="1072"/>
      <c r="P86" s="1072"/>
      <c r="Q86" s="1072"/>
      <c r="R86" s="1072"/>
      <c r="S86" s="1072"/>
      <c r="T86" s="1072"/>
      <c r="U86" s="1072"/>
      <c r="V86" s="1072"/>
      <c r="W86" s="1072"/>
      <c r="X86" s="1072"/>
      <c r="Y86" s="1072"/>
      <c r="Z86" s="1072"/>
      <c r="AA86" s="1072"/>
      <c r="AB86" s="1072"/>
      <c r="AC86" s="1072"/>
      <c r="AD86" s="1072"/>
      <c r="AE86" s="1072"/>
      <c r="AF86" s="1072"/>
      <c r="AG86" s="1072"/>
      <c r="AH86" s="1072"/>
      <c r="AI86" s="1072"/>
      <c r="AJ86" s="1072"/>
      <c r="AK86" s="1072"/>
      <c r="AL86" s="1072"/>
      <c r="AM86" s="1072"/>
      <c r="AN86" s="1072"/>
      <c r="AO86" s="1072"/>
      <c r="AP86" s="1072"/>
      <c r="AQ86" s="1072"/>
      <c r="AR86" s="1072"/>
      <c r="AS86" s="1072"/>
      <c r="AT86" s="1072"/>
      <c r="AU86" s="1072"/>
      <c r="AV86" s="1072"/>
      <c r="AW86" s="1072"/>
      <c r="AX86" s="1072"/>
      <c r="AY86" s="1072"/>
      <c r="AZ86" s="1072"/>
    </row>
    <row r="87" spans="1:52">
      <c r="A87" s="1072"/>
      <c r="B87" s="1072"/>
      <c r="C87" s="1072"/>
      <c r="D87" s="1072"/>
      <c r="E87" s="1072"/>
      <c r="F87" s="1072"/>
      <c r="G87" s="1072"/>
      <c r="H87" s="1072"/>
      <c r="I87" s="1072"/>
      <c r="J87" s="1072"/>
      <c r="K87" s="1072"/>
      <c r="L87" s="1072"/>
      <c r="M87" s="1072"/>
      <c r="N87" s="1072"/>
      <c r="O87" s="1072"/>
      <c r="P87" s="1072"/>
      <c r="Q87" s="1072"/>
      <c r="R87" s="1072"/>
      <c r="S87" s="1072"/>
      <c r="T87" s="1072"/>
      <c r="U87" s="1072"/>
      <c r="V87" s="1072"/>
      <c r="W87" s="1072"/>
      <c r="X87" s="1072"/>
      <c r="Y87" s="1072"/>
      <c r="Z87" s="1072"/>
      <c r="AA87" s="1072"/>
      <c r="AB87" s="1072"/>
      <c r="AC87" s="1072"/>
      <c r="AD87" s="1072"/>
      <c r="AE87" s="1072"/>
      <c r="AF87" s="1072"/>
      <c r="AG87" s="1072"/>
      <c r="AH87" s="1072"/>
      <c r="AI87" s="1072"/>
      <c r="AJ87" s="1072"/>
      <c r="AK87" s="1072"/>
      <c r="AL87" s="1072"/>
      <c r="AM87" s="1072"/>
      <c r="AN87" s="1072"/>
      <c r="AO87" s="1072"/>
      <c r="AP87" s="1072"/>
      <c r="AQ87" s="1072"/>
      <c r="AR87" s="1072"/>
      <c r="AS87" s="1072"/>
      <c r="AT87" s="1072"/>
      <c r="AU87" s="1072"/>
      <c r="AV87" s="1072"/>
      <c r="AW87" s="1072"/>
      <c r="AX87" s="1072"/>
      <c r="AY87" s="1072"/>
      <c r="AZ87" s="1072"/>
    </row>
    <row r="88" spans="1:52">
      <c r="A88" s="1072"/>
      <c r="B88" s="1072"/>
      <c r="C88" s="1072"/>
      <c r="D88" s="1072"/>
      <c r="E88" s="1072"/>
      <c r="F88" s="1072"/>
      <c r="G88" s="1072"/>
      <c r="H88" s="1072"/>
      <c r="I88" s="1072"/>
      <c r="J88" s="1072"/>
      <c r="K88" s="1072"/>
      <c r="L88" s="1072"/>
      <c r="M88" s="1072"/>
      <c r="N88" s="1072"/>
      <c r="O88" s="1072"/>
      <c r="P88" s="1072"/>
      <c r="Q88" s="1072"/>
      <c r="R88" s="1072"/>
      <c r="S88" s="1072"/>
      <c r="T88" s="1072"/>
      <c r="U88" s="1072"/>
      <c r="V88" s="1072"/>
      <c r="W88" s="1072"/>
      <c r="X88" s="1072"/>
      <c r="Y88" s="1072"/>
      <c r="Z88" s="1072"/>
      <c r="AA88" s="1072"/>
      <c r="AB88" s="1072"/>
      <c r="AC88" s="1072"/>
      <c r="AD88" s="1072"/>
      <c r="AE88" s="1072"/>
      <c r="AF88" s="1072"/>
      <c r="AG88" s="1072"/>
      <c r="AH88" s="1072"/>
      <c r="AI88" s="1072"/>
      <c r="AJ88" s="1072"/>
      <c r="AK88" s="1072"/>
      <c r="AL88" s="1072"/>
      <c r="AM88" s="1072"/>
      <c r="AN88" s="1072"/>
      <c r="AO88" s="1072"/>
      <c r="AP88" s="1072"/>
      <c r="AQ88" s="1072"/>
      <c r="AR88" s="1072"/>
      <c r="AS88" s="1072"/>
      <c r="AT88" s="1072"/>
      <c r="AU88" s="1072"/>
      <c r="AV88" s="1072"/>
      <c r="AW88" s="1072"/>
      <c r="AX88" s="1072"/>
      <c r="AY88" s="1072"/>
      <c r="AZ88" s="1072"/>
    </row>
    <row r="89" spans="1:52">
      <c r="A89" s="1072"/>
      <c r="B89" s="1072"/>
      <c r="C89" s="1072"/>
      <c r="D89" s="1072"/>
      <c r="E89" s="1072"/>
      <c r="F89" s="1072"/>
      <c r="G89" s="1072"/>
      <c r="H89" s="1072"/>
      <c r="I89" s="1072"/>
      <c r="J89" s="1072"/>
      <c r="K89" s="1072"/>
      <c r="L89" s="1072"/>
      <c r="M89" s="1072"/>
      <c r="N89" s="1072"/>
      <c r="O89" s="1072"/>
      <c r="P89" s="1072"/>
      <c r="Q89" s="1072"/>
      <c r="R89" s="1072"/>
      <c r="S89" s="1072"/>
      <c r="T89" s="1072"/>
      <c r="U89" s="1072"/>
      <c r="V89" s="1072"/>
      <c r="W89" s="1072"/>
      <c r="X89" s="1072"/>
      <c r="Y89" s="1072"/>
      <c r="Z89" s="1072"/>
      <c r="AA89" s="1072"/>
      <c r="AB89" s="1072"/>
      <c r="AC89" s="1072"/>
      <c r="AD89" s="1072"/>
      <c r="AE89" s="1072"/>
      <c r="AF89" s="1072"/>
      <c r="AG89" s="1072"/>
      <c r="AH89" s="1072"/>
      <c r="AI89" s="1072"/>
      <c r="AJ89" s="1072"/>
      <c r="AK89" s="1072"/>
      <c r="AL89" s="1072"/>
      <c r="AM89" s="1072"/>
      <c r="AN89" s="1072"/>
      <c r="AO89" s="1072"/>
      <c r="AP89" s="1072"/>
      <c r="AQ89" s="1072"/>
      <c r="AR89" s="1072"/>
      <c r="AS89" s="1072"/>
      <c r="AT89" s="1072"/>
      <c r="AU89" s="1072"/>
      <c r="AV89" s="1072"/>
      <c r="AW89" s="1072"/>
      <c r="AX89" s="1072"/>
      <c r="AY89" s="1072"/>
      <c r="AZ89" s="1072"/>
    </row>
    <row r="90" spans="1:52">
      <c r="A90" s="1072"/>
      <c r="B90" s="1072"/>
      <c r="C90" s="1072"/>
      <c r="D90" s="1072"/>
      <c r="E90" s="1072"/>
      <c r="F90" s="1072"/>
      <c r="G90" s="1072"/>
      <c r="H90" s="1072"/>
      <c r="I90" s="1072"/>
      <c r="J90" s="1072"/>
      <c r="K90" s="1072"/>
      <c r="L90" s="1072"/>
      <c r="M90" s="1072"/>
      <c r="N90" s="1072"/>
      <c r="O90" s="1072"/>
      <c r="P90" s="1072"/>
      <c r="Q90" s="1072"/>
      <c r="R90" s="1072"/>
      <c r="S90" s="1072"/>
      <c r="T90" s="1072"/>
      <c r="U90" s="1072"/>
      <c r="V90" s="1072"/>
      <c r="W90" s="1072"/>
      <c r="X90" s="1072"/>
      <c r="Y90" s="1072"/>
      <c r="Z90" s="1072"/>
      <c r="AA90" s="1072"/>
      <c r="AB90" s="1072"/>
      <c r="AC90" s="1072"/>
      <c r="AD90" s="1072"/>
      <c r="AE90" s="1072"/>
      <c r="AF90" s="1072"/>
      <c r="AG90" s="1072"/>
      <c r="AH90" s="1072"/>
      <c r="AI90" s="1072"/>
      <c r="AJ90" s="1072"/>
      <c r="AK90" s="1072"/>
      <c r="AL90" s="1072"/>
      <c r="AM90" s="1072"/>
      <c r="AN90" s="1072"/>
      <c r="AO90" s="1072"/>
      <c r="AP90" s="1072"/>
      <c r="AQ90" s="1072"/>
      <c r="AR90" s="1072"/>
      <c r="AS90" s="1072"/>
      <c r="AT90" s="1072"/>
      <c r="AU90" s="1072"/>
      <c r="AV90" s="1072"/>
      <c r="AW90" s="1072"/>
      <c r="AX90" s="1072"/>
      <c r="AY90" s="1072"/>
      <c r="AZ90" s="1072"/>
    </row>
    <row r="91" spans="1:52">
      <c r="A91" s="1072"/>
      <c r="B91" s="1072"/>
      <c r="C91" s="1072"/>
      <c r="D91" s="1072"/>
      <c r="E91" s="1072"/>
      <c r="F91" s="1072"/>
      <c r="G91" s="1072"/>
      <c r="H91" s="1072"/>
      <c r="I91" s="1072"/>
      <c r="J91" s="1072"/>
      <c r="K91" s="1072"/>
      <c r="L91" s="1072"/>
      <c r="M91" s="1072"/>
      <c r="N91" s="1072"/>
      <c r="O91" s="1072"/>
      <c r="P91" s="1072"/>
      <c r="Q91" s="1072"/>
      <c r="R91" s="1072"/>
      <c r="S91" s="1072"/>
      <c r="T91" s="1072"/>
      <c r="U91" s="1072"/>
      <c r="V91" s="1072"/>
      <c r="W91" s="1072"/>
      <c r="X91" s="1072"/>
      <c r="Y91" s="1072"/>
      <c r="Z91" s="1072"/>
      <c r="AA91" s="1072"/>
      <c r="AB91" s="1072"/>
      <c r="AC91" s="1072"/>
      <c r="AD91" s="1072"/>
      <c r="AE91" s="1072"/>
      <c r="AF91" s="1072"/>
      <c r="AG91" s="1072"/>
      <c r="AH91" s="1072"/>
      <c r="AI91" s="1072"/>
      <c r="AJ91" s="1072"/>
      <c r="AK91" s="1072"/>
      <c r="AL91" s="1072"/>
      <c r="AM91" s="1072"/>
      <c r="AN91" s="1072"/>
      <c r="AO91" s="1072"/>
      <c r="AP91" s="1072"/>
      <c r="AQ91" s="1072"/>
      <c r="AR91" s="1072"/>
      <c r="AS91" s="1072"/>
      <c r="AT91" s="1072"/>
      <c r="AU91" s="1072"/>
      <c r="AV91" s="1072"/>
      <c r="AW91" s="1072"/>
      <c r="AX91" s="1072"/>
      <c r="AY91" s="1072"/>
      <c r="AZ91" s="1072"/>
    </row>
    <row r="92" spans="1:52">
      <c r="A92" s="1072"/>
      <c r="B92" s="1072"/>
      <c r="C92" s="1072"/>
      <c r="D92" s="1072"/>
      <c r="E92" s="1072"/>
      <c r="F92" s="1072"/>
      <c r="G92" s="1072"/>
      <c r="H92" s="1072"/>
      <c r="I92" s="1072"/>
      <c r="J92" s="1072"/>
      <c r="K92" s="1072"/>
      <c r="L92" s="1072"/>
      <c r="M92" s="1072"/>
      <c r="N92" s="1072"/>
      <c r="O92" s="1072"/>
      <c r="P92" s="1072"/>
      <c r="Q92" s="1072"/>
      <c r="R92" s="1072"/>
      <c r="S92" s="1072"/>
      <c r="T92" s="1072"/>
      <c r="U92" s="1072"/>
      <c r="V92" s="1072"/>
      <c r="W92" s="1072"/>
      <c r="X92" s="1072"/>
      <c r="Y92" s="1072"/>
      <c r="Z92" s="1072"/>
      <c r="AA92" s="1072"/>
      <c r="AB92" s="1072"/>
      <c r="AC92" s="1072"/>
      <c r="AD92" s="1072"/>
      <c r="AE92" s="1072"/>
      <c r="AF92" s="1072"/>
      <c r="AG92" s="1072"/>
      <c r="AH92" s="1072"/>
      <c r="AI92" s="1072"/>
      <c r="AJ92" s="1072"/>
      <c r="AK92" s="1072"/>
      <c r="AL92" s="1072"/>
      <c r="AM92" s="1072"/>
      <c r="AN92" s="1072"/>
      <c r="AO92" s="1072"/>
      <c r="AP92" s="1072"/>
      <c r="AQ92" s="1072"/>
      <c r="AR92" s="1072"/>
      <c r="AS92" s="1072"/>
      <c r="AT92" s="1072"/>
      <c r="AU92" s="1072"/>
      <c r="AV92" s="1072"/>
      <c r="AW92" s="1072"/>
      <c r="AX92" s="1072"/>
      <c r="AY92" s="1072"/>
      <c r="AZ92" s="1072"/>
    </row>
    <row r="93" spans="1:52">
      <c r="A93" s="1072"/>
      <c r="B93" s="1072"/>
      <c r="C93" s="1072"/>
      <c r="D93" s="1072"/>
      <c r="E93" s="1072"/>
      <c r="F93" s="1072"/>
      <c r="G93" s="1072"/>
      <c r="H93" s="1072"/>
      <c r="I93" s="1072"/>
      <c r="J93" s="1072"/>
      <c r="K93" s="1072"/>
      <c r="L93" s="1072"/>
      <c r="M93" s="1072"/>
      <c r="N93" s="1072"/>
      <c r="O93" s="1072"/>
      <c r="P93" s="1072"/>
      <c r="Q93" s="1072"/>
      <c r="R93" s="1072"/>
      <c r="S93" s="1072"/>
      <c r="T93" s="1072"/>
      <c r="U93" s="1072"/>
      <c r="V93" s="1072"/>
      <c r="W93" s="1072"/>
      <c r="X93" s="1072"/>
      <c r="Y93" s="1072"/>
      <c r="Z93" s="1072"/>
      <c r="AA93" s="1072"/>
      <c r="AB93" s="1072"/>
      <c r="AC93" s="1072"/>
      <c r="AD93" s="1072"/>
      <c r="AE93" s="1072"/>
      <c r="AF93" s="1072"/>
      <c r="AG93" s="1072"/>
      <c r="AH93" s="1072"/>
      <c r="AI93" s="1072"/>
      <c r="AJ93" s="1072"/>
      <c r="AK93" s="1072"/>
      <c r="AL93" s="1072"/>
      <c r="AM93" s="1072"/>
      <c r="AN93" s="1072"/>
      <c r="AO93" s="1072"/>
      <c r="AP93" s="1072"/>
      <c r="AQ93" s="1072"/>
      <c r="AR93" s="1072"/>
      <c r="AS93" s="1072"/>
      <c r="AT93" s="1072"/>
      <c r="AU93" s="1072"/>
      <c r="AV93" s="1072"/>
      <c r="AW93" s="1072"/>
      <c r="AX93" s="1072"/>
      <c r="AY93" s="1072"/>
      <c r="AZ93" s="1072"/>
    </row>
    <row r="94" spans="1:52">
      <c r="A94" s="1072"/>
      <c r="B94" s="1072"/>
      <c r="C94" s="1072"/>
      <c r="D94" s="1072"/>
      <c r="E94" s="1072"/>
      <c r="F94" s="1072"/>
      <c r="G94" s="1072"/>
      <c r="H94" s="1072"/>
      <c r="I94" s="1072"/>
      <c r="J94" s="1072"/>
      <c r="K94" s="1072"/>
      <c r="L94" s="1072"/>
      <c r="M94" s="1072"/>
      <c r="N94" s="1072"/>
      <c r="O94" s="1072"/>
      <c r="P94" s="1072"/>
      <c r="Q94" s="1072"/>
      <c r="R94" s="1072"/>
      <c r="S94" s="1072"/>
      <c r="T94" s="1072"/>
      <c r="U94" s="1072"/>
      <c r="V94" s="1072"/>
      <c r="W94" s="1072"/>
      <c r="X94" s="1072"/>
      <c r="Y94" s="1072"/>
      <c r="Z94" s="1072"/>
      <c r="AA94" s="1072"/>
      <c r="AB94" s="1072"/>
      <c r="AC94" s="1072"/>
      <c r="AD94" s="1072"/>
      <c r="AE94" s="1072"/>
      <c r="AF94" s="1072"/>
      <c r="AG94" s="1072"/>
      <c r="AH94" s="1072"/>
      <c r="AI94" s="1072"/>
      <c r="AJ94" s="1072"/>
      <c r="AK94" s="1072"/>
      <c r="AL94" s="1072"/>
      <c r="AM94" s="1072"/>
      <c r="AN94" s="1072"/>
      <c r="AO94" s="1072"/>
      <c r="AP94" s="1072"/>
      <c r="AQ94" s="1072"/>
      <c r="AR94" s="1072"/>
      <c r="AS94" s="1072"/>
      <c r="AT94" s="1072"/>
      <c r="AU94" s="1072"/>
      <c r="AV94" s="1072"/>
      <c r="AW94" s="1072"/>
      <c r="AX94" s="1072"/>
      <c r="AY94" s="1072"/>
      <c r="AZ94" s="1072"/>
    </row>
    <row r="95" spans="1:52">
      <c r="A95" s="1072"/>
      <c r="B95" s="1072"/>
      <c r="C95" s="1072"/>
      <c r="D95" s="1072"/>
      <c r="E95" s="1072"/>
      <c r="F95" s="1072"/>
      <c r="G95" s="1072"/>
      <c r="H95" s="1072"/>
      <c r="I95" s="1072"/>
      <c r="J95" s="1072"/>
      <c r="K95" s="1072"/>
      <c r="L95" s="1072"/>
      <c r="M95" s="1072"/>
      <c r="N95" s="1072"/>
      <c r="O95" s="1072"/>
      <c r="P95" s="1072"/>
      <c r="Q95" s="1072"/>
      <c r="R95" s="1072"/>
      <c r="S95" s="1072"/>
      <c r="T95" s="1072"/>
      <c r="U95" s="1072"/>
      <c r="V95" s="1072"/>
      <c r="W95" s="1072"/>
      <c r="X95" s="1072"/>
      <c r="Y95" s="1072"/>
      <c r="Z95" s="1072"/>
      <c r="AA95" s="1072"/>
      <c r="AB95" s="1072"/>
      <c r="AC95" s="1072"/>
      <c r="AD95" s="1072"/>
      <c r="AE95" s="1072"/>
      <c r="AF95" s="1072"/>
      <c r="AG95" s="1072"/>
      <c r="AH95" s="1072"/>
      <c r="AI95" s="1072"/>
      <c r="AJ95" s="1072"/>
      <c r="AK95" s="1072"/>
      <c r="AL95" s="1072"/>
      <c r="AM95" s="1072"/>
      <c r="AN95" s="1072"/>
      <c r="AO95" s="1072"/>
      <c r="AP95" s="1072"/>
      <c r="AQ95" s="1072"/>
      <c r="AR95" s="1072"/>
      <c r="AS95" s="1072"/>
      <c r="AT95" s="1072"/>
      <c r="AU95" s="1072"/>
      <c r="AV95" s="1072"/>
      <c r="AW95" s="1072"/>
      <c r="AX95" s="1072"/>
      <c r="AY95" s="1072"/>
      <c r="AZ95" s="1072"/>
    </row>
    <row r="96" spans="1:52">
      <c r="A96" s="1072"/>
      <c r="B96" s="1072"/>
      <c r="C96" s="1072"/>
      <c r="D96" s="1072"/>
      <c r="E96" s="1072"/>
      <c r="F96" s="1072"/>
      <c r="G96" s="1072"/>
      <c r="H96" s="1072"/>
      <c r="I96" s="1072"/>
      <c r="J96" s="1072"/>
      <c r="K96" s="1072"/>
      <c r="L96" s="1072"/>
      <c r="M96" s="1072"/>
      <c r="N96" s="1072"/>
      <c r="O96" s="1072"/>
      <c r="P96" s="1072"/>
      <c r="Q96" s="1072"/>
      <c r="R96" s="1072"/>
      <c r="S96" s="1072"/>
      <c r="T96" s="1072"/>
      <c r="U96" s="1072"/>
      <c r="V96" s="1072"/>
      <c r="W96" s="1072"/>
      <c r="X96" s="1072"/>
      <c r="Y96" s="1072"/>
      <c r="Z96" s="1072"/>
      <c r="AA96" s="1072"/>
      <c r="AB96" s="1072"/>
      <c r="AC96" s="1072"/>
      <c r="AD96" s="1072"/>
      <c r="AE96" s="1072"/>
      <c r="AF96" s="1072"/>
      <c r="AG96" s="1072"/>
      <c r="AH96" s="1072"/>
      <c r="AI96" s="1072"/>
      <c r="AJ96" s="1072"/>
      <c r="AK96" s="1072"/>
      <c r="AL96" s="1072"/>
      <c r="AM96" s="1072"/>
      <c r="AN96" s="1072"/>
      <c r="AO96" s="1072"/>
      <c r="AP96" s="1072"/>
      <c r="AQ96" s="1072"/>
      <c r="AR96" s="1072"/>
      <c r="AS96" s="1072"/>
      <c r="AT96" s="1072"/>
      <c r="AU96" s="1072"/>
      <c r="AV96" s="1072"/>
      <c r="AW96" s="1072"/>
      <c r="AX96" s="1072"/>
      <c r="AY96" s="1072"/>
      <c r="AZ96" s="1072"/>
    </row>
    <row r="97" spans="1:52">
      <c r="A97" s="1072"/>
      <c r="B97" s="1072"/>
      <c r="C97" s="1072"/>
      <c r="D97" s="1072"/>
      <c r="E97" s="1072"/>
      <c r="F97" s="1072"/>
      <c r="G97" s="1072"/>
      <c r="H97" s="1072"/>
      <c r="I97" s="1072"/>
      <c r="J97" s="1072"/>
      <c r="K97" s="1072"/>
      <c r="L97" s="1072"/>
      <c r="M97" s="1072"/>
      <c r="N97" s="1072"/>
      <c r="O97" s="1072"/>
      <c r="P97" s="1072"/>
      <c r="Q97" s="1072"/>
      <c r="R97" s="1072"/>
      <c r="S97" s="1072"/>
      <c r="T97" s="1072"/>
      <c r="U97" s="1072"/>
      <c r="V97" s="1072"/>
      <c r="W97" s="1072"/>
      <c r="X97" s="1072"/>
      <c r="Y97" s="1072"/>
      <c r="Z97" s="1072"/>
      <c r="AA97" s="1072"/>
      <c r="AB97" s="1072"/>
      <c r="AC97" s="1072"/>
      <c r="AD97" s="1072"/>
      <c r="AE97" s="1072"/>
      <c r="AF97" s="1072"/>
      <c r="AG97" s="1072"/>
      <c r="AH97" s="1072"/>
      <c r="AI97" s="1072"/>
      <c r="AJ97" s="1072"/>
      <c r="AK97" s="1072"/>
      <c r="AL97" s="1072"/>
      <c r="AM97" s="1072"/>
      <c r="AN97" s="1072"/>
      <c r="AO97" s="1072"/>
      <c r="AP97" s="1072"/>
      <c r="AQ97" s="1072"/>
      <c r="AR97" s="1072"/>
      <c r="AS97" s="1072"/>
      <c r="AT97" s="1072"/>
      <c r="AU97" s="1072"/>
      <c r="AV97" s="1072"/>
      <c r="AW97" s="1072"/>
      <c r="AX97" s="1072"/>
      <c r="AY97" s="1072"/>
      <c r="AZ97" s="1072"/>
    </row>
    <row r="98" spans="1:52">
      <c r="A98" s="1072"/>
      <c r="B98" s="1072"/>
      <c r="C98" s="1072"/>
      <c r="D98" s="1072"/>
      <c r="E98" s="1072"/>
      <c r="F98" s="1072"/>
      <c r="G98" s="1072"/>
      <c r="H98" s="1072"/>
      <c r="I98" s="1072"/>
      <c r="J98" s="1072"/>
      <c r="K98" s="1072"/>
      <c r="L98" s="1072"/>
      <c r="M98" s="1072"/>
      <c r="N98" s="1072"/>
      <c r="O98" s="1072"/>
      <c r="P98" s="1072"/>
      <c r="Q98" s="1072"/>
      <c r="R98" s="1072"/>
      <c r="S98" s="1072"/>
      <c r="T98" s="1072"/>
      <c r="U98" s="1072"/>
      <c r="V98" s="1072"/>
      <c r="W98" s="1072"/>
      <c r="X98" s="1072"/>
      <c r="Y98" s="1072"/>
      <c r="Z98" s="1072"/>
      <c r="AA98" s="1072"/>
      <c r="AB98" s="1072"/>
      <c r="AC98" s="1072"/>
      <c r="AD98" s="1072"/>
      <c r="AE98" s="1072"/>
      <c r="AF98" s="1072"/>
      <c r="AG98" s="1072"/>
      <c r="AH98" s="1072"/>
      <c r="AI98" s="1072"/>
      <c r="AJ98" s="1072"/>
      <c r="AK98" s="1072"/>
      <c r="AL98" s="1072"/>
      <c r="AM98" s="1072"/>
      <c r="AN98" s="1072"/>
      <c r="AO98" s="1072"/>
      <c r="AP98" s="1072"/>
      <c r="AQ98" s="1072"/>
      <c r="AR98" s="1072"/>
      <c r="AS98" s="1072"/>
      <c r="AT98" s="1072"/>
      <c r="AU98" s="1072"/>
      <c r="AV98" s="1072"/>
      <c r="AW98" s="1072"/>
      <c r="AX98" s="1072"/>
      <c r="AY98" s="1072"/>
      <c r="AZ98" s="1072"/>
    </row>
    <row r="99" spans="1:52">
      <c r="A99" s="1072"/>
      <c r="B99" s="1072"/>
      <c r="C99" s="1072"/>
      <c r="D99" s="1072"/>
      <c r="E99" s="1072"/>
      <c r="F99" s="1072"/>
      <c r="G99" s="1072"/>
      <c r="H99" s="1072"/>
      <c r="I99" s="1072"/>
      <c r="J99" s="1072"/>
      <c r="K99" s="1072"/>
      <c r="L99" s="1072"/>
      <c r="M99" s="1072"/>
      <c r="N99" s="1072"/>
      <c r="O99" s="1072"/>
      <c r="P99" s="1072"/>
      <c r="Q99" s="1072"/>
      <c r="R99" s="1072"/>
      <c r="S99" s="1072"/>
      <c r="T99" s="1072"/>
      <c r="U99" s="1072"/>
      <c r="V99" s="1072"/>
      <c r="W99" s="1072"/>
      <c r="X99" s="1072"/>
      <c r="Y99" s="1072"/>
      <c r="Z99" s="1072"/>
      <c r="AA99" s="1072"/>
      <c r="AB99" s="1072"/>
      <c r="AC99" s="1072"/>
      <c r="AD99" s="1072"/>
      <c r="AE99" s="1072"/>
      <c r="AF99" s="1072"/>
      <c r="AG99" s="1072"/>
      <c r="AH99" s="1072"/>
      <c r="AI99" s="1072"/>
      <c r="AJ99" s="1072"/>
      <c r="AK99" s="1072"/>
      <c r="AL99" s="1072"/>
      <c r="AM99" s="1072"/>
      <c r="AN99" s="1072"/>
      <c r="AO99" s="1072"/>
      <c r="AP99" s="1072"/>
      <c r="AQ99" s="1072"/>
      <c r="AR99" s="1072"/>
      <c r="AS99" s="1072"/>
      <c r="AT99" s="1072"/>
      <c r="AU99" s="1072"/>
      <c r="AV99" s="1072"/>
      <c r="AW99" s="1072"/>
      <c r="AX99" s="1072"/>
      <c r="AY99" s="1072"/>
      <c r="AZ99" s="1072"/>
    </row>
    <row r="100" spans="1:52">
      <c r="A100" s="1072"/>
      <c r="B100" s="1072"/>
      <c r="C100" s="1072"/>
      <c r="D100" s="1072"/>
      <c r="E100" s="1072"/>
      <c r="F100" s="1072"/>
      <c r="G100" s="1072"/>
      <c r="H100" s="1072"/>
      <c r="I100" s="1072"/>
      <c r="J100" s="1072"/>
      <c r="K100" s="1072"/>
      <c r="L100" s="1072"/>
      <c r="M100" s="1072"/>
      <c r="N100" s="1072"/>
      <c r="O100" s="1072"/>
      <c r="P100" s="1072"/>
      <c r="Q100" s="1072"/>
      <c r="R100" s="1072"/>
      <c r="S100" s="1072"/>
      <c r="T100" s="1072"/>
      <c r="U100" s="1072"/>
      <c r="V100" s="1072"/>
      <c r="W100" s="1072"/>
      <c r="X100" s="1072"/>
      <c r="Y100" s="1072"/>
      <c r="Z100" s="1072"/>
      <c r="AA100" s="1072"/>
      <c r="AB100" s="1072"/>
      <c r="AC100" s="1072"/>
      <c r="AD100" s="1072"/>
      <c r="AE100" s="1072"/>
      <c r="AF100" s="1072"/>
      <c r="AG100" s="1072"/>
      <c r="AH100" s="1072"/>
      <c r="AI100" s="1072"/>
      <c r="AJ100" s="1072"/>
      <c r="AK100" s="1072"/>
      <c r="AL100" s="1072"/>
      <c r="AM100" s="1072"/>
      <c r="AN100" s="1072"/>
      <c r="AO100" s="1072"/>
      <c r="AP100" s="1072"/>
      <c r="AQ100" s="1072"/>
      <c r="AR100" s="1072"/>
      <c r="AS100" s="1072"/>
      <c r="AT100" s="1072"/>
      <c r="AU100" s="1072"/>
      <c r="AV100" s="1072"/>
      <c r="AW100" s="1072"/>
      <c r="AX100" s="1072"/>
      <c r="AY100" s="1072"/>
      <c r="AZ100" s="1072"/>
    </row>
    <row r="101" spans="1:52">
      <c r="A101" s="1072"/>
      <c r="B101" s="1072"/>
      <c r="C101" s="1072"/>
      <c r="D101" s="1072"/>
      <c r="E101" s="1072"/>
      <c r="F101" s="1072"/>
      <c r="G101" s="1072"/>
      <c r="H101" s="1072"/>
      <c r="I101" s="1072"/>
      <c r="J101" s="1072"/>
      <c r="K101" s="1072"/>
      <c r="L101" s="1072"/>
      <c r="M101" s="1072"/>
      <c r="N101" s="1072"/>
      <c r="O101" s="1072"/>
      <c r="P101" s="1072"/>
      <c r="Q101" s="1072"/>
      <c r="R101" s="1072"/>
      <c r="S101" s="1072"/>
      <c r="T101" s="1072"/>
      <c r="U101" s="1072"/>
      <c r="V101" s="1072"/>
      <c r="W101" s="1072"/>
      <c r="X101" s="1072"/>
      <c r="Y101" s="1072"/>
      <c r="Z101" s="1072"/>
      <c r="AA101" s="1072"/>
      <c r="AB101" s="1072"/>
      <c r="AC101" s="1072"/>
      <c r="AD101" s="1072"/>
      <c r="AE101" s="1072"/>
      <c r="AF101" s="1072"/>
      <c r="AG101" s="1072"/>
      <c r="AH101" s="1072"/>
      <c r="AI101" s="1072"/>
      <c r="AJ101" s="1072"/>
      <c r="AK101" s="1072"/>
      <c r="AL101" s="1072"/>
      <c r="AM101" s="1072"/>
      <c r="AN101" s="1072"/>
      <c r="AO101" s="1072"/>
      <c r="AP101" s="1072"/>
      <c r="AQ101" s="1072"/>
      <c r="AR101" s="1072"/>
      <c r="AS101" s="1072"/>
      <c r="AT101" s="1072"/>
      <c r="AU101" s="1072"/>
      <c r="AV101" s="1072"/>
      <c r="AW101" s="1072"/>
      <c r="AX101" s="1072"/>
      <c r="AY101" s="1072"/>
      <c r="AZ101" s="1072"/>
    </row>
    <row r="102" spans="1:52">
      <c r="A102" s="1072"/>
      <c r="B102" s="1072"/>
      <c r="C102" s="1072"/>
      <c r="D102" s="1072"/>
      <c r="E102" s="1072"/>
      <c r="F102" s="1072"/>
      <c r="G102" s="1072"/>
      <c r="H102" s="1072"/>
      <c r="I102" s="1072"/>
      <c r="J102" s="1072"/>
      <c r="K102" s="1072"/>
      <c r="L102" s="1072"/>
      <c r="M102" s="1072"/>
      <c r="N102" s="1072"/>
      <c r="O102" s="1072"/>
      <c r="P102" s="1072"/>
      <c r="Q102" s="1072"/>
      <c r="R102" s="1072"/>
      <c r="S102" s="1072"/>
      <c r="T102" s="1072"/>
      <c r="U102" s="1072"/>
      <c r="V102" s="1072"/>
      <c r="W102" s="1072"/>
      <c r="X102" s="1072"/>
      <c r="Y102" s="1072"/>
      <c r="Z102" s="1072"/>
      <c r="AA102" s="1072"/>
      <c r="AB102" s="1072"/>
      <c r="AC102" s="1072"/>
      <c r="AD102" s="1072"/>
      <c r="AE102" s="1072"/>
      <c r="AF102" s="1072"/>
      <c r="AG102" s="1072"/>
      <c r="AH102" s="1072"/>
      <c r="AI102" s="1072"/>
      <c r="AJ102" s="1072"/>
      <c r="AK102" s="1072"/>
      <c r="AL102" s="1072"/>
      <c r="AM102" s="1072"/>
      <c r="AN102" s="1072"/>
      <c r="AO102" s="1072"/>
      <c r="AP102" s="1072"/>
      <c r="AQ102" s="1072"/>
      <c r="AR102" s="1072"/>
      <c r="AS102" s="1072"/>
      <c r="AT102" s="1072"/>
      <c r="AU102" s="1072"/>
      <c r="AV102" s="1072"/>
      <c r="AW102" s="1072"/>
      <c r="AX102" s="1072"/>
      <c r="AY102" s="1072"/>
      <c r="AZ102" s="1072"/>
    </row>
    <row r="103" spans="1:52">
      <c r="A103" s="1072"/>
      <c r="B103" s="1072"/>
      <c r="C103" s="1072"/>
      <c r="D103" s="1072"/>
      <c r="E103" s="1072"/>
      <c r="F103" s="1072"/>
      <c r="G103" s="1072"/>
      <c r="H103" s="1072"/>
      <c r="I103" s="1072"/>
      <c r="J103" s="1072"/>
      <c r="K103" s="1072"/>
      <c r="L103" s="1072"/>
      <c r="M103" s="1072"/>
      <c r="N103" s="1072"/>
      <c r="O103" s="1072"/>
      <c r="P103" s="1072"/>
      <c r="Q103" s="1072"/>
      <c r="R103" s="1072"/>
      <c r="S103" s="1072"/>
      <c r="T103" s="1072"/>
      <c r="U103" s="1072"/>
      <c r="V103" s="1072"/>
      <c r="W103" s="1072"/>
      <c r="X103" s="1072"/>
      <c r="Y103" s="1072"/>
      <c r="Z103" s="1072"/>
      <c r="AA103" s="1072"/>
      <c r="AB103" s="1072"/>
      <c r="AC103" s="1072"/>
      <c r="AD103" s="1072"/>
      <c r="AE103" s="1072"/>
      <c r="AF103" s="1072"/>
      <c r="AG103" s="1072"/>
      <c r="AH103" s="1072"/>
      <c r="AI103" s="1072"/>
      <c r="AJ103" s="1072"/>
      <c r="AK103" s="1072"/>
      <c r="AL103" s="1072"/>
      <c r="AM103" s="1072"/>
      <c r="AN103" s="1072"/>
      <c r="AO103" s="1072"/>
      <c r="AP103" s="1072"/>
      <c r="AQ103" s="1072"/>
      <c r="AR103" s="1072"/>
      <c r="AS103" s="1072"/>
      <c r="AT103" s="1072"/>
      <c r="AU103" s="1072"/>
      <c r="AV103" s="1072"/>
      <c r="AW103" s="1072"/>
      <c r="AX103" s="1072"/>
      <c r="AY103" s="1072"/>
      <c r="AZ103" s="1072"/>
    </row>
    <row r="104" spans="1:52">
      <c r="A104" s="1072"/>
      <c r="B104" s="1072"/>
      <c r="C104" s="1072"/>
      <c r="D104" s="1072"/>
      <c r="E104" s="1072"/>
      <c r="F104" s="1072"/>
      <c r="G104" s="1072"/>
      <c r="H104" s="1072"/>
      <c r="I104" s="1072"/>
      <c r="J104" s="1072"/>
      <c r="K104" s="1072"/>
      <c r="L104" s="1072"/>
      <c r="M104" s="1072"/>
      <c r="N104" s="1072"/>
      <c r="O104" s="1072"/>
      <c r="P104" s="1072"/>
      <c r="Q104" s="1072"/>
      <c r="R104" s="1072"/>
      <c r="S104" s="1072"/>
      <c r="T104" s="1072"/>
      <c r="U104" s="1072"/>
      <c r="V104" s="1072"/>
      <c r="W104" s="1072"/>
      <c r="X104" s="1072"/>
      <c r="Y104" s="1072"/>
      <c r="Z104" s="1072"/>
      <c r="AA104" s="1072"/>
      <c r="AB104" s="1072"/>
      <c r="AC104" s="1072"/>
      <c r="AD104" s="1072"/>
      <c r="AE104" s="1072"/>
      <c r="AF104" s="1072"/>
      <c r="AG104" s="1072"/>
      <c r="AH104" s="1072"/>
      <c r="AI104" s="1072"/>
      <c r="AJ104" s="1072"/>
      <c r="AK104" s="1072"/>
      <c r="AL104" s="1072"/>
      <c r="AM104" s="1072"/>
      <c r="AN104" s="1072"/>
      <c r="AO104" s="1072"/>
      <c r="AP104" s="1072"/>
      <c r="AQ104" s="1072"/>
      <c r="AR104" s="1072"/>
      <c r="AS104" s="1072"/>
      <c r="AT104" s="1072"/>
      <c r="AU104" s="1072"/>
      <c r="AV104" s="1072"/>
      <c r="AW104" s="1072"/>
      <c r="AX104" s="1072"/>
      <c r="AY104" s="1072"/>
      <c r="AZ104" s="1072"/>
    </row>
    <row r="105" spans="1:52">
      <c r="A105" s="1072"/>
      <c r="B105" s="1072"/>
      <c r="C105" s="1072"/>
      <c r="D105" s="1072"/>
      <c r="E105" s="1072"/>
      <c r="F105" s="1072"/>
      <c r="G105" s="1072"/>
      <c r="H105" s="1072"/>
      <c r="I105" s="1072"/>
      <c r="J105" s="1072"/>
      <c r="K105" s="1072"/>
      <c r="L105" s="1072"/>
      <c r="M105" s="1072"/>
      <c r="N105" s="1072"/>
      <c r="O105" s="1072"/>
      <c r="P105" s="1072"/>
      <c r="Q105" s="1072"/>
      <c r="R105" s="1072"/>
      <c r="S105" s="1072"/>
      <c r="T105" s="1072"/>
      <c r="U105" s="1072"/>
      <c r="V105" s="1072"/>
      <c r="W105" s="1072"/>
      <c r="X105" s="1072"/>
      <c r="Y105" s="1072"/>
      <c r="Z105" s="1072"/>
      <c r="AA105" s="1072"/>
      <c r="AB105" s="1072"/>
      <c r="AC105" s="1072"/>
      <c r="AD105" s="1072"/>
      <c r="AE105" s="1072"/>
      <c r="AF105" s="1072"/>
      <c r="AG105" s="1072"/>
      <c r="AH105" s="1072"/>
      <c r="AI105" s="1072"/>
      <c r="AJ105" s="1072"/>
      <c r="AK105" s="1072"/>
      <c r="AL105" s="1072"/>
      <c r="AM105" s="1072"/>
      <c r="AN105" s="1072"/>
      <c r="AO105" s="1072"/>
      <c r="AP105" s="1072"/>
      <c r="AQ105" s="1072"/>
      <c r="AR105" s="1072"/>
      <c r="AS105" s="1072"/>
      <c r="AT105" s="1072"/>
      <c r="AU105" s="1072"/>
      <c r="AV105" s="1072"/>
      <c r="AW105" s="1072"/>
      <c r="AX105" s="1072"/>
      <c r="AY105" s="1072"/>
      <c r="AZ105" s="1072"/>
    </row>
    <row r="106" spans="1:52">
      <c r="A106" s="1072"/>
      <c r="B106" s="1072"/>
      <c r="C106" s="1072"/>
      <c r="D106" s="1072"/>
      <c r="E106" s="1072"/>
      <c r="F106" s="1072"/>
      <c r="G106" s="1072"/>
      <c r="H106" s="1072"/>
      <c r="I106" s="1072"/>
      <c r="J106" s="1072"/>
      <c r="K106" s="1072"/>
      <c r="L106" s="1072"/>
      <c r="M106" s="1072"/>
      <c r="N106" s="1072"/>
      <c r="O106" s="1072"/>
      <c r="P106" s="1072"/>
      <c r="Q106" s="1072"/>
      <c r="R106" s="1072"/>
      <c r="S106" s="1072"/>
      <c r="T106" s="1072"/>
      <c r="U106" s="1072"/>
      <c r="V106" s="1072"/>
      <c r="W106" s="1072"/>
      <c r="X106" s="1072"/>
      <c r="Y106" s="1072"/>
      <c r="Z106" s="1072"/>
      <c r="AA106" s="1072"/>
      <c r="AB106" s="1072"/>
      <c r="AC106" s="1072"/>
      <c r="AD106" s="1072"/>
      <c r="AE106" s="1072"/>
      <c r="AF106" s="1072"/>
      <c r="AG106" s="1072"/>
      <c r="AH106" s="1072"/>
      <c r="AI106" s="1072"/>
      <c r="AJ106" s="1072"/>
      <c r="AK106" s="1072"/>
      <c r="AL106" s="1072"/>
      <c r="AM106" s="1072"/>
      <c r="AN106" s="1072"/>
      <c r="AO106" s="1072"/>
      <c r="AP106" s="1072"/>
      <c r="AQ106" s="1072"/>
      <c r="AR106" s="1072"/>
      <c r="AS106" s="1072"/>
      <c r="AT106" s="1072"/>
      <c r="AU106" s="1072"/>
      <c r="AV106" s="1072"/>
      <c r="AW106" s="1072"/>
      <c r="AX106" s="1072"/>
      <c r="AY106" s="1072"/>
      <c r="AZ106" s="1072"/>
    </row>
    <row r="107" spans="1:52">
      <c r="A107" s="1072"/>
      <c r="B107" s="1072"/>
      <c r="C107" s="1072"/>
      <c r="D107" s="1072"/>
      <c r="E107" s="1072"/>
      <c r="F107" s="1072"/>
      <c r="G107" s="1072"/>
      <c r="H107" s="1072"/>
      <c r="I107" s="1072"/>
      <c r="J107" s="1072"/>
      <c r="K107" s="1072"/>
      <c r="L107" s="1072"/>
      <c r="M107" s="1072"/>
      <c r="N107" s="1072"/>
      <c r="O107" s="1072"/>
      <c r="P107" s="1072"/>
      <c r="Q107" s="1072"/>
      <c r="R107" s="1072"/>
      <c r="S107" s="1072"/>
      <c r="T107" s="1072"/>
      <c r="U107" s="1072"/>
      <c r="V107" s="1072"/>
      <c r="W107" s="1072"/>
      <c r="X107" s="1072"/>
      <c r="Y107" s="1072"/>
      <c r="Z107" s="1072"/>
      <c r="AA107" s="1072"/>
      <c r="AB107" s="1072"/>
      <c r="AC107" s="1072"/>
      <c r="AD107" s="1072"/>
      <c r="AE107" s="1072"/>
      <c r="AF107" s="1072"/>
      <c r="AG107" s="1072"/>
      <c r="AH107" s="1072"/>
      <c r="AI107" s="1072"/>
      <c r="AJ107" s="1072"/>
      <c r="AK107" s="1072"/>
      <c r="AL107" s="1072"/>
      <c r="AM107" s="1072"/>
      <c r="AN107" s="1072"/>
      <c r="AO107" s="1072"/>
      <c r="AP107" s="1072"/>
      <c r="AQ107" s="1072"/>
      <c r="AR107" s="1072"/>
      <c r="AS107" s="1072"/>
      <c r="AT107" s="1072"/>
      <c r="AU107" s="1072"/>
      <c r="AV107" s="1072"/>
      <c r="AW107" s="1072"/>
      <c r="AX107" s="1072"/>
      <c r="AY107" s="1072"/>
      <c r="AZ107" s="1072"/>
    </row>
    <row r="108" spans="1:52">
      <c r="A108" s="1072"/>
      <c r="B108" s="1072"/>
      <c r="C108" s="1072"/>
      <c r="D108" s="1072"/>
      <c r="E108" s="1072"/>
      <c r="F108" s="1072"/>
      <c r="G108" s="1072"/>
      <c r="H108" s="1072"/>
      <c r="I108" s="1072"/>
      <c r="J108" s="1072"/>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2"/>
      <c r="AL108" s="1072"/>
      <c r="AM108" s="1072"/>
      <c r="AN108" s="1072"/>
      <c r="AO108" s="1072"/>
      <c r="AP108" s="1072"/>
      <c r="AQ108" s="1072"/>
      <c r="AR108" s="1072"/>
      <c r="AS108" s="1072"/>
      <c r="AT108" s="1072"/>
      <c r="AU108" s="1072"/>
      <c r="AV108" s="1072"/>
      <c r="AW108" s="1072"/>
      <c r="AX108" s="1072"/>
      <c r="AY108" s="1072"/>
      <c r="AZ108" s="1072"/>
    </row>
    <row r="109" spans="1:52">
      <c r="A109" s="1072"/>
      <c r="B109" s="1072"/>
      <c r="C109" s="1072"/>
      <c r="D109" s="1072"/>
      <c r="E109" s="1072"/>
      <c r="F109" s="1072"/>
      <c r="G109" s="1072"/>
      <c r="H109" s="1072"/>
      <c r="I109" s="1072"/>
      <c r="J109" s="1072"/>
      <c r="K109" s="1072"/>
      <c r="L109" s="1072"/>
      <c r="M109" s="1072"/>
      <c r="N109" s="1072"/>
      <c r="O109" s="1072"/>
      <c r="P109" s="1072"/>
      <c r="Q109" s="1072"/>
      <c r="R109" s="1072"/>
      <c r="S109" s="1072"/>
      <c r="T109" s="1072"/>
      <c r="U109" s="1072"/>
      <c r="V109" s="1072"/>
      <c r="W109" s="1072"/>
      <c r="X109" s="1072"/>
      <c r="Y109" s="1072"/>
      <c r="Z109" s="1072"/>
      <c r="AA109" s="1072"/>
      <c r="AB109" s="1072"/>
      <c r="AC109" s="1072"/>
      <c r="AD109" s="1072"/>
      <c r="AE109" s="1072"/>
      <c r="AF109" s="1072"/>
      <c r="AG109" s="1072"/>
      <c r="AH109" s="1072"/>
      <c r="AI109" s="1072"/>
      <c r="AJ109" s="1072"/>
      <c r="AK109" s="1072"/>
      <c r="AL109" s="1072"/>
      <c r="AM109" s="1072"/>
      <c r="AN109" s="1072"/>
      <c r="AO109" s="1072"/>
      <c r="AP109" s="1072"/>
      <c r="AQ109" s="1072"/>
      <c r="AR109" s="1072"/>
      <c r="AS109" s="1072"/>
      <c r="AT109" s="1072"/>
      <c r="AU109" s="1072"/>
      <c r="AV109" s="1072"/>
      <c r="AW109" s="1072"/>
      <c r="AX109" s="1072"/>
      <c r="AY109" s="1072"/>
      <c r="AZ109" s="1072"/>
    </row>
  </sheetData>
  <sheetProtection selectLockedCells="1"/>
  <conditionalFormatting sqref="B31:B33">
    <cfRule type="cellIs" dxfId="286" priority="3" stopIfTrue="1" operator="equal">
      <formula>"No"</formula>
    </cfRule>
  </conditionalFormatting>
  <conditionalFormatting sqref="C11">
    <cfRule type="cellIs" dxfId="285" priority="5" stopIfTrue="1" operator="equal">
      <formula>"CHECK"</formula>
    </cfRule>
  </conditionalFormatting>
  <conditionalFormatting sqref="B14:B15">
    <cfRule type="cellIs" dxfId="284" priority="6" stopIfTrue="1" operator="lessThan">
      <formula>0</formula>
    </cfRule>
  </conditionalFormatting>
  <conditionalFormatting sqref="B11">
    <cfRule type="cellIs" dxfId="283" priority="7" stopIfTrue="1" operator="equal">
      <formula>-1</formula>
    </cfRule>
  </conditionalFormatting>
  <conditionalFormatting sqref="D33">
    <cfRule type="notContainsBlanks" dxfId="282" priority="1">
      <formula>LEN(TRIM(D33))&gt;0</formula>
    </cfRule>
  </conditionalFormatting>
  <pageMargins left="0.7" right="0.7" top="0.75" bottom="0.75" header="0.3" footer="0.3"/>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C4:V49"/>
  <sheetViews>
    <sheetView workbookViewId="0"/>
  </sheetViews>
  <sheetFormatPr defaultRowHeight="14.4"/>
  <cols>
    <col min="3" max="3" width="12.44140625" customWidth="1"/>
    <col min="12" max="12" width="15.6640625" customWidth="1"/>
  </cols>
  <sheetData>
    <row r="4" spans="3:13">
      <c r="C4" t="s">
        <v>311</v>
      </c>
      <c r="M4" t="s">
        <v>312</v>
      </c>
    </row>
    <row r="6" spans="3:13">
      <c r="C6" t="s">
        <v>302</v>
      </c>
      <c r="G6">
        <v>200</v>
      </c>
    </row>
    <row r="7" spans="3:13">
      <c r="C7" t="s">
        <v>301</v>
      </c>
      <c r="G7">
        <v>200</v>
      </c>
    </row>
    <row r="8" spans="3:13">
      <c r="C8" t="s">
        <v>307</v>
      </c>
      <c r="G8">
        <v>1</v>
      </c>
    </row>
    <row r="9" spans="3:13">
      <c r="C9" t="s">
        <v>303</v>
      </c>
      <c r="G9">
        <v>20000</v>
      </c>
    </row>
    <row r="10" spans="3:13">
      <c r="C10" t="s">
        <v>304</v>
      </c>
      <c r="G10">
        <v>19000</v>
      </c>
    </row>
    <row r="11" spans="3:13">
      <c r="C11" t="s">
        <v>305</v>
      </c>
      <c r="G11">
        <v>50</v>
      </c>
    </row>
    <row r="12" spans="3:13">
      <c r="C12" t="s">
        <v>306</v>
      </c>
      <c r="G12">
        <v>0.1</v>
      </c>
    </row>
    <row r="13" spans="3:13">
      <c r="C13" t="s">
        <v>308</v>
      </c>
      <c r="G13">
        <v>5</v>
      </c>
    </row>
    <row r="14" spans="3:13">
      <c r="C14" t="s">
        <v>310</v>
      </c>
      <c r="G14">
        <v>0.05</v>
      </c>
    </row>
    <row r="15" spans="3:13">
      <c r="C15" t="s">
        <v>309</v>
      </c>
      <c r="G15">
        <v>400</v>
      </c>
    </row>
    <row r="21" spans="3:14">
      <c r="C21" t="s">
        <v>332</v>
      </c>
    </row>
    <row r="22" spans="3:14">
      <c r="L22" t="s">
        <v>347</v>
      </c>
    </row>
    <row r="23" spans="3:14">
      <c r="C23" t="s">
        <v>346</v>
      </c>
      <c r="L23" t="s">
        <v>336</v>
      </c>
      <c r="M23">
        <v>0.8</v>
      </c>
      <c r="N23" t="s">
        <v>328</v>
      </c>
    </row>
    <row r="24" spans="3:14">
      <c r="C24" t="s">
        <v>329</v>
      </c>
      <c r="D24">
        <v>752</v>
      </c>
      <c r="E24" t="s">
        <v>328</v>
      </c>
      <c r="L24" t="s">
        <v>333</v>
      </c>
      <c r="M24">
        <v>0.84</v>
      </c>
      <c r="N24" t="s">
        <v>328</v>
      </c>
    </row>
    <row r="25" spans="3:14">
      <c r="C25" t="s">
        <v>330</v>
      </c>
      <c r="D25">
        <v>720</v>
      </c>
      <c r="E25" t="s">
        <v>328</v>
      </c>
      <c r="L25" t="s">
        <v>334</v>
      </c>
      <c r="M25">
        <v>0.92</v>
      </c>
      <c r="N25" t="s">
        <v>328</v>
      </c>
    </row>
    <row r="26" spans="3:14">
      <c r="C26" t="s">
        <v>331</v>
      </c>
      <c r="D26">
        <v>827</v>
      </c>
      <c r="E26" t="s">
        <v>328</v>
      </c>
      <c r="L26" t="s">
        <v>335</v>
      </c>
      <c r="M26">
        <v>0.75</v>
      </c>
      <c r="N26" t="s">
        <v>328</v>
      </c>
    </row>
    <row r="27" spans="3:14">
      <c r="C27" t="s">
        <v>331</v>
      </c>
      <c r="D27">
        <v>855</v>
      </c>
      <c r="E27" t="s">
        <v>328</v>
      </c>
      <c r="L27" t="s">
        <v>337</v>
      </c>
      <c r="M27">
        <v>0.79</v>
      </c>
      <c r="N27" t="s">
        <v>328</v>
      </c>
    </row>
    <row r="28" spans="3:14">
      <c r="L28" t="s">
        <v>338</v>
      </c>
      <c r="M28">
        <v>0.84</v>
      </c>
      <c r="N28" t="s">
        <v>328</v>
      </c>
    </row>
    <row r="29" spans="3:14">
      <c r="L29" t="s">
        <v>339</v>
      </c>
      <c r="M29">
        <v>0.8</v>
      </c>
      <c r="N29" t="s">
        <v>328</v>
      </c>
    </row>
    <row r="30" spans="3:14">
      <c r="L30" t="s">
        <v>340</v>
      </c>
      <c r="M30">
        <v>0.8</v>
      </c>
      <c r="N30" t="s">
        <v>328</v>
      </c>
    </row>
    <row r="31" spans="3:14">
      <c r="L31" t="s">
        <v>341</v>
      </c>
      <c r="M31">
        <v>0.84</v>
      </c>
      <c r="N31" t="s">
        <v>328</v>
      </c>
    </row>
    <row r="32" spans="3:14">
      <c r="L32" t="s">
        <v>342</v>
      </c>
      <c r="M32">
        <v>0.84</v>
      </c>
      <c r="N32" t="s">
        <v>328</v>
      </c>
    </row>
    <row r="33" spans="3:22">
      <c r="L33" t="s">
        <v>343</v>
      </c>
      <c r="M33">
        <v>0.8</v>
      </c>
      <c r="N33" t="s">
        <v>328</v>
      </c>
    </row>
    <row r="34" spans="3:22">
      <c r="L34" t="s">
        <v>344</v>
      </c>
      <c r="M34">
        <v>0.92</v>
      </c>
      <c r="N34" t="s">
        <v>328</v>
      </c>
    </row>
    <row r="35" spans="3:22">
      <c r="L35" t="s">
        <v>345</v>
      </c>
      <c r="M35">
        <v>1.0900000000000001</v>
      </c>
      <c r="N35" t="s">
        <v>328</v>
      </c>
    </row>
    <row r="41" spans="3:22">
      <c r="C41" s="1" t="s">
        <v>680</v>
      </c>
      <c r="O41" s="1" t="s">
        <v>685</v>
      </c>
      <c r="P41" s="1" t="s">
        <v>686</v>
      </c>
      <c r="Q41" s="1" t="s">
        <v>320</v>
      </c>
      <c r="S41" s="1" t="s">
        <v>693</v>
      </c>
    </row>
    <row r="42" spans="3:22">
      <c r="O42" s="564" t="s">
        <v>681</v>
      </c>
      <c r="P42">
        <f>Cashflow!I11</f>
        <v>295</v>
      </c>
      <c r="Q42" t="s">
        <v>99</v>
      </c>
      <c r="S42" s="564" t="s">
        <v>694</v>
      </c>
      <c r="T42">
        <f>P46*P48*(P42-P43)</f>
        <v>484206.22200000001</v>
      </c>
      <c r="U42" t="s">
        <v>697</v>
      </c>
    </row>
    <row r="43" spans="3:22">
      <c r="O43" s="564" t="s">
        <v>682</v>
      </c>
      <c r="P43">
        <f>Cashflow!I27</f>
        <v>10</v>
      </c>
      <c r="Q43" t="s">
        <v>99</v>
      </c>
      <c r="S43" s="564" t="s">
        <v>695</v>
      </c>
      <c r="T43">
        <f>P46*P48*(P44-P43)</f>
        <v>288824.76400000002</v>
      </c>
      <c r="U43" t="s">
        <v>697</v>
      </c>
    </row>
    <row r="44" spans="3:22">
      <c r="O44" s="564" t="s">
        <v>683</v>
      </c>
      <c r="P44">
        <v>180</v>
      </c>
      <c r="Q44" t="s">
        <v>99</v>
      </c>
      <c r="S44" s="564" t="s">
        <v>696</v>
      </c>
      <c r="T44">
        <f>P47*P49*(P45-P43)</f>
        <v>2091</v>
      </c>
      <c r="U44" t="s">
        <v>697</v>
      </c>
    </row>
    <row r="45" spans="3:22">
      <c r="O45" s="564" t="s">
        <v>684</v>
      </c>
      <c r="P45">
        <v>20</v>
      </c>
      <c r="Q45" t="s">
        <v>99</v>
      </c>
      <c r="S45" s="564"/>
    </row>
    <row r="46" spans="3:22">
      <c r="O46" s="564" t="s">
        <v>687</v>
      </c>
      <c r="P46" s="573">
        <f>'Water-props'!R37</f>
        <v>5.5600000000000005</v>
      </c>
      <c r="Q46" t="s">
        <v>689</v>
      </c>
      <c r="S46" s="564" t="s">
        <v>118</v>
      </c>
      <c r="T46">
        <f>T42-T43-T44</f>
        <v>193290.45799999998</v>
      </c>
      <c r="U46" t="s">
        <v>697</v>
      </c>
      <c r="V46">
        <f>T46/1000</f>
        <v>193.29045799999997</v>
      </c>
    </row>
    <row r="47" spans="3:22">
      <c r="O47" s="564" t="s">
        <v>688</v>
      </c>
      <c r="P47">
        <v>4.1820000000000004</v>
      </c>
      <c r="Q47" t="s">
        <v>689</v>
      </c>
      <c r="T47">
        <f>T46/1000</f>
        <v>193.29045799999997</v>
      </c>
      <c r="U47" t="s">
        <v>698</v>
      </c>
    </row>
    <row r="48" spans="3:22">
      <c r="O48" s="564" t="s">
        <v>690</v>
      </c>
      <c r="P48" s="573">
        <v>305.57</v>
      </c>
      <c r="Q48" t="s">
        <v>692</v>
      </c>
    </row>
    <row r="49" spans="15:17">
      <c r="O49" s="564" t="s">
        <v>691</v>
      </c>
      <c r="P49">
        <v>50</v>
      </c>
      <c r="Q49" t="s">
        <v>692</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Z97"/>
  <sheetViews>
    <sheetView topLeftCell="A28" workbookViewId="0">
      <selection activeCell="C40" sqref="C40"/>
    </sheetView>
  </sheetViews>
  <sheetFormatPr defaultColWidth="8.6640625" defaultRowHeight="14.4"/>
  <cols>
    <col min="1" max="1" width="71.44140625" style="314" customWidth="1"/>
    <col min="2" max="2" width="8.6640625" style="318"/>
    <col min="3" max="3" width="80.6640625" style="314" customWidth="1"/>
    <col min="4" max="4" width="8.6640625" style="318"/>
    <col min="5" max="5" width="53.33203125" style="323" customWidth="1"/>
    <col min="6" max="6" width="34.33203125" style="314" customWidth="1"/>
    <col min="7" max="7" width="13.44140625" style="325" customWidth="1"/>
    <col min="8" max="15" width="8.6640625" style="313"/>
    <col min="16" max="16" width="61.6640625" style="313" customWidth="1"/>
    <col min="17" max="17" width="8.6640625" style="313"/>
    <col min="18" max="18" width="56.5546875" style="313" customWidth="1"/>
    <col min="19" max="16384" width="8.6640625" style="313"/>
  </cols>
  <sheetData>
    <row r="1" spans="1:26" s="321" customFormat="1" ht="18">
      <c r="A1" s="416" t="s">
        <v>630</v>
      </c>
      <c r="B1" s="324"/>
      <c r="C1" s="547" t="s">
        <v>300</v>
      </c>
      <c r="D1" s="324"/>
      <c r="E1" s="417" t="s">
        <v>463</v>
      </c>
      <c r="F1" s="416" t="s">
        <v>493</v>
      </c>
      <c r="G1" s="324"/>
      <c r="H1" s="320"/>
      <c r="I1" s="320"/>
      <c r="J1" s="320"/>
      <c r="K1" s="320"/>
      <c r="L1" s="320"/>
      <c r="M1" s="320"/>
      <c r="N1" s="320"/>
      <c r="O1" s="320"/>
      <c r="P1" s="416" t="s">
        <v>629</v>
      </c>
      <c r="R1" s="416" t="s">
        <v>628</v>
      </c>
      <c r="S1" s="320"/>
      <c r="T1" s="320"/>
      <c r="U1" s="320"/>
      <c r="V1" s="320"/>
      <c r="W1" s="320"/>
      <c r="X1" s="320"/>
      <c r="Y1" s="320"/>
      <c r="Z1" s="320"/>
    </row>
    <row r="2" spans="1:26" ht="72">
      <c r="A2" s="482" t="s">
        <v>632</v>
      </c>
      <c r="B2" s="453"/>
      <c r="C2" s="482" t="s">
        <v>575</v>
      </c>
      <c r="D2" s="454"/>
      <c r="E2" s="414" t="s">
        <v>455</v>
      </c>
      <c r="F2" s="316" t="s">
        <v>494</v>
      </c>
      <c r="G2" s="312"/>
      <c r="H2" s="312"/>
      <c r="I2" s="312"/>
      <c r="J2" s="312"/>
      <c r="K2" s="312"/>
      <c r="L2" s="312"/>
      <c r="M2" s="312"/>
      <c r="N2" s="312"/>
      <c r="O2" s="312"/>
      <c r="P2" s="316" t="s">
        <v>497</v>
      </c>
      <c r="Q2" s="312"/>
      <c r="R2" s="316" t="s">
        <v>496</v>
      </c>
      <c r="S2" s="312"/>
      <c r="T2" s="312"/>
      <c r="U2" s="312"/>
      <c r="V2" s="312"/>
      <c r="W2" s="312"/>
      <c r="X2" s="312"/>
      <c r="Y2" s="312"/>
      <c r="Z2" s="312"/>
    </row>
    <row r="3" spans="1:26" ht="72">
      <c r="A3" s="482" t="s">
        <v>633</v>
      </c>
      <c r="B3" s="453"/>
      <c r="C3" s="482" t="s">
        <v>589</v>
      </c>
      <c r="D3" s="454"/>
      <c r="E3" s="414" t="s">
        <v>485</v>
      </c>
      <c r="F3" s="316" t="s">
        <v>495</v>
      </c>
      <c r="G3" s="312"/>
      <c r="H3" s="312"/>
      <c r="I3" s="312"/>
      <c r="J3" s="312"/>
      <c r="K3" s="312"/>
      <c r="L3" s="312"/>
      <c r="M3" s="312"/>
      <c r="N3" s="312"/>
      <c r="O3" s="312"/>
      <c r="P3" s="316" t="s">
        <v>508</v>
      </c>
      <c r="Q3" s="312"/>
      <c r="R3" s="316" t="s">
        <v>550</v>
      </c>
      <c r="S3" s="312"/>
      <c r="T3" s="312"/>
      <c r="U3" s="312"/>
      <c r="V3" s="312"/>
      <c r="W3" s="312"/>
      <c r="X3" s="312"/>
      <c r="Y3" s="312"/>
      <c r="Z3" s="312"/>
    </row>
    <row r="4" spans="1:26" ht="72">
      <c r="A4" s="482" t="s">
        <v>546</v>
      </c>
      <c r="B4" s="453"/>
      <c r="C4" s="482" t="s">
        <v>590</v>
      </c>
      <c r="D4" s="454"/>
      <c r="E4" s="414" t="s">
        <v>459</v>
      </c>
      <c r="F4" s="315"/>
      <c r="G4" s="312"/>
      <c r="H4" s="312"/>
      <c r="I4" s="312"/>
      <c r="J4" s="312"/>
      <c r="K4" s="312"/>
      <c r="L4" s="312"/>
      <c r="M4" s="312"/>
      <c r="N4" s="312"/>
      <c r="O4" s="312"/>
      <c r="P4" s="316" t="s">
        <v>500</v>
      </c>
      <c r="Q4" s="312"/>
      <c r="R4" s="316" t="s">
        <v>509</v>
      </c>
      <c r="S4" s="312"/>
      <c r="T4" s="312"/>
      <c r="U4" s="312"/>
      <c r="V4" s="312"/>
      <c r="W4" s="312"/>
      <c r="X4" s="312"/>
      <c r="Y4" s="312"/>
      <c r="Z4" s="312"/>
    </row>
    <row r="5" spans="1:26" ht="115.2">
      <c r="A5" s="482" t="s">
        <v>547</v>
      </c>
      <c r="B5" s="453"/>
      <c r="C5" s="482" t="s">
        <v>591</v>
      </c>
      <c r="D5" s="454"/>
      <c r="E5" s="414"/>
      <c r="F5" s="315" t="s">
        <v>458</v>
      </c>
      <c r="G5" s="312"/>
      <c r="H5" s="312"/>
      <c r="I5" s="312"/>
      <c r="J5" s="312"/>
      <c r="K5" s="312"/>
      <c r="L5" s="312"/>
      <c r="M5" s="312"/>
      <c r="N5" s="312"/>
      <c r="O5" s="312"/>
      <c r="P5" s="316" t="s">
        <v>499</v>
      </c>
      <c r="Q5" s="312"/>
      <c r="R5" s="316" t="s">
        <v>505</v>
      </c>
      <c r="S5" s="312"/>
      <c r="T5" s="312"/>
      <c r="U5" s="312"/>
      <c r="V5" s="312"/>
      <c r="W5" s="312"/>
      <c r="X5" s="312"/>
      <c r="Y5" s="312"/>
      <c r="Z5" s="312"/>
    </row>
    <row r="6" spans="1:26" ht="28.8">
      <c r="A6" s="482" t="s">
        <v>543</v>
      </c>
      <c r="B6" s="453"/>
      <c r="C6" s="482" t="s">
        <v>592</v>
      </c>
      <c r="D6" s="454"/>
      <c r="E6" s="414"/>
      <c r="F6" s="315" t="s">
        <v>457</v>
      </c>
      <c r="G6" s="312"/>
      <c r="H6" s="312"/>
      <c r="I6" s="312"/>
      <c r="J6" s="312"/>
      <c r="K6" s="312"/>
      <c r="L6" s="312"/>
      <c r="M6" s="312"/>
      <c r="N6" s="312"/>
      <c r="O6" s="312"/>
      <c r="P6" s="316" t="s">
        <v>492</v>
      </c>
      <c r="Q6" s="312"/>
      <c r="R6" s="316" t="s">
        <v>510</v>
      </c>
      <c r="S6" s="312"/>
      <c r="T6" s="312"/>
      <c r="U6" s="312"/>
      <c r="V6" s="312"/>
      <c r="W6" s="312"/>
      <c r="X6" s="312"/>
      <c r="Y6" s="312"/>
      <c r="Z6" s="312"/>
    </row>
    <row r="7" spans="1:26" ht="57.6">
      <c r="A7" s="482" t="s">
        <v>548</v>
      </c>
      <c r="B7" s="453"/>
      <c r="C7" s="482" t="s">
        <v>490</v>
      </c>
      <c r="D7" s="454"/>
      <c r="E7" s="414"/>
      <c r="F7" s="315" t="s">
        <v>456</v>
      </c>
      <c r="G7" s="312"/>
      <c r="H7" s="312"/>
      <c r="I7" s="312"/>
      <c r="J7" s="312"/>
      <c r="K7" s="312"/>
      <c r="L7" s="312"/>
      <c r="M7" s="312"/>
      <c r="N7" s="312"/>
      <c r="O7" s="312"/>
      <c r="P7" s="316" t="s">
        <v>502</v>
      </c>
      <c r="Q7" s="312"/>
      <c r="R7" s="316" t="s">
        <v>504</v>
      </c>
      <c r="S7" s="312"/>
      <c r="T7" s="312"/>
      <c r="U7" s="312"/>
      <c r="V7" s="312"/>
      <c r="W7" s="312"/>
      <c r="X7" s="312"/>
      <c r="Y7" s="312"/>
      <c r="Z7" s="312"/>
    </row>
    <row r="8" spans="1:26" ht="86.4">
      <c r="A8" s="315" t="s">
        <v>563</v>
      </c>
      <c r="B8" s="453"/>
      <c r="C8" s="482" t="s">
        <v>653</v>
      </c>
      <c r="D8" s="454"/>
      <c r="E8" s="414"/>
      <c r="F8" s="315" t="s">
        <v>460</v>
      </c>
      <c r="G8" s="312"/>
      <c r="H8" s="312"/>
      <c r="I8" s="312"/>
      <c r="J8" s="312"/>
      <c r="K8" s="312"/>
      <c r="L8" s="312"/>
      <c r="M8" s="312"/>
      <c r="N8" s="312"/>
      <c r="O8" s="312"/>
      <c r="P8" s="316" t="s">
        <v>553</v>
      </c>
      <c r="Q8" s="312"/>
      <c r="R8" s="316" t="s">
        <v>525</v>
      </c>
      <c r="S8" s="312"/>
      <c r="T8" s="312"/>
      <c r="U8" s="312"/>
      <c r="V8" s="312"/>
      <c r="W8" s="312"/>
      <c r="X8" s="312"/>
      <c r="Y8" s="312"/>
      <c r="Z8" s="312"/>
    </row>
    <row r="9" spans="1:26" ht="86.4">
      <c r="A9" s="315" t="s">
        <v>586</v>
      </c>
      <c r="B9" s="453"/>
      <c r="C9" s="482" t="s">
        <v>631</v>
      </c>
      <c r="D9" s="454"/>
      <c r="E9" s="414"/>
      <c r="F9" s="315" t="s">
        <v>461</v>
      </c>
      <c r="G9" s="312"/>
      <c r="H9" s="312"/>
      <c r="I9" s="312"/>
      <c r="J9" s="312"/>
      <c r="K9" s="312"/>
      <c r="L9" s="312"/>
      <c r="M9" s="312"/>
      <c r="N9" s="312"/>
      <c r="O9" s="312"/>
      <c r="P9" s="316" t="s">
        <v>573</v>
      </c>
      <c r="Q9" s="312"/>
      <c r="R9" s="316" t="s">
        <v>541</v>
      </c>
      <c r="S9" s="312"/>
      <c r="T9" s="312"/>
      <c r="U9" s="312"/>
      <c r="V9" s="312"/>
      <c r="W9" s="312"/>
      <c r="X9" s="312"/>
      <c r="Y9" s="312"/>
      <c r="Z9" s="312"/>
    </row>
    <row r="10" spans="1:26" ht="72">
      <c r="A10" s="315" t="s">
        <v>569</v>
      </c>
      <c r="B10" s="453"/>
      <c r="C10" s="482" t="s">
        <v>593</v>
      </c>
      <c r="D10" s="454"/>
      <c r="E10" s="315" t="s">
        <v>565</v>
      </c>
      <c r="F10" s="315"/>
      <c r="G10" s="312"/>
      <c r="H10" s="312"/>
      <c r="I10" s="312"/>
      <c r="J10" s="312"/>
      <c r="K10" s="312"/>
      <c r="L10" s="312"/>
      <c r="M10" s="312"/>
      <c r="N10" s="312"/>
      <c r="O10" s="453"/>
      <c r="P10" s="316" t="s">
        <v>616</v>
      </c>
      <c r="Q10" s="454"/>
      <c r="R10" s="316" t="s">
        <v>544</v>
      </c>
      <c r="S10" s="312"/>
      <c r="T10" s="312"/>
      <c r="U10" s="312"/>
      <c r="V10" s="312"/>
      <c r="W10" s="312"/>
      <c r="X10" s="312"/>
      <c r="Y10" s="312"/>
      <c r="Z10" s="312"/>
    </row>
    <row r="11" spans="1:26" ht="57.6">
      <c r="A11" s="315" t="s">
        <v>570</v>
      </c>
      <c r="B11" s="453"/>
      <c r="C11" s="315" t="s">
        <v>594</v>
      </c>
      <c r="D11" s="454"/>
      <c r="E11" s="414" t="s">
        <v>462</v>
      </c>
      <c r="F11" s="315"/>
      <c r="G11" s="312"/>
      <c r="H11" s="312"/>
      <c r="I11" s="312"/>
      <c r="J11" s="312"/>
      <c r="K11" s="312"/>
      <c r="L11" s="312"/>
      <c r="M11" s="312"/>
      <c r="N11" s="312"/>
      <c r="O11" s="453"/>
      <c r="P11" s="316" t="s">
        <v>617</v>
      </c>
      <c r="Q11" s="454"/>
      <c r="R11" s="316" t="s">
        <v>545</v>
      </c>
      <c r="S11" s="312"/>
      <c r="T11" s="312"/>
      <c r="U11" s="312"/>
      <c r="V11" s="312"/>
      <c r="W11" s="312"/>
      <c r="X11" s="312"/>
      <c r="Y11" s="312"/>
      <c r="Z11" s="312"/>
    </row>
    <row r="12" spans="1:26" ht="57.6">
      <c r="A12" s="315" t="s">
        <v>587</v>
      </c>
      <c r="B12" s="453"/>
      <c r="C12" s="315" t="s">
        <v>551</v>
      </c>
      <c r="D12" s="454"/>
      <c r="E12" s="315" t="s">
        <v>464</v>
      </c>
      <c r="F12" s="315"/>
      <c r="G12" s="312"/>
      <c r="H12" s="312"/>
      <c r="I12" s="312"/>
      <c r="J12" s="312"/>
      <c r="K12" s="312"/>
      <c r="L12" s="312"/>
      <c r="M12" s="312"/>
      <c r="N12" s="312"/>
      <c r="O12" s="453"/>
      <c r="P12" s="316" t="s">
        <v>564</v>
      </c>
      <c r="Q12" s="454"/>
      <c r="R12" s="316" t="s">
        <v>549</v>
      </c>
      <c r="S12" s="312"/>
      <c r="T12" s="312"/>
      <c r="U12" s="312"/>
      <c r="V12" s="312"/>
      <c r="W12" s="312"/>
      <c r="X12" s="312"/>
      <c r="Y12" s="312"/>
      <c r="Z12" s="312"/>
    </row>
    <row r="13" spans="1:26" ht="115.2">
      <c r="A13" s="315" t="s">
        <v>588</v>
      </c>
      <c r="B13" s="453"/>
      <c r="C13" s="315" t="s">
        <v>595</v>
      </c>
      <c r="D13" s="454"/>
      <c r="E13" s="414" t="s">
        <v>465</v>
      </c>
      <c r="F13" s="315"/>
      <c r="G13" s="312"/>
      <c r="H13" s="312"/>
      <c r="I13" s="312"/>
      <c r="J13" s="312"/>
      <c r="K13" s="312"/>
      <c r="L13" s="312"/>
      <c r="M13" s="312"/>
      <c r="N13" s="312"/>
      <c r="O13" s="453"/>
      <c r="P13" s="316" t="s">
        <v>571</v>
      </c>
      <c r="Q13" s="454"/>
      <c r="R13" s="316" t="s">
        <v>560</v>
      </c>
      <c r="S13" s="312"/>
      <c r="T13" s="312"/>
      <c r="U13" s="312"/>
      <c r="V13" s="312"/>
      <c r="W13" s="312"/>
      <c r="X13" s="312"/>
      <c r="Y13" s="312"/>
      <c r="Z13" s="312"/>
    </row>
    <row r="14" spans="1:26" ht="72">
      <c r="A14" s="315" t="s">
        <v>574</v>
      </c>
      <c r="B14" s="453"/>
      <c r="C14" s="315" t="s">
        <v>558</v>
      </c>
      <c r="D14" s="454"/>
      <c r="E14" s="315" t="s">
        <v>487</v>
      </c>
      <c r="F14" s="315"/>
      <c r="G14" s="312"/>
      <c r="H14" s="312"/>
      <c r="I14" s="312"/>
      <c r="J14" s="312"/>
      <c r="K14" s="312"/>
      <c r="L14" s="312"/>
      <c r="M14" s="312"/>
      <c r="N14" s="312"/>
      <c r="O14" s="453"/>
      <c r="P14" s="316" t="s">
        <v>572</v>
      </c>
      <c r="Q14" s="454"/>
      <c r="R14" s="316" t="s">
        <v>552</v>
      </c>
      <c r="S14" s="312"/>
      <c r="T14" s="312"/>
      <c r="U14" s="312"/>
      <c r="V14" s="312"/>
      <c r="W14" s="312"/>
      <c r="X14" s="312"/>
      <c r="Y14" s="312"/>
      <c r="Z14" s="312"/>
    </row>
    <row r="15" spans="1:26" ht="43.2">
      <c r="A15" s="315" t="s">
        <v>923</v>
      </c>
      <c r="B15" s="550"/>
      <c r="C15" s="315" t="s">
        <v>597</v>
      </c>
      <c r="D15" s="454"/>
      <c r="E15" s="414"/>
      <c r="F15" s="315" t="s">
        <v>466</v>
      </c>
      <c r="G15" s="312"/>
      <c r="H15" s="312"/>
      <c r="I15" s="312"/>
      <c r="J15" s="312"/>
      <c r="K15" s="312"/>
      <c r="L15" s="312"/>
      <c r="M15" s="312"/>
      <c r="N15" s="312"/>
      <c r="O15" s="453"/>
      <c r="P15" s="316" t="s">
        <v>644</v>
      </c>
      <c r="Q15" s="454"/>
      <c r="R15" s="316" t="s">
        <v>600</v>
      </c>
      <c r="S15" s="312"/>
      <c r="T15" s="312"/>
      <c r="U15" s="312"/>
      <c r="V15" s="312"/>
      <c r="W15" s="312"/>
      <c r="X15" s="312"/>
      <c r="Y15" s="312"/>
      <c r="Z15" s="312"/>
    </row>
    <row r="16" spans="1:26" ht="43.2">
      <c r="A16" s="548"/>
      <c r="B16" s="550"/>
      <c r="C16" s="315" t="s">
        <v>596</v>
      </c>
      <c r="D16" s="454"/>
      <c r="E16" s="415"/>
      <c r="F16" s="315" t="s">
        <v>467</v>
      </c>
      <c r="G16" s="312"/>
      <c r="H16" s="312"/>
      <c r="I16" s="312"/>
      <c r="J16" s="312"/>
      <c r="K16" s="312"/>
      <c r="L16" s="312"/>
      <c r="M16" s="312"/>
      <c r="N16" s="312"/>
      <c r="O16" s="453"/>
      <c r="P16" s="316" t="s">
        <v>645</v>
      </c>
      <c r="Q16" s="454"/>
      <c r="R16" s="316" t="s">
        <v>634</v>
      </c>
      <c r="S16" s="312"/>
      <c r="T16" s="312"/>
      <c r="U16" s="312"/>
      <c r="V16" s="312"/>
      <c r="W16" s="312"/>
      <c r="X16" s="312"/>
      <c r="Y16" s="312"/>
      <c r="Z16" s="312"/>
    </row>
    <row r="17" spans="1:26" ht="72">
      <c r="A17" s="548"/>
      <c r="B17" s="550"/>
      <c r="C17" s="315" t="s">
        <v>561</v>
      </c>
      <c r="D17" s="454"/>
      <c r="E17" s="414"/>
      <c r="F17" s="315" t="s">
        <v>468</v>
      </c>
      <c r="G17" s="312"/>
      <c r="H17" s="312"/>
      <c r="I17" s="312"/>
      <c r="J17" s="312"/>
      <c r="K17" s="312"/>
      <c r="L17" s="312"/>
      <c r="M17" s="312"/>
      <c r="N17" s="312"/>
      <c r="O17" s="453"/>
      <c r="P17" s="316" t="s">
        <v>646</v>
      </c>
      <c r="Q17" s="454"/>
      <c r="R17" s="316" t="s">
        <v>606</v>
      </c>
      <c r="S17" s="312"/>
      <c r="T17" s="312"/>
      <c r="U17" s="312"/>
      <c r="V17" s="312"/>
      <c r="W17" s="312"/>
      <c r="X17" s="312"/>
      <c r="Y17" s="312"/>
      <c r="Z17" s="312"/>
    </row>
    <row r="18" spans="1:26" ht="43.2">
      <c r="A18" s="548"/>
      <c r="B18" s="550"/>
      <c r="C18" s="315" t="str">
        <f>E10</f>
        <v>Enable reservoir-constrained OR pump-constrained OR facility-constrained production. Res-constr is determined by SS inflow eqn and FBHP, pump-constr by pump capacity, fac-constr by fac flow-capacity. Lowest constraint determines overall flow (choke model).</v>
      </c>
      <c r="D18" s="454"/>
      <c r="E18" s="414"/>
      <c r="F18" s="315" t="s">
        <v>486</v>
      </c>
      <c r="G18" s="312"/>
      <c r="H18" s="312"/>
      <c r="I18" s="312"/>
      <c r="J18" s="312"/>
      <c r="K18" s="312"/>
      <c r="L18" s="312"/>
      <c r="M18" s="312"/>
      <c r="N18" s="312"/>
      <c r="O18" s="453"/>
      <c r="P18" s="312"/>
      <c r="Q18" s="454"/>
      <c r="R18" s="316" t="s">
        <v>643</v>
      </c>
      <c r="S18" s="312"/>
      <c r="T18" s="312"/>
      <c r="U18" s="312"/>
      <c r="V18" s="312"/>
      <c r="W18" s="312"/>
      <c r="X18" s="312"/>
      <c r="Y18" s="312"/>
      <c r="Z18" s="312"/>
    </row>
    <row r="19" spans="1:26" ht="52.8">
      <c r="A19" s="548"/>
      <c r="B19" s="550"/>
      <c r="C19" s="315" t="s">
        <v>599</v>
      </c>
      <c r="D19" s="454"/>
      <c r="E19" s="414"/>
      <c r="F19" s="315" t="s">
        <v>469</v>
      </c>
      <c r="G19" s="312"/>
      <c r="H19" s="312"/>
      <c r="I19" s="312"/>
      <c r="J19" s="312"/>
      <c r="K19" s="312"/>
      <c r="L19" s="312"/>
      <c r="M19" s="312"/>
      <c r="N19" s="312"/>
      <c r="O19" s="453"/>
      <c r="P19" s="312"/>
      <c r="Q19" s="454"/>
      <c r="R19" s="312"/>
      <c r="S19" s="312"/>
      <c r="T19" s="312"/>
      <c r="U19" s="312"/>
      <c r="V19" s="312"/>
      <c r="W19" s="312"/>
      <c r="X19" s="312"/>
      <c r="Y19" s="312"/>
      <c r="Z19" s="312"/>
    </row>
    <row r="20" spans="1:26" ht="52.8">
      <c r="A20" s="548"/>
      <c r="B20" s="550"/>
      <c r="C20" s="315" t="s">
        <v>598</v>
      </c>
      <c r="D20" s="454"/>
      <c r="E20" s="414"/>
      <c r="F20" s="315" t="s">
        <v>470</v>
      </c>
      <c r="G20" s="312"/>
      <c r="H20" s="312"/>
      <c r="I20" s="312"/>
      <c r="J20" s="312"/>
      <c r="K20" s="312"/>
      <c r="L20" s="312"/>
      <c r="M20" s="312"/>
      <c r="N20" s="312"/>
      <c r="O20" s="453"/>
      <c r="P20" s="312"/>
      <c r="Q20" s="454"/>
      <c r="R20" s="312"/>
      <c r="S20" s="312"/>
      <c r="T20" s="312"/>
      <c r="U20" s="312"/>
      <c r="V20" s="312"/>
      <c r="W20" s="312"/>
      <c r="X20" s="312"/>
      <c r="Y20" s="312"/>
      <c r="Z20" s="312"/>
    </row>
    <row r="21" spans="1:26" ht="86.4">
      <c r="A21" s="655"/>
      <c r="B21" s="550"/>
      <c r="C21" s="315" t="s">
        <v>601</v>
      </c>
      <c r="D21" s="550"/>
      <c r="E21" s="315" t="s">
        <v>1472</v>
      </c>
      <c r="F21" s="315"/>
      <c r="G21" s="454"/>
      <c r="H21" s="312"/>
      <c r="I21" s="312"/>
      <c r="J21" s="312"/>
      <c r="K21" s="312"/>
      <c r="L21" s="312"/>
      <c r="M21" s="312"/>
      <c r="N21" s="312"/>
      <c r="O21" s="453"/>
      <c r="P21" s="312"/>
      <c r="Q21" s="454"/>
      <c r="R21" s="312"/>
      <c r="S21" s="312"/>
      <c r="T21" s="312"/>
      <c r="U21" s="312"/>
      <c r="V21" s="312"/>
      <c r="W21" s="312"/>
      <c r="X21" s="312"/>
      <c r="Y21" s="312"/>
      <c r="Z21" s="312"/>
    </row>
    <row r="22" spans="1:26" ht="28.8">
      <c r="A22" s="656"/>
      <c r="B22" s="550"/>
      <c r="C22" s="315" t="s">
        <v>603</v>
      </c>
      <c r="D22" s="550"/>
      <c r="E22" s="315" t="s">
        <v>1473</v>
      </c>
      <c r="F22" s="315"/>
      <c r="G22" s="454"/>
      <c r="H22" s="312"/>
      <c r="I22" s="312"/>
      <c r="J22" s="312"/>
      <c r="K22" s="312"/>
      <c r="L22" s="312"/>
      <c r="M22" s="312"/>
      <c r="N22" s="312"/>
      <c r="O22" s="453"/>
      <c r="P22" s="312"/>
      <c r="Q22" s="454"/>
      <c r="R22" s="312"/>
      <c r="S22" s="312"/>
      <c r="T22" s="312"/>
      <c r="U22" s="312"/>
      <c r="V22" s="312"/>
      <c r="W22" s="312"/>
      <c r="X22" s="312"/>
      <c r="Y22" s="312"/>
      <c r="Z22" s="312"/>
    </row>
    <row r="23" spans="1:26" ht="28.8">
      <c r="A23" s="548"/>
      <c r="B23" s="550"/>
      <c r="C23" s="315" t="s">
        <v>604</v>
      </c>
      <c r="D23" s="550"/>
      <c r="E23" s="549"/>
      <c r="F23" s="548"/>
      <c r="G23" s="454"/>
      <c r="H23" s="312"/>
      <c r="I23" s="312"/>
      <c r="J23" s="312"/>
      <c r="K23" s="312"/>
      <c r="L23" s="312"/>
      <c r="M23" s="312"/>
      <c r="N23" s="312"/>
      <c r="O23" s="453"/>
      <c r="P23" s="312"/>
      <c r="Q23" s="454"/>
      <c r="R23" s="312"/>
      <c r="S23" s="312"/>
      <c r="T23" s="312"/>
      <c r="U23" s="312"/>
      <c r="V23" s="312"/>
      <c r="W23" s="312"/>
      <c r="X23" s="312"/>
      <c r="Y23" s="312"/>
      <c r="Z23" s="312"/>
    </row>
    <row r="24" spans="1:26" ht="43.2">
      <c r="A24" s="548"/>
      <c r="B24" s="550"/>
      <c r="C24" s="315" t="s">
        <v>605</v>
      </c>
      <c r="D24" s="550"/>
      <c r="E24" s="549"/>
      <c r="F24" s="548"/>
      <c r="G24" s="454"/>
      <c r="H24" s="312"/>
      <c r="I24" s="312"/>
      <c r="J24" s="312"/>
      <c r="K24" s="312"/>
      <c r="L24" s="312"/>
      <c r="M24" s="312"/>
      <c r="N24" s="312"/>
      <c r="O24" s="453"/>
      <c r="P24" s="312"/>
      <c r="Q24" s="454"/>
      <c r="R24" s="312"/>
      <c r="S24" s="312"/>
      <c r="T24" s="312"/>
      <c r="U24" s="312"/>
      <c r="V24" s="312"/>
      <c r="W24" s="312"/>
      <c r="X24" s="312"/>
      <c r="Y24" s="312"/>
      <c r="Z24" s="312"/>
    </row>
    <row r="25" spans="1:26" ht="43.2">
      <c r="A25" s="548"/>
      <c r="B25" s="550"/>
      <c r="C25" s="315" t="s">
        <v>607</v>
      </c>
      <c r="D25" s="550"/>
      <c r="E25" s="549"/>
      <c r="F25" s="548"/>
      <c r="G25" s="454"/>
      <c r="H25" s="312"/>
      <c r="I25" s="312"/>
      <c r="J25" s="312"/>
      <c r="K25" s="312"/>
      <c r="L25" s="312"/>
      <c r="M25" s="312"/>
      <c r="N25" s="312"/>
      <c r="O25" s="453"/>
      <c r="P25" s="312"/>
      <c r="Q25" s="454"/>
      <c r="R25" s="312"/>
      <c r="S25" s="312"/>
      <c r="T25" s="312"/>
      <c r="U25" s="312"/>
      <c r="V25" s="312"/>
      <c r="W25" s="312"/>
      <c r="X25" s="312"/>
      <c r="Y25" s="312"/>
      <c r="Z25" s="312"/>
    </row>
    <row r="26" spans="1:26" ht="28.8">
      <c r="A26" s="548"/>
      <c r="B26" s="550"/>
      <c r="C26" s="315" t="s">
        <v>742</v>
      </c>
      <c r="D26" s="550"/>
      <c r="E26" s="549"/>
      <c r="F26" s="548"/>
      <c r="G26" s="454"/>
      <c r="H26" s="312"/>
      <c r="I26" s="312"/>
      <c r="J26" s="312"/>
      <c r="K26" s="312"/>
      <c r="L26" s="312"/>
      <c r="M26" s="312"/>
      <c r="N26" s="312"/>
      <c r="O26" s="453"/>
      <c r="P26" s="312"/>
      <c r="Q26" s="454"/>
      <c r="R26" s="312"/>
      <c r="S26" s="312"/>
      <c r="T26" s="312"/>
      <c r="U26" s="312"/>
      <c r="V26" s="312"/>
      <c r="W26" s="312"/>
      <c r="X26" s="312"/>
      <c r="Y26" s="312"/>
      <c r="Z26" s="312"/>
    </row>
    <row r="27" spans="1:26" ht="43.2">
      <c r="A27" s="548"/>
      <c r="B27" s="550"/>
      <c r="C27" s="315" t="s">
        <v>578</v>
      </c>
      <c r="D27" s="550"/>
      <c r="E27" s="549"/>
      <c r="F27" s="548"/>
      <c r="G27" s="454"/>
      <c r="H27" s="312"/>
      <c r="I27" s="312"/>
      <c r="J27" s="312"/>
      <c r="K27" s="312"/>
      <c r="L27" s="312"/>
      <c r="M27" s="312"/>
      <c r="N27" s="312"/>
      <c r="O27" s="453"/>
      <c r="P27" s="312"/>
      <c r="Q27" s="454"/>
      <c r="R27" s="312"/>
      <c r="S27" s="312"/>
      <c r="T27" s="312"/>
      <c r="U27" s="312"/>
      <c r="V27" s="312"/>
      <c r="W27" s="312"/>
      <c r="X27" s="312"/>
      <c r="Y27" s="312"/>
      <c r="Z27" s="312"/>
    </row>
    <row r="28" spans="1:26" ht="43.2">
      <c r="A28" s="548"/>
      <c r="B28" s="550"/>
      <c r="C28" s="315" t="s">
        <v>602</v>
      </c>
      <c r="D28" s="550"/>
      <c r="E28" s="549"/>
      <c r="F28" s="548"/>
      <c r="G28" s="454"/>
      <c r="H28" s="312"/>
      <c r="I28" s="312"/>
      <c r="J28" s="312"/>
      <c r="K28" s="312"/>
      <c r="L28" s="312"/>
      <c r="M28" s="312"/>
      <c r="N28" s="312"/>
      <c r="O28" s="453"/>
      <c r="P28" s="312"/>
      <c r="Q28" s="454"/>
      <c r="R28" s="312"/>
      <c r="S28" s="312"/>
      <c r="T28" s="312"/>
      <c r="U28" s="312"/>
      <c r="V28" s="312"/>
      <c r="W28" s="312"/>
      <c r="X28" s="312"/>
      <c r="Y28" s="312"/>
      <c r="Z28" s="312"/>
    </row>
    <row r="29" spans="1:26" ht="115.2">
      <c r="A29" s="548"/>
      <c r="B29" s="550"/>
      <c r="C29" s="315" t="s">
        <v>647</v>
      </c>
      <c r="D29" s="550"/>
      <c r="E29" s="549"/>
      <c r="F29" s="548"/>
      <c r="G29" s="454"/>
      <c r="H29" s="312"/>
      <c r="I29" s="312"/>
      <c r="J29" s="312"/>
      <c r="K29" s="312"/>
      <c r="L29" s="312"/>
      <c r="M29" s="312"/>
      <c r="N29" s="312"/>
      <c r="O29" s="453"/>
      <c r="P29" s="312"/>
      <c r="Q29" s="454"/>
      <c r="R29" s="312"/>
      <c r="S29" s="312"/>
      <c r="T29" s="312"/>
      <c r="U29" s="312"/>
      <c r="V29" s="312"/>
      <c r="W29" s="312"/>
      <c r="X29" s="312"/>
      <c r="Y29" s="312"/>
      <c r="Z29" s="312"/>
    </row>
    <row r="30" spans="1:26" ht="129.6">
      <c r="A30" s="548"/>
      <c r="B30" s="454"/>
      <c r="C30" s="315" t="s">
        <v>648</v>
      </c>
      <c r="D30" s="453"/>
      <c r="E30" s="549"/>
      <c r="F30" s="548"/>
      <c r="G30" s="454"/>
      <c r="H30" s="312"/>
      <c r="I30" s="312"/>
      <c r="J30" s="312"/>
      <c r="K30" s="312"/>
      <c r="L30" s="312"/>
      <c r="M30" s="312"/>
      <c r="N30" s="312"/>
      <c r="O30" s="453"/>
      <c r="P30" s="312"/>
      <c r="Q30" s="454"/>
      <c r="R30" s="312"/>
      <c r="S30" s="312"/>
      <c r="T30" s="312"/>
      <c r="U30" s="312"/>
      <c r="V30" s="312"/>
      <c r="W30" s="312"/>
      <c r="X30" s="312"/>
      <c r="Y30" s="312"/>
      <c r="Z30" s="312"/>
    </row>
    <row r="31" spans="1:26" ht="57.6">
      <c r="A31" s="548"/>
      <c r="B31" s="550"/>
      <c r="C31" s="315" t="s">
        <v>699</v>
      </c>
      <c r="D31" s="550"/>
      <c r="E31" s="549"/>
      <c r="F31" s="548"/>
      <c r="G31" s="454"/>
      <c r="H31" s="312"/>
      <c r="I31" s="312"/>
      <c r="J31" s="312"/>
      <c r="K31" s="312"/>
      <c r="L31" s="312"/>
      <c r="M31" s="312"/>
      <c r="N31" s="312"/>
      <c r="O31" s="453"/>
      <c r="P31" s="312"/>
      <c r="Q31" s="454"/>
      <c r="R31" s="312"/>
      <c r="S31" s="312"/>
      <c r="T31" s="312"/>
      <c r="U31" s="312"/>
      <c r="V31" s="312"/>
      <c r="W31" s="312"/>
      <c r="X31" s="312"/>
      <c r="Y31" s="312"/>
      <c r="Z31" s="312"/>
    </row>
    <row r="32" spans="1:26" ht="28.8">
      <c r="A32" s="548"/>
      <c r="B32" s="454"/>
      <c r="C32" s="315" t="s">
        <v>711</v>
      </c>
      <c r="D32" s="453"/>
      <c r="E32" s="549"/>
      <c r="F32" s="548"/>
      <c r="G32" s="454"/>
      <c r="H32" s="312"/>
      <c r="I32" s="312"/>
      <c r="J32" s="312"/>
      <c r="K32" s="312"/>
      <c r="L32" s="312"/>
      <c r="M32" s="312"/>
      <c r="N32" s="312"/>
      <c r="O32" s="312"/>
      <c r="P32" s="455"/>
      <c r="Q32" s="312"/>
      <c r="R32" s="312"/>
      <c r="S32" s="312"/>
      <c r="T32" s="312"/>
      <c r="U32" s="312"/>
      <c r="V32" s="312"/>
      <c r="W32" s="312"/>
      <c r="X32" s="312"/>
      <c r="Y32" s="312"/>
      <c r="Z32" s="312"/>
    </row>
    <row r="33" spans="1:26" ht="28.8">
      <c r="A33" s="548"/>
      <c r="B33" s="454"/>
      <c r="C33" s="315" t="s">
        <v>712</v>
      </c>
      <c r="D33" s="312"/>
      <c r="E33" s="322"/>
      <c r="F33" s="317"/>
      <c r="G33" s="312"/>
      <c r="H33" s="312"/>
      <c r="I33" s="312"/>
      <c r="J33" s="312"/>
      <c r="K33" s="312"/>
      <c r="L33" s="312"/>
      <c r="M33" s="312"/>
      <c r="N33" s="312"/>
      <c r="O33" s="312"/>
      <c r="P33" s="312"/>
      <c r="Q33" s="312"/>
      <c r="R33" s="312"/>
      <c r="S33" s="312"/>
      <c r="T33" s="312"/>
      <c r="U33" s="312"/>
      <c r="V33" s="312"/>
      <c r="W33" s="312"/>
      <c r="X33" s="312"/>
      <c r="Y33" s="312"/>
      <c r="Z33" s="312"/>
    </row>
    <row r="34" spans="1:26" ht="43.2">
      <c r="A34" s="548"/>
      <c r="B34" s="454"/>
      <c r="C34" s="315" t="s">
        <v>741</v>
      </c>
      <c r="D34" s="312"/>
      <c r="E34" s="322"/>
      <c r="F34" s="317"/>
      <c r="G34" s="312"/>
      <c r="H34" s="312"/>
      <c r="I34" s="312"/>
      <c r="J34" s="312"/>
      <c r="K34" s="312"/>
      <c r="L34" s="312"/>
      <c r="M34" s="312"/>
      <c r="N34" s="312"/>
      <c r="O34" s="312"/>
      <c r="P34" s="312"/>
      <c r="Q34" s="312"/>
      <c r="R34" s="312"/>
      <c r="S34" s="312"/>
      <c r="T34" s="312"/>
      <c r="U34" s="312"/>
      <c r="V34" s="312"/>
      <c r="W34" s="312"/>
      <c r="X34" s="312"/>
      <c r="Y34" s="312"/>
      <c r="Z34" s="312"/>
    </row>
    <row r="35" spans="1:26" ht="28.8">
      <c r="A35" s="317"/>
      <c r="B35" s="312"/>
      <c r="C35" s="315" t="s">
        <v>848</v>
      </c>
      <c r="D35" s="312"/>
      <c r="E35" s="322"/>
      <c r="F35" s="317"/>
      <c r="G35" s="312"/>
      <c r="H35" s="312"/>
      <c r="I35" s="312"/>
      <c r="J35" s="312"/>
      <c r="K35" s="312"/>
      <c r="L35" s="312"/>
      <c r="M35" s="312"/>
      <c r="N35" s="312"/>
      <c r="O35" s="312"/>
      <c r="P35" s="312"/>
      <c r="Q35" s="312"/>
      <c r="R35" s="312"/>
      <c r="S35" s="312"/>
      <c r="T35" s="312"/>
      <c r="U35" s="312"/>
      <c r="V35" s="312"/>
      <c r="W35" s="312"/>
      <c r="X35" s="312"/>
      <c r="Y35" s="312"/>
      <c r="Z35" s="312"/>
    </row>
    <row r="36" spans="1:26">
      <c r="A36" s="317"/>
      <c r="B36" s="312"/>
      <c r="C36" s="315" t="s">
        <v>943</v>
      </c>
      <c r="D36" s="312"/>
      <c r="E36" s="322"/>
      <c r="F36" s="317"/>
      <c r="G36" s="312"/>
      <c r="H36" s="312"/>
      <c r="I36" s="312"/>
      <c r="J36" s="312"/>
      <c r="K36" s="312"/>
      <c r="L36" s="312"/>
      <c r="M36" s="312"/>
      <c r="N36" s="312"/>
      <c r="O36" s="312"/>
      <c r="P36" s="312"/>
      <c r="Q36" s="312"/>
      <c r="R36" s="312"/>
      <c r="S36" s="312"/>
      <c r="T36" s="312"/>
      <c r="U36" s="312"/>
      <c r="V36" s="312"/>
      <c r="W36" s="312"/>
      <c r="X36" s="312"/>
      <c r="Y36" s="312"/>
      <c r="Z36" s="312"/>
    </row>
    <row r="37" spans="1:26">
      <c r="A37" s="317"/>
      <c r="B37" s="312"/>
      <c r="C37" s="315" t="s">
        <v>950</v>
      </c>
      <c r="D37" s="312"/>
      <c r="E37" s="322"/>
      <c r="F37" s="317"/>
      <c r="G37" s="312"/>
      <c r="H37" s="312"/>
      <c r="I37" s="312"/>
      <c r="J37" s="312"/>
      <c r="K37" s="312"/>
      <c r="L37" s="312"/>
      <c r="M37" s="312"/>
      <c r="N37" s="312"/>
      <c r="O37" s="312"/>
      <c r="P37" s="312"/>
      <c r="Q37" s="312"/>
      <c r="R37" s="312"/>
      <c r="S37" s="312"/>
      <c r="T37" s="312"/>
      <c r="U37" s="312"/>
      <c r="V37" s="312"/>
      <c r="W37" s="312"/>
      <c r="X37" s="312"/>
      <c r="Y37" s="312"/>
      <c r="Z37" s="312"/>
    </row>
    <row r="38" spans="1:26" ht="28.8">
      <c r="A38" s="317"/>
      <c r="B38" s="312"/>
      <c r="C38" s="315" t="s">
        <v>1027</v>
      </c>
      <c r="D38" s="312"/>
      <c r="E38" s="322"/>
      <c r="F38" s="317"/>
      <c r="G38" s="312"/>
      <c r="H38" s="312"/>
      <c r="I38" s="312"/>
      <c r="J38" s="312"/>
      <c r="K38" s="312"/>
      <c r="L38" s="312"/>
      <c r="M38" s="312"/>
      <c r="N38" s="312"/>
      <c r="O38" s="312"/>
      <c r="P38" s="312"/>
      <c r="Q38" s="312"/>
      <c r="R38" s="312"/>
      <c r="S38" s="312"/>
      <c r="T38" s="312"/>
      <c r="U38" s="312"/>
      <c r="V38" s="312"/>
      <c r="W38" s="312"/>
      <c r="X38" s="312"/>
      <c r="Y38" s="312"/>
      <c r="Z38" s="312"/>
    </row>
    <row r="39" spans="1:26" ht="43.2">
      <c r="A39" s="317"/>
      <c r="B39" s="312"/>
      <c r="C39" s="315" t="s">
        <v>1452</v>
      </c>
      <c r="D39" s="312"/>
      <c r="E39" s="322"/>
      <c r="F39" s="317"/>
      <c r="G39" s="312"/>
      <c r="H39" s="312"/>
      <c r="I39" s="312"/>
      <c r="J39" s="312"/>
      <c r="K39" s="312"/>
      <c r="L39" s="312"/>
      <c r="M39" s="312"/>
      <c r="N39" s="312"/>
      <c r="O39" s="312"/>
      <c r="P39" s="312"/>
      <c r="Q39" s="312"/>
      <c r="R39" s="312"/>
      <c r="S39" s="312"/>
      <c r="T39" s="312"/>
      <c r="U39" s="312"/>
      <c r="V39" s="312"/>
      <c r="W39" s="312"/>
      <c r="X39" s="312"/>
      <c r="Y39" s="312"/>
      <c r="Z39" s="312"/>
    </row>
    <row r="40" spans="1:26" ht="43.2">
      <c r="A40" s="317"/>
      <c r="B40" s="312"/>
      <c r="C40" s="315" t="s">
        <v>1453</v>
      </c>
      <c r="D40" s="312"/>
      <c r="E40" s="322"/>
      <c r="F40" s="317"/>
      <c r="G40" s="312"/>
      <c r="H40" s="312"/>
      <c r="I40" s="312"/>
      <c r="J40" s="312"/>
      <c r="K40" s="312"/>
      <c r="L40" s="312"/>
      <c r="M40" s="312"/>
      <c r="N40" s="312"/>
      <c r="O40" s="312"/>
      <c r="P40" s="312"/>
      <c r="Q40" s="312"/>
      <c r="R40" s="312"/>
      <c r="S40" s="312"/>
      <c r="T40" s="312"/>
      <c r="U40" s="312"/>
      <c r="V40" s="312"/>
      <c r="W40" s="312"/>
      <c r="X40" s="312"/>
      <c r="Y40" s="312"/>
      <c r="Z40" s="312"/>
    </row>
    <row r="41" spans="1:26" ht="57.6">
      <c r="A41" s="317"/>
      <c r="B41" s="453"/>
      <c r="C41" s="315" t="s">
        <v>1907</v>
      </c>
      <c r="D41" s="454"/>
      <c r="E41" s="322"/>
      <c r="F41" s="317"/>
      <c r="G41" s="312"/>
      <c r="H41" s="312"/>
      <c r="I41" s="312"/>
      <c r="J41" s="312"/>
      <c r="K41" s="312"/>
      <c r="L41" s="312"/>
      <c r="M41" s="312"/>
      <c r="N41" s="312"/>
      <c r="O41" s="312"/>
      <c r="P41" s="312"/>
      <c r="Q41" s="312"/>
      <c r="R41" s="312"/>
      <c r="S41" s="312"/>
      <c r="T41" s="312"/>
      <c r="U41" s="312"/>
      <c r="V41" s="312"/>
      <c r="W41" s="312"/>
      <c r="X41" s="312"/>
      <c r="Y41" s="312"/>
      <c r="Z41" s="312"/>
    </row>
    <row r="42" spans="1:26">
      <c r="A42" s="317"/>
      <c r="B42" s="312"/>
      <c r="C42" s="1196"/>
      <c r="D42" s="312"/>
      <c r="E42" s="322"/>
      <c r="F42" s="317"/>
      <c r="G42" s="312"/>
      <c r="H42" s="312"/>
      <c r="I42" s="312"/>
      <c r="J42" s="312"/>
      <c r="K42" s="312"/>
      <c r="L42" s="312"/>
      <c r="M42" s="312"/>
      <c r="N42" s="312"/>
      <c r="O42" s="312"/>
      <c r="P42" s="312"/>
      <c r="Q42" s="312"/>
      <c r="R42" s="312"/>
      <c r="S42" s="312"/>
      <c r="T42" s="312"/>
      <c r="U42" s="312"/>
      <c r="V42" s="312"/>
      <c r="W42" s="312"/>
      <c r="X42" s="312"/>
      <c r="Y42" s="312"/>
      <c r="Z42" s="312"/>
    </row>
    <row r="43" spans="1:26">
      <c r="A43" s="317"/>
      <c r="B43" s="312"/>
      <c r="C43" s="548"/>
      <c r="D43" s="312"/>
      <c r="E43" s="322"/>
      <c r="F43" s="317"/>
      <c r="G43" s="312"/>
      <c r="H43" s="312"/>
      <c r="I43" s="312"/>
      <c r="J43" s="312"/>
      <c r="K43" s="312"/>
      <c r="L43" s="312"/>
      <c r="M43" s="312"/>
      <c r="N43" s="312"/>
      <c r="O43" s="312"/>
      <c r="P43" s="312"/>
      <c r="Q43" s="312"/>
      <c r="R43" s="312"/>
      <c r="S43" s="312"/>
      <c r="T43" s="312"/>
      <c r="U43" s="312"/>
      <c r="V43" s="312"/>
      <c r="W43" s="312"/>
      <c r="X43" s="312"/>
      <c r="Y43" s="312"/>
      <c r="Z43" s="312"/>
    </row>
    <row r="44" spans="1:26">
      <c r="A44" s="317"/>
      <c r="B44" s="312"/>
      <c r="C44" s="548"/>
      <c r="D44" s="312"/>
      <c r="E44" s="322"/>
      <c r="F44" s="317"/>
      <c r="G44" s="312"/>
      <c r="H44" s="312"/>
      <c r="I44" s="312"/>
      <c r="J44" s="312"/>
      <c r="K44" s="312"/>
      <c r="L44" s="312"/>
      <c r="M44" s="312"/>
      <c r="N44" s="312"/>
      <c r="O44" s="312"/>
      <c r="P44" s="312"/>
      <c r="Q44" s="312"/>
      <c r="R44" s="312"/>
      <c r="S44" s="312"/>
      <c r="T44" s="312"/>
      <c r="U44" s="312"/>
      <c r="V44" s="312"/>
      <c r="W44" s="312"/>
      <c r="X44" s="312"/>
      <c r="Y44" s="312"/>
      <c r="Z44" s="312"/>
    </row>
    <row r="45" spans="1:26">
      <c r="A45" s="317"/>
      <c r="B45" s="312"/>
      <c r="C45" s="319"/>
      <c r="D45" s="312"/>
      <c r="E45" s="322"/>
      <c r="F45" s="317"/>
      <c r="G45" s="312"/>
      <c r="H45" s="312"/>
      <c r="I45" s="312"/>
      <c r="J45" s="312"/>
      <c r="K45" s="312"/>
      <c r="L45" s="312"/>
      <c r="M45" s="312"/>
      <c r="N45" s="312"/>
      <c r="O45" s="312"/>
      <c r="P45" s="312"/>
      <c r="Q45" s="312"/>
      <c r="R45" s="312"/>
      <c r="S45" s="312"/>
      <c r="T45" s="312"/>
      <c r="U45" s="312"/>
      <c r="V45" s="312"/>
      <c r="W45" s="312"/>
      <c r="X45" s="312"/>
      <c r="Y45" s="312"/>
      <c r="Z45" s="312"/>
    </row>
    <row r="46" spans="1:26">
      <c r="A46" s="317"/>
      <c r="B46" s="312"/>
      <c r="C46" s="319"/>
      <c r="D46" s="312"/>
      <c r="E46" s="322"/>
      <c r="F46" s="317"/>
      <c r="G46" s="312"/>
      <c r="H46" s="312"/>
      <c r="I46" s="312"/>
      <c r="J46" s="312"/>
      <c r="K46" s="312"/>
      <c r="L46" s="312"/>
      <c r="M46" s="312"/>
      <c r="N46" s="312"/>
      <c r="O46" s="312"/>
      <c r="P46" s="312"/>
      <c r="Q46" s="312"/>
      <c r="R46" s="312"/>
      <c r="S46" s="312"/>
      <c r="T46" s="312"/>
      <c r="U46" s="312"/>
      <c r="V46" s="312"/>
      <c r="W46" s="312"/>
      <c r="X46" s="312"/>
      <c r="Y46" s="312"/>
      <c r="Z46" s="312"/>
    </row>
    <row r="47" spans="1:26">
      <c r="A47" s="317"/>
      <c r="B47" s="312"/>
      <c r="C47" s="319"/>
      <c r="D47" s="312"/>
      <c r="E47" s="322"/>
      <c r="F47" s="317"/>
      <c r="G47" s="312"/>
      <c r="H47" s="312"/>
      <c r="I47" s="312"/>
      <c r="J47" s="312"/>
      <c r="K47" s="312"/>
      <c r="L47" s="312"/>
      <c r="M47" s="312"/>
      <c r="N47" s="312"/>
      <c r="O47" s="312"/>
      <c r="P47" s="312"/>
      <c r="Q47" s="312"/>
      <c r="R47" s="312"/>
      <c r="S47" s="312"/>
      <c r="T47" s="312"/>
      <c r="U47" s="312"/>
      <c r="V47" s="312"/>
      <c r="W47" s="312"/>
      <c r="X47" s="312"/>
      <c r="Y47" s="312"/>
      <c r="Z47" s="312"/>
    </row>
    <row r="48" spans="1:26">
      <c r="A48" s="317"/>
      <c r="B48" s="312"/>
      <c r="C48" s="319"/>
      <c r="D48" s="312"/>
      <c r="E48" s="322"/>
      <c r="F48" s="317"/>
      <c r="G48" s="312"/>
      <c r="H48" s="312"/>
      <c r="I48" s="312"/>
      <c r="J48" s="312"/>
      <c r="K48" s="312"/>
      <c r="L48" s="312"/>
      <c r="M48" s="312"/>
      <c r="N48" s="312"/>
      <c r="O48" s="312"/>
      <c r="P48" s="312"/>
      <c r="Q48" s="312"/>
      <c r="R48" s="312"/>
      <c r="S48" s="312"/>
      <c r="T48" s="312"/>
      <c r="U48" s="312"/>
      <c r="V48" s="312"/>
      <c r="W48" s="312"/>
      <c r="X48" s="312"/>
      <c r="Y48" s="312"/>
      <c r="Z48" s="312"/>
    </row>
    <row r="49" spans="1:26">
      <c r="A49" s="317"/>
      <c r="B49" s="312"/>
      <c r="C49" s="319"/>
      <c r="D49" s="312"/>
      <c r="E49" s="322"/>
      <c r="F49" s="317"/>
      <c r="G49" s="312"/>
      <c r="H49" s="312"/>
      <c r="I49" s="312"/>
      <c r="J49" s="312"/>
      <c r="K49" s="312"/>
      <c r="L49" s="312"/>
      <c r="M49" s="312"/>
      <c r="N49" s="312"/>
      <c r="O49" s="312"/>
      <c r="P49" s="312"/>
      <c r="Q49" s="312"/>
      <c r="R49" s="312"/>
      <c r="S49" s="312"/>
      <c r="T49" s="312"/>
      <c r="U49" s="312"/>
      <c r="V49" s="312"/>
      <c r="W49" s="312"/>
      <c r="X49" s="312"/>
      <c r="Y49" s="312"/>
      <c r="Z49" s="312"/>
    </row>
    <row r="50" spans="1:26">
      <c r="A50" s="317"/>
      <c r="B50" s="312"/>
      <c r="C50" s="319"/>
      <c r="D50" s="312"/>
      <c r="E50" s="322"/>
      <c r="F50" s="317"/>
      <c r="G50" s="312"/>
      <c r="H50" s="312"/>
      <c r="I50" s="312"/>
      <c r="J50" s="312"/>
      <c r="K50" s="312"/>
      <c r="L50" s="312"/>
      <c r="M50" s="312"/>
      <c r="N50" s="312"/>
      <c r="O50" s="312"/>
      <c r="P50" s="312"/>
      <c r="Q50" s="312"/>
      <c r="R50" s="312"/>
      <c r="S50" s="312"/>
      <c r="T50" s="312"/>
      <c r="U50" s="312"/>
      <c r="V50" s="312"/>
      <c r="W50" s="312"/>
      <c r="X50" s="312"/>
      <c r="Y50" s="312"/>
      <c r="Z50" s="312"/>
    </row>
    <row r="51" spans="1:26">
      <c r="A51" s="317"/>
      <c r="B51" s="312"/>
      <c r="C51" s="319"/>
      <c r="D51" s="312"/>
      <c r="E51" s="322"/>
      <c r="F51" s="317"/>
      <c r="G51" s="312"/>
      <c r="H51" s="312"/>
      <c r="I51" s="312"/>
      <c r="J51" s="312"/>
      <c r="K51" s="312"/>
      <c r="L51" s="312"/>
      <c r="M51" s="312"/>
      <c r="N51" s="312"/>
      <c r="O51" s="312"/>
      <c r="P51" s="312"/>
      <c r="Q51" s="312"/>
      <c r="R51" s="312"/>
      <c r="S51" s="312"/>
      <c r="T51" s="312"/>
      <c r="U51" s="312"/>
      <c r="V51" s="312"/>
      <c r="W51" s="312"/>
      <c r="X51" s="312"/>
      <c r="Y51" s="312"/>
      <c r="Z51" s="312"/>
    </row>
    <row r="52" spans="1:26">
      <c r="A52" s="317"/>
      <c r="B52" s="312"/>
      <c r="C52" s="319"/>
      <c r="D52" s="312"/>
      <c r="E52" s="322"/>
      <c r="F52" s="317"/>
      <c r="G52" s="312"/>
      <c r="H52" s="312"/>
      <c r="I52" s="312"/>
      <c r="J52" s="312"/>
      <c r="K52" s="312"/>
      <c r="L52" s="312"/>
      <c r="M52" s="312"/>
      <c r="N52" s="312"/>
      <c r="O52" s="312"/>
      <c r="P52" s="312"/>
      <c r="Q52" s="312"/>
      <c r="R52" s="312"/>
      <c r="S52" s="312"/>
      <c r="T52" s="312"/>
      <c r="U52" s="312"/>
      <c r="V52" s="312"/>
      <c r="W52" s="312"/>
      <c r="X52" s="312"/>
      <c r="Y52" s="312"/>
      <c r="Z52" s="312"/>
    </row>
    <row r="53" spans="1:26">
      <c r="A53" s="317"/>
      <c r="B53" s="312"/>
      <c r="C53" s="319"/>
      <c r="D53" s="312"/>
      <c r="E53" s="322"/>
      <c r="F53" s="317"/>
      <c r="G53" s="312"/>
      <c r="H53" s="312"/>
      <c r="I53" s="312"/>
      <c r="J53" s="312"/>
      <c r="K53" s="312"/>
      <c r="L53" s="312"/>
      <c r="M53" s="312"/>
      <c r="N53" s="312"/>
      <c r="O53" s="312"/>
      <c r="P53" s="312"/>
      <c r="Q53" s="312"/>
      <c r="R53" s="312"/>
      <c r="S53" s="312"/>
      <c r="T53" s="312"/>
      <c r="U53" s="312"/>
      <c r="V53" s="312"/>
      <c r="W53" s="312"/>
      <c r="X53" s="312"/>
      <c r="Y53" s="312"/>
      <c r="Z53" s="312"/>
    </row>
    <row r="54" spans="1:26">
      <c r="A54" s="317"/>
      <c r="B54" s="312"/>
      <c r="C54" s="319"/>
      <c r="D54" s="312"/>
      <c r="E54" s="322"/>
      <c r="F54" s="317"/>
      <c r="G54" s="312"/>
      <c r="H54" s="312"/>
      <c r="I54" s="312"/>
      <c r="J54" s="312"/>
      <c r="K54" s="312"/>
      <c r="L54" s="312"/>
      <c r="M54" s="312"/>
      <c r="N54" s="312"/>
      <c r="O54" s="312"/>
      <c r="P54" s="312"/>
      <c r="Q54" s="312"/>
      <c r="R54" s="312"/>
      <c r="S54" s="312"/>
      <c r="T54" s="312"/>
      <c r="U54" s="312"/>
      <c r="V54" s="312"/>
      <c r="W54" s="312"/>
      <c r="X54" s="312"/>
      <c r="Y54" s="312"/>
      <c r="Z54" s="312"/>
    </row>
    <row r="55" spans="1:26">
      <c r="A55" s="317"/>
      <c r="B55" s="312"/>
      <c r="C55" s="319"/>
      <c r="D55" s="312"/>
      <c r="E55" s="322"/>
      <c r="F55" s="317"/>
      <c r="G55" s="312"/>
      <c r="H55" s="312"/>
      <c r="I55" s="312"/>
      <c r="J55" s="312"/>
      <c r="K55" s="312"/>
      <c r="L55" s="312"/>
      <c r="M55" s="312"/>
      <c r="N55" s="312"/>
      <c r="O55" s="312"/>
      <c r="P55" s="312"/>
      <c r="Q55" s="312"/>
      <c r="R55" s="312"/>
      <c r="S55" s="312"/>
      <c r="T55" s="312"/>
      <c r="U55" s="312"/>
      <c r="V55" s="312"/>
      <c r="W55" s="312"/>
      <c r="X55" s="312"/>
      <c r="Y55" s="312"/>
      <c r="Z55" s="312"/>
    </row>
    <row r="56" spans="1:26">
      <c r="A56" s="317"/>
      <c r="B56" s="312"/>
      <c r="C56" s="319"/>
      <c r="D56" s="312"/>
      <c r="E56" s="322"/>
      <c r="F56" s="317"/>
      <c r="G56" s="312"/>
      <c r="H56" s="312"/>
      <c r="I56" s="312"/>
      <c r="J56" s="312"/>
      <c r="K56" s="312"/>
      <c r="L56" s="312"/>
      <c r="M56" s="312"/>
      <c r="N56" s="312"/>
      <c r="O56" s="312"/>
      <c r="P56" s="312"/>
      <c r="Q56" s="312"/>
      <c r="R56" s="312"/>
      <c r="S56" s="312"/>
      <c r="T56" s="312"/>
      <c r="U56" s="312"/>
      <c r="V56" s="312"/>
      <c r="W56" s="312"/>
      <c r="X56" s="312"/>
      <c r="Y56" s="312"/>
      <c r="Z56" s="312"/>
    </row>
    <row r="57" spans="1:26">
      <c r="A57" s="317"/>
      <c r="B57" s="312"/>
      <c r="C57" s="319"/>
      <c r="D57" s="312"/>
      <c r="E57" s="322"/>
      <c r="F57" s="317"/>
      <c r="G57" s="312"/>
      <c r="H57" s="312"/>
      <c r="I57" s="312"/>
      <c r="J57" s="312"/>
      <c r="K57" s="312"/>
      <c r="L57" s="312"/>
      <c r="M57" s="312"/>
      <c r="N57" s="312"/>
      <c r="O57" s="312"/>
      <c r="P57" s="312"/>
      <c r="Q57" s="312"/>
      <c r="R57" s="312"/>
      <c r="S57" s="312"/>
      <c r="T57" s="312"/>
      <c r="U57" s="312"/>
      <c r="V57" s="312"/>
      <c r="W57" s="312"/>
      <c r="X57" s="312"/>
      <c r="Y57" s="312"/>
      <c r="Z57" s="312"/>
    </row>
    <row r="58" spans="1:26">
      <c r="A58" s="317"/>
      <c r="B58" s="312"/>
      <c r="C58" s="319"/>
      <c r="D58" s="312"/>
      <c r="E58" s="322"/>
      <c r="F58" s="317"/>
      <c r="G58" s="312"/>
      <c r="H58" s="312"/>
      <c r="I58" s="312"/>
      <c r="J58" s="312"/>
      <c r="K58" s="312"/>
      <c r="L58" s="312"/>
      <c r="M58" s="312"/>
      <c r="N58" s="312"/>
      <c r="O58" s="312"/>
      <c r="P58" s="312"/>
      <c r="Q58" s="312"/>
      <c r="R58" s="312"/>
      <c r="S58" s="312"/>
      <c r="T58" s="312"/>
      <c r="U58" s="312"/>
      <c r="V58" s="312"/>
      <c r="W58" s="312"/>
      <c r="X58" s="312"/>
      <c r="Y58" s="312"/>
      <c r="Z58" s="312"/>
    </row>
    <row r="59" spans="1:26">
      <c r="A59" s="317"/>
      <c r="B59" s="312"/>
      <c r="C59" s="319"/>
      <c r="D59" s="312"/>
      <c r="E59" s="322"/>
      <c r="F59" s="317"/>
      <c r="G59" s="312"/>
      <c r="H59" s="312"/>
      <c r="I59" s="312"/>
      <c r="J59" s="312"/>
      <c r="K59" s="312"/>
      <c r="L59" s="312"/>
      <c r="M59" s="312"/>
      <c r="N59" s="312"/>
      <c r="O59" s="312"/>
      <c r="P59" s="312"/>
      <c r="Q59" s="312"/>
      <c r="R59" s="312"/>
      <c r="S59" s="312"/>
      <c r="T59" s="312"/>
      <c r="U59" s="312"/>
      <c r="V59" s="312"/>
      <c r="W59" s="312"/>
      <c r="X59" s="312"/>
      <c r="Y59" s="312"/>
      <c r="Z59" s="312"/>
    </row>
    <row r="60" spans="1:26">
      <c r="A60" s="317"/>
      <c r="B60" s="312"/>
      <c r="C60" s="319"/>
      <c r="D60" s="312"/>
      <c r="E60" s="322"/>
      <c r="F60" s="317"/>
      <c r="G60" s="312"/>
      <c r="H60" s="312"/>
      <c r="I60" s="312"/>
      <c r="J60" s="312"/>
      <c r="K60" s="312"/>
      <c r="L60" s="312"/>
      <c r="M60" s="312"/>
      <c r="N60" s="312"/>
      <c r="O60" s="312"/>
      <c r="P60" s="312"/>
      <c r="Q60" s="312"/>
      <c r="R60" s="312"/>
      <c r="S60" s="312"/>
      <c r="T60" s="312"/>
      <c r="U60" s="312"/>
      <c r="V60" s="312"/>
      <c r="W60" s="312"/>
      <c r="X60" s="312"/>
      <c r="Y60" s="312"/>
      <c r="Z60" s="312"/>
    </row>
    <row r="61" spans="1:26">
      <c r="A61" s="317"/>
      <c r="B61" s="312"/>
      <c r="C61" s="319"/>
      <c r="D61" s="312"/>
      <c r="E61" s="322"/>
      <c r="F61" s="317"/>
      <c r="G61" s="312"/>
      <c r="H61" s="312"/>
      <c r="I61" s="312"/>
      <c r="J61" s="312"/>
      <c r="K61" s="312"/>
      <c r="L61" s="312"/>
      <c r="M61" s="312"/>
      <c r="N61" s="312"/>
      <c r="O61" s="312"/>
      <c r="P61" s="312"/>
      <c r="Q61" s="312"/>
      <c r="R61" s="312"/>
      <c r="S61" s="312"/>
      <c r="T61" s="312"/>
      <c r="U61" s="312"/>
      <c r="V61" s="312"/>
      <c r="W61" s="312"/>
      <c r="X61" s="312"/>
      <c r="Y61" s="312"/>
      <c r="Z61" s="312"/>
    </row>
    <row r="62" spans="1:26">
      <c r="A62" s="317"/>
      <c r="B62" s="312"/>
      <c r="C62" s="319"/>
      <c r="D62" s="312"/>
      <c r="E62" s="322"/>
      <c r="F62" s="317"/>
      <c r="G62" s="312"/>
      <c r="H62" s="312"/>
      <c r="I62" s="312"/>
      <c r="J62" s="312"/>
      <c r="K62" s="312"/>
      <c r="L62" s="312"/>
      <c r="M62" s="312"/>
      <c r="N62" s="312"/>
      <c r="O62" s="312"/>
      <c r="P62" s="312"/>
      <c r="Q62" s="312"/>
      <c r="R62" s="312"/>
      <c r="S62" s="312"/>
      <c r="T62" s="312"/>
      <c r="U62" s="312"/>
      <c r="V62" s="312"/>
      <c r="W62" s="312"/>
      <c r="X62" s="312"/>
      <c r="Y62" s="312"/>
      <c r="Z62" s="312"/>
    </row>
    <row r="63" spans="1:26">
      <c r="A63" s="317"/>
      <c r="B63" s="312"/>
      <c r="C63" s="319"/>
      <c r="D63" s="312"/>
      <c r="E63" s="322"/>
      <c r="F63" s="317"/>
      <c r="G63" s="312"/>
      <c r="H63" s="312"/>
      <c r="I63" s="312"/>
      <c r="J63" s="312"/>
      <c r="K63" s="312"/>
      <c r="L63" s="312"/>
      <c r="M63" s="312"/>
      <c r="N63" s="312"/>
      <c r="O63" s="312"/>
      <c r="P63" s="312"/>
      <c r="Q63" s="312"/>
      <c r="R63" s="312"/>
      <c r="S63" s="312"/>
      <c r="T63" s="312"/>
      <c r="U63" s="312"/>
      <c r="V63" s="312"/>
      <c r="W63" s="312"/>
      <c r="X63" s="312"/>
      <c r="Y63" s="312"/>
      <c r="Z63" s="312"/>
    </row>
    <row r="64" spans="1:26">
      <c r="A64" s="317"/>
      <c r="B64" s="312"/>
      <c r="C64" s="319"/>
      <c r="D64" s="312"/>
      <c r="E64" s="322"/>
      <c r="F64" s="317"/>
      <c r="G64" s="312"/>
      <c r="H64" s="312"/>
      <c r="I64" s="312"/>
      <c r="J64" s="312"/>
      <c r="K64" s="312"/>
      <c r="L64" s="312"/>
      <c r="M64" s="312"/>
      <c r="N64" s="312"/>
      <c r="O64" s="312"/>
      <c r="P64" s="312"/>
      <c r="Q64" s="312"/>
      <c r="R64" s="312"/>
      <c r="S64" s="312"/>
      <c r="T64" s="312"/>
      <c r="U64" s="312"/>
      <c r="V64" s="312"/>
      <c r="W64" s="312"/>
      <c r="X64" s="312"/>
      <c r="Y64" s="312"/>
      <c r="Z64" s="312"/>
    </row>
    <row r="65" spans="1:26">
      <c r="A65" s="317"/>
      <c r="B65" s="312"/>
      <c r="C65" s="319"/>
      <c r="D65" s="312"/>
      <c r="E65" s="322"/>
      <c r="F65" s="317"/>
      <c r="G65" s="312"/>
      <c r="H65" s="312"/>
      <c r="I65" s="312"/>
      <c r="J65" s="312"/>
      <c r="K65" s="312"/>
      <c r="L65" s="312"/>
      <c r="M65" s="312"/>
      <c r="N65" s="312"/>
      <c r="O65" s="312"/>
      <c r="P65" s="312"/>
      <c r="Q65" s="312"/>
      <c r="R65" s="312"/>
      <c r="S65" s="312"/>
      <c r="T65" s="312"/>
      <c r="U65" s="312"/>
      <c r="V65" s="312"/>
      <c r="W65" s="312"/>
      <c r="X65" s="312"/>
      <c r="Y65" s="312"/>
      <c r="Z65" s="312"/>
    </row>
    <row r="66" spans="1:26">
      <c r="A66" s="317"/>
      <c r="B66" s="312"/>
      <c r="C66" s="319"/>
      <c r="D66" s="312"/>
      <c r="E66" s="322"/>
      <c r="F66" s="317"/>
      <c r="G66" s="312"/>
      <c r="H66" s="312"/>
      <c r="I66" s="312"/>
      <c r="J66" s="312"/>
      <c r="K66" s="312"/>
      <c r="L66" s="312"/>
      <c r="M66" s="312"/>
      <c r="N66" s="312"/>
      <c r="O66" s="312"/>
      <c r="P66" s="312"/>
      <c r="Q66" s="312"/>
      <c r="R66" s="312"/>
      <c r="S66" s="312"/>
      <c r="T66" s="312"/>
      <c r="U66" s="312"/>
      <c r="V66" s="312"/>
      <c r="W66" s="312"/>
      <c r="X66" s="312"/>
      <c r="Y66" s="312"/>
      <c r="Z66" s="312"/>
    </row>
    <row r="67" spans="1:26">
      <c r="A67" s="317"/>
      <c r="B67" s="312"/>
      <c r="C67" s="319"/>
      <c r="D67" s="312"/>
      <c r="E67" s="322"/>
      <c r="F67" s="317"/>
      <c r="G67" s="312"/>
      <c r="H67" s="312"/>
      <c r="I67" s="312"/>
      <c r="J67" s="312"/>
      <c r="K67" s="312"/>
      <c r="L67" s="312"/>
      <c r="M67" s="312"/>
      <c r="N67" s="312"/>
      <c r="O67" s="312"/>
      <c r="P67" s="312"/>
      <c r="Q67" s="312"/>
      <c r="R67" s="312"/>
      <c r="S67" s="312"/>
      <c r="T67" s="312"/>
      <c r="U67" s="312"/>
      <c r="V67" s="312"/>
      <c r="W67" s="312"/>
      <c r="X67" s="312"/>
      <c r="Y67" s="312"/>
      <c r="Z67" s="312"/>
    </row>
    <row r="68" spans="1:26">
      <c r="A68" s="317"/>
      <c r="B68" s="312"/>
      <c r="C68" s="319"/>
      <c r="D68" s="312"/>
      <c r="E68" s="322"/>
      <c r="F68" s="317"/>
      <c r="G68" s="312"/>
      <c r="H68" s="312"/>
      <c r="I68" s="312"/>
      <c r="J68" s="312"/>
      <c r="K68" s="312"/>
      <c r="L68" s="312"/>
      <c r="M68" s="312"/>
      <c r="N68" s="312"/>
      <c r="O68" s="312"/>
      <c r="P68" s="312"/>
      <c r="Q68" s="312"/>
      <c r="R68" s="312"/>
      <c r="S68" s="312"/>
      <c r="T68" s="312"/>
      <c r="U68" s="312"/>
      <c r="V68" s="312"/>
      <c r="W68" s="312"/>
      <c r="X68" s="312"/>
      <c r="Y68" s="312"/>
      <c r="Z68" s="312"/>
    </row>
    <row r="69" spans="1:26">
      <c r="A69" s="317"/>
      <c r="B69" s="312"/>
      <c r="C69" s="319"/>
      <c r="D69" s="312"/>
      <c r="E69" s="322"/>
      <c r="F69" s="317"/>
      <c r="G69" s="312"/>
      <c r="H69" s="312"/>
      <c r="I69" s="312"/>
      <c r="J69" s="312"/>
      <c r="K69" s="312"/>
      <c r="L69" s="312"/>
      <c r="M69" s="312"/>
      <c r="N69" s="312"/>
      <c r="O69" s="312"/>
      <c r="P69" s="312"/>
      <c r="Q69" s="312"/>
      <c r="R69" s="312"/>
      <c r="S69" s="312"/>
      <c r="T69" s="312"/>
      <c r="U69" s="312"/>
      <c r="V69" s="312"/>
      <c r="W69" s="312"/>
      <c r="X69" s="312"/>
      <c r="Y69" s="312"/>
      <c r="Z69" s="312"/>
    </row>
    <row r="70" spans="1:26">
      <c r="A70" s="317"/>
      <c r="B70" s="312"/>
      <c r="C70" s="319"/>
      <c r="D70" s="312"/>
      <c r="E70" s="322"/>
      <c r="F70" s="317"/>
      <c r="G70" s="312"/>
      <c r="H70" s="312"/>
      <c r="I70" s="312"/>
      <c r="J70" s="312"/>
      <c r="K70" s="312"/>
      <c r="L70" s="312"/>
      <c r="M70" s="312"/>
      <c r="N70" s="312"/>
      <c r="O70" s="312"/>
      <c r="P70" s="312"/>
      <c r="Q70" s="312"/>
      <c r="R70" s="312"/>
      <c r="S70" s="312"/>
      <c r="T70" s="312"/>
      <c r="U70" s="312"/>
      <c r="V70" s="312"/>
      <c r="W70" s="312"/>
      <c r="X70" s="312"/>
      <c r="Y70" s="312"/>
      <c r="Z70" s="312"/>
    </row>
    <row r="71" spans="1:26">
      <c r="A71" s="317"/>
      <c r="B71" s="312"/>
      <c r="C71" s="319"/>
      <c r="D71" s="312"/>
      <c r="E71" s="322"/>
      <c r="F71" s="317"/>
      <c r="G71" s="312"/>
      <c r="H71" s="312"/>
      <c r="I71" s="312"/>
      <c r="J71" s="312"/>
      <c r="K71" s="312"/>
      <c r="L71" s="312"/>
      <c r="M71" s="312"/>
      <c r="N71" s="312"/>
      <c r="O71" s="312"/>
      <c r="P71" s="312"/>
      <c r="Q71" s="312"/>
      <c r="R71" s="312"/>
      <c r="S71" s="312"/>
      <c r="T71" s="312"/>
      <c r="U71" s="312"/>
      <c r="V71" s="312"/>
      <c r="W71" s="312"/>
      <c r="X71" s="312"/>
      <c r="Y71" s="312"/>
      <c r="Z71" s="312"/>
    </row>
    <row r="72" spans="1:26">
      <c r="A72" s="317"/>
      <c r="B72" s="312"/>
      <c r="C72" s="319"/>
      <c r="D72" s="312"/>
      <c r="E72" s="322"/>
      <c r="F72" s="317"/>
      <c r="G72" s="312"/>
      <c r="H72" s="312"/>
      <c r="I72" s="312"/>
      <c r="J72" s="312"/>
      <c r="K72" s="312"/>
      <c r="L72" s="312"/>
      <c r="M72" s="312"/>
      <c r="N72" s="312"/>
      <c r="O72" s="312"/>
      <c r="P72" s="312"/>
      <c r="Q72" s="312"/>
      <c r="R72" s="312"/>
      <c r="S72" s="312"/>
      <c r="T72" s="312"/>
      <c r="U72" s="312"/>
      <c r="V72" s="312"/>
      <c r="W72" s="312"/>
      <c r="X72" s="312"/>
      <c r="Y72" s="312"/>
      <c r="Z72" s="312"/>
    </row>
    <row r="73" spans="1:26">
      <c r="A73" s="317"/>
      <c r="B73" s="312"/>
      <c r="C73" s="319"/>
      <c r="D73" s="312"/>
      <c r="E73" s="322"/>
      <c r="F73" s="317"/>
      <c r="G73" s="312"/>
      <c r="H73" s="312"/>
      <c r="I73" s="312"/>
      <c r="J73" s="312"/>
      <c r="K73" s="312"/>
      <c r="L73" s="312"/>
      <c r="M73" s="312"/>
      <c r="N73" s="312"/>
      <c r="O73" s="312"/>
      <c r="P73" s="312"/>
      <c r="Q73" s="312"/>
      <c r="R73" s="312"/>
      <c r="S73" s="312"/>
      <c r="T73" s="312"/>
      <c r="U73" s="312"/>
      <c r="V73" s="312"/>
      <c r="W73" s="312"/>
      <c r="X73" s="312"/>
      <c r="Y73" s="312"/>
      <c r="Z73" s="312"/>
    </row>
    <row r="74" spans="1:26">
      <c r="A74" s="317"/>
      <c r="B74" s="312"/>
      <c r="C74" s="319"/>
      <c r="D74" s="312"/>
      <c r="E74" s="322"/>
      <c r="F74" s="317"/>
      <c r="G74" s="312"/>
      <c r="H74" s="312"/>
      <c r="I74" s="312"/>
      <c r="J74" s="312"/>
      <c r="K74" s="312"/>
      <c r="L74" s="312"/>
      <c r="M74" s="312"/>
      <c r="N74" s="312"/>
      <c r="O74" s="312"/>
      <c r="P74" s="312"/>
      <c r="Q74" s="312"/>
      <c r="R74" s="312"/>
      <c r="S74" s="312"/>
      <c r="T74" s="312"/>
      <c r="U74" s="312"/>
      <c r="V74" s="312"/>
      <c r="W74" s="312"/>
      <c r="X74" s="312"/>
      <c r="Y74" s="312"/>
      <c r="Z74" s="312"/>
    </row>
    <row r="75" spans="1:26">
      <c r="A75" s="317"/>
      <c r="B75" s="312"/>
      <c r="C75" s="319"/>
      <c r="D75" s="312"/>
      <c r="E75" s="322"/>
      <c r="F75" s="317"/>
      <c r="G75" s="312"/>
      <c r="H75" s="312"/>
      <c r="I75" s="312"/>
      <c r="J75" s="312"/>
      <c r="K75" s="312"/>
      <c r="L75" s="312"/>
      <c r="M75" s="312"/>
      <c r="N75" s="312"/>
      <c r="O75" s="312"/>
      <c r="P75" s="312"/>
      <c r="Q75" s="312"/>
      <c r="R75" s="312"/>
      <c r="S75" s="312"/>
      <c r="T75" s="312"/>
      <c r="U75" s="312"/>
      <c r="V75" s="312"/>
      <c r="W75" s="312"/>
      <c r="X75" s="312"/>
      <c r="Y75" s="312"/>
      <c r="Z75" s="312"/>
    </row>
    <row r="76" spans="1:26">
      <c r="A76" s="317"/>
      <c r="B76" s="312"/>
      <c r="C76" s="319"/>
      <c r="D76" s="312"/>
      <c r="E76" s="322"/>
      <c r="F76" s="317"/>
      <c r="G76" s="312"/>
      <c r="H76" s="312"/>
      <c r="I76" s="312"/>
      <c r="J76" s="312"/>
      <c r="K76" s="312"/>
      <c r="L76" s="312"/>
      <c r="M76" s="312"/>
      <c r="N76" s="312"/>
      <c r="O76" s="312"/>
      <c r="P76" s="312"/>
      <c r="Q76" s="312"/>
      <c r="R76" s="312"/>
      <c r="S76" s="312"/>
      <c r="T76" s="312"/>
      <c r="U76" s="312"/>
      <c r="V76" s="312"/>
      <c r="W76" s="312"/>
      <c r="X76" s="312"/>
      <c r="Y76" s="312"/>
      <c r="Z76" s="312"/>
    </row>
    <row r="77" spans="1:26">
      <c r="A77" s="317"/>
      <c r="B77" s="312"/>
      <c r="C77" s="319"/>
      <c r="D77" s="312"/>
      <c r="E77" s="322"/>
      <c r="F77" s="317"/>
      <c r="G77" s="312"/>
      <c r="H77" s="312"/>
      <c r="I77" s="312"/>
      <c r="J77" s="312"/>
      <c r="K77" s="312"/>
      <c r="L77" s="312"/>
      <c r="M77" s="312"/>
      <c r="N77" s="312"/>
      <c r="O77" s="312"/>
      <c r="P77" s="312"/>
      <c r="Q77" s="312"/>
      <c r="R77" s="312"/>
      <c r="S77" s="312"/>
      <c r="T77" s="312"/>
      <c r="U77" s="312"/>
      <c r="V77" s="312"/>
      <c r="W77" s="312"/>
      <c r="X77" s="312"/>
      <c r="Y77" s="312"/>
      <c r="Z77" s="312"/>
    </row>
    <row r="78" spans="1:26">
      <c r="A78" s="317"/>
      <c r="B78" s="312"/>
      <c r="C78" s="319"/>
      <c r="D78" s="312"/>
      <c r="E78" s="322"/>
      <c r="F78" s="317"/>
      <c r="G78" s="312"/>
      <c r="H78" s="312"/>
      <c r="I78" s="312"/>
      <c r="J78" s="312"/>
      <c r="K78" s="312"/>
      <c r="L78" s="312"/>
      <c r="M78" s="312"/>
      <c r="N78" s="312"/>
      <c r="O78" s="312"/>
      <c r="P78" s="312"/>
      <c r="Q78" s="312"/>
      <c r="R78" s="312"/>
      <c r="S78" s="312"/>
      <c r="T78" s="312"/>
      <c r="U78" s="312"/>
      <c r="V78" s="312"/>
      <c r="W78" s="312"/>
      <c r="X78" s="312"/>
      <c r="Y78" s="312"/>
      <c r="Z78" s="312"/>
    </row>
    <row r="79" spans="1:26">
      <c r="A79" s="317"/>
      <c r="B79" s="312"/>
      <c r="C79" s="319"/>
      <c r="D79" s="312"/>
      <c r="E79" s="322"/>
      <c r="F79" s="317"/>
      <c r="G79" s="312"/>
      <c r="H79" s="312"/>
      <c r="I79" s="312"/>
      <c r="J79" s="312"/>
      <c r="K79" s="312"/>
      <c r="L79" s="312"/>
      <c r="M79" s="312"/>
      <c r="N79" s="312"/>
      <c r="O79" s="312"/>
      <c r="P79" s="312"/>
      <c r="Q79" s="312"/>
      <c r="R79" s="312"/>
      <c r="S79" s="312"/>
      <c r="T79" s="312"/>
      <c r="U79" s="312"/>
      <c r="V79" s="312"/>
      <c r="W79" s="312"/>
      <c r="X79" s="312"/>
      <c r="Y79" s="312"/>
      <c r="Z79" s="312"/>
    </row>
    <row r="80" spans="1:26">
      <c r="A80" s="317"/>
      <c r="B80" s="312"/>
      <c r="C80" s="319"/>
      <c r="D80" s="312"/>
      <c r="E80" s="322"/>
      <c r="F80" s="317"/>
      <c r="G80" s="312"/>
      <c r="H80" s="312"/>
      <c r="I80" s="312"/>
      <c r="J80" s="312"/>
      <c r="K80" s="312"/>
      <c r="L80" s="312"/>
      <c r="M80" s="312"/>
      <c r="N80" s="312"/>
      <c r="O80" s="312"/>
      <c r="P80" s="312"/>
      <c r="Q80" s="312"/>
      <c r="R80" s="312"/>
      <c r="S80" s="312"/>
      <c r="T80" s="312"/>
      <c r="U80" s="312"/>
      <c r="V80" s="312"/>
      <c r="W80" s="312"/>
      <c r="X80" s="312"/>
      <c r="Y80" s="312"/>
      <c r="Z80" s="312"/>
    </row>
    <row r="81" spans="1:26">
      <c r="A81" s="317"/>
      <c r="B81" s="312"/>
      <c r="C81" s="319"/>
      <c r="D81" s="312"/>
      <c r="E81" s="322"/>
      <c r="F81" s="317"/>
      <c r="G81" s="312"/>
      <c r="H81" s="312"/>
      <c r="I81" s="312"/>
      <c r="J81" s="312"/>
      <c r="K81" s="312"/>
      <c r="L81" s="312"/>
      <c r="M81" s="312"/>
      <c r="N81" s="312"/>
      <c r="O81" s="312"/>
      <c r="P81" s="312"/>
      <c r="Q81" s="312"/>
      <c r="R81" s="312"/>
      <c r="S81" s="312"/>
      <c r="T81" s="312"/>
      <c r="U81" s="312"/>
      <c r="V81" s="312"/>
      <c r="W81" s="312"/>
      <c r="X81" s="312"/>
      <c r="Y81" s="312"/>
      <c r="Z81" s="312"/>
    </row>
    <row r="82" spans="1:26">
      <c r="A82" s="317"/>
      <c r="B82" s="312"/>
      <c r="C82" s="319"/>
      <c r="D82" s="312"/>
      <c r="E82" s="322"/>
      <c r="F82" s="317"/>
      <c r="G82" s="312"/>
      <c r="H82" s="312"/>
      <c r="I82" s="312"/>
      <c r="J82" s="312"/>
      <c r="K82" s="312"/>
      <c r="L82" s="312"/>
      <c r="M82" s="312"/>
      <c r="N82" s="312"/>
      <c r="O82" s="312"/>
      <c r="P82" s="312"/>
      <c r="Q82" s="312"/>
      <c r="R82" s="312"/>
      <c r="S82" s="312"/>
      <c r="T82" s="312"/>
      <c r="U82" s="312"/>
      <c r="V82" s="312"/>
      <c r="W82" s="312"/>
      <c r="X82" s="312"/>
      <c r="Y82" s="312"/>
      <c r="Z82" s="312"/>
    </row>
    <row r="83" spans="1:26">
      <c r="A83" s="317"/>
      <c r="B83" s="312"/>
      <c r="C83" s="319"/>
      <c r="D83" s="312"/>
      <c r="E83" s="322"/>
      <c r="F83" s="317"/>
      <c r="G83" s="312"/>
      <c r="H83" s="312"/>
      <c r="I83" s="312"/>
      <c r="J83" s="312"/>
      <c r="K83" s="312"/>
      <c r="L83" s="312"/>
      <c r="M83" s="312"/>
      <c r="N83" s="312"/>
      <c r="O83" s="312"/>
      <c r="P83" s="312"/>
      <c r="Q83" s="312"/>
      <c r="R83" s="312"/>
      <c r="S83" s="312"/>
      <c r="T83" s="312"/>
      <c r="U83" s="312"/>
      <c r="V83" s="312"/>
      <c r="W83" s="312"/>
      <c r="X83" s="312"/>
      <c r="Y83" s="312"/>
      <c r="Z83" s="312"/>
    </row>
    <row r="84" spans="1:26">
      <c r="A84" s="317"/>
      <c r="B84" s="312"/>
      <c r="C84" s="319"/>
      <c r="D84" s="312"/>
      <c r="E84" s="322"/>
      <c r="F84" s="317"/>
      <c r="G84" s="312"/>
      <c r="H84" s="312"/>
      <c r="I84" s="312"/>
      <c r="J84" s="312"/>
      <c r="K84" s="312"/>
      <c r="L84" s="312"/>
      <c r="M84" s="312"/>
      <c r="N84" s="312"/>
      <c r="O84" s="312"/>
      <c r="P84" s="312"/>
      <c r="Q84" s="312"/>
      <c r="R84" s="312"/>
      <c r="S84" s="312"/>
      <c r="T84" s="312"/>
      <c r="U84" s="312"/>
      <c r="V84" s="312"/>
      <c r="W84" s="312"/>
      <c r="X84" s="312"/>
      <c r="Y84" s="312"/>
      <c r="Z84" s="312"/>
    </row>
    <row r="85" spans="1:26">
      <c r="A85" s="317"/>
      <c r="B85" s="312"/>
      <c r="C85" s="319"/>
      <c r="D85" s="312"/>
      <c r="E85" s="322"/>
      <c r="F85" s="317"/>
      <c r="G85" s="312"/>
      <c r="H85" s="312"/>
      <c r="I85" s="312"/>
      <c r="J85" s="312"/>
      <c r="K85" s="312"/>
      <c r="L85" s="312"/>
      <c r="M85" s="312"/>
      <c r="N85" s="312"/>
      <c r="O85" s="312"/>
      <c r="P85" s="312"/>
      <c r="Q85" s="312"/>
      <c r="R85" s="312"/>
      <c r="S85" s="312"/>
      <c r="T85" s="312"/>
      <c r="U85" s="312"/>
      <c r="V85" s="312"/>
      <c r="W85" s="312"/>
      <c r="X85" s="312"/>
      <c r="Y85" s="312"/>
      <c r="Z85" s="312"/>
    </row>
    <row r="86" spans="1:26">
      <c r="A86" s="317"/>
      <c r="B86" s="312"/>
      <c r="C86" s="319"/>
      <c r="D86" s="312"/>
      <c r="E86" s="322"/>
      <c r="F86" s="317"/>
      <c r="G86" s="312"/>
      <c r="H86" s="312"/>
      <c r="I86" s="312"/>
      <c r="J86" s="312"/>
      <c r="K86" s="312"/>
      <c r="L86" s="312"/>
      <c r="M86" s="312"/>
      <c r="N86" s="312"/>
      <c r="O86" s="312"/>
      <c r="P86" s="312"/>
      <c r="Q86" s="312"/>
      <c r="R86" s="312"/>
      <c r="S86" s="312"/>
      <c r="T86" s="312"/>
      <c r="U86" s="312"/>
      <c r="V86" s="312"/>
      <c r="W86" s="312"/>
      <c r="X86" s="312"/>
      <c r="Y86" s="312"/>
      <c r="Z86" s="312"/>
    </row>
    <row r="87" spans="1:26">
      <c r="A87" s="317"/>
      <c r="B87" s="312"/>
      <c r="C87" s="319"/>
      <c r="D87" s="312"/>
      <c r="E87" s="322"/>
      <c r="F87" s="317"/>
      <c r="G87" s="312"/>
      <c r="H87" s="312"/>
      <c r="I87" s="312"/>
      <c r="J87" s="312"/>
      <c r="K87" s="312"/>
      <c r="L87" s="312"/>
      <c r="M87" s="312"/>
      <c r="N87" s="312"/>
      <c r="O87" s="312"/>
      <c r="P87" s="312"/>
      <c r="Q87" s="312"/>
      <c r="R87" s="312"/>
      <c r="S87" s="312"/>
      <c r="T87" s="312"/>
      <c r="U87" s="312"/>
      <c r="V87" s="312"/>
      <c r="W87" s="312"/>
      <c r="X87" s="312"/>
      <c r="Y87" s="312"/>
      <c r="Z87" s="312"/>
    </row>
    <row r="88" spans="1:26">
      <c r="A88" s="317"/>
      <c r="B88" s="312"/>
      <c r="C88" s="319"/>
      <c r="D88" s="312"/>
      <c r="E88" s="322"/>
      <c r="F88" s="317"/>
      <c r="G88" s="312"/>
      <c r="H88" s="312"/>
      <c r="I88" s="312"/>
      <c r="J88" s="312"/>
      <c r="K88" s="312"/>
      <c r="L88" s="312"/>
      <c r="M88" s="312"/>
      <c r="N88" s="312"/>
      <c r="O88" s="312"/>
      <c r="P88" s="312"/>
      <c r="Q88" s="312"/>
      <c r="R88" s="312"/>
      <c r="S88" s="312"/>
      <c r="T88" s="312"/>
      <c r="U88" s="312"/>
      <c r="V88" s="312"/>
      <c r="W88" s="312"/>
      <c r="X88" s="312"/>
      <c r="Y88" s="312"/>
      <c r="Z88" s="312"/>
    </row>
    <row r="89" spans="1:26">
      <c r="A89" s="317"/>
      <c r="B89" s="312"/>
      <c r="C89" s="319"/>
      <c r="D89" s="312"/>
      <c r="E89" s="322"/>
      <c r="F89" s="317"/>
      <c r="G89" s="312"/>
      <c r="H89" s="312"/>
      <c r="I89" s="312"/>
      <c r="J89" s="312"/>
      <c r="K89" s="312"/>
      <c r="L89" s="312"/>
      <c r="M89" s="312"/>
      <c r="N89" s="312"/>
      <c r="O89" s="312"/>
      <c r="P89" s="312"/>
      <c r="Q89" s="312"/>
      <c r="R89" s="312"/>
      <c r="S89" s="312"/>
      <c r="T89" s="312"/>
      <c r="U89" s="312"/>
      <c r="V89" s="312"/>
      <c r="W89" s="312"/>
      <c r="X89" s="312"/>
      <c r="Y89" s="312"/>
      <c r="Z89" s="312"/>
    </row>
    <row r="90" spans="1:26">
      <c r="A90" s="317"/>
      <c r="B90" s="312"/>
      <c r="C90" s="319"/>
      <c r="D90" s="312"/>
      <c r="E90" s="322"/>
      <c r="F90" s="317"/>
      <c r="G90" s="312"/>
      <c r="H90" s="312"/>
      <c r="I90" s="312"/>
      <c r="J90" s="312"/>
      <c r="K90" s="312"/>
      <c r="L90" s="312"/>
      <c r="M90" s="312"/>
      <c r="N90" s="312"/>
      <c r="O90" s="312"/>
      <c r="P90" s="312"/>
      <c r="Q90" s="312"/>
      <c r="R90" s="312"/>
      <c r="S90" s="312"/>
      <c r="T90" s="312"/>
      <c r="U90" s="312"/>
      <c r="V90" s="312"/>
      <c r="W90" s="312"/>
      <c r="X90" s="312"/>
      <c r="Y90" s="312"/>
      <c r="Z90" s="312"/>
    </row>
    <row r="91" spans="1:26">
      <c r="A91" s="317"/>
      <c r="B91" s="312"/>
      <c r="C91" s="319"/>
      <c r="D91" s="312"/>
      <c r="E91" s="322"/>
      <c r="F91" s="317"/>
      <c r="G91" s="312"/>
      <c r="H91" s="312"/>
      <c r="I91" s="312"/>
      <c r="J91" s="312"/>
      <c r="K91" s="312"/>
      <c r="L91" s="312"/>
      <c r="M91" s="312"/>
      <c r="N91" s="312"/>
      <c r="O91" s="312"/>
      <c r="P91" s="312"/>
      <c r="Q91" s="312"/>
      <c r="R91" s="312"/>
      <c r="S91" s="312"/>
      <c r="T91" s="312"/>
      <c r="U91" s="312"/>
      <c r="V91" s="312"/>
      <c r="W91" s="312"/>
      <c r="X91" s="312"/>
      <c r="Y91" s="312"/>
      <c r="Z91" s="312"/>
    </row>
    <row r="92" spans="1:26">
      <c r="A92" s="317"/>
      <c r="B92" s="312"/>
      <c r="C92" s="319"/>
      <c r="D92" s="312"/>
      <c r="E92" s="322"/>
      <c r="F92" s="317"/>
      <c r="G92" s="312"/>
      <c r="H92" s="312"/>
      <c r="I92" s="312"/>
      <c r="J92" s="312"/>
      <c r="K92" s="312"/>
      <c r="L92" s="312"/>
      <c r="M92" s="312"/>
      <c r="N92" s="312"/>
      <c r="O92" s="312"/>
      <c r="P92" s="312"/>
      <c r="Q92" s="312"/>
      <c r="R92" s="312"/>
      <c r="S92" s="312"/>
      <c r="T92" s="312"/>
      <c r="U92" s="312"/>
      <c r="V92" s="312"/>
      <c r="W92" s="312"/>
      <c r="X92" s="312"/>
      <c r="Y92" s="312"/>
      <c r="Z92" s="312"/>
    </row>
    <row r="93" spans="1:26">
      <c r="A93" s="317"/>
      <c r="B93" s="312"/>
      <c r="C93" s="319"/>
      <c r="D93" s="312"/>
      <c r="E93" s="322"/>
      <c r="F93" s="317"/>
      <c r="G93" s="312"/>
      <c r="H93" s="312"/>
      <c r="I93" s="312"/>
      <c r="J93" s="312"/>
      <c r="K93" s="312"/>
      <c r="L93" s="312"/>
      <c r="M93" s="312"/>
      <c r="N93" s="312"/>
      <c r="O93" s="312"/>
      <c r="P93" s="312"/>
      <c r="Q93" s="312"/>
      <c r="R93" s="312"/>
      <c r="S93" s="312"/>
      <c r="T93" s="312"/>
      <c r="U93" s="312"/>
      <c r="V93" s="312"/>
      <c r="W93" s="312"/>
      <c r="X93" s="312"/>
      <c r="Y93" s="312"/>
      <c r="Z93" s="312"/>
    </row>
    <row r="94" spans="1:26">
      <c r="A94" s="317"/>
      <c r="B94" s="312"/>
      <c r="C94" s="319"/>
      <c r="D94" s="312"/>
      <c r="E94" s="322"/>
      <c r="F94" s="317"/>
      <c r="G94" s="312"/>
      <c r="H94" s="312"/>
      <c r="I94" s="312"/>
      <c r="J94" s="312"/>
      <c r="K94" s="312"/>
      <c r="L94" s="312"/>
      <c r="M94" s="312"/>
      <c r="N94" s="312"/>
      <c r="O94" s="312"/>
      <c r="P94" s="312"/>
      <c r="Q94" s="312"/>
      <c r="R94" s="312"/>
      <c r="S94" s="312"/>
      <c r="T94" s="312"/>
      <c r="U94" s="312"/>
      <c r="V94" s="312"/>
      <c r="W94" s="312"/>
      <c r="X94" s="312"/>
      <c r="Y94" s="312"/>
      <c r="Z94" s="312"/>
    </row>
    <row r="95" spans="1:26">
      <c r="A95" s="317"/>
      <c r="B95" s="312"/>
      <c r="C95" s="319"/>
      <c r="D95" s="312"/>
      <c r="E95" s="322"/>
      <c r="F95" s="317"/>
      <c r="G95" s="312"/>
      <c r="H95" s="312"/>
      <c r="I95" s="312"/>
      <c r="J95" s="312"/>
      <c r="K95" s="312"/>
      <c r="L95" s="312"/>
      <c r="M95" s="312"/>
      <c r="N95" s="312"/>
      <c r="O95" s="312"/>
      <c r="P95" s="312"/>
      <c r="Q95" s="312"/>
      <c r="R95" s="312"/>
      <c r="S95" s="312"/>
      <c r="T95" s="312"/>
      <c r="U95" s="312"/>
      <c r="V95" s="312"/>
      <c r="W95" s="312"/>
      <c r="X95" s="312"/>
      <c r="Y95" s="312"/>
      <c r="Z95" s="312"/>
    </row>
    <row r="96" spans="1:26">
      <c r="A96" s="317"/>
      <c r="B96" s="312"/>
      <c r="C96" s="319"/>
      <c r="D96" s="312"/>
      <c r="E96" s="322"/>
      <c r="F96" s="317"/>
      <c r="G96" s="312"/>
      <c r="H96" s="312"/>
      <c r="I96" s="312"/>
      <c r="J96" s="312"/>
      <c r="K96" s="312"/>
      <c r="L96" s="312"/>
      <c r="M96" s="312"/>
      <c r="N96" s="312"/>
      <c r="O96" s="312"/>
      <c r="P96" s="312"/>
      <c r="Q96" s="312"/>
      <c r="R96" s="312"/>
      <c r="S96" s="312"/>
      <c r="T96" s="312"/>
      <c r="U96" s="312"/>
      <c r="V96" s="312"/>
      <c r="W96" s="312"/>
      <c r="X96" s="312"/>
      <c r="Y96" s="312"/>
      <c r="Z96" s="312"/>
    </row>
    <row r="97" spans="2:4">
      <c r="B97" s="325"/>
      <c r="D97" s="325"/>
    </row>
  </sheetData>
  <pageMargins left="0.7" right="0.7" top="0.75" bottom="0.75" header="0.3" footer="0.3"/>
  <drawing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6:K36"/>
  <sheetViews>
    <sheetView workbookViewId="0">
      <selection activeCell="E21" sqref="E21"/>
    </sheetView>
  </sheetViews>
  <sheetFormatPr defaultRowHeight="14.4"/>
  <cols>
    <col min="2" max="2" width="16.6640625" bestFit="1" customWidth="1"/>
    <col min="3" max="3" width="22" style="11" bestFit="1" customWidth="1"/>
    <col min="4" max="4" width="71.5546875" bestFit="1" customWidth="1"/>
  </cols>
  <sheetData>
    <row r="6" spans="3:5">
      <c r="C6" s="658" t="s">
        <v>918</v>
      </c>
      <c r="D6" s="1" t="s">
        <v>908</v>
      </c>
    </row>
    <row r="7" spans="3:5">
      <c r="C7" s="11">
        <v>5</v>
      </c>
      <c r="D7" t="s">
        <v>905</v>
      </c>
    </row>
    <row r="8" spans="3:5">
      <c r="C8" s="11">
        <v>1</v>
      </c>
      <c r="D8" t="s">
        <v>906</v>
      </c>
      <c r="E8" s="4" t="s">
        <v>940</v>
      </c>
    </row>
    <row r="9" spans="3:5">
      <c r="C9" s="11">
        <v>3</v>
      </c>
      <c r="D9" t="s">
        <v>914</v>
      </c>
    </row>
    <row r="10" spans="3:5">
      <c r="C10" s="11">
        <v>2</v>
      </c>
      <c r="D10" t="s">
        <v>907</v>
      </c>
    </row>
    <row r="11" spans="3:5">
      <c r="C11" s="11">
        <v>0.5</v>
      </c>
      <c r="D11" t="s">
        <v>909</v>
      </c>
    </row>
    <row r="12" spans="3:5">
      <c r="C12" s="11">
        <v>1</v>
      </c>
      <c r="D12" t="s">
        <v>921</v>
      </c>
    </row>
    <row r="13" spans="3:5">
      <c r="C13" s="11">
        <v>2</v>
      </c>
      <c r="D13" t="s">
        <v>912</v>
      </c>
    </row>
    <row r="14" spans="3:5">
      <c r="C14" s="11">
        <v>1.5</v>
      </c>
      <c r="D14" t="s">
        <v>913</v>
      </c>
    </row>
    <row r="15" spans="3:5">
      <c r="C15" s="11">
        <v>2</v>
      </c>
      <c r="D15" t="s">
        <v>915</v>
      </c>
    </row>
    <row r="16" spans="3:5">
      <c r="C16" s="11">
        <v>1</v>
      </c>
      <c r="D16" t="s">
        <v>944</v>
      </c>
    </row>
    <row r="17" spans="2:11">
      <c r="C17" s="11">
        <v>0.5</v>
      </c>
      <c r="D17" t="s">
        <v>917</v>
      </c>
    </row>
    <row r="18" spans="2:11">
      <c r="C18" s="11">
        <v>1</v>
      </c>
      <c r="D18" t="s">
        <v>919</v>
      </c>
    </row>
    <row r="19" spans="2:11">
      <c r="D19" t="s">
        <v>938</v>
      </c>
    </row>
    <row r="20" spans="2:11">
      <c r="D20" t="s">
        <v>942</v>
      </c>
    </row>
    <row r="22" spans="2:11">
      <c r="D22" s="1" t="s">
        <v>916</v>
      </c>
    </row>
    <row r="23" spans="2:11">
      <c r="C23" s="11">
        <v>4</v>
      </c>
      <c r="D23" t="s">
        <v>910</v>
      </c>
      <c r="E23" s="4" t="s">
        <v>911</v>
      </c>
    </row>
    <row r="24" spans="2:11">
      <c r="D24" t="s">
        <v>920</v>
      </c>
      <c r="E24" s="4" t="s">
        <v>939</v>
      </c>
      <c r="K24" t="s">
        <v>941</v>
      </c>
    </row>
    <row r="25" spans="2:11">
      <c r="D25" t="s">
        <v>924</v>
      </c>
    </row>
    <row r="26" spans="2:11">
      <c r="C26" s="11">
        <v>1</v>
      </c>
      <c r="D26" t="s">
        <v>945</v>
      </c>
      <c r="E26" s="4" t="s">
        <v>946</v>
      </c>
    </row>
    <row r="27" spans="2:11">
      <c r="C27" s="11">
        <v>0.5</v>
      </c>
      <c r="D27" t="s">
        <v>937</v>
      </c>
    </row>
    <row r="28" spans="2:11">
      <c r="D28" t="s">
        <v>947</v>
      </c>
      <c r="K28" s="4" t="s">
        <v>948</v>
      </c>
    </row>
    <row r="30" spans="2:11">
      <c r="B30" s="659" t="s">
        <v>922</v>
      </c>
      <c r="C30" s="11">
        <f>SUM(C7:C29)</f>
        <v>26</v>
      </c>
    </row>
    <row r="32" spans="2:11">
      <c r="B32" s="1" t="s">
        <v>936</v>
      </c>
    </row>
    <row r="33" spans="2:4">
      <c r="B33" s="564" t="s">
        <v>925</v>
      </c>
      <c r="C33" s="660" t="s">
        <v>933</v>
      </c>
      <c r="D33" t="s">
        <v>949</v>
      </c>
    </row>
    <row r="34" spans="2:4">
      <c r="B34" s="564" t="s">
        <v>926</v>
      </c>
      <c r="C34" s="660" t="s">
        <v>932</v>
      </c>
      <c r="D34" t="s">
        <v>927</v>
      </c>
    </row>
    <row r="35" spans="2:4">
      <c r="B35" s="564" t="s">
        <v>928</v>
      </c>
      <c r="C35" s="660" t="s">
        <v>931</v>
      </c>
      <c r="D35" t="s">
        <v>929</v>
      </c>
    </row>
    <row r="36" spans="2:4">
      <c r="B36" s="564" t="s">
        <v>930</v>
      </c>
      <c r="C36" s="11" t="s">
        <v>935</v>
      </c>
      <c r="D36" t="s">
        <v>934</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59"/>
  <sheetViews>
    <sheetView zoomScale="90" zoomScaleNormal="90" workbookViewId="0">
      <selection activeCell="B146" sqref="B146"/>
    </sheetView>
  </sheetViews>
  <sheetFormatPr defaultColWidth="8.88671875" defaultRowHeight="14.4"/>
  <cols>
    <col min="1" max="1" width="9.33203125" style="841" bestFit="1" customWidth="1"/>
    <col min="2" max="2" width="121.6640625" style="841" customWidth="1"/>
    <col min="3" max="3" width="32" style="841" customWidth="1"/>
    <col min="4" max="4" width="35.88671875" style="841" customWidth="1"/>
    <col min="5" max="10" width="8.6640625" style="841" customWidth="1"/>
    <col min="11" max="11" width="9.109375" style="841" customWidth="1"/>
    <col min="12" max="16384" width="8.88671875" style="841"/>
  </cols>
  <sheetData>
    <row r="1" spans="1:7">
      <c r="B1" s="840" t="s">
        <v>1185</v>
      </c>
    </row>
    <row r="2" spans="1:7">
      <c r="A2" s="841">
        <v>1</v>
      </c>
      <c r="B2" s="842" t="s">
        <v>1108</v>
      </c>
      <c r="C2" s="841" t="s">
        <v>1186</v>
      </c>
    </row>
    <row r="3" spans="1:7">
      <c r="A3" s="1037">
        <v>2</v>
      </c>
      <c r="B3" s="842" t="s">
        <v>1109</v>
      </c>
      <c r="C3" s="841" t="s">
        <v>1186</v>
      </c>
      <c r="D3" s="1037"/>
      <c r="E3" s="1037"/>
    </row>
    <row r="4" spans="1:7" ht="28.8">
      <c r="A4" s="1037">
        <v>3</v>
      </c>
      <c r="B4" s="845" t="s">
        <v>1187</v>
      </c>
      <c r="C4" s="841" t="s">
        <v>1186</v>
      </c>
      <c r="D4" s="841" t="s">
        <v>1120</v>
      </c>
      <c r="E4" s="1037"/>
    </row>
    <row r="5" spans="1:7">
      <c r="A5" s="1037">
        <v>4</v>
      </c>
      <c r="B5" s="845" t="s">
        <v>1110</v>
      </c>
      <c r="C5" s="841" t="s">
        <v>1188</v>
      </c>
      <c r="D5" s="1037" t="s">
        <v>1234</v>
      </c>
      <c r="E5" s="1037"/>
    </row>
    <row r="6" spans="1:7" ht="72">
      <c r="A6" s="841">
        <v>5</v>
      </c>
      <c r="B6" s="842" t="s">
        <v>1189</v>
      </c>
      <c r="C6" s="841" t="s">
        <v>1190</v>
      </c>
      <c r="D6" s="1038" t="s">
        <v>1121</v>
      </c>
      <c r="E6" s="1037"/>
    </row>
    <row r="7" spans="1:7" ht="72">
      <c r="A7" s="1037">
        <v>6</v>
      </c>
      <c r="B7" s="845" t="s">
        <v>1191</v>
      </c>
      <c r="C7" s="841" t="s">
        <v>1192</v>
      </c>
      <c r="D7" s="841" t="s">
        <v>1231</v>
      </c>
      <c r="E7" s="1037"/>
      <c r="G7" s="1038"/>
    </row>
    <row r="8" spans="1:7" ht="100.8">
      <c r="A8" s="1037">
        <v>7</v>
      </c>
      <c r="B8" s="845" t="s">
        <v>1193</v>
      </c>
      <c r="C8" s="841" t="s">
        <v>1194</v>
      </c>
      <c r="D8" s="841" t="s">
        <v>1117</v>
      </c>
      <c r="E8" s="1037"/>
    </row>
    <row r="9" spans="1:7">
      <c r="A9" s="1037">
        <v>8</v>
      </c>
      <c r="B9" s="845" t="s">
        <v>1111</v>
      </c>
      <c r="C9" s="841" t="s">
        <v>1188</v>
      </c>
      <c r="D9" s="841" t="s">
        <v>1124</v>
      </c>
      <c r="E9" s="1037"/>
    </row>
    <row r="10" spans="1:7">
      <c r="A10" s="841">
        <v>9</v>
      </c>
      <c r="B10" s="845" t="s">
        <v>1112</v>
      </c>
      <c r="C10" s="841" t="s">
        <v>1195</v>
      </c>
      <c r="D10" s="1037" t="s">
        <v>1234</v>
      </c>
      <c r="E10" s="1037"/>
    </row>
    <row r="11" spans="1:7">
      <c r="A11" s="1037">
        <v>10</v>
      </c>
      <c r="B11" s="845" t="s">
        <v>1196</v>
      </c>
      <c r="C11" s="841" t="s">
        <v>1188</v>
      </c>
      <c r="D11" s="1037" t="s">
        <v>1234</v>
      </c>
      <c r="E11" s="1037"/>
    </row>
    <row r="12" spans="1:7" ht="43.2">
      <c r="A12" s="1037">
        <v>11</v>
      </c>
      <c r="B12" s="851" t="s">
        <v>1236</v>
      </c>
      <c r="C12" s="841" t="s">
        <v>1197</v>
      </c>
      <c r="D12" s="1037" t="s">
        <v>1235</v>
      </c>
      <c r="E12" s="1037"/>
    </row>
    <row r="13" spans="1:7">
      <c r="A13" s="1037">
        <v>12</v>
      </c>
      <c r="B13" s="851" t="s">
        <v>1113</v>
      </c>
      <c r="C13" s="841" t="s">
        <v>1188</v>
      </c>
      <c r="D13" s="1037" t="s">
        <v>1237</v>
      </c>
      <c r="E13" s="1037"/>
    </row>
    <row r="14" spans="1:7" ht="43.2">
      <c r="A14" s="841">
        <v>13</v>
      </c>
      <c r="B14" s="845" t="s">
        <v>1198</v>
      </c>
      <c r="C14" s="841" t="s">
        <v>1199</v>
      </c>
      <c r="D14" s="1037"/>
      <c r="E14" s="1037"/>
    </row>
    <row r="15" spans="1:7" ht="72">
      <c r="A15" s="1037">
        <v>14</v>
      </c>
      <c r="B15" s="843" t="s">
        <v>1114</v>
      </c>
      <c r="C15" s="844" t="s">
        <v>1200</v>
      </c>
      <c r="D15" s="841" t="s">
        <v>1118</v>
      </c>
      <c r="E15" s="1037"/>
    </row>
    <row r="16" spans="1:7">
      <c r="A16" s="1037">
        <v>15</v>
      </c>
      <c r="B16" s="845" t="s">
        <v>1201</v>
      </c>
      <c r="C16" s="841" t="s">
        <v>1188</v>
      </c>
      <c r="D16" s="841" t="s">
        <v>1238</v>
      </c>
      <c r="E16" s="1037"/>
    </row>
    <row r="17" spans="1:5" ht="28.8">
      <c r="A17" s="1037">
        <v>16</v>
      </c>
      <c r="B17" s="845" t="s">
        <v>1341</v>
      </c>
      <c r="C17" s="841" t="s">
        <v>1188</v>
      </c>
      <c r="D17" s="1037" t="s">
        <v>1342</v>
      </c>
      <c r="E17" s="1037"/>
    </row>
    <row r="18" spans="1:5" ht="28.8">
      <c r="A18" s="841">
        <v>17</v>
      </c>
      <c r="B18" s="842" t="s">
        <v>1551</v>
      </c>
      <c r="C18" s="841" t="s">
        <v>1202</v>
      </c>
      <c r="D18" s="1037" t="s">
        <v>1119</v>
      </c>
      <c r="E18" s="1039"/>
    </row>
    <row r="19" spans="1:5">
      <c r="A19" s="1037">
        <v>18</v>
      </c>
      <c r="B19" s="845" t="s">
        <v>1203</v>
      </c>
      <c r="C19" s="841" t="s">
        <v>1188</v>
      </c>
      <c r="D19" s="1037" t="s">
        <v>1230</v>
      </c>
      <c r="E19" s="1037"/>
    </row>
    <row r="20" spans="1:5" ht="57.6">
      <c r="A20" s="1037">
        <v>19</v>
      </c>
      <c r="B20" s="845" t="s">
        <v>1343</v>
      </c>
      <c r="C20" s="841" t="s">
        <v>1204</v>
      </c>
      <c r="D20" s="1037"/>
      <c r="E20" s="1037"/>
    </row>
    <row r="21" spans="1:5" ht="43.2">
      <c r="A21" s="1037">
        <v>20</v>
      </c>
      <c r="B21" s="851" t="s">
        <v>1115</v>
      </c>
      <c r="C21" s="841" t="s">
        <v>1188</v>
      </c>
      <c r="D21" s="1037" t="s">
        <v>1345</v>
      </c>
      <c r="E21" s="1037"/>
    </row>
    <row r="22" spans="1:5" ht="43.2">
      <c r="A22" s="841">
        <v>21</v>
      </c>
      <c r="B22" s="851" t="s">
        <v>1205</v>
      </c>
      <c r="C22" s="841" t="s">
        <v>1188</v>
      </c>
      <c r="D22" s="1037" t="s">
        <v>1354</v>
      </c>
      <c r="E22" s="1037"/>
    </row>
    <row r="23" spans="1:5">
      <c r="A23" s="1037">
        <v>22</v>
      </c>
      <c r="B23" s="845" t="s">
        <v>1206</v>
      </c>
      <c r="C23" s="841" t="s">
        <v>1188</v>
      </c>
      <c r="D23" s="1037"/>
      <c r="E23" s="1037"/>
    </row>
    <row r="24" spans="1:5">
      <c r="A24" s="1037">
        <v>23</v>
      </c>
      <c r="B24" s="842" t="s">
        <v>1207</v>
      </c>
      <c r="C24" s="841" t="s">
        <v>1208</v>
      </c>
    </row>
    <row r="25" spans="1:5">
      <c r="A25" s="841">
        <v>24</v>
      </c>
      <c r="B25" s="845" t="s">
        <v>1209</v>
      </c>
    </row>
    <row r="26" spans="1:5">
      <c r="A26" s="1037">
        <v>25</v>
      </c>
      <c r="B26" s="845" t="s">
        <v>1210</v>
      </c>
      <c r="D26" s="841" t="s">
        <v>1356</v>
      </c>
    </row>
    <row r="27" spans="1:5">
      <c r="A27" s="1037">
        <v>26</v>
      </c>
      <c r="B27" s="845" t="s">
        <v>1211</v>
      </c>
      <c r="C27" s="841" t="s">
        <v>1188</v>
      </c>
      <c r="D27" s="841" t="s">
        <v>1234</v>
      </c>
    </row>
    <row r="28" spans="1:5">
      <c r="A28" s="841">
        <v>27</v>
      </c>
      <c r="B28" s="845" t="s">
        <v>1212</v>
      </c>
      <c r="C28" s="841" t="s">
        <v>1188</v>
      </c>
    </row>
    <row r="29" spans="1:5" ht="28.8">
      <c r="A29" s="1037">
        <v>28</v>
      </c>
      <c r="B29" s="845" t="s">
        <v>1213</v>
      </c>
      <c r="C29" s="841" t="s">
        <v>1188</v>
      </c>
    </row>
    <row r="30" spans="1:5">
      <c r="A30" s="1037">
        <v>29</v>
      </c>
      <c r="B30" s="842" t="s">
        <v>1214</v>
      </c>
      <c r="C30" s="841" t="s">
        <v>1188</v>
      </c>
    </row>
    <row r="31" spans="1:5">
      <c r="A31" s="841">
        <v>30</v>
      </c>
      <c r="B31" s="845" t="s">
        <v>1215</v>
      </c>
      <c r="D31" s="841" t="s">
        <v>1357</v>
      </c>
    </row>
    <row r="32" spans="1:5">
      <c r="A32" s="1037">
        <v>31</v>
      </c>
      <c r="B32" s="859" t="s">
        <v>1216</v>
      </c>
      <c r="D32" s="841" t="s">
        <v>1358</v>
      </c>
    </row>
    <row r="33" spans="1:4" ht="86.4">
      <c r="A33" s="1037">
        <v>32</v>
      </c>
      <c r="B33" s="851" t="s">
        <v>1217</v>
      </c>
      <c r="D33" s="841" t="s">
        <v>1368</v>
      </c>
    </row>
    <row r="34" spans="1:4">
      <c r="A34" s="841">
        <v>33</v>
      </c>
      <c r="B34" s="859" t="s">
        <v>1218</v>
      </c>
      <c r="C34" s="841" t="s">
        <v>1188</v>
      </c>
      <c r="D34" s="841" t="s">
        <v>1358</v>
      </c>
    </row>
    <row r="35" spans="1:4">
      <c r="A35" s="1037">
        <v>34</v>
      </c>
      <c r="B35" s="845" t="s">
        <v>1219</v>
      </c>
      <c r="C35" s="841" t="s">
        <v>1188</v>
      </c>
      <c r="D35" s="841" t="s">
        <v>1234</v>
      </c>
    </row>
    <row r="36" spans="1:4">
      <c r="A36" s="1037">
        <v>35</v>
      </c>
      <c r="B36" s="859" t="s">
        <v>1220</v>
      </c>
      <c r="C36" s="841" t="s">
        <v>1188</v>
      </c>
      <c r="D36" s="841" t="s">
        <v>1358</v>
      </c>
    </row>
    <row r="37" spans="1:4" ht="43.2">
      <c r="A37" s="841">
        <v>36</v>
      </c>
      <c r="B37" s="862" t="s">
        <v>1221</v>
      </c>
      <c r="C37" s="841" t="s">
        <v>1208</v>
      </c>
    </row>
    <row r="38" spans="1:4" ht="72">
      <c r="A38" s="1037">
        <v>37</v>
      </c>
      <c r="B38" s="851" t="s">
        <v>1222</v>
      </c>
      <c r="C38" s="841" t="s">
        <v>1188</v>
      </c>
      <c r="D38" s="841" t="s">
        <v>1359</v>
      </c>
    </row>
    <row r="39" spans="1:4" ht="28.8">
      <c r="A39" s="1037">
        <v>38</v>
      </c>
      <c r="B39" s="845" t="s">
        <v>1360</v>
      </c>
      <c r="C39" s="841" t="s">
        <v>1188</v>
      </c>
    </row>
    <row r="40" spans="1:4">
      <c r="A40" s="841">
        <v>39</v>
      </c>
      <c r="B40" s="842" t="s">
        <v>1223</v>
      </c>
      <c r="C40" s="841" t="s">
        <v>1188</v>
      </c>
      <c r="D40" s="841" t="s">
        <v>1370</v>
      </c>
    </row>
    <row r="41" spans="1:4">
      <c r="A41" s="1037">
        <v>40</v>
      </c>
      <c r="B41" s="842" t="s">
        <v>1224</v>
      </c>
      <c r="C41" s="841" t="s">
        <v>1225</v>
      </c>
      <c r="D41" s="841" t="s">
        <v>1369</v>
      </c>
    </row>
    <row r="42" spans="1:4">
      <c r="A42" s="1037">
        <v>41</v>
      </c>
      <c r="B42" s="859" t="s">
        <v>1226</v>
      </c>
      <c r="D42" s="841" t="s">
        <v>1361</v>
      </c>
    </row>
    <row r="43" spans="1:4">
      <c r="A43" s="841">
        <v>42</v>
      </c>
      <c r="B43" s="845" t="s">
        <v>1227</v>
      </c>
      <c r="C43" s="841" t="s">
        <v>1188</v>
      </c>
      <c r="D43" s="841" t="s">
        <v>1234</v>
      </c>
    </row>
    <row r="44" spans="1:4" ht="28.8">
      <c r="A44" s="1037">
        <v>43</v>
      </c>
      <c r="B44" s="845" t="s">
        <v>1228</v>
      </c>
      <c r="C44" s="841" t="s">
        <v>1188</v>
      </c>
      <c r="D44" s="841" t="s">
        <v>1362</v>
      </c>
    </row>
    <row r="45" spans="1:4" ht="43.2">
      <c r="A45" s="1037">
        <v>44</v>
      </c>
      <c r="B45" s="842" t="s">
        <v>1229</v>
      </c>
      <c r="C45" s="841" t="s">
        <v>1188</v>
      </c>
      <c r="D45" s="841" t="s">
        <v>1363</v>
      </c>
    </row>
    <row r="47" spans="1:4">
      <c r="B47" s="840" t="s">
        <v>1552</v>
      </c>
    </row>
    <row r="48" spans="1:4">
      <c r="A48" s="841">
        <v>45</v>
      </c>
      <c r="B48" s="1040" t="s">
        <v>1553</v>
      </c>
    </row>
    <row r="49" spans="1:3">
      <c r="A49" s="841">
        <v>46</v>
      </c>
      <c r="B49" s="1040" t="s">
        <v>1554</v>
      </c>
    </row>
    <row r="50" spans="1:3">
      <c r="A50" s="841">
        <v>47</v>
      </c>
      <c r="B50" s="1040" t="s">
        <v>1555</v>
      </c>
    </row>
    <row r="51" spans="1:3" ht="115.2">
      <c r="A51" s="841">
        <v>48</v>
      </c>
      <c r="B51" s="1040" t="s">
        <v>1556</v>
      </c>
    </row>
    <row r="52" spans="1:3">
      <c r="A52" s="841">
        <v>49</v>
      </c>
      <c r="B52" s="1040" t="s">
        <v>1557</v>
      </c>
    </row>
    <row r="53" spans="1:3" ht="115.2">
      <c r="A53" s="841">
        <v>50</v>
      </c>
      <c r="B53" s="1064" t="s">
        <v>1558</v>
      </c>
      <c r="C53" s="841" t="s">
        <v>1699</v>
      </c>
    </row>
    <row r="54" spans="1:3">
      <c r="A54" s="841">
        <v>51</v>
      </c>
      <c r="B54" s="1040" t="s">
        <v>1559</v>
      </c>
    </row>
    <row r="55" spans="1:3">
      <c r="A55" s="841">
        <v>52</v>
      </c>
      <c r="B55" s="1040" t="s">
        <v>1560</v>
      </c>
    </row>
    <row r="56" spans="1:3">
      <c r="A56" s="841">
        <v>53</v>
      </c>
      <c r="B56" s="1040" t="s">
        <v>1561</v>
      </c>
    </row>
    <row r="57" spans="1:3">
      <c r="A57" s="841">
        <v>54</v>
      </c>
      <c r="B57" s="1040" t="s">
        <v>1562</v>
      </c>
    </row>
    <row r="58" spans="1:3">
      <c r="A58" s="841">
        <v>55</v>
      </c>
      <c r="B58" s="1041" t="s">
        <v>1563</v>
      </c>
    </row>
    <row r="59" spans="1:3">
      <c r="A59" s="841">
        <v>56</v>
      </c>
      <c r="B59" s="1040" t="s">
        <v>1564</v>
      </c>
    </row>
    <row r="60" spans="1:3" ht="43.2">
      <c r="A60" s="841">
        <v>57</v>
      </c>
      <c r="B60" s="1040" t="s">
        <v>1565</v>
      </c>
    </row>
    <row r="61" spans="1:3">
      <c r="A61" s="841">
        <v>58</v>
      </c>
      <c r="B61" s="1040" t="s">
        <v>1566</v>
      </c>
    </row>
    <row r="62" spans="1:3">
      <c r="A62" s="841">
        <v>59</v>
      </c>
      <c r="B62" s="1040" t="s">
        <v>1567</v>
      </c>
    </row>
    <row r="63" spans="1:3">
      <c r="A63" s="841">
        <v>60</v>
      </c>
      <c r="B63" s="1040" t="s">
        <v>1568</v>
      </c>
    </row>
    <row r="64" spans="1:3" ht="43.2">
      <c r="A64" s="841">
        <v>61</v>
      </c>
      <c r="B64" s="1040" t="s">
        <v>1619</v>
      </c>
    </row>
    <row r="65" spans="1:3" ht="28.8">
      <c r="A65" s="841">
        <v>62</v>
      </c>
      <c r="B65" s="841" t="s">
        <v>1620</v>
      </c>
    </row>
    <row r="66" spans="1:3" ht="18" customHeight="1">
      <c r="A66" s="841">
        <v>63</v>
      </c>
      <c r="B66" s="1065" t="s">
        <v>1569</v>
      </c>
    </row>
    <row r="67" spans="1:3">
      <c r="A67" s="841">
        <v>64</v>
      </c>
      <c r="B67" s="1040" t="s">
        <v>1570</v>
      </c>
    </row>
    <row r="68" spans="1:3" ht="28.8">
      <c r="A68" s="841">
        <v>65</v>
      </c>
      <c r="B68" s="1040" t="s">
        <v>1628</v>
      </c>
    </row>
    <row r="69" spans="1:3">
      <c r="A69" s="841">
        <v>66</v>
      </c>
      <c r="B69" s="1040" t="s">
        <v>1571</v>
      </c>
    </row>
    <row r="70" spans="1:3">
      <c r="A70" s="841">
        <v>67</v>
      </c>
      <c r="B70" s="1040" t="s">
        <v>1572</v>
      </c>
    </row>
    <row r="71" spans="1:3">
      <c r="A71" s="841">
        <v>68</v>
      </c>
      <c r="B71" s="1040" t="s">
        <v>1700</v>
      </c>
    </row>
    <row r="72" spans="1:3">
      <c r="A72" s="841">
        <v>69</v>
      </c>
      <c r="B72" s="1066" t="s">
        <v>1631</v>
      </c>
      <c r="C72" s="1041" t="s">
        <v>1636</v>
      </c>
    </row>
    <row r="73" spans="1:3" ht="28.8">
      <c r="A73" s="841">
        <v>70</v>
      </c>
      <c r="B73" s="1040" t="s">
        <v>1573</v>
      </c>
    </row>
    <row r="74" spans="1:3" ht="28.8">
      <c r="A74" s="841">
        <v>71</v>
      </c>
      <c r="B74" s="1040" t="s">
        <v>1574</v>
      </c>
    </row>
    <row r="75" spans="1:3">
      <c r="A75" s="841">
        <v>72</v>
      </c>
      <c r="B75" s="1040" t="s">
        <v>1575</v>
      </c>
    </row>
    <row r="76" spans="1:3">
      <c r="A76" s="841">
        <v>73</v>
      </c>
      <c r="B76" s="1040" t="s">
        <v>1576</v>
      </c>
    </row>
    <row r="77" spans="1:3" ht="28.8">
      <c r="A77" s="841">
        <v>74</v>
      </c>
      <c r="B77" s="1040" t="s">
        <v>1577</v>
      </c>
    </row>
    <row r="78" spans="1:3" ht="28.8">
      <c r="A78" s="841">
        <v>75</v>
      </c>
      <c r="B78" s="1040" t="s">
        <v>1578</v>
      </c>
    </row>
    <row r="79" spans="1:3">
      <c r="A79" s="841">
        <v>76</v>
      </c>
      <c r="B79" s="1040" t="s">
        <v>1658</v>
      </c>
    </row>
    <row r="80" spans="1:3">
      <c r="A80" s="841">
        <v>77</v>
      </c>
      <c r="B80" s="1040" t="s">
        <v>1579</v>
      </c>
    </row>
    <row r="81" spans="1:6" ht="57.6">
      <c r="A81" s="841">
        <v>78</v>
      </c>
      <c r="B81" s="1139" t="s">
        <v>1709</v>
      </c>
      <c r="C81" s="841" t="s">
        <v>1760</v>
      </c>
      <c r="D81" s="841" t="s">
        <v>1714</v>
      </c>
    </row>
    <row r="82" spans="1:6" ht="28.8">
      <c r="A82" s="841">
        <v>79</v>
      </c>
      <c r="B82" s="1040" t="s">
        <v>1657</v>
      </c>
    </row>
    <row r="83" spans="1:6" ht="28.8">
      <c r="A83" s="841">
        <v>80</v>
      </c>
      <c r="B83" s="1040" t="s">
        <v>1580</v>
      </c>
    </row>
    <row r="84" spans="1:6" ht="28.8">
      <c r="A84" s="841">
        <v>81</v>
      </c>
      <c r="B84" s="1064" t="s">
        <v>1581</v>
      </c>
    </row>
    <row r="85" spans="1:6" ht="28.8">
      <c r="A85" s="841">
        <v>82</v>
      </c>
      <c r="B85" s="1064" t="s">
        <v>1582</v>
      </c>
    </row>
    <row r="86" spans="1:6">
      <c r="A86" s="841">
        <v>83</v>
      </c>
      <c r="B86" s="1040" t="s">
        <v>1583</v>
      </c>
    </row>
    <row r="87" spans="1:6">
      <c r="A87" s="841">
        <v>84</v>
      </c>
      <c r="B87" s="1040" t="s">
        <v>1704</v>
      </c>
    </row>
    <row r="88" spans="1:6">
      <c r="A88" s="841">
        <v>85</v>
      </c>
      <c r="B88" s="1040" t="s">
        <v>1625</v>
      </c>
    </row>
    <row r="89" spans="1:6" ht="28.8">
      <c r="A89" s="841">
        <v>86</v>
      </c>
      <c r="B89" s="1064" t="s">
        <v>1686</v>
      </c>
      <c r="C89" s="841" t="s">
        <v>1688</v>
      </c>
    </row>
    <row r="90" spans="1:6" ht="28.8">
      <c r="A90" s="841">
        <v>87</v>
      </c>
      <c r="B90" s="844" t="s">
        <v>1584</v>
      </c>
      <c r="E90" s="1118" t="s">
        <v>1721</v>
      </c>
    </row>
    <row r="91" spans="1:6" ht="28.8">
      <c r="A91" s="841">
        <v>88</v>
      </c>
      <c r="B91" s="1126" t="s">
        <v>1705</v>
      </c>
      <c r="E91" s="841" t="s">
        <v>1760</v>
      </c>
      <c r="F91" s="1118" t="s">
        <v>1754</v>
      </c>
    </row>
    <row r="92" spans="1:6">
      <c r="A92" s="841">
        <v>89</v>
      </c>
      <c r="B92" s="1040" t="s">
        <v>1624</v>
      </c>
    </row>
    <row r="93" spans="1:6">
      <c r="A93" s="841">
        <v>90</v>
      </c>
      <c r="B93" s="1040" t="s">
        <v>1585</v>
      </c>
    </row>
    <row r="94" spans="1:6">
      <c r="A94" s="841">
        <v>91</v>
      </c>
      <c r="B94" s="1040" t="s">
        <v>1586</v>
      </c>
    </row>
    <row r="95" spans="1:6">
      <c r="A95" s="841">
        <v>92</v>
      </c>
      <c r="B95" s="1040" t="s">
        <v>1587</v>
      </c>
    </row>
    <row r="96" spans="1:6">
      <c r="A96" s="841">
        <v>93</v>
      </c>
      <c r="B96" s="1040" t="s">
        <v>1588</v>
      </c>
    </row>
    <row r="97" spans="1:4" ht="28.8">
      <c r="A97" s="841">
        <v>94</v>
      </c>
      <c r="B97" s="1064" t="s">
        <v>1707</v>
      </c>
    </row>
    <row r="98" spans="1:4" ht="28.8">
      <c r="A98" s="841">
        <v>95</v>
      </c>
      <c r="B98" s="841" t="s">
        <v>1687</v>
      </c>
    </row>
    <row r="99" spans="1:4">
      <c r="A99" s="841">
        <v>96</v>
      </c>
      <c r="B99" s="1040" t="s">
        <v>1589</v>
      </c>
    </row>
    <row r="100" spans="1:4" ht="28.8">
      <c r="A100" s="841">
        <v>97</v>
      </c>
      <c r="B100" s="1040" t="s">
        <v>1590</v>
      </c>
    </row>
    <row r="101" spans="1:4">
      <c r="A101" s="841">
        <v>98</v>
      </c>
      <c r="B101" s="1040" t="s">
        <v>1591</v>
      </c>
    </row>
    <row r="102" spans="1:4">
      <c r="A102" s="841">
        <v>99</v>
      </c>
      <c r="B102" s="1040" t="s">
        <v>1592</v>
      </c>
    </row>
    <row r="103" spans="1:4" ht="163.19999999999999" customHeight="1">
      <c r="A103" s="841">
        <v>100</v>
      </c>
      <c r="B103" s="1064" t="s">
        <v>1593</v>
      </c>
    </row>
    <row r="104" spans="1:4" ht="144">
      <c r="A104" s="841">
        <v>101</v>
      </c>
      <c r="B104" s="1126" t="s">
        <v>1594</v>
      </c>
      <c r="C104" s="841" t="s">
        <v>1812</v>
      </c>
      <c r="D104" s="841" t="s">
        <v>1813</v>
      </c>
    </row>
    <row r="105" spans="1:4">
      <c r="A105" s="841">
        <v>102</v>
      </c>
      <c r="B105" s="1040" t="s">
        <v>1595</v>
      </c>
    </row>
    <row r="106" spans="1:4" ht="57.6">
      <c r="A106" s="841">
        <v>103</v>
      </c>
      <c r="B106" s="1064" t="s">
        <v>1596</v>
      </c>
      <c r="C106" s="1038" t="s">
        <v>1597</v>
      </c>
    </row>
    <row r="107" spans="1:4">
      <c r="A107" s="841">
        <v>104</v>
      </c>
      <c r="B107" s="1040" t="s">
        <v>1684</v>
      </c>
    </row>
    <row r="108" spans="1:4" ht="28.8">
      <c r="A108" s="841">
        <v>105</v>
      </c>
      <c r="B108" s="1126" t="s">
        <v>1708</v>
      </c>
      <c r="C108" s="841" t="s">
        <v>1760</v>
      </c>
      <c r="D108" s="841" t="s">
        <v>1755</v>
      </c>
    </row>
    <row r="109" spans="1:4" ht="28.8">
      <c r="A109" s="841">
        <v>106</v>
      </c>
      <c r="B109" s="1126" t="s">
        <v>1696</v>
      </c>
      <c r="C109" s="841" t="s">
        <v>1760</v>
      </c>
      <c r="D109" s="841" t="s">
        <v>1756</v>
      </c>
    </row>
    <row r="110" spans="1:4" ht="72">
      <c r="A110" s="841">
        <v>107</v>
      </c>
      <c r="B110" s="1040" t="s">
        <v>1799</v>
      </c>
      <c r="C110" s="841" t="s">
        <v>1797</v>
      </c>
      <c r="D110" s="841" t="s">
        <v>1798</v>
      </c>
    </row>
    <row r="111" spans="1:4" ht="28.8">
      <c r="A111" s="841">
        <v>108</v>
      </c>
      <c r="B111" s="1126" t="s">
        <v>1702</v>
      </c>
      <c r="C111" s="841" t="s">
        <v>1760</v>
      </c>
      <c r="D111" s="841" t="s">
        <v>1758</v>
      </c>
    </row>
    <row r="112" spans="1:4" ht="57.6">
      <c r="A112" s="841">
        <v>109</v>
      </c>
      <c r="B112" s="1126" t="s">
        <v>1703</v>
      </c>
      <c r="C112" s="841" t="s">
        <v>1795</v>
      </c>
      <c r="D112" s="841" t="s">
        <v>1796</v>
      </c>
    </row>
    <row r="113" spans="1:3" customFormat="1">
      <c r="A113" s="1165"/>
      <c r="B113" s="1165"/>
      <c r="C113" s="841"/>
    </row>
    <row r="114" spans="1:3" customFormat="1">
      <c r="A114" s="841"/>
      <c r="B114" s="840" t="s">
        <v>1814</v>
      </c>
      <c r="C114" s="841"/>
    </row>
    <row r="115" spans="1:3" customFormat="1" ht="28.8">
      <c r="A115" s="314">
        <v>110</v>
      </c>
      <c r="B115" s="1167" t="s">
        <v>1815</v>
      </c>
      <c r="C115" s="841"/>
    </row>
    <row r="116" spans="1:3" customFormat="1">
      <c r="A116" s="314">
        <v>111</v>
      </c>
      <c r="B116" s="1167" t="s">
        <v>1816</v>
      </c>
      <c r="C116" s="841"/>
    </row>
    <row r="117" spans="1:3" customFormat="1">
      <c r="A117" s="314">
        <v>112</v>
      </c>
      <c r="B117" s="1167" t="s">
        <v>1817</v>
      </c>
      <c r="C117" s="841"/>
    </row>
    <row r="118" spans="1:3" customFormat="1">
      <c r="A118" s="314">
        <v>113</v>
      </c>
      <c r="B118" s="1167" t="s">
        <v>1818</v>
      </c>
      <c r="C118" s="841"/>
    </row>
    <row r="119" spans="1:3" customFormat="1" ht="28.8">
      <c r="A119" s="314">
        <v>114</v>
      </c>
      <c r="B119" s="1167" t="s">
        <v>1819</v>
      </c>
      <c r="C119" s="841"/>
    </row>
    <row r="120" spans="1:3" customFormat="1">
      <c r="A120" s="314">
        <v>115</v>
      </c>
      <c r="B120" s="1167" t="s">
        <v>1820</v>
      </c>
      <c r="C120" s="841"/>
    </row>
    <row r="121" spans="1:3" customFormat="1">
      <c r="A121" s="314">
        <v>116</v>
      </c>
      <c r="B121" s="1167" t="s">
        <v>1821</v>
      </c>
      <c r="C121" s="841"/>
    </row>
    <row r="122" spans="1:3" customFormat="1">
      <c r="A122" s="314">
        <v>117</v>
      </c>
      <c r="B122" s="1167" t="s">
        <v>1822</v>
      </c>
      <c r="C122" s="841"/>
    </row>
    <row r="123" spans="1:3" customFormat="1">
      <c r="A123" s="314">
        <v>118</v>
      </c>
      <c r="B123" s="1167" t="s">
        <v>1823</v>
      </c>
      <c r="C123" s="841"/>
    </row>
    <row r="124" spans="1:3" customFormat="1">
      <c r="A124" s="314">
        <v>119</v>
      </c>
      <c r="B124" s="1167" t="s">
        <v>1824</v>
      </c>
      <c r="C124" s="841"/>
    </row>
    <row r="125" spans="1:3" customFormat="1" ht="28.8">
      <c r="A125" s="314">
        <v>120</v>
      </c>
      <c r="B125" s="1167" t="s">
        <v>1825</v>
      </c>
      <c r="C125" s="841"/>
    </row>
    <row r="126" spans="1:3" customFormat="1">
      <c r="A126" s="314">
        <v>121</v>
      </c>
      <c r="B126" s="1167" t="s">
        <v>1826</v>
      </c>
      <c r="C126" s="841"/>
    </row>
    <row r="127" spans="1:3" customFormat="1" ht="43.2">
      <c r="A127" s="314">
        <v>122</v>
      </c>
      <c r="B127" s="1167" t="s">
        <v>1827</v>
      </c>
      <c r="C127" s="841"/>
    </row>
    <row r="128" spans="1:3" customFormat="1" ht="115.2">
      <c r="A128" s="314">
        <v>123</v>
      </c>
      <c r="B128" s="1064" t="s">
        <v>1828</v>
      </c>
      <c r="C128" s="841" t="s">
        <v>1688</v>
      </c>
    </row>
    <row r="129" spans="1:10" customFormat="1" ht="43.2">
      <c r="A129" s="841">
        <v>124</v>
      </c>
      <c r="B129" s="1064" t="s">
        <v>1829</v>
      </c>
      <c r="C129" s="841" t="s">
        <v>1844</v>
      </c>
    </row>
    <row r="130" spans="1:10" customFormat="1" ht="43.2">
      <c r="A130" s="314">
        <v>125</v>
      </c>
      <c r="B130" s="1167" t="s">
        <v>1830</v>
      </c>
      <c r="C130" s="841"/>
    </row>
    <row r="131" spans="1:10" customFormat="1" ht="15.6">
      <c r="A131" s="314">
        <v>126</v>
      </c>
      <c r="B131" s="1167" t="s">
        <v>1851</v>
      </c>
      <c r="C131" s="841"/>
    </row>
    <row r="132" spans="1:10" customFormat="1">
      <c r="A132" s="314">
        <v>127</v>
      </c>
      <c r="B132" s="1167" t="s">
        <v>1831</v>
      </c>
      <c r="C132" s="841"/>
    </row>
    <row r="133" spans="1:10" customFormat="1">
      <c r="A133" s="314">
        <v>128</v>
      </c>
      <c r="B133" s="1167" t="s">
        <v>1832</v>
      </c>
      <c r="C133" s="841"/>
    </row>
    <row r="134" spans="1:10" customFormat="1" ht="43.2">
      <c r="A134" s="314">
        <v>129</v>
      </c>
      <c r="B134" s="1167" t="s">
        <v>1863</v>
      </c>
      <c r="C134" s="841"/>
    </row>
    <row r="135" spans="1:10" customFormat="1">
      <c r="A135" s="314">
        <v>130</v>
      </c>
      <c r="B135" s="1167" t="s">
        <v>1833</v>
      </c>
      <c r="C135" s="841"/>
    </row>
    <row r="136" spans="1:10" customFormat="1">
      <c r="A136" s="314">
        <v>131</v>
      </c>
      <c r="B136" s="1167" t="s">
        <v>1834</v>
      </c>
      <c r="C136" s="841"/>
    </row>
    <row r="137" spans="1:10" customFormat="1" ht="43.2">
      <c r="A137" s="314">
        <v>132</v>
      </c>
      <c r="B137" s="1167" t="s">
        <v>1845</v>
      </c>
      <c r="C137" s="841"/>
      <c r="E137" t="s">
        <v>1835</v>
      </c>
      <c r="J137" s="841"/>
    </row>
    <row r="138" spans="1:10" customFormat="1" ht="72">
      <c r="A138" s="314">
        <v>133</v>
      </c>
      <c r="B138" s="1064" t="s">
        <v>1836</v>
      </c>
      <c r="C138" s="841"/>
    </row>
    <row r="139" spans="1:10" customFormat="1">
      <c r="A139" s="314">
        <v>134</v>
      </c>
      <c r="B139" s="1167" t="s">
        <v>1864</v>
      </c>
      <c r="C139" s="841"/>
    </row>
    <row r="140" spans="1:10" customFormat="1">
      <c r="A140" s="314">
        <v>135</v>
      </c>
      <c r="B140" s="1167" t="s">
        <v>1837</v>
      </c>
      <c r="C140" s="841"/>
    </row>
    <row r="141" spans="1:10" customFormat="1" ht="28.8">
      <c r="A141" s="314">
        <v>136</v>
      </c>
      <c r="B141" s="1167" t="s">
        <v>1838</v>
      </c>
      <c r="C141" s="841"/>
    </row>
    <row r="142" spans="1:10" customFormat="1">
      <c r="A142" s="314">
        <v>137</v>
      </c>
      <c r="B142" s="1167" t="s">
        <v>1839</v>
      </c>
      <c r="C142" s="841"/>
    </row>
    <row r="143" spans="1:10" customFormat="1" ht="28.8">
      <c r="A143" s="314">
        <v>138</v>
      </c>
      <c r="B143" s="1167" t="s">
        <v>1840</v>
      </c>
      <c r="C143" s="841"/>
    </row>
    <row r="144" spans="1:10" customFormat="1">
      <c r="A144" s="314">
        <v>139</v>
      </c>
      <c r="B144" s="1167" t="s">
        <v>1841</v>
      </c>
      <c r="C144" s="841"/>
    </row>
    <row r="145" spans="1:11" customFormat="1">
      <c r="A145" s="314">
        <v>140</v>
      </c>
      <c r="B145" s="1167" t="s">
        <v>1842</v>
      </c>
      <c r="C145" s="841"/>
      <c r="E145" t="s">
        <v>1843</v>
      </c>
      <c r="K145" s="841"/>
    </row>
    <row r="146" spans="1:11" customFormat="1">
      <c r="C146" s="841"/>
    </row>
    <row r="147" spans="1:11" customFormat="1">
      <c r="C147" s="841"/>
    </row>
    <row r="148" spans="1:11" customFormat="1">
      <c r="C148" s="841"/>
    </row>
    <row r="149" spans="1:11" customFormat="1">
      <c r="C149" s="841"/>
    </row>
    <row r="150" spans="1:11" customFormat="1">
      <c r="C150" s="841"/>
    </row>
    <row r="151" spans="1:11" customFormat="1">
      <c r="C151" s="841"/>
    </row>
    <row r="152" spans="1:11" customFormat="1">
      <c r="C152" s="841"/>
    </row>
    <row r="153" spans="1:11" customFormat="1">
      <c r="C153" s="841"/>
    </row>
    <row r="154" spans="1:11" customFormat="1">
      <c r="C154" s="841"/>
    </row>
    <row r="155" spans="1:11" customFormat="1">
      <c r="C155" s="841"/>
    </row>
    <row r="156" spans="1:11" customFormat="1">
      <c r="C156" s="841"/>
    </row>
    <row r="157" spans="1:11" customFormat="1">
      <c r="C157" s="841"/>
    </row>
    <row r="158" spans="1:11" customFormat="1">
      <c r="C158" s="841"/>
    </row>
    <row r="159" spans="1:11" customFormat="1">
      <c r="C159" s="841"/>
    </row>
  </sheetData>
  <hyperlinks>
    <hyperlink ref="D6" r:id="rId1"/>
    <hyperlink ref="C106" r:id="rId2"/>
  </hyperlinks>
  <pageMargins left="0.7" right="0.7" top="0.75" bottom="0.75" header="0.3" footer="0.3"/>
  <pageSetup paperSize="9" orientation="portrait" r:id="rId3"/>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
  <sheetViews>
    <sheetView workbookViewId="0"/>
  </sheetViews>
  <sheetFormatPr defaultRowHeight="14.4"/>
  <sheetData>
    <row r="1" spans="1:1" ht="15.6">
      <c r="A1" s="1195" t="s">
        <v>1900</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CFF"/>
    <pageSetUpPr fitToPage="1"/>
  </sheetPr>
  <dimension ref="A1:AR100"/>
  <sheetViews>
    <sheetView zoomScale="70" zoomScaleNormal="70" workbookViewId="0">
      <selection activeCell="Q43" sqref="Q43"/>
    </sheetView>
  </sheetViews>
  <sheetFormatPr defaultRowHeight="14.4"/>
  <cols>
    <col min="1" max="1" width="22" customWidth="1"/>
    <col min="3" max="3" width="9.33203125" customWidth="1"/>
    <col min="4" max="4" width="2.6640625" customWidth="1"/>
    <col min="5" max="13" width="3" customWidth="1"/>
    <col min="21" max="21" width="8.5546875" customWidth="1"/>
    <col min="22" max="22" width="2.6640625" customWidth="1"/>
    <col min="23" max="23" width="3.33203125" customWidth="1"/>
    <col min="24" max="26" width="3.5546875" customWidth="1"/>
    <col min="27" max="27" width="3.33203125" customWidth="1"/>
    <col min="28" max="28" width="2.6640625" customWidth="1"/>
    <col min="29" max="31" width="3.5546875" customWidth="1"/>
  </cols>
  <sheetData>
    <row r="1" spans="1:44" ht="23.7" customHeight="1">
      <c r="A1" s="100"/>
      <c r="B1" s="100"/>
      <c r="C1" s="100"/>
      <c r="D1" s="100"/>
      <c r="E1" s="100"/>
      <c r="F1" s="100"/>
      <c r="G1" s="939" t="s">
        <v>1479</v>
      </c>
      <c r="H1" s="100"/>
      <c r="I1" s="100"/>
      <c r="J1" s="100"/>
      <c r="K1" s="100"/>
      <c r="L1" s="100"/>
      <c r="M1" s="100"/>
      <c r="N1" s="100"/>
      <c r="O1" s="100"/>
      <c r="P1" s="100"/>
      <c r="Q1" s="100"/>
      <c r="R1" s="100"/>
      <c r="S1" s="100"/>
      <c r="T1" s="100"/>
      <c r="U1" s="100"/>
      <c r="V1" s="100"/>
      <c r="W1" s="100"/>
      <c r="X1" s="100"/>
      <c r="Y1" s="939" t="s">
        <v>1480</v>
      </c>
      <c r="Z1" s="100"/>
      <c r="AA1" s="100"/>
      <c r="AB1" s="100"/>
      <c r="AC1" s="100"/>
      <c r="AD1" s="100"/>
      <c r="AE1" s="100"/>
      <c r="AF1" s="100"/>
      <c r="AG1" s="100"/>
      <c r="AH1" s="100"/>
      <c r="AI1" s="100"/>
      <c r="AJ1" s="100"/>
      <c r="AK1" s="100"/>
      <c r="AL1" s="100"/>
      <c r="AM1" s="100"/>
      <c r="AN1" s="100"/>
      <c r="AO1" s="100"/>
      <c r="AP1" s="100"/>
      <c r="AQ1" s="100"/>
      <c r="AR1" s="100"/>
    </row>
    <row r="2" spans="1:44" ht="23.7" customHeight="1">
      <c r="A2" s="100"/>
      <c r="B2" s="100"/>
      <c r="C2" s="100"/>
      <c r="D2" s="100"/>
      <c r="E2" s="100"/>
      <c r="F2" s="100"/>
      <c r="G2" s="939" t="str">
        <f ca="1">"("&amp;'Well Opex'!AG11&amp;" total)"</f>
        <v>(9 total)</v>
      </c>
      <c r="H2" s="100"/>
      <c r="I2" s="100"/>
      <c r="J2" s="100"/>
      <c r="K2" s="100"/>
      <c r="L2" s="100"/>
      <c r="M2" s="100"/>
      <c r="N2" s="100"/>
      <c r="O2" s="100"/>
      <c r="P2" s="100"/>
      <c r="Q2" s="100"/>
      <c r="R2" s="100"/>
      <c r="S2" s="100"/>
      <c r="T2" s="100"/>
      <c r="V2" s="100"/>
      <c r="W2" s="100"/>
      <c r="X2" s="100"/>
      <c r="Y2" s="939" t="str">
        <f ca="1">"("&amp;'Well Opex'!AG49&amp;" total)"</f>
        <v>(9 total)</v>
      </c>
      <c r="Z2" s="100"/>
      <c r="AA2" s="100"/>
      <c r="AB2" s="100"/>
      <c r="AC2" s="100"/>
      <c r="AD2" s="100"/>
      <c r="AE2" s="100"/>
      <c r="AF2" s="100"/>
      <c r="AG2" s="100"/>
      <c r="AH2" s="100"/>
      <c r="AI2" s="100"/>
      <c r="AJ2" s="100"/>
      <c r="AK2" s="100"/>
      <c r="AL2" s="100"/>
      <c r="AM2" s="100"/>
      <c r="AN2" s="100"/>
      <c r="AO2" s="100"/>
      <c r="AP2" s="100"/>
      <c r="AQ2" s="100"/>
      <c r="AR2" s="100"/>
    </row>
    <row r="3" spans="1:44">
      <c r="A3" s="100"/>
      <c r="B3" s="100"/>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row>
    <row r="4" spans="1:44">
      <c r="A4" s="100"/>
      <c r="C4" s="940" t="str">
        <f>'Calculated Variables'!B26&amp;": "&amp;TEXT('Calculated Variables'!E26,"0.00E+00")</f>
        <v>Flowing tubing head pressure, production well (Pa): 3.50E+06</v>
      </c>
      <c r="D4" s="100"/>
      <c r="E4" s="100"/>
      <c r="F4" s="100"/>
      <c r="G4" s="100"/>
      <c r="H4" s="100"/>
      <c r="I4" s="100"/>
      <c r="J4" s="100"/>
      <c r="K4" s="100"/>
      <c r="L4" s="100"/>
      <c r="M4" s="100"/>
      <c r="N4" s="100"/>
      <c r="O4" s="100"/>
      <c r="P4" s="100"/>
      <c r="Q4" s="100"/>
      <c r="R4" s="100"/>
      <c r="S4" s="100"/>
      <c r="U4" s="940" t="str">
        <f>'Calculated Variables'!B31&amp;": "&amp;TEXT('Calculated Variables'!E31,"0.00E+00")</f>
        <v>Reinjection pressure (at injector wellhead) (Pa): 1.32E+07</v>
      </c>
      <c r="V4" s="100"/>
      <c r="W4" s="100"/>
      <c r="X4" s="100"/>
      <c r="Y4" s="100"/>
      <c r="Z4" s="100"/>
      <c r="AA4" s="100"/>
      <c r="AB4" s="100"/>
      <c r="AC4" s="100"/>
      <c r="AD4" s="100"/>
      <c r="AE4" s="100"/>
      <c r="AF4" s="100"/>
      <c r="AG4" s="100"/>
      <c r="AH4" s="100"/>
      <c r="AI4" s="100"/>
      <c r="AJ4" s="100"/>
      <c r="AK4" s="100"/>
      <c r="AL4" s="100"/>
      <c r="AM4" s="100"/>
      <c r="AN4" s="100"/>
      <c r="AO4" s="100"/>
      <c r="AP4" s="100"/>
      <c r="AQ4" s="100"/>
      <c r="AR4" s="100"/>
    </row>
    <row r="5" spans="1:44" ht="5.25" customHeight="1">
      <c r="A5" s="100"/>
      <c r="B5" s="100"/>
      <c r="C5" s="100"/>
      <c r="D5" s="100"/>
      <c r="E5" s="100"/>
      <c r="F5" s="100"/>
      <c r="G5" s="916"/>
      <c r="H5" s="916"/>
      <c r="I5" s="916"/>
      <c r="J5" s="916"/>
      <c r="K5" s="916"/>
      <c r="L5" s="916"/>
      <c r="M5" s="916"/>
      <c r="N5" s="916"/>
      <c r="O5" s="916"/>
      <c r="P5" s="916"/>
      <c r="Q5" s="100"/>
      <c r="R5" s="916"/>
      <c r="S5" s="916"/>
      <c r="T5" s="916"/>
      <c r="U5" s="916"/>
      <c r="V5" s="916"/>
      <c r="W5" s="916"/>
      <c r="X5" s="916"/>
      <c r="Y5" s="916"/>
      <c r="Z5" s="100"/>
      <c r="AA5" s="100"/>
      <c r="AB5" s="100"/>
      <c r="AC5" s="100"/>
      <c r="AD5" s="100"/>
      <c r="AE5" s="100"/>
      <c r="AF5" s="100"/>
      <c r="AG5" s="100"/>
      <c r="AH5" s="100"/>
      <c r="AI5" s="100"/>
      <c r="AJ5" s="100"/>
      <c r="AK5" s="100"/>
      <c r="AL5" s="100"/>
      <c r="AM5" s="100"/>
      <c r="AN5" s="100"/>
      <c r="AO5" s="100"/>
      <c r="AP5" s="100"/>
      <c r="AQ5" s="100"/>
      <c r="AR5" s="100"/>
    </row>
    <row r="6" spans="1:44">
      <c r="A6" s="100"/>
      <c r="B6" s="100"/>
      <c r="C6" s="100"/>
      <c r="D6" s="100"/>
      <c r="E6" s="100"/>
      <c r="F6" s="100"/>
      <c r="G6" s="916"/>
      <c r="H6" s="100"/>
      <c r="I6" s="100"/>
      <c r="J6" s="100"/>
      <c r="K6" s="100"/>
      <c r="L6" s="100"/>
      <c r="M6" s="100"/>
      <c r="N6" s="100"/>
      <c r="O6" s="100"/>
      <c r="P6" s="100"/>
      <c r="Q6" s="100"/>
      <c r="R6" s="100"/>
      <c r="S6" s="100"/>
      <c r="T6" s="100"/>
      <c r="U6" s="100"/>
      <c r="V6" s="100"/>
      <c r="W6" s="100"/>
      <c r="X6" s="100"/>
      <c r="Y6" s="916"/>
      <c r="Z6" s="100"/>
      <c r="AA6" s="100"/>
      <c r="AB6" s="100"/>
      <c r="AC6" s="100"/>
      <c r="AD6" s="100"/>
      <c r="AE6" s="100"/>
      <c r="AF6" s="100"/>
      <c r="AG6" s="100"/>
      <c r="AH6" s="100"/>
      <c r="AI6" s="100"/>
      <c r="AJ6" s="100"/>
      <c r="AK6" s="100"/>
      <c r="AL6" s="100"/>
      <c r="AM6" s="100"/>
      <c r="AN6" s="100"/>
      <c r="AO6" s="100"/>
      <c r="AP6" s="100"/>
      <c r="AQ6" s="100"/>
      <c r="AR6" s="100"/>
    </row>
    <row r="7" spans="1:44" ht="5.25" customHeight="1">
      <c r="A7" s="100"/>
      <c r="B7" s="100"/>
      <c r="C7" s="100"/>
      <c r="D7" s="918"/>
      <c r="E7" s="918"/>
      <c r="F7" s="918"/>
      <c r="G7" s="918"/>
      <c r="H7" s="918"/>
      <c r="I7" s="918"/>
      <c r="J7" s="918"/>
      <c r="K7" s="105"/>
      <c r="L7" s="105"/>
      <c r="M7" s="105"/>
      <c r="N7" s="105"/>
      <c r="O7" s="105"/>
      <c r="P7" s="105"/>
      <c r="Q7" s="105"/>
      <c r="R7" s="105"/>
      <c r="S7" s="105"/>
      <c r="T7" s="105"/>
      <c r="U7" s="105"/>
      <c r="V7" s="918"/>
      <c r="W7" s="918"/>
      <c r="X7" s="918"/>
      <c r="Y7" s="918"/>
      <c r="Z7" s="918"/>
      <c r="AA7" s="918"/>
      <c r="AB7" s="918"/>
      <c r="AC7" s="100"/>
      <c r="AD7" s="100"/>
      <c r="AE7" s="100"/>
      <c r="AF7" s="100"/>
      <c r="AG7" s="100"/>
      <c r="AH7" s="100"/>
      <c r="AI7" s="100"/>
      <c r="AJ7" s="100"/>
      <c r="AK7" s="100"/>
      <c r="AL7" s="100"/>
      <c r="AM7" s="100"/>
      <c r="AN7" s="100"/>
      <c r="AO7" s="100"/>
      <c r="AP7" s="100"/>
      <c r="AQ7" s="100"/>
      <c r="AR7" s="100"/>
    </row>
    <row r="8" spans="1:44" ht="15" thickBot="1">
      <c r="A8" s="941" t="s">
        <v>1492</v>
      </c>
      <c r="B8" s="941"/>
      <c r="C8" s="942"/>
      <c r="D8" s="915"/>
      <c r="E8" s="105"/>
      <c r="F8" s="105"/>
      <c r="G8" s="915"/>
      <c r="H8" s="105"/>
      <c r="I8" s="914"/>
      <c r="J8" s="915"/>
      <c r="K8" s="941"/>
      <c r="L8" s="941"/>
      <c r="M8" s="941"/>
      <c r="N8" s="941"/>
      <c r="O8" s="941"/>
      <c r="P8" s="941"/>
      <c r="Q8" s="941"/>
      <c r="R8" s="941"/>
      <c r="S8" s="941"/>
      <c r="T8" s="941"/>
      <c r="U8" s="941"/>
      <c r="V8" s="915"/>
      <c r="W8" s="105"/>
      <c r="X8" s="105"/>
      <c r="Y8" s="915"/>
      <c r="Z8" s="105"/>
      <c r="AA8" s="914"/>
      <c r="AB8" s="915"/>
      <c r="AC8" s="941"/>
      <c r="AD8" s="941"/>
      <c r="AE8" s="941"/>
      <c r="AF8" s="941"/>
      <c r="AG8" s="941"/>
      <c r="AH8" s="941"/>
      <c r="AI8" s="941"/>
      <c r="AJ8" s="941"/>
      <c r="AK8" s="943" t="s">
        <v>1493</v>
      </c>
      <c r="AL8" s="100"/>
      <c r="AM8" s="100"/>
      <c r="AN8" s="100"/>
      <c r="AO8" s="100"/>
      <c r="AP8" s="100"/>
      <c r="AQ8" s="100"/>
      <c r="AR8" s="100"/>
    </row>
    <row r="9" spans="1:44" ht="15" thickTop="1">
      <c r="A9" s="105"/>
      <c r="B9" s="105"/>
      <c r="C9" s="105"/>
      <c r="D9" s="944"/>
      <c r="E9" s="913"/>
      <c r="F9" s="105"/>
      <c r="G9" s="915"/>
      <c r="H9" s="105"/>
      <c r="I9" s="914"/>
      <c r="J9" s="945"/>
      <c r="K9" s="105"/>
      <c r="L9" s="105"/>
      <c r="M9" s="105"/>
      <c r="N9" s="105"/>
      <c r="O9" s="105"/>
      <c r="P9" s="105"/>
      <c r="Q9" s="105"/>
      <c r="R9" s="105"/>
      <c r="S9" s="105"/>
      <c r="T9" s="105"/>
      <c r="U9" s="105"/>
      <c r="V9" s="944"/>
      <c r="W9" s="913"/>
      <c r="X9" s="105"/>
      <c r="Y9" s="915"/>
      <c r="Z9" s="105"/>
      <c r="AA9" s="914"/>
      <c r="AB9" s="945"/>
      <c r="AC9" s="105"/>
      <c r="AD9" s="105"/>
      <c r="AE9" s="105"/>
      <c r="AF9" s="105"/>
      <c r="AG9" s="105"/>
      <c r="AH9" s="105"/>
      <c r="AI9" s="105"/>
      <c r="AJ9" s="105"/>
      <c r="AK9" s="105"/>
      <c r="AL9" s="100"/>
      <c r="AM9" s="100"/>
      <c r="AN9" s="100"/>
      <c r="AO9" s="100"/>
      <c r="AP9" s="100"/>
      <c r="AQ9" s="100"/>
      <c r="AR9" s="100"/>
    </row>
    <row r="10" spans="1:44">
      <c r="A10" s="100"/>
      <c r="B10" s="100"/>
      <c r="C10" s="100"/>
      <c r="D10" s="944"/>
      <c r="E10" s="913"/>
      <c r="F10" s="105"/>
      <c r="G10" s="915"/>
      <c r="H10" s="105"/>
      <c r="I10" s="914"/>
      <c r="J10" s="945"/>
      <c r="K10" s="100"/>
      <c r="L10" s="100"/>
      <c r="M10" s="100"/>
      <c r="N10" s="100"/>
      <c r="O10" s="100"/>
      <c r="P10" s="100"/>
      <c r="Q10" s="100"/>
      <c r="R10" s="100"/>
      <c r="S10" s="100"/>
      <c r="T10" s="100"/>
      <c r="U10" s="100"/>
      <c r="V10" s="944"/>
      <c r="W10" s="913"/>
      <c r="X10" s="105"/>
      <c r="Y10" s="915"/>
      <c r="Z10" s="105"/>
      <c r="AA10" s="914"/>
      <c r="AB10" s="945"/>
      <c r="AC10" s="100"/>
      <c r="AD10" s="100"/>
      <c r="AE10" s="100"/>
      <c r="AF10" s="100"/>
      <c r="AG10" s="100"/>
      <c r="AH10" s="100"/>
      <c r="AI10" s="100"/>
      <c r="AJ10" s="100"/>
      <c r="AK10" s="100"/>
      <c r="AL10" s="100"/>
      <c r="AM10" s="100"/>
      <c r="AN10" s="100"/>
      <c r="AO10" s="100"/>
      <c r="AP10" s="100"/>
      <c r="AQ10" s="100"/>
      <c r="AR10" s="100"/>
    </row>
    <row r="11" spans="1:44">
      <c r="A11" s="100"/>
      <c r="B11" s="100"/>
      <c r="C11" s="100"/>
      <c r="D11" s="944"/>
      <c r="E11" s="913"/>
      <c r="F11" s="105"/>
      <c r="G11" s="915"/>
      <c r="H11" s="105"/>
      <c r="I11" s="914"/>
      <c r="J11" s="945"/>
      <c r="K11" s="100"/>
      <c r="L11" s="100"/>
      <c r="M11" s="100"/>
      <c r="N11" s="100"/>
      <c r="O11" s="100"/>
      <c r="P11" s="100"/>
      <c r="Q11" s="100"/>
      <c r="R11" s="100"/>
      <c r="S11" s="100"/>
      <c r="T11" s="100"/>
      <c r="U11" s="100"/>
      <c r="V11" s="944"/>
      <c r="W11" s="913"/>
      <c r="X11" s="105"/>
      <c r="Y11" s="915"/>
      <c r="Z11" s="105"/>
      <c r="AA11" s="914"/>
      <c r="AB11" s="945"/>
      <c r="AC11" s="100"/>
      <c r="AD11" s="100"/>
      <c r="AE11" s="100"/>
      <c r="AF11" s="100"/>
      <c r="AG11" s="100"/>
      <c r="AH11" s="100"/>
      <c r="AI11" s="100"/>
      <c r="AJ11" s="100"/>
      <c r="AK11" s="100"/>
      <c r="AL11" s="100"/>
      <c r="AM11" s="100"/>
      <c r="AN11" s="100"/>
      <c r="AO11" s="100"/>
      <c r="AP11" s="100"/>
      <c r="AQ11" s="100"/>
      <c r="AR11" s="100"/>
    </row>
    <row r="12" spans="1:44">
      <c r="A12" s="100"/>
      <c r="B12" s="100"/>
      <c r="C12" s="100"/>
      <c r="D12" s="944"/>
      <c r="E12" s="913"/>
      <c r="F12" s="105"/>
      <c r="G12" s="915"/>
      <c r="H12" s="105"/>
      <c r="I12" s="914"/>
      <c r="J12" s="945"/>
      <c r="L12" s="100"/>
      <c r="M12" s="100"/>
      <c r="N12" s="100"/>
      <c r="O12" s="100"/>
      <c r="P12" s="100"/>
      <c r="Q12" s="966" t="str">
        <f>"Tubing inner diameter = "&amp;TEXT('Project-definition'!I19,"#,##0.00")&amp;'Project-definition'!J19</f>
        <v>Tubing inner diameter = 0.15m</v>
      </c>
      <c r="S12" s="100"/>
      <c r="T12" s="100"/>
      <c r="U12" s="100"/>
      <c r="V12" s="944"/>
      <c r="W12" s="913"/>
      <c r="X12" s="105"/>
      <c r="Y12" s="915"/>
      <c r="Z12" s="105"/>
      <c r="AA12" s="914"/>
      <c r="AB12" s="945"/>
      <c r="AD12" s="100"/>
      <c r="AE12" s="100"/>
      <c r="AF12" s="100"/>
      <c r="AG12" s="100"/>
      <c r="AH12" s="100"/>
      <c r="AI12" s="100"/>
      <c r="AJ12" s="100"/>
      <c r="AK12" s="100"/>
      <c r="AL12" s="100"/>
      <c r="AM12" s="100"/>
      <c r="AN12" s="100"/>
      <c r="AO12" s="100"/>
      <c r="AP12" s="100"/>
      <c r="AQ12" s="100"/>
      <c r="AR12" s="100"/>
    </row>
    <row r="13" spans="1:44" ht="15.6">
      <c r="A13" s="100"/>
      <c r="B13" s="100"/>
      <c r="C13" s="946" t="s">
        <v>1494</v>
      </c>
      <c r="D13" s="944"/>
      <c r="E13" s="913"/>
      <c r="F13" s="105"/>
      <c r="G13" s="919"/>
      <c r="H13" s="105"/>
      <c r="I13" s="914"/>
      <c r="J13" s="945"/>
      <c r="K13" s="947" t="s">
        <v>1495</v>
      </c>
      <c r="L13" s="100"/>
      <c r="M13" s="100"/>
      <c r="N13" s="100"/>
      <c r="O13" s="100"/>
      <c r="P13" s="100"/>
      <c r="Q13" s="100"/>
      <c r="R13" s="100"/>
      <c r="S13" s="100"/>
      <c r="T13" s="100"/>
      <c r="U13" s="946" t="s">
        <v>1494</v>
      </c>
      <c r="V13" s="944"/>
      <c r="W13" s="913"/>
      <c r="X13" s="105"/>
      <c r="Y13" s="919"/>
      <c r="Z13" s="105"/>
      <c r="AA13" s="914"/>
      <c r="AB13" s="945"/>
      <c r="AC13" s="947" t="s">
        <v>1495</v>
      </c>
      <c r="AD13" s="100"/>
      <c r="AE13" s="100"/>
      <c r="AF13" s="100"/>
      <c r="AG13" s="100"/>
      <c r="AH13" s="100"/>
      <c r="AI13" s="100"/>
      <c r="AJ13" s="100"/>
      <c r="AK13" s="100"/>
      <c r="AL13" s="100"/>
      <c r="AM13" s="100"/>
      <c r="AN13" s="100"/>
      <c r="AO13" s="100"/>
      <c r="AP13" s="100"/>
      <c r="AQ13" s="100"/>
      <c r="AR13" s="100"/>
    </row>
    <row r="14" spans="1:44">
      <c r="A14" s="100"/>
      <c r="B14" s="100"/>
      <c r="C14" s="100"/>
      <c r="D14" s="100"/>
      <c r="E14" s="913"/>
      <c r="F14" s="105"/>
      <c r="G14" s="919" t="s">
        <v>1496</v>
      </c>
      <c r="H14" s="105"/>
      <c r="I14" s="914"/>
      <c r="J14" s="100"/>
      <c r="K14" s="100"/>
      <c r="L14" s="100"/>
      <c r="M14" s="100"/>
      <c r="N14" s="100"/>
      <c r="O14" s="100"/>
      <c r="P14" s="100"/>
      <c r="Q14" s="100"/>
      <c r="R14" s="100"/>
      <c r="S14" s="100"/>
      <c r="T14" s="100"/>
      <c r="U14" s="100"/>
      <c r="V14" s="100"/>
      <c r="W14" s="913"/>
      <c r="X14" s="105"/>
      <c r="Y14" s="919" t="s">
        <v>1497</v>
      </c>
      <c r="Z14" s="105"/>
      <c r="AA14" s="914"/>
      <c r="AB14" s="100"/>
      <c r="AC14" s="100"/>
      <c r="AD14" s="100"/>
      <c r="AE14" s="100"/>
      <c r="AF14" s="100"/>
      <c r="AG14" s="100"/>
      <c r="AH14" s="100"/>
      <c r="AI14" s="100"/>
      <c r="AJ14" s="100"/>
      <c r="AK14" s="100"/>
      <c r="AL14" s="100"/>
      <c r="AM14" s="100"/>
      <c r="AN14" s="100"/>
      <c r="AO14" s="100"/>
      <c r="AP14" s="100"/>
      <c r="AQ14" s="100"/>
      <c r="AR14" s="100"/>
    </row>
    <row r="15" spans="1:44">
      <c r="A15" s="100"/>
      <c r="B15" s="100"/>
      <c r="C15" s="100"/>
      <c r="D15" s="100"/>
      <c r="E15" s="913"/>
      <c r="F15" s="105"/>
      <c r="G15" s="921"/>
      <c r="H15" s="105"/>
      <c r="I15" s="914"/>
      <c r="J15" s="100"/>
      <c r="K15" s="100"/>
      <c r="L15" s="100"/>
      <c r="M15" s="100"/>
      <c r="N15" s="100"/>
      <c r="O15" s="100"/>
      <c r="P15" s="100"/>
      <c r="Q15" s="100"/>
      <c r="R15" s="100"/>
      <c r="S15" s="100"/>
      <c r="T15" s="100"/>
      <c r="U15" s="100"/>
      <c r="V15" s="100"/>
      <c r="W15" s="913"/>
      <c r="X15" s="105"/>
      <c r="Y15" s="921"/>
      <c r="Z15" s="105"/>
      <c r="AA15" s="914"/>
      <c r="AB15" s="100"/>
      <c r="AC15" s="100"/>
      <c r="AD15" s="100"/>
      <c r="AE15" s="100"/>
      <c r="AF15" s="100"/>
      <c r="AG15" s="100"/>
      <c r="AH15" s="100"/>
      <c r="AI15" s="100"/>
      <c r="AJ15" s="100"/>
      <c r="AK15" s="100"/>
      <c r="AL15" s="100"/>
      <c r="AM15" s="100"/>
      <c r="AN15" s="100"/>
      <c r="AO15" s="100"/>
      <c r="AP15" s="100"/>
      <c r="AQ15" s="100"/>
      <c r="AR15" s="100"/>
    </row>
    <row r="16" spans="1:44">
      <c r="A16" s="100"/>
      <c r="B16" s="100"/>
      <c r="C16" s="100"/>
      <c r="D16" s="100"/>
      <c r="E16" s="913"/>
      <c r="F16" s="105"/>
      <c r="G16" s="915"/>
      <c r="H16" s="105"/>
      <c r="I16" s="914"/>
      <c r="J16" s="100"/>
      <c r="K16" s="100"/>
      <c r="L16" s="100"/>
      <c r="M16" s="100"/>
      <c r="N16" s="100"/>
      <c r="O16" s="100"/>
      <c r="P16" s="100"/>
      <c r="Q16" s="100"/>
      <c r="R16" s="100"/>
      <c r="S16" s="100"/>
      <c r="T16" s="100"/>
      <c r="U16" s="100"/>
      <c r="V16" s="100"/>
      <c r="W16" s="913"/>
      <c r="X16" s="105"/>
      <c r="Y16" s="915"/>
      <c r="Z16" s="105"/>
      <c r="AA16" s="914"/>
      <c r="AB16" s="100"/>
      <c r="AC16" s="100"/>
      <c r="AD16" s="100"/>
      <c r="AE16" s="100"/>
      <c r="AF16" s="100"/>
      <c r="AG16" s="100"/>
      <c r="AH16" s="100"/>
      <c r="AI16" s="100"/>
      <c r="AJ16" s="100"/>
      <c r="AK16" s="100"/>
      <c r="AL16" s="100"/>
      <c r="AM16" s="100"/>
      <c r="AN16" s="100"/>
      <c r="AO16" s="100"/>
      <c r="AP16" s="100"/>
      <c r="AQ16" s="100"/>
      <c r="AR16" s="100"/>
    </row>
    <row r="17" spans="1:44" ht="15.6">
      <c r="A17" s="100"/>
      <c r="B17" s="100"/>
      <c r="C17" s="100"/>
      <c r="D17" s="948" t="s">
        <v>1494</v>
      </c>
      <c r="E17" s="944"/>
      <c r="F17" s="913"/>
      <c r="G17" s="915"/>
      <c r="H17" s="914"/>
      <c r="I17" s="945"/>
      <c r="J17" s="947" t="s">
        <v>1495</v>
      </c>
      <c r="K17" s="100"/>
      <c r="L17" s="100"/>
      <c r="M17" s="100"/>
      <c r="N17" s="100"/>
      <c r="O17" s="100"/>
      <c r="P17" s="100"/>
      <c r="Q17" s="100"/>
      <c r="R17" s="100"/>
      <c r="S17" s="100"/>
      <c r="T17" s="100"/>
      <c r="U17" s="100"/>
      <c r="V17" s="949" t="s">
        <v>1494</v>
      </c>
      <c r="W17" s="945"/>
      <c r="X17" s="913"/>
      <c r="Y17" s="915"/>
      <c r="Z17" s="914"/>
      <c r="AA17" s="945"/>
      <c r="AB17" s="947" t="s">
        <v>1495</v>
      </c>
      <c r="AC17" s="100"/>
      <c r="AD17" s="100"/>
      <c r="AE17" s="100"/>
      <c r="AF17" s="100"/>
      <c r="AG17" s="100"/>
      <c r="AH17" s="100"/>
      <c r="AI17" s="100"/>
      <c r="AJ17" s="100"/>
      <c r="AK17" s="100"/>
      <c r="AL17" s="100"/>
      <c r="AM17" s="100"/>
      <c r="AN17" s="100"/>
      <c r="AO17" s="100"/>
      <c r="AP17" s="100"/>
      <c r="AQ17" s="100"/>
      <c r="AR17" s="100"/>
    </row>
    <row r="18" spans="1:44">
      <c r="A18" s="100"/>
      <c r="B18" s="100"/>
      <c r="C18" s="100"/>
      <c r="D18" s="100"/>
      <c r="E18" s="967"/>
      <c r="F18" s="913"/>
      <c r="G18" s="915"/>
      <c r="H18" s="914"/>
      <c r="I18" s="967"/>
      <c r="J18" s="100"/>
      <c r="K18" s="100"/>
      <c r="L18" s="100"/>
      <c r="M18" s="100"/>
      <c r="N18" s="100"/>
      <c r="O18" s="100"/>
      <c r="P18" s="100"/>
      <c r="Q18" s="100"/>
      <c r="R18" s="100"/>
      <c r="S18" s="100"/>
      <c r="T18" s="100"/>
      <c r="U18" s="100"/>
      <c r="V18" s="100"/>
      <c r="W18" s="967"/>
      <c r="X18" s="913"/>
      <c r="Y18" s="915"/>
      <c r="Z18" s="914"/>
      <c r="AA18" s="967"/>
      <c r="AB18" s="100"/>
      <c r="AC18" s="100"/>
      <c r="AD18" s="100"/>
      <c r="AE18" s="100"/>
      <c r="AF18" s="100"/>
      <c r="AG18" s="100"/>
      <c r="AH18" s="100"/>
      <c r="AI18" s="100"/>
      <c r="AJ18" s="100"/>
      <c r="AK18" s="100"/>
      <c r="AL18" s="100"/>
      <c r="AM18" s="100"/>
      <c r="AN18" s="100"/>
      <c r="AO18" s="100"/>
      <c r="AP18" s="100"/>
      <c r="AQ18" s="100"/>
      <c r="AR18" s="100"/>
    </row>
    <row r="19" spans="1:44">
      <c r="A19" s="100"/>
      <c r="B19" s="100"/>
      <c r="C19" s="100"/>
      <c r="D19" s="100"/>
      <c r="E19" s="968"/>
      <c r="F19" s="913"/>
      <c r="G19" s="915"/>
      <c r="H19" s="914"/>
      <c r="I19" s="967"/>
      <c r="J19" s="1029"/>
      <c r="L19" s="100"/>
      <c r="M19" s="940" t="str">
        <f>'Calculated Variables'!B25&amp;": "&amp;TEXT('Calculated Variables'!E25,"0.00E+00")</f>
        <v>ΔP from bottomhole to tubing head, prod. well (Pa): 1.45E+07</v>
      </c>
      <c r="N19" s="100"/>
      <c r="O19" s="100"/>
      <c r="P19" s="100"/>
      <c r="Q19" s="100"/>
      <c r="R19" s="100"/>
      <c r="S19" s="100"/>
      <c r="T19" s="100"/>
      <c r="U19" s="100"/>
      <c r="V19" s="100"/>
      <c r="W19" s="967"/>
      <c r="X19" s="913"/>
      <c r="Y19" s="915"/>
      <c r="Z19" s="914"/>
      <c r="AA19" s="967"/>
      <c r="AB19" s="1029"/>
      <c r="AD19" s="100"/>
      <c r="AE19" s="940" t="str">
        <f>'Calculated Variables'!B32&amp;": "&amp;TEXT('Calculated Variables'!E32,"0.00E+00")</f>
        <v>ΔP from tubing head to bottomhole, inj. well (Pa): 1.74E+07</v>
      </c>
      <c r="AF19" s="100"/>
      <c r="AG19" s="100"/>
      <c r="AH19" s="100"/>
      <c r="AI19" s="100"/>
      <c r="AJ19" s="100"/>
      <c r="AK19" s="100"/>
      <c r="AL19" s="100"/>
      <c r="AM19" s="100"/>
      <c r="AN19" s="100"/>
      <c r="AO19" s="100"/>
      <c r="AP19" s="100"/>
      <c r="AQ19" s="100"/>
      <c r="AR19" s="100"/>
    </row>
    <row r="20" spans="1:44">
      <c r="A20" s="100"/>
      <c r="B20" s="100"/>
      <c r="C20" s="100"/>
      <c r="D20" s="100"/>
      <c r="E20" s="967"/>
      <c r="F20" s="913"/>
      <c r="G20" s="915"/>
      <c r="H20" s="914"/>
      <c r="I20" s="967"/>
      <c r="J20" s="100"/>
      <c r="K20" s="100"/>
      <c r="L20" s="100"/>
      <c r="M20" s="100"/>
      <c r="N20" s="100"/>
      <c r="O20" s="100"/>
      <c r="P20" s="100"/>
      <c r="Q20" s="100"/>
      <c r="R20" s="100"/>
      <c r="S20" s="100"/>
      <c r="T20" s="100"/>
      <c r="U20" s="100"/>
      <c r="V20" s="100"/>
      <c r="W20" s="967"/>
      <c r="X20" s="913"/>
      <c r="Y20" s="915"/>
      <c r="Z20" s="914"/>
      <c r="AA20" s="967"/>
      <c r="AB20" s="100"/>
      <c r="AC20" s="100"/>
      <c r="AD20" s="100"/>
      <c r="AE20" s="100"/>
      <c r="AF20" s="100"/>
      <c r="AG20" s="100"/>
      <c r="AH20" s="100"/>
      <c r="AI20" s="100"/>
      <c r="AJ20" s="100"/>
      <c r="AK20" s="100"/>
      <c r="AL20" s="100"/>
      <c r="AM20" s="100"/>
      <c r="AN20" s="100"/>
      <c r="AO20" s="100"/>
      <c r="AP20" s="100"/>
      <c r="AQ20" s="100"/>
      <c r="AR20" s="100"/>
    </row>
    <row r="21" spans="1:44">
      <c r="A21" s="917"/>
      <c r="B21" s="917"/>
      <c r="C21" s="917"/>
      <c r="D21" s="917"/>
      <c r="E21" s="969"/>
      <c r="F21" s="913"/>
      <c r="G21" s="919" t="s">
        <v>1496</v>
      </c>
      <c r="H21" s="914"/>
      <c r="I21" s="969"/>
      <c r="J21" s="917"/>
      <c r="K21" s="917"/>
      <c r="L21" s="917"/>
      <c r="M21" s="917"/>
      <c r="N21" s="917"/>
      <c r="O21" s="917"/>
      <c r="P21" s="917"/>
      <c r="Q21" s="917"/>
      <c r="R21" s="917"/>
      <c r="S21" s="917"/>
      <c r="T21" s="917"/>
      <c r="U21" s="917"/>
      <c r="V21" s="917"/>
      <c r="W21" s="969"/>
      <c r="X21" s="913"/>
      <c r="Y21" s="919" t="s">
        <v>1497</v>
      </c>
      <c r="Z21" s="914"/>
      <c r="AA21" s="969"/>
      <c r="AB21" s="917"/>
      <c r="AC21" s="917"/>
      <c r="AD21" s="917"/>
      <c r="AE21" s="917"/>
      <c r="AF21" s="917"/>
      <c r="AG21" s="917"/>
      <c r="AH21" s="917"/>
      <c r="AI21" s="917"/>
      <c r="AJ21" s="917"/>
      <c r="AK21" s="917"/>
      <c r="AL21" s="100"/>
      <c r="AM21" s="100"/>
      <c r="AN21" s="100"/>
      <c r="AO21" s="100"/>
      <c r="AP21" s="100"/>
      <c r="AQ21" s="100"/>
      <c r="AR21" s="100"/>
    </row>
    <row r="22" spans="1:44">
      <c r="A22" s="950" t="s">
        <v>1478</v>
      </c>
      <c r="B22" s="917"/>
      <c r="C22" s="922"/>
      <c r="D22" s="917"/>
      <c r="E22" s="969"/>
      <c r="F22" s="951"/>
      <c r="H22" s="951"/>
      <c r="I22" s="969"/>
      <c r="J22" s="917"/>
      <c r="K22" s="917"/>
      <c r="L22" s="917"/>
      <c r="M22" s="917"/>
      <c r="N22" s="917"/>
      <c r="O22" s="917"/>
      <c r="P22" s="917"/>
      <c r="Q22" s="950" t="s">
        <v>1478</v>
      </c>
      <c r="R22" s="917"/>
      <c r="S22" s="917"/>
      <c r="T22" s="917"/>
      <c r="U22" s="922"/>
      <c r="V22" s="917"/>
      <c r="W22" s="969"/>
      <c r="X22" s="951"/>
      <c r="Z22" s="951"/>
      <c r="AA22" s="969"/>
      <c r="AB22" s="917"/>
      <c r="AC22" s="922"/>
      <c r="AD22" s="917"/>
      <c r="AE22" s="917"/>
      <c r="AF22" s="917"/>
      <c r="AG22" s="917"/>
      <c r="AH22" s="917"/>
      <c r="AI22" s="917"/>
      <c r="AJ22" s="952" t="s">
        <v>1478</v>
      </c>
      <c r="AK22" s="952"/>
      <c r="AL22" s="100"/>
      <c r="AM22" s="100"/>
      <c r="AN22" s="100"/>
      <c r="AO22" s="100"/>
      <c r="AP22" s="100"/>
      <c r="AQ22" s="100"/>
      <c r="AR22" s="100"/>
    </row>
    <row r="23" spans="1:44">
      <c r="A23" s="917"/>
      <c r="B23" s="917"/>
      <c r="C23" s="917"/>
      <c r="D23" s="917"/>
      <c r="E23" s="969"/>
      <c r="F23" s="913"/>
      <c r="G23" s="920"/>
      <c r="H23" s="914"/>
      <c r="I23" s="969"/>
      <c r="J23" s="917"/>
      <c r="K23" s="917"/>
      <c r="L23" s="917"/>
      <c r="M23" s="917"/>
      <c r="N23" s="917"/>
      <c r="O23" s="917"/>
      <c r="P23" s="917"/>
      <c r="Q23" s="917"/>
      <c r="R23" s="917"/>
      <c r="S23" s="917"/>
      <c r="T23" s="917"/>
      <c r="U23" s="917"/>
      <c r="V23" s="917"/>
      <c r="W23" s="969"/>
      <c r="X23" s="913"/>
      <c r="Y23" s="920"/>
      <c r="Z23" s="914"/>
      <c r="AA23" s="969"/>
      <c r="AB23" s="917"/>
      <c r="AC23" s="917"/>
      <c r="AD23" s="917"/>
      <c r="AE23" s="917"/>
      <c r="AF23" s="917"/>
      <c r="AG23" s="917"/>
      <c r="AH23" s="917"/>
      <c r="AI23" s="917"/>
      <c r="AJ23" s="917"/>
      <c r="AK23" s="917"/>
      <c r="AL23" s="100"/>
      <c r="AM23" s="100"/>
      <c r="AN23" s="100"/>
      <c r="AO23" s="100"/>
      <c r="AP23" s="100"/>
      <c r="AQ23" s="100"/>
      <c r="AR23" s="100"/>
    </row>
    <row r="24" spans="1:44">
      <c r="A24" s="953"/>
      <c r="B24" s="953"/>
      <c r="C24" s="953"/>
      <c r="D24" s="953"/>
      <c r="E24" s="967"/>
      <c r="F24" s="913"/>
      <c r="G24" s="954" t="s">
        <v>1496</v>
      </c>
      <c r="H24" s="914"/>
      <c r="I24" s="967"/>
      <c r="J24" s="953"/>
      <c r="K24" s="953"/>
      <c r="L24" s="953"/>
      <c r="M24" s="953"/>
      <c r="N24" s="953"/>
      <c r="O24" s="953"/>
      <c r="P24" s="953"/>
      <c r="Q24" s="953"/>
      <c r="R24" s="953"/>
      <c r="S24" s="953"/>
      <c r="T24" s="953"/>
      <c r="U24" s="953"/>
      <c r="V24" s="953"/>
      <c r="W24" s="967"/>
      <c r="X24" s="913"/>
      <c r="Y24" s="954" t="s">
        <v>1497</v>
      </c>
      <c r="Z24" s="914"/>
      <c r="AA24" s="967"/>
      <c r="AB24" s="953"/>
      <c r="AC24" s="953"/>
      <c r="AD24" s="953"/>
      <c r="AE24" s="953"/>
      <c r="AF24" s="953"/>
      <c r="AG24" s="953"/>
      <c r="AH24" s="953"/>
      <c r="AI24" s="953"/>
      <c r="AJ24" s="953"/>
      <c r="AK24" s="953"/>
      <c r="AL24" s="100"/>
      <c r="AM24" s="100"/>
      <c r="AN24" s="100"/>
      <c r="AO24" s="100"/>
      <c r="AP24" s="100"/>
      <c r="AQ24" s="100"/>
      <c r="AR24" s="100"/>
    </row>
    <row r="25" spans="1:44">
      <c r="A25" s="953"/>
      <c r="B25" s="953"/>
      <c r="C25" s="953"/>
      <c r="D25" s="953"/>
      <c r="E25" s="970" t="s">
        <v>1498</v>
      </c>
      <c r="F25" s="105"/>
      <c r="G25" s="105"/>
      <c r="H25" s="105"/>
      <c r="I25" s="970" t="s">
        <v>1499</v>
      </c>
      <c r="J25" s="953"/>
      <c r="K25" s="953"/>
      <c r="L25" s="953"/>
      <c r="M25" s="953"/>
      <c r="N25" s="953"/>
      <c r="O25" s="953"/>
      <c r="P25" s="953"/>
      <c r="Q25" s="953"/>
      <c r="R25" s="953"/>
      <c r="S25" s="953"/>
      <c r="T25" s="953"/>
      <c r="U25" s="953"/>
      <c r="V25" s="953"/>
      <c r="W25" s="970" t="s">
        <v>1499</v>
      </c>
      <c r="X25" s="105"/>
      <c r="Y25" s="105"/>
      <c r="Z25" s="105"/>
      <c r="AA25" s="970" t="s">
        <v>1498</v>
      </c>
      <c r="AB25" s="953"/>
      <c r="AC25" s="953"/>
      <c r="AD25" s="953"/>
      <c r="AE25" s="953"/>
      <c r="AF25" s="953"/>
      <c r="AG25" s="953"/>
      <c r="AH25" s="953"/>
      <c r="AI25" s="953"/>
      <c r="AJ25" s="953"/>
      <c r="AK25" s="953"/>
      <c r="AL25" s="100"/>
      <c r="AM25" s="100"/>
      <c r="AN25" s="100"/>
      <c r="AO25" s="100"/>
      <c r="AP25" s="100"/>
      <c r="AQ25" s="100"/>
      <c r="AR25" s="100"/>
    </row>
    <row r="26" spans="1:44">
      <c r="A26" s="955" t="str">
        <f>'Calculated Variables'!B22&amp;": "&amp;TEXT('Calculated Variables'!E22,"0.00E+00")</f>
        <v>Reservoir pressure (Pa): 2.50E+07</v>
      </c>
      <c r="B26" s="956"/>
      <c r="C26" s="957"/>
      <c r="D26" s="953"/>
      <c r="E26" s="968"/>
      <c r="F26" s="913"/>
      <c r="G26" s="954" t="s">
        <v>1496</v>
      </c>
      <c r="H26" s="914"/>
      <c r="I26" s="968"/>
      <c r="J26" s="953"/>
      <c r="K26" s="953"/>
      <c r="L26" s="953"/>
      <c r="M26" s="953"/>
      <c r="N26" s="953"/>
      <c r="O26" s="956"/>
      <c r="P26" s="956"/>
      <c r="Q26" s="958" t="str">
        <f>"Reservoir permeability ("&amp;'Project-definition'!$J$10&amp;"): "&amp;TEXT('Project-definition'!$I$10,"0")</f>
        <v>Reservoir permeability (mD): 10</v>
      </c>
      <c r="R26" s="959"/>
      <c r="S26" s="959"/>
      <c r="T26" s="957"/>
      <c r="U26" s="957"/>
      <c r="V26" s="953"/>
      <c r="W26" s="968"/>
      <c r="X26" s="913"/>
      <c r="Y26" s="954" t="s">
        <v>1497</v>
      </c>
      <c r="Z26" s="914"/>
      <c r="AA26" s="968"/>
      <c r="AB26" s="953"/>
      <c r="AC26" s="953"/>
      <c r="AD26" s="953"/>
      <c r="AE26" s="953"/>
      <c r="AF26" s="953"/>
      <c r="AG26" s="953"/>
      <c r="AH26" s="953"/>
      <c r="AI26" s="953"/>
      <c r="AJ26" s="953"/>
      <c r="AK26" s="953"/>
      <c r="AL26" s="100"/>
      <c r="AM26" s="100"/>
      <c r="AN26" s="100"/>
      <c r="AO26" s="100"/>
      <c r="AP26" s="100"/>
      <c r="AQ26" s="100"/>
      <c r="AR26" s="100"/>
    </row>
    <row r="27" spans="1:44">
      <c r="A27" s="953"/>
      <c r="B27" s="953"/>
      <c r="C27" s="953"/>
      <c r="D27" s="953"/>
      <c r="E27" s="970" t="s">
        <v>1498</v>
      </c>
      <c r="F27" s="105"/>
      <c r="G27" s="105"/>
      <c r="H27" s="105"/>
      <c r="I27" s="970" t="s">
        <v>1499</v>
      </c>
      <c r="J27" s="953"/>
      <c r="K27" s="953"/>
      <c r="L27" s="953"/>
      <c r="M27" s="953"/>
      <c r="N27" s="953"/>
      <c r="O27" s="953"/>
      <c r="P27" s="953"/>
      <c r="Q27" s="960"/>
      <c r="R27" s="953"/>
      <c r="S27" s="953"/>
      <c r="T27" s="953"/>
      <c r="U27" s="953"/>
      <c r="V27" s="953"/>
      <c r="W27" s="970" t="s">
        <v>1499</v>
      </c>
      <c r="X27" s="105"/>
      <c r="Y27" s="105"/>
      <c r="Z27" s="105"/>
      <c r="AA27" s="970" t="s">
        <v>1498</v>
      </c>
      <c r="AB27" s="953"/>
      <c r="AC27" s="953"/>
      <c r="AD27" s="953"/>
      <c r="AE27" s="953"/>
      <c r="AF27" s="953"/>
      <c r="AG27" s="953"/>
      <c r="AH27" s="953"/>
      <c r="AI27" s="953"/>
      <c r="AJ27" s="953"/>
      <c r="AK27" s="953"/>
      <c r="AL27" s="100"/>
      <c r="AM27" s="100"/>
      <c r="AN27" s="100"/>
      <c r="AO27" s="100"/>
      <c r="AP27" s="100"/>
      <c r="AQ27" s="100"/>
      <c r="AR27" s="100"/>
    </row>
    <row r="28" spans="1:44">
      <c r="A28" s="955" t="str">
        <f>'Project-definition'!E11&amp;": "&amp;TEXT('Project-definition'!I11,"0")</f>
        <v>Reservoir temperature (°C): 295</v>
      </c>
      <c r="B28" s="956"/>
      <c r="C28" s="953"/>
      <c r="D28" s="953"/>
      <c r="E28" s="967"/>
      <c r="F28" s="913"/>
      <c r="G28" s="954" t="s">
        <v>1496</v>
      </c>
      <c r="H28" s="914"/>
      <c r="I28" s="967"/>
      <c r="J28" s="953"/>
      <c r="K28" s="953"/>
      <c r="L28" s="953"/>
      <c r="M28" s="953"/>
      <c r="N28" s="953"/>
      <c r="O28" s="956"/>
      <c r="P28" s="956"/>
      <c r="Q28" s="958" t="str">
        <f>"Reservoir thickness for Heat-In-Place (m): "&amp;TEXT('Project-definition'!$I$6, "0")</f>
        <v>Reservoir thickness for Heat-In-Place (m): 1500</v>
      </c>
      <c r="R28" s="959"/>
      <c r="S28" s="959"/>
      <c r="T28" s="953"/>
      <c r="U28" s="953"/>
      <c r="V28" s="953"/>
      <c r="W28" s="967"/>
      <c r="X28" s="913"/>
      <c r="Y28" s="954" t="s">
        <v>1497</v>
      </c>
      <c r="Z28" s="914"/>
      <c r="AA28" s="967"/>
      <c r="AB28" s="953"/>
      <c r="AC28" s="953"/>
      <c r="AD28" s="953"/>
      <c r="AE28" s="953"/>
      <c r="AF28" s="953"/>
      <c r="AG28" s="953"/>
      <c r="AH28" s="953"/>
      <c r="AI28" s="953"/>
      <c r="AJ28" s="953"/>
      <c r="AK28" s="953"/>
      <c r="AL28" s="100"/>
      <c r="AM28" s="100"/>
      <c r="AN28" s="100"/>
      <c r="AO28" s="100"/>
      <c r="AP28" s="100"/>
      <c r="AQ28" s="100"/>
      <c r="AR28" s="100"/>
    </row>
    <row r="29" spans="1:44">
      <c r="A29" s="953"/>
      <c r="B29" s="953"/>
      <c r="C29" s="953"/>
      <c r="D29" s="953"/>
      <c r="E29" s="970" t="s">
        <v>1498</v>
      </c>
      <c r="G29" s="105"/>
      <c r="H29" s="105"/>
      <c r="I29" s="970" t="s">
        <v>1499</v>
      </c>
      <c r="J29" s="953"/>
      <c r="K29" s="953"/>
      <c r="L29" s="953"/>
      <c r="M29" s="953"/>
      <c r="N29" s="953"/>
      <c r="O29" s="953"/>
      <c r="P29" s="953"/>
      <c r="Q29" s="960"/>
      <c r="R29" s="953"/>
      <c r="S29" s="953"/>
      <c r="T29" s="953"/>
      <c r="U29" s="953"/>
      <c r="V29" s="953"/>
      <c r="W29" s="970" t="s">
        <v>1499</v>
      </c>
      <c r="Y29" s="105"/>
      <c r="Z29" s="105"/>
      <c r="AA29" s="970" t="s">
        <v>1498</v>
      </c>
      <c r="AB29" s="953"/>
      <c r="AC29" s="953"/>
      <c r="AD29" s="953"/>
      <c r="AE29" s="953"/>
      <c r="AF29" s="953"/>
      <c r="AG29" s="953"/>
      <c r="AH29" s="953"/>
      <c r="AI29" s="953"/>
      <c r="AJ29" s="953"/>
      <c r="AK29" s="953"/>
      <c r="AL29" s="100"/>
      <c r="AM29" s="100"/>
      <c r="AN29" s="100"/>
      <c r="AO29" s="100"/>
      <c r="AP29" s="100"/>
      <c r="AQ29" s="100"/>
      <c r="AR29" s="100"/>
    </row>
    <row r="30" spans="1:44">
      <c r="A30" s="953"/>
      <c r="B30" s="953"/>
      <c r="C30" s="953"/>
      <c r="D30" s="953"/>
      <c r="E30" s="967"/>
      <c r="F30" s="913"/>
      <c r="G30" s="954" t="s">
        <v>1496</v>
      </c>
      <c r="H30" s="914"/>
      <c r="I30" s="967"/>
      <c r="J30" s="953"/>
      <c r="K30" s="953"/>
      <c r="L30" s="953"/>
      <c r="M30" s="953"/>
      <c r="N30" s="953"/>
      <c r="O30" s="956"/>
      <c r="P30" s="956"/>
      <c r="Q30" s="958" t="str">
        <f>"Completion interval h for flow equation (m): "&amp;TEXT('Project-definition'!Q$9,"0")</f>
        <v>Completion interval h for flow equation (m): 300</v>
      </c>
      <c r="R30" s="959"/>
      <c r="S30" s="959"/>
      <c r="T30" s="953"/>
      <c r="U30" s="953"/>
      <c r="V30" s="953"/>
      <c r="W30" s="967"/>
      <c r="X30" s="913"/>
      <c r="Y30" s="954" t="s">
        <v>1497</v>
      </c>
      <c r="Z30" s="914"/>
      <c r="AA30" s="967"/>
      <c r="AB30" s="953"/>
      <c r="AC30" s="953"/>
      <c r="AD30" s="953"/>
      <c r="AE30" s="953"/>
      <c r="AF30" s="953"/>
      <c r="AG30" s="953"/>
      <c r="AH30" s="953"/>
      <c r="AI30" s="953"/>
      <c r="AJ30" s="953"/>
      <c r="AK30" s="953"/>
      <c r="AL30" s="100"/>
      <c r="AM30" s="100"/>
      <c r="AN30" s="100"/>
      <c r="AO30" s="100"/>
      <c r="AP30" s="100"/>
      <c r="AQ30" s="100"/>
      <c r="AR30" s="100"/>
    </row>
    <row r="31" spans="1:44" ht="6" customHeight="1">
      <c r="A31" s="953"/>
      <c r="B31" s="953"/>
      <c r="C31" s="953"/>
      <c r="D31" s="953"/>
      <c r="E31" s="967"/>
      <c r="F31" s="105"/>
      <c r="G31" s="100"/>
      <c r="H31" s="100"/>
      <c r="I31" s="967"/>
      <c r="J31" s="953"/>
      <c r="K31" s="953"/>
      <c r="L31" s="953"/>
      <c r="M31" s="953"/>
      <c r="N31" s="953"/>
      <c r="O31" s="953"/>
      <c r="P31" s="953"/>
      <c r="Q31" s="953"/>
      <c r="R31" s="953"/>
      <c r="S31" s="953"/>
      <c r="T31" s="953"/>
      <c r="U31" s="953"/>
      <c r="V31" s="953"/>
      <c r="W31" s="967"/>
      <c r="X31" s="105"/>
      <c r="Y31" s="100"/>
      <c r="Z31" s="100"/>
      <c r="AA31" s="967"/>
      <c r="AB31" s="953"/>
      <c r="AC31" s="953"/>
      <c r="AD31" s="953"/>
      <c r="AE31" s="953"/>
      <c r="AF31" s="953"/>
      <c r="AG31" s="953"/>
      <c r="AH31" s="953"/>
      <c r="AI31" s="953"/>
      <c r="AJ31" s="953"/>
      <c r="AK31" s="953"/>
      <c r="AL31" s="100"/>
      <c r="AM31" s="100"/>
      <c r="AN31" s="100"/>
      <c r="AO31" s="100"/>
      <c r="AP31" s="100"/>
      <c r="AQ31" s="100"/>
      <c r="AR31" s="100"/>
    </row>
    <row r="32" spans="1:44" ht="6" customHeight="1">
      <c r="A32" s="953"/>
      <c r="B32" s="953"/>
      <c r="C32" s="953"/>
      <c r="D32" s="953"/>
      <c r="E32" s="1200" t="s">
        <v>1498</v>
      </c>
      <c r="F32" s="961"/>
      <c r="G32" s="105"/>
      <c r="H32" s="914"/>
      <c r="I32" s="1201" t="s">
        <v>1499</v>
      </c>
      <c r="J32" s="953"/>
      <c r="K32" s="953"/>
      <c r="L32" s="953"/>
      <c r="M32" s="953"/>
      <c r="N32" s="953"/>
      <c r="O32" s="953"/>
      <c r="P32" s="953"/>
      <c r="Q32" s="953"/>
      <c r="R32" s="953"/>
      <c r="S32" s="953"/>
      <c r="T32" s="953"/>
      <c r="U32" s="953"/>
      <c r="V32" s="953"/>
      <c r="W32" s="1201" t="s">
        <v>1499</v>
      </c>
      <c r="X32" s="961"/>
      <c r="Y32" s="105"/>
      <c r="Z32" s="914"/>
      <c r="AA32" s="1200" t="s">
        <v>1498</v>
      </c>
      <c r="AB32" s="953"/>
      <c r="AC32" s="953"/>
      <c r="AD32" s="953"/>
      <c r="AE32" s="953"/>
      <c r="AF32" s="953"/>
      <c r="AG32" s="953"/>
      <c r="AH32" s="953"/>
      <c r="AI32" s="953"/>
      <c r="AJ32" s="953"/>
      <c r="AK32" s="953"/>
      <c r="AL32" s="100"/>
      <c r="AM32" s="100"/>
      <c r="AN32" s="100"/>
      <c r="AO32" s="100"/>
      <c r="AP32" s="100"/>
      <c r="AQ32" s="100"/>
      <c r="AR32" s="100"/>
    </row>
    <row r="33" spans="1:44" ht="6" customHeight="1">
      <c r="A33" s="953"/>
      <c r="B33" s="953"/>
      <c r="C33" s="953"/>
      <c r="D33" s="953"/>
      <c r="E33" s="1200"/>
      <c r="F33" s="100"/>
      <c r="G33" s="1202" t="s">
        <v>1496</v>
      </c>
      <c r="H33" s="100"/>
      <c r="I33" s="1201"/>
      <c r="J33" s="953"/>
      <c r="K33" s="953"/>
      <c r="L33" s="953"/>
      <c r="M33" s="953"/>
      <c r="N33" s="953"/>
      <c r="O33" s="953"/>
      <c r="P33" s="953"/>
      <c r="Q33" s="953"/>
      <c r="R33" s="953"/>
      <c r="S33" s="953"/>
      <c r="T33" s="953"/>
      <c r="U33" s="953"/>
      <c r="V33" s="953"/>
      <c r="W33" s="1201"/>
      <c r="X33" s="100"/>
      <c r="Y33" s="1202" t="s">
        <v>1497</v>
      </c>
      <c r="Z33" s="100"/>
      <c r="AA33" s="1200"/>
      <c r="AB33" s="953"/>
      <c r="AC33" s="953"/>
      <c r="AD33" s="953"/>
      <c r="AE33" s="953"/>
      <c r="AF33" s="953"/>
      <c r="AG33" s="953"/>
      <c r="AH33" s="953"/>
      <c r="AI33" s="953"/>
      <c r="AJ33" s="953"/>
      <c r="AK33" s="953"/>
      <c r="AL33" s="100"/>
      <c r="AM33" s="100"/>
      <c r="AN33" s="100"/>
      <c r="AO33" s="100"/>
      <c r="AP33" s="100"/>
      <c r="AQ33" s="100"/>
      <c r="AR33" s="100"/>
    </row>
    <row r="34" spans="1:44" ht="6" customHeight="1">
      <c r="A34" s="953"/>
      <c r="B34" s="953"/>
      <c r="C34" s="953"/>
      <c r="D34" s="953"/>
      <c r="E34" s="1200"/>
      <c r="F34" s="913"/>
      <c r="G34" s="1202"/>
      <c r="H34" s="914"/>
      <c r="I34" s="1201"/>
      <c r="J34" s="953"/>
      <c r="K34" s="953"/>
      <c r="L34" s="953"/>
      <c r="M34" s="953"/>
      <c r="N34" s="953"/>
      <c r="O34" s="953"/>
      <c r="P34" s="953"/>
      <c r="Q34" s="953"/>
      <c r="R34" s="953"/>
      <c r="S34" s="953"/>
      <c r="T34" s="953"/>
      <c r="U34" s="953"/>
      <c r="V34" s="953"/>
      <c r="W34" s="1201"/>
      <c r="X34" s="913"/>
      <c r="Y34" s="1202"/>
      <c r="Z34" s="914"/>
      <c r="AA34" s="1200"/>
      <c r="AB34" s="953"/>
      <c r="AC34" s="953"/>
      <c r="AD34" s="953"/>
      <c r="AE34" s="953"/>
      <c r="AF34" s="953"/>
      <c r="AG34" s="953"/>
      <c r="AH34" s="953"/>
      <c r="AI34" s="953"/>
      <c r="AJ34" s="953"/>
      <c r="AK34" s="953"/>
      <c r="AL34" s="100"/>
      <c r="AM34" s="100"/>
      <c r="AN34" s="100"/>
      <c r="AO34" s="100"/>
      <c r="AP34" s="100"/>
      <c r="AQ34" s="100"/>
      <c r="AR34" s="100"/>
    </row>
    <row r="35" spans="1:44" ht="6" customHeight="1">
      <c r="A35" s="953"/>
      <c r="B35" s="953"/>
      <c r="C35" s="953"/>
      <c r="D35" s="953"/>
      <c r="E35" s="967"/>
      <c r="F35" s="100"/>
      <c r="G35" s="1199"/>
      <c r="H35" s="100"/>
      <c r="I35" s="971"/>
      <c r="J35" s="953"/>
      <c r="K35" s="953"/>
      <c r="L35" s="953"/>
      <c r="M35" s="953"/>
      <c r="N35" s="953"/>
      <c r="O35" s="953"/>
      <c r="P35" s="953"/>
      <c r="Q35" s="953"/>
      <c r="R35" s="953"/>
      <c r="S35" s="953"/>
      <c r="T35" s="953"/>
      <c r="U35" s="953"/>
      <c r="V35" s="953"/>
      <c r="W35" s="967"/>
      <c r="X35" s="100"/>
      <c r="Y35" s="105"/>
      <c r="Z35" s="100"/>
      <c r="AA35" s="971"/>
      <c r="AB35" s="953"/>
      <c r="AC35" s="953"/>
      <c r="AD35" s="953"/>
      <c r="AE35" s="953"/>
      <c r="AF35" s="953"/>
      <c r="AG35" s="953"/>
      <c r="AH35" s="953"/>
      <c r="AI35" s="953"/>
      <c r="AJ35" s="953"/>
      <c r="AK35" s="953"/>
      <c r="AL35" s="100"/>
      <c r="AM35" s="100"/>
      <c r="AN35" s="100"/>
      <c r="AO35" s="100"/>
      <c r="AP35" s="100"/>
      <c r="AQ35" s="100"/>
      <c r="AR35" s="100"/>
    </row>
    <row r="36" spans="1:44" ht="6" customHeight="1">
      <c r="A36" s="953"/>
      <c r="B36" s="953"/>
      <c r="C36" s="953"/>
      <c r="D36" s="953"/>
      <c r="E36" s="967"/>
      <c r="F36" s="913"/>
      <c r="G36" s="1199"/>
      <c r="H36" s="914"/>
      <c r="I36" s="967"/>
      <c r="J36" s="953"/>
      <c r="K36" s="953"/>
      <c r="L36" s="953"/>
      <c r="M36" s="953"/>
      <c r="N36" s="953"/>
      <c r="O36" s="953"/>
      <c r="P36" s="953"/>
      <c r="Q36" s="953"/>
      <c r="R36" s="953"/>
      <c r="S36" s="953"/>
      <c r="T36" s="953"/>
      <c r="U36" s="953"/>
      <c r="V36" s="953"/>
      <c r="W36" s="967"/>
      <c r="X36" s="913"/>
      <c r="Y36" s="105"/>
      <c r="Z36" s="914"/>
      <c r="AA36" s="967"/>
      <c r="AB36" s="953"/>
      <c r="AC36" s="953"/>
      <c r="AD36" s="953"/>
      <c r="AE36" s="953"/>
      <c r="AF36" s="953"/>
      <c r="AG36" s="953"/>
      <c r="AH36" s="953"/>
      <c r="AI36" s="953"/>
      <c r="AJ36" s="953"/>
      <c r="AK36" s="953"/>
      <c r="AL36" s="100"/>
      <c r="AM36" s="100"/>
      <c r="AN36" s="100"/>
      <c r="AO36" s="100"/>
      <c r="AP36" s="100"/>
      <c r="AQ36" s="100"/>
      <c r="AR36" s="100"/>
    </row>
    <row r="37" spans="1:44" ht="6" customHeight="1">
      <c r="A37" s="953"/>
      <c r="B37" s="953"/>
      <c r="C37" s="953"/>
      <c r="D37" s="953"/>
      <c r="E37" s="967"/>
      <c r="F37" s="100"/>
      <c r="G37" s="105"/>
      <c r="H37" s="100"/>
      <c r="I37" s="967"/>
      <c r="J37" s="953"/>
      <c r="K37" s="953"/>
      <c r="L37" s="953"/>
      <c r="M37" s="953"/>
      <c r="N37" s="953"/>
      <c r="O37" s="953"/>
      <c r="P37" s="953"/>
      <c r="Q37" s="953"/>
      <c r="R37" s="953"/>
      <c r="S37" s="953"/>
      <c r="T37" s="953"/>
      <c r="U37" s="953"/>
      <c r="V37" s="953"/>
      <c r="W37" s="967"/>
      <c r="X37" s="100"/>
      <c r="Y37" s="105"/>
      <c r="Z37" s="100"/>
      <c r="AA37" s="967"/>
      <c r="AB37" s="953"/>
      <c r="AC37" s="953"/>
      <c r="AD37" s="953"/>
      <c r="AE37" s="953"/>
      <c r="AF37" s="953"/>
      <c r="AG37" s="953"/>
      <c r="AH37" s="953"/>
      <c r="AI37" s="953"/>
      <c r="AJ37" s="953"/>
      <c r="AK37" s="953"/>
      <c r="AL37" s="100"/>
      <c r="AM37" s="100"/>
      <c r="AN37" s="100"/>
      <c r="AO37" s="100"/>
      <c r="AP37" s="100"/>
      <c r="AQ37" s="100"/>
      <c r="AR37" s="100"/>
    </row>
    <row r="38" spans="1:44" ht="6" customHeight="1">
      <c r="A38" s="953"/>
      <c r="B38" s="953"/>
      <c r="C38" s="953"/>
      <c r="D38" s="953"/>
      <c r="E38" s="968"/>
      <c r="F38" s="913"/>
      <c r="G38" s="105"/>
      <c r="H38" s="914"/>
      <c r="I38" s="967"/>
      <c r="J38" s="953"/>
      <c r="K38" s="953"/>
      <c r="L38" s="953"/>
      <c r="M38" s="953"/>
      <c r="N38" s="953"/>
      <c r="O38" s="953"/>
      <c r="P38" s="953"/>
      <c r="Q38" s="953"/>
      <c r="R38" s="953"/>
      <c r="S38" s="953"/>
      <c r="T38" s="953"/>
      <c r="U38" s="953"/>
      <c r="V38" s="953"/>
      <c r="W38" s="968"/>
      <c r="X38" s="913"/>
      <c r="Y38" s="105"/>
      <c r="Z38" s="914"/>
      <c r="AA38" s="967"/>
      <c r="AB38" s="953"/>
      <c r="AC38" s="953"/>
      <c r="AD38" s="953"/>
      <c r="AE38" s="953"/>
      <c r="AF38" s="953"/>
      <c r="AG38" s="953"/>
      <c r="AH38" s="953"/>
      <c r="AI38" s="953"/>
      <c r="AJ38" s="953"/>
      <c r="AK38" s="953"/>
      <c r="AL38" s="100"/>
      <c r="AM38" s="100"/>
      <c r="AN38" s="100"/>
      <c r="AO38" s="100"/>
      <c r="AP38" s="100"/>
      <c r="AQ38" s="100"/>
      <c r="AR38" s="100"/>
    </row>
    <row r="39" spans="1:44" ht="12" customHeight="1">
      <c r="A39" s="100"/>
      <c r="B39" s="100"/>
      <c r="C39" s="100"/>
      <c r="D39" s="962" t="str">
        <f>"Bit size or casing / liner diameter = "&amp;TEXT('Project-definition'!$I$18, "#, ##0.00")&amp;'Project-definition'!$J$18</f>
        <v>Bit size or casing / liner diameter =  0.26m</v>
      </c>
      <c r="E39" s="948" t="s">
        <v>1494</v>
      </c>
      <c r="F39" s="963"/>
      <c r="G39" s="964"/>
      <c r="H39" s="965"/>
      <c r="I39" s="947" t="s">
        <v>1495</v>
      </c>
      <c r="J39" s="100"/>
      <c r="K39" s="100"/>
      <c r="L39" s="100"/>
      <c r="M39" s="100"/>
      <c r="N39" s="100"/>
      <c r="O39" s="100"/>
      <c r="P39" s="100"/>
      <c r="Q39" s="100"/>
      <c r="R39" s="100"/>
      <c r="S39" s="100"/>
      <c r="T39" s="100"/>
      <c r="U39" s="100"/>
      <c r="W39" s="948" t="s">
        <v>1494</v>
      </c>
      <c r="X39" s="963"/>
      <c r="Y39" s="964"/>
      <c r="Z39" s="965"/>
      <c r="AA39" s="947" t="s">
        <v>1495</v>
      </c>
      <c r="AB39" s="972" t="str">
        <f>"Bit size or casing / liner diameter = "&amp;TEXT('Project-definition'!$I$18, "#, ##0.00")&amp;'Project-definition'!$J$18</f>
        <v>Bit size or casing / liner diameter =  0.26m</v>
      </c>
      <c r="AC39" s="100"/>
      <c r="AD39" s="100"/>
      <c r="AE39" s="100"/>
      <c r="AF39" s="100"/>
      <c r="AG39" s="100"/>
      <c r="AH39" s="100"/>
      <c r="AI39" s="100"/>
      <c r="AJ39" s="100"/>
      <c r="AK39" s="100"/>
      <c r="AL39" s="100"/>
      <c r="AM39" s="100"/>
      <c r="AN39" s="100"/>
      <c r="AO39" s="100"/>
      <c r="AP39" s="100"/>
      <c r="AQ39" s="100"/>
      <c r="AR39" s="100"/>
    </row>
    <row r="40" spans="1:44">
      <c r="A40" s="100"/>
      <c r="B40" s="940" t="str">
        <f>'Calculated Variables'!B24&amp;": "&amp;TEXT('Calculated Variables'!E24,"0.00E+00")</f>
        <v>Flowing bottomhole pressure, production well (Pa): 1.80E+07</v>
      </c>
      <c r="D40" s="100"/>
      <c r="E40" s="100"/>
      <c r="F40" s="100"/>
      <c r="G40" s="100"/>
      <c r="H40" s="100"/>
      <c r="I40" s="100"/>
      <c r="J40" s="100"/>
      <c r="K40" s="100"/>
      <c r="L40" s="100"/>
      <c r="M40" s="100"/>
      <c r="N40" s="100"/>
      <c r="O40" s="100"/>
      <c r="P40" s="100"/>
      <c r="Q40" s="100"/>
      <c r="R40" s="100"/>
      <c r="S40" s="100"/>
      <c r="T40" s="940" t="str">
        <f>'Calculated Variables'!B33&amp;": "&amp;TEXT('Calculated Variables'!E33,"0.00E+00")</f>
        <v>Flowing bottomhole pressure, injection well (Pa): 3.06E+07</v>
      </c>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row>
    <row r="41" spans="1:44">
      <c r="A41" s="100"/>
      <c r="B41" s="100"/>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row>
    <row r="42" spans="1:44">
      <c r="A42" s="975"/>
      <c r="B42" s="100"/>
      <c r="C42" s="100"/>
      <c r="D42" s="100"/>
      <c r="E42" s="100"/>
      <c r="F42" s="100"/>
      <c r="G42" s="100"/>
      <c r="H42" s="100"/>
      <c r="I42" s="100"/>
      <c r="J42" s="100"/>
      <c r="K42" s="100"/>
      <c r="L42" s="100"/>
      <c r="M42" s="100"/>
      <c r="N42" s="100"/>
      <c r="O42" s="100"/>
      <c r="P42" s="100"/>
      <c r="Q42" s="966" t="str">
        <f>"Well depth true vertical: "&amp;TEXT('Project-definition'!V15,"0")&amp;"m (mid completion interval to surface)"</f>
        <v>Well depth true vertical: 2000m (mid completion interval to surface)</v>
      </c>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row>
    <row r="43" spans="1:44">
      <c r="A43" s="975"/>
      <c r="B43" s="100"/>
      <c r="C43" s="100"/>
      <c r="D43" s="100"/>
      <c r="E43" s="100"/>
      <c r="F43" s="100"/>
      <c r="G43" s="100"/>
      <c r="H43" s="100"/>
      <c r="I43" s="100"/>
      <c r="J43" s="100"/>
      <c r="K43" s="100"/>
      <c r="L43" s="100"/>
      <c r="M43" s="100"/>
      <c r="N43" s="100"/>
      <c r="O43" s="100"/>
      <c r="P43" s="100"/>
      <c r="Q43" s="966" t="str">
        <f>"Well depth along hole: "&amp;TEXT('Project-definition'!V14,"0")&amp;"m (casing shoe to surface)"</f>
        <v>Well depth along hole: 3000m (casing shoe to surface)</v>
      </c>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row>
    <row r="44" spans="1:44" ht="23.4">
      <c r="A44" s="100"/>
      <c r="B44" s="100"/>
      <c r="C44" s="100"/>
      <c r="D44" s="100"/>
      <c r="E44" s="100"/>
      <c r="F44" s="100"/>
      <c r="G44" s="100"/>
      <c r="H44" s="100"/>
      <c r="I44" s="100"/>
      <c r="J44" s="100"/>
      <c r="K44" s="100"/>
      <c r="L44" s="100"/>
      <c r="M44" s="100"/>
      <c r="N44" s="100"/>
      <c r="O44" s="100"/>
      <c r="P44" s="100"/>
      <c r="Q44" s="1032"/>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row>
    <row r="45" spans="1:44">
      <c r="A45" s="100"/>
      <c r="B45" s="100"/>
      <c r="C45" s="100"/>
      <c r="D45" s="100"/>
      <c r="E45" s="100"/>
      <c r="F45" s="100"/>
      <c r="G45" s="100"/>
      <c r="H45" s="100"/>
      <c r="I45" s="100"/>
      <c r="J45" s="100"/>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row>
    <row r="46" spans="1:44">
      <c r="A46" s="100"/>
      <c r="B46" s="100"/>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row>
    <row r="47" spans="1:44">
      <c r="A47" s="100"/>
      <c r="B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row>
    <row r="48" spans="1:44">
      <c r="A48" s="100"/>
      <c r="B48" s="100"/>
      <c r="C48" s="100"/>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row>
    <row r="49" spans="1:44">
      <c r="A49" s="100"/>
      <c r="B49" s="100"/>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row>
    <row r="50" spans="1:44">
      <c r="A50" s="100"/>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row>
    <row r="51" spans="1:44">
      <c r="A51" s="100"/>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row>
    <row r="52" spans="1:44">
      <c r="A52" s="100"/>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row>
    <row r="53" spans="1:44">
      <c r="A53" s="100"/>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row>
    <row r="54" spans="1:44">
      <c r="A54" s="100"/>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row>
    <row r="55" spans="1:44">
      <c r="A55" s="100"/>
      <c r="B55" s="100"/>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row>
    <row r="56" spans="1:44">
      <c r="A56" s="100"/>
      <c r="B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row>
    <row r="57" spans="1:44">
      <c r="A57" s="100"/>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row>
    <row r="58" spans="1:44">
      <c r="A58" s="100"/>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row>
    <row r="59" spans="1:44">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row>
    <row r="60" spans="1:44">
      <c r="A60" s="100"/>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row>
    <row r="61" spans="1:44">
      <c r="A61" s="100"/>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row>
    <row r="62" spans="1:44">
      <c r="A62" s="100"/>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row>
    <row r="63" spans="1:44">
      <c r="A63" s="100"/>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row>
    <row r="64" spans="1:44">
      <c r="A64" s="100"/>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row>
    <row r="65" spans="1:44">
      <c r="A65" s="100"/>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row>
    <row r="66" spans="1:44">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row>
    <row r="67" spans="1:44">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row>
    <row r="68" spans="1:44">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row>
    <row r="69" spans="1:44">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row>
    <row r="70" spans="1:44">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row>
    <row r="71" spans="1:44">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row>
    <row r="72" spans="1:44">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row>
    <row r="73" spans="1:44">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row>
    <row r="74" spans="1:44">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row>
    <row r="75" spans="1:44">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row>
    <row r="76" spans="1:44">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row>
    <row r="77" spans="1:44">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row>
    <row r="78" spans="1:44">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row>
    <row r="79" spans="1:44">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row>
    <row r="80" spans="1:44">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row>
    <row r="81" spans="1:44">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row>
    <row r="82" spans="1:44">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row>
    <row r="83" spans="1:44">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row>
    <row r="84" spans="1:44">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row>
    <row r="85" spans="1:44">
      <c r="A85" s="100"/>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row>
    <row r="86" spans="1:44">
      <c r="A86" s="100"/>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row>
    <row r="87" spans="1:44">
      <c r="A87" s="100"/>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row>
    <row r="88" spans="1:44">
      <c r="A88" s="100"/>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row>
    <row r="89" spans="1:44">
      <c r="A89" s="100"/>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row>
    <row r="90" spans="1:44">
      <c r="A90" s="100"/>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row>
    <row r="91" spans="1:44">
      <c r="A91" s="100"/>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row>
    <row r="92" spans="1:44">
      <c r="A92" s="100"/>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row>
    <row r="93" spans="1:44">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row>
    <row r="94" spans="1:44">
      <c r="A94" s="100"/>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row>
    <row r="95" spans="1:44">
      <c r="A95" s="100"/>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row>
    <row r="96" spans="1:44">
      <c r="A96" s="100"/>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row>
    <row r="97" spans="1:44">
      <c r="A97" s="100"/>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row>
    <row r="98" spans="1:44">
      <c r="A98" s="100"/>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row>
    <row r="99" spans="1:44">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row>
    <row r="100" spans="1:44">
      <c r="A100" s="100"/>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row>
  </sheetData>
  <sheetProtection sheet="1" objects="1" scenarios="1" selectLockedCells="1" selectUnlockedCells="1"/>
  <mergeCells count="7">
    <mergeCell ref="G35:G36"/>
    <mergeCell ref="E32:E34"/>
    <mergeCell ref="I32:I34"/>
    <mergeCell ref="W32:W34"/>
    <mergeCell ref="AA32:AA34"/>
    <mergeCell ref="G33:G34"/>
    <mergeCell ref="Y33:Y34"/>
  </mergeCells>
  <pageMargins left="0.7" right="0.7" top="0.75" bottom="0.75" header="0.3" footer="0.3"/>
  <pageSetup paperSize="9" scale="2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CCFF"/>
    <pageSetUpPr fitToPage="1"/>
  </sheetPr>
  <dimension ref="A1:AR100"/>
  <sheetViews>
    <sheetView workbookViewId="0"/>
  </sheetViews>
  <sheetFormatPr defaultRowHeight="14.4"/>
  <cols>
    <col min="1" max="44" width="11.33203125" customWidth="1"/>
  </cols>
  <sheetData>
    <row r="1" spans="1:44" ht="28.5" customHeight="1">
      <c r="A1" s="1028" t="s">
        <v>1547</v>
      </c>
      <c r="B1" s="105"/>
      <c r="C1" s="105"/>
      <c r="D1" s="105"/>
      <c r="E1" s="105"/>
      <c r="F1" s="105"/>
      <c r="G1" s="984"/>
      <c r="H1" s="105"/>
      <c r="I1" s="105"/>
      <c r="J1" s="105"/>
      <c r="K1" s="105"/>
      <c r="L1" s="105"/>
      <c r="M1" s="105"/>
      <c r="N1" s="105"/>
      <c r="O1" s="105"/>
      <c r="P1" s="105"/>
      <c r="Q1" s="105"/>
      <c r="R1" s="105"/>
      <c r="S1" s="105"/>
      <c r="T1" s="105"/>
      <c r="U1" s="105"/>
      <c r="V1" s="105"/>
      <c r="W1" s="105"/>
      <c r="X1" s="105"/>
      <c r="Y1" s="984"/>
      <c r="Z1" s="105"/>
      <c r="AA1" s="105"/>
      <c r="AB1" s="105"/>
      <c r="AC1" s="105"/>
      <c r="AD1" s="105"/>
      <c r="AE1" s="105"/>
      <c r="AF1" s="105"/>
      <c r="AG1" s="105"/>
      <c r="AH1" s="105"/>
      <c r="AI1" s="105"/>
      <c r="AJ1" s="105"/>
      <c r="AK1" s="105"/>
      <c r="AL1" s="105"/>
      <c r="AM1" s="100"/>
      <c r="AN1" s="100"/>
      <c r="AO1" s="100"/>
      <c r="AP1" s="100"/>
      <c r="AQ1" s="100"/>
      <c r="AR1" s="100"/>
    </row>
    <row r="2" spans="1:44" ht="12.75" customHeight="1">
      <c r="A2" s="105"/>
      <c r="B2" s="105"/>
      <c r="C2" s="105"/>
      <c r="D2" s="105"/>
      <c r="E2" s="105"/>
      <c r="F2" s="105"/>
      <c r="G2" s="984"/>
      <c r="H2" s="105"/>
      <c r="I2" s="105"/>
      <c r="J2" s="105"/>
      <c r="K2" s="105"/>
      <c r="L2" s="105"/>
      <c r="M2" s="105"/>
      <c r="N2" s="105"/>
      <c r="O2" s="105"/>
      <c r="P2" s="105"/>
      <c r="Q2" s="105"/>
      <c r="R2" s="105"/>
      <c r="S2" s="105"/>
      <c r="T2" s="105"/>
      <c r="U2" s="985"/>
      <c r="V2" s="105"/>
      <c r="W2" s="105"/>
      <c r="X2" s="105"/>
      <c r="Y2" s="984"/>
      <c r="Z2" s="105"/>
      <c r="AA2" s="105"/>
      <c r="AB2" s="105"/>
      <c r="AC2" s="105"/>
      <c r="AD2" s="105"/>
      <c r="AE2" s="105"/>
      <c r="AF2" s="105"/>
      <c r="AG2" s="105"/>
      <c r="AH2" s="105"/>
      <c r="AI2" s="105"/>
      <c r="AJ2" s="105"/>
      <c r="AK2" s="105"/>
      <c r="AL2" s="105"/>
      <c r="AM2" s="100"/>
      <c r="AN2" s="100"/>
      <c r="AO2" s="100"/>
      <c r="AP2" s="100"/>
      <c r="AQ2" s="100"/>
      <c r="AR2" s="100"/>
    </row>
    <row r="3" spans="1:44" ht="12.75" customHeight="1">
      <c r="A3" s="105"/>
      <c r="B3" s="105"/>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0"/>
      <c r="AN3" s="100"/>
      <c r="AO3" s="100"/>
      <c r="AP3" s="100"/>
      <c r="AQ3" s="100"/>
      <c r="AR3" s="100"/>
    </row>
    <row r="4" spans="1:44" ht="12.75" customHeight="1">
      <c r="A4" s="105"/>
      <c r="B4" s="985"/>
      <c r="C4" s="986"/>
      <c r="D4" s="105"/>
      <c r="E4" s="105"/>
      <c r="F4" s="105"/>
      <c r="G4" s="105"/>
      <c r="H4" s="105"/>
      <c r="I4" s="105"/>
      <c r="J4" s="105"/>
      <c r="K4" s="105"/>
      <c r="L4" s="105"/>
      <c r="M4" s="105"/>
      <c r="N4" s="105"/>
      <c r="O4" s="105"/>
      <c r="P4" s="105"/>
      <c r="Q4" s="105"/>
      <c r="R4" s="105"/>
      <c r="S4" s="105"/>
      <c r="T4" s="985"/>
      <c r="U4" s="986"/>
      <c r="V4" s="105"/>
      <c r="W4" s="105"/>
      <c r="X4" s="105"/>
      <c r="Y4" s="105"/>
      <c r="Z4" s="105"/>
      <c r="AA4" s="105"/>
      <c r="AB4" s="105"/>
      <c r="AC4" s="105"/>
      <c r="AD4" s="105"/>
      <c r="AE4" s="105"/>
      <c r="AF4" s="105"/>
      <c r="AG4" s="105"/>
      <c r="AH4" s="105"/>
      <c r="AI4" s="105"/>
      <c r="AJ4" s="105"/>
      <c r="AK4" s="105"/>
      <c r="AL4" s="105"/>
      <c r="AM4" s="100"/>
      <c r="AN4" s="100"/>
      <c r="AO4" s="100"/>
      <c r="AP4" s="100"/>
      <c r="AQ4" s="100"/>
      <c r="AR4" s="100"/>
    </row>
    <row r="5" spans="1:44" ht="12.75" customHeight="1">
      <c r="A5" s="991" t="s">
        <v>1530</v>
      </c>
      <c r="B5" s="105"/>
      <c r="C5" s="991" t="s">
        <v>1533</v>
      </c>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0"/>
      <c r="AN5" s="100"/>
      <c r="AO5" s="100"/>
      <c r="AP5" s="100"/>
      <c r="AQ5" s="100"/>
      <c r="AR5" s="100"/>
    </row>
    <row r="6" spans="1:44" ht="12.75" customHeight="1">
      <c r="A6" s="105" t="s">
        <v>1394</v>
      </c>
      <c r="B6" s="105"/>
      <c r="C6" s="105" t="s">
        <v>1536</v>
      </c>
      <c r="D6" s="105"/>
      <c r="E6" s="105"/>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0"/>
      <c r="AN6" s="100"/>
      <c r="AO6" s="100"/>
      <c r="AP6" s="100"/>
      <c r="AQ6" s="100"/>
      <c r="AR6" s="100"/>
    </row>
    <row r="7" spans="1:44" ht="12.75" customHeight="1">
      <c r="A7" s="105" t="s">
        <v>1531</v>
      </c>
      <c r="B7" s="105"/>
      <c r="C7" s="105" t="s">
        <v>1534</v>
      </c>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0"/>
      <c r="AN7" s="100"/>
      <c r="AO7" s="100"/>
      <c r="AP7" s="100"/>
      <c r="AQ7" s="100"/>
      <c r="AR7" s="100"/>
    </row>
    <row r="8" spans="1:44" ht="12.75" customHeight="1">
      <c r="A8" s="105" t="s">
        <v>1532</v>
      </c>
      <c r="B8" s="105"/>
      <c r="C8" s="105" t="s">
        <v>1535</v>
      </c>
      <c r="D8" s="105"/>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987"/>
      <c r="AL8" s="105"/>
      <c r="AM8" s="100"/>
      <c r="AN8" s="100"/>
      <c r="AO8" s="100"/>
      <c r="AP8" s="100"/>
      <c r="AQ8" s="100"/>
      <c r="AR8" s="100"/>
    </row>
    <row r="9" spans="1:44" ht="12.75" customHeight="1">
      <c r="A9" s="105" t="s">
        <v>1041</v>
      </c>
      <c r="B9" s="105"/>
      <c r="C9" s="105" t="s">
        <v>1537</v>
      </c>
      <c r="D9" s="105"/>
      <c r="E9" s="105"/>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0"/>
      <c r="AN9" s="100"/>
      <c r="AO9" s="100"/>
      <c r="AP9" s="100"/>
      <c r="AQ9" s="100"/>
      <c r="AR9" s="100"/>
    </row>
    <row r="10" spans="1:44" ht="12.75" customHeight="1">
      <c r="A10" s="105"/>
      <c r="B10" s="105"/>
      <c r="C10" s="105" t="s">
        <v>1538</v>
      </c>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0"/>
      <c r="AN10" s="100"/>
      <c r="AO10" s="100"/>
      <c r="AP10" s="100"/>
      <c r="AQ10" s="100"/>
      <c r="AR10" s="100"/>
    </row>
    <row r="11" spans="1:44" ht="12.75" customHeight="1">
      <c r="A11" s="105"/>
      <c r="B11" s="105"/>
      <c r="C11" s="105"/>
      <c r="D11" s="105"/>
      <c r="E11" s="105"/>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0"/>
      <c r="AN11" s="100"/>
      <c r="AO11" s="100"/>
      <c r="AP11" s="100"/>
      <c r="AQ11" s="100"/>
      <c r="AR11" s="100"/>
    </row>
    <row r="12" spans="1:44" ht="12.75" customHeight="1">
      <c r="A12" s="1031" t="s">
        <v>1545</v>
      </c>
      <c r="B12" s="105"/>
      <c r="C12" s="105"/>
      <c r="D12" s="105"/>
      <c r="E12" s="105"/>
      <c r="F12" s="105"/>
      <c r="G12" s="105"/>
      <c r="H12" s="105"/>
      <c r="I12" s="105"/>
      <c r="J12" s="105"/>
      <c r="K12" s="985"/>
      <c r="L12" s="105"/>
      <c r="M12" s="105"/>
      <c r="N12" s="105"/>
      <c r="O12" s="105"/>
      <c r="P12" s="105"/>
      <c r="Q12" s="988"/>
      <c r="R12" s="985"/>
      <c r="S12" s="105"/>
      <c r="T12" s="105"/>
      <c r="U12" s="105"/>
      <c r="V12" s="105"/>
      <c r="W12" s="105"/>
      <c r="X12" s="105"/>
      <c r="Y12" s="105"/>
      <c r="Z12" s="105"/>
      <c r="AA12" s="105"/>
      <c r="AB12" s="105"/>
      <c r="AC12" s="985"/>
      <c r="AD12" s="105"/>
      <c r="AE12" s="105"/>
      <c r="AF12" s="105"/>
      <c r="AG12" s="105"/>
      <c r="AH12" s="105"/>
      <c r="AI12" s="105"/>
      <c r="AJ12" s="105"/>
      <c r="AK12" s="105"/>
      <c r="AL12" s="105"/>
      <c r="AM12" s="100"/>
      <c r="AN12" s="100"/>
      <c r="AO12" s="100"/>
      <c r="AP12" s="100"/>
      <c r="AQ12" s="100"/>
      <c r="AR12" s="100"/>
    </row>
    <row r="13" spans="1:44" ht="12.75" customHeight="1">
      <c r="A13" s="105"/>
      <c r="B13" s="105"/>
      <c r="C13" s="989"/>
      <c r="D13" s="105"/>
      <c r="E13" s="105"/>
      <c r="F13" s="105"/>
      <c r="G13" s="954"/>
      <c r="H13" s="105"/>
      <c r="I13" s="105"/>
      <c r="J13" s="105"/>
      <c r="K13" s="990"/>
      <c r="L13" s="105"/>
      <c r="M13" s="105"/>
      <c r="N13" s="105"/>
      <c r="O13" s="105"/>
      <c r="P13" s="105"/>
      <c r="Q13" s="105"/>
      <c r="R13" s="105"/>
      <c r="S13" s="105"/>
      <c r="T13" s="105"/>
      <c r="U13" s="989"/>
      <c r="V13" s="105"/>
      <c r="W13" s="105"/>
      <c r="X13" s="105"/>
      <c r="Y13" s="954"/>
      <c r="Z13" s="105"/>
      <c r="AA13" s="105"/>
      <c r="AB13" s="105"/>
      <c r="AC13" s="990"/>
      <c r="AD13" s="105"/>
      <c r="AE13" s="105"/>
      <c r="AF13" s="105"/>
      <c r="AG13" s="105"/>
      <c r="AH13" s="105"/>
      <c r="AI13" s="105"/>
      <c r="AJ13" s="105"/>
      <c r="AK13" s="105"/>
      <c r="AL13" s="105"/>
      <c r="AM13" s="100"/>
      <c r="AN13" s="100"/>
      <c r="AO13" s="100"/>
      <c r="AP13" s="100"/>
      <c r="AQ13" s="100"/>
      <c r="AR13" s="100"/>
    </row>
    <row r="14" spans="1:44" ht="12.75" customHeight="1">
      <c r="A14" s="105"/>
      <c r="B14" s="105"/>
      <c r="C14" s="105"/>
      <c r="D14" s="105"/>
      <c r="E14" s="105"/>
      <c r="F14" s="105"/>
      <c r="G14" s="954"/>
      <c r="H14" s="105"/>
      <c r="I14" s="105"/>
      <c r="J14" s="105"/>
      <c r="K14" s="105"/>
      <c r="L14" s="105"/>
      <c r="M14" s="105"/>
      <c r="N14" s="105"/>
      <c r="O14" s="105"/>
      <c r="P14" s="105"/>
      <c r="Q14" s="105"/>
      <c r="R14" s="105"/>
      <c r="S14" s="105"/>
      <c r="T14" s="105"/>
      <c r="U14" s="105"/>
      <c r="V14" s="105"/>
      <c r="W14" s="105"/>
      <c r="X14" s="105"/>
      <c r="Y14" s="954"/>
      <c r="Z14" s="105"/>
      <c r="AA14" s="105"/>
      <c r="AB14" s="105"/>
      <c r="AC14" s="105"/>
      <c r="AD14" s="105"/>
      <c r="AE14" s="105"/>
      <c r="AF14" s="105"/>
      <c r="AG14" s="105"/>
      <c r="AH14" s="105"/>
      <c r="AI14" s="105"/>
      <c r="AJ14" s="105"/>
      <c r="AK14" s="105"/>
      <c r="AL14" s="105"/>
      <c r="AM14" s="100"/>
      <c r="AN14" s="100"/>
      <c r="AO14" s="100"/>
      <c r="AP14" s="100"/>
      <c r="AQ14" s="100"/>
      <c r="AR14" s="100"/>
    </row>
    <row r="15" spans="1:44" ht="12.75" customHeight="1">
      <c r="A15" s="105"/>
      <c r="B15" s="105"/>
      <c r="C15" s="105"/>
      <c r="D15" s="105"/>
      <c r="E15" s="105"/>
      <c r="F15" s="105"/>
      <c r="G15" s="991"/>
      <c r="H15" s="105"/>
      <c r="I15" s="105"/>
      <c r="J15" s="105"/>
      <c r="K15" s="105"/>
      <c r="L15" s="105"/>
      <c r="M15" s="105"/>
      <c r="N15" s="105"/>
      <c r="O15" s="105"/>
      <c r="P15" s="105"/>
      <c r="Q15" s="105"/>
      <c r="R15" s="105"/>
      <c r="S15" s="105"/>
      <c r="T15" s="105"/>
      <c r="U15" s="105"/>
      <c r="V15" s="105"/>
      <c r="W15" s="105"/>
      <c r="X15" s="105"/>
      <c r="Y15" s="991"/>
      <c r="Z15" s="105"/>
      <c r="AA15" s="105"/>
      <c r="AB15" s="105"/>
      <c r="AC15" s="105"/>
      <c r="AD15" s="105"/>
      <c r="AE15" s="105"/>
      <c r="AF15" s="105"/>
      <c r="AG15" s="105"/>
      <c r="AH15" s="105"/>
      <c r="AI15" s="105"/>
      <c r="AJ15" s="105"/>
      <c r="AK15" s="105"/>
      <c r="AL15" s="105"/>
      <c r="AM15" s="100"/>
      <c r="AN15" s="100"/>
      <c r="AO15" s="100"/>
      <c r="AP15" s="100"/>
      <c r="AQ15" s="100"/>
      <c r="AR15" s="100"/>
    </row>
    <row r="16" spans="1:44" ht="12.75" customHeight="1">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0"/>
      <c r="AN16" s="100"/>
      <c r="AO16" s="100"/>
      <c r="AP16" s="100"/>
      <c r="AQ16" s="100"/>
      <c r="AR16" s="100"/>
    </row>
    <row r="17" spans="1:44" ht="12.75" customHeight="1">
      <c r="A17" s="105"/>
      <c r="B17" s="105"/>
      <c r="C17" s="105"/>
      <c r="D17" s="992"/>
      <c r="E17" s="105"/>
      <c r="F17" s="105"/>
      <c r="G17" s="105"/>
      <c r="H17" s="105"/>
      <c r="I17" s="105"/>
      <c r="J17" s="990"/>
      <c r="K17" s="105"/>
      <c r="L17" s="105"/>
      <c r="M17" s="105"/>
      <c r="N17" s="105"/>
      <c r="O17" s="105"/>
      <c r="P17" s="105"/>
      <c r="Q17" s="105"/>
      <c r="R17" s="105"/>
      <c r="S17" s="105"/>
      <c r="T17" s="105"/>
      <c r="U17" s="105"/>
      <c r="V17" s="992"/>
      <c r="W17" s="105"/>
      <c r="X17" s="105"/>
      <c r="Y17" s="105"/>
      <c r="Z17" s="105"/>
      <c r="AA17" s="105"/>
      <c r="AB17" s="990"/>
      <c r="AC17" s="105"/>
      <c r="AD17" s="105"/>
      <c r="AE17" s="105"/>
      <c r="AF17" s="105"/>
      <c r="AG17" s="105"/>
      <c r="AH17" s="105"/>
      <c r="AI17" s="105"/>
      <c r="AJ17" s="105"/>
      <c r="AK17" s="105"/>
      <c r="AL17" s="105"/>
      <c r="AM17" s="100"/>
      <c r="AN17" s="100"/>
      <c r="AO17" s="100"/>
      <c r="AP17" s="100"/>
      <c r="AQ17" s="100"/>
      <c r="AR17" s="100"/>
    </row>
    <row r="18" spans="1:44" ht="12.75" customHeight="1">
      <c r="A18" s="105"/>
      <c r="B18" s="105"/>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0"/>
      <c r="AN18" s="100"/>
      <c r="AO18" s="100"/>
      <c r="AP18" s="100"/>
      <c r="AQ18" s="100"/>
      <c r="AR18" s="100"/>
    </row>
    <row r="19" spans="1:44" ht="12.75" customHeight="1">
      <c r="A19" s="105"/>
      <c r="B19" s="105"/>
      <c r="C19" s="105"/>
      <c r="D19" s="105"/>
      <c r="E19" s="985"/>
      <c r="F19" s="105"/>
      <c r="G19" s="105"/>
      <c r="H19" s="105"/>
      <c r="I19" s="105"/>
      <c r="J19" s="986"/>
      <c r="K19" s="985"/>
      <c r="L19" s="105"/>
      <c r="M19" s="105"/>
      <c r="N19" s="105"/>
      <c r="O19" s="105"/>
      <c r="P19" s="105"/>
      <c r="Q19" s="105"/>
      <c r="R19" s="105"/>
      <c r="S19" s="105"/>
      <c r="T19" s="105"/>
      <c r="U19" s="105"/>
      <c r="V19" s="105"/>
      <c r="W19" s="105"/>
      <c r="X19" s="105"/>
      <c r="Y19" s="105"/>
      <c r="Z19" s="105"/>
      <c r="AA19" s="105"/>
      <c r="AB19" s="986"/>
      <c r="AC19" s="985"/>
      <c r="AD19" s="105"/>
      <c r="AE19" s="105"/>
      <c r="AF19" s="105"/>
      <c r="AG19" s="105"/>
      <c r="AH19" s="105"/>
      <c r="AI19" s="105"/>
      <c r="AJ19" s="105"/>
      <c r="AK19" s="105"/>
      <c r="AL19" s="105"/>
      <c r="AM19" s="100"/>
      <c r="AN19" s="100"/>
      <c r="AO19" s="100"/>
      <c r="AP19" s="100"/>
      <c r="AQ19" s="100"/>
      <c r="AR19" s="100"/>
    </row>
    <row r="20" spans="1:44" ht="12.75" customHeight="1">
      <c r="A20" s="105"/>
      <c r="B20" s="105"/>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0"/>
      <c r="AN20" s="100"/>
      <c r="AO20" s="100"/>
      <c r="AP20" s="100"/>
      <c r="AQ20" s="100"/>
      <c r="AR20" s="100"/>
    </row>
    <row r="21" spans="1:44" ht="12.75" customHeight="1">
      <c r="A21" s="105"/>
      <c r="B21" s="105"/>
      <c r="C21" s="105"/>
      <c r="D21" s="105"/>
      <c r="E21" s="105"/>
      <c r="F21" s="105"/>
      <c r="G21" s="954"/>
      <c r="H21" s="105"/>
      <c r="I21" s="105"/>
      <c r="J21" s="105"/>
      <c r="K21" s="105"/>
      <c r="L21" s="105"/>
      <c r="M21" s="105"/>
      <c r="N21" s="105"/>
      <c r="O21" s="105"/>
      <c r="P21" s="105"/>
      <c r="Q21" s="105"/>
      <c r="R21" s="105"/>
      <c r="S21" s="105"/>
      <c r="T21" s="105"/>
      <c r="U21" s="105"/>
      <c r="V21" s="105"/>
      <c r="W21" s="105"/>
      <c r="X21" s="105"/>
      <c r="Y21" s="954"/>
      <c r="Z21" s="105"/>
      <c r="AA21" s="105"/>
      <c r="AB21" s="105"/>
      <c r="AC21" s="105"/>
      <c r="AD21" s="105"/>
      <c r="AE21" s="105"/>
      <c r="AF21" s="105"/>
      <c r="AG21" s="105"/>
      <c r="AH21" s="105"/>
      <c r="AI21" s="105"/>
      <c r="AJ21" s="105"/>
      <c r="AK21" s="105"/>
      <c r="AL21" s="105"/>
      <c r="AM21" s="100"/>
      <c r="AN21" s="100"/>
      <c r="AO21" s="100"/>
      <c r="AP21" s="100"/>
      <c r="AQ21" s="100"/>
      <c r="AR21" s="100"/>
    </row>
    <row r="22" spans="1:44" ht="12.75" customHeight="1">
      <c r="A22" s="974"/>
      <c r="B22" s="105"/>
      <c r="C22" s="991"/>
      <c r="D22" s="105"/>
      <c r="E22" s="105"/>
      <c r="F22" s="105"/>
      <c r="G22" s="985"/>
      <c r="H22" s="105"/>
      <c r="I22" s="105"/>
      <c r="J22" s="105"/>
      <c r="K22" s="105"/>
      <c r="L22" s="105"/>
      <c r="M22" s="105"/>
      <c r="N22" s="105"/>
      <c r="O22" s="105"/>
      <c r="P22" s="105"/>
      <c r="Q22" s="974"/>
      <c r="R22" s="105"/>
      <c r="S22" s="105"/>
      <c r="T22" s="105"/>
      <c r="U22" s="991"/>
      <c r="V22" s="105"/>
      <c r="W22" s="105"/>
      <c r="X22" s="105"/>
      <c r="Y22" s="985"/>
      <c r="Z22" s="105"/>
      <c r="AA22" s="105"/>
      <c r="AB22" s="105"/>
      <c r="AC22" s="991"/>
      <c r="AD22" s="105"/>
      <c r="AE22" s="105"/>
      <c r="AF22" s="105"/>
      <c r="AG22" s="105"/>
      <c r="AH22" s="105"/>
      <c r="AI22" s="105"/>
      <c r="AJ22" s="993"/>
      <c r="AK22" s="993"/>
      <c r="AL22" s="105"/>
      <c r="AM22" s="100"/>
      <c r="AN22" s="100"/>
      <c r="AO22" s="100"/>
      <c r="AP22" s="100"/>
      <c r="AQ22" s="100"/>
      <c r="AR22" s="100"/>
    </row>
    <row r="23" spans="1:44" ht="12.75" customHeight="1">
      <c r="A23" s="105"/>
      <c r="B23" s="105"/>
      <c r="C23" s="105"/>
      <c r="D23" s="105"/>
      <c r="E23" s="105"/>
      <c r="F23" s="105"/>
      <c r="G23" s="974"/>
      <c r="H23" s="105"/>
      <c r="I23" s="105"/>
      <c r="J23" s="105"/>
      <c r="K23" s="105"/>
      <c r="L23" s="105"/>
      <c r="M23" s="105"/>
      <c r="N23" s="105"/>
      <c r="O23" s="105"/>
      <c r="P23" s="105"/>
      <c r="Q23" s="105"/>
      <c r="R23" s="105"/>
      <c r="S23" s="105"/>
      <c r="T23" s="105"/>
      <c r="U23" s="105"/>
      <c r="V23" s="105"/>
      <c r="W23" s="105"/>
      <c r="X23" s="105"/>
      <c r="Y23" s="974"/>
      <c r="Z23" s="105"/>
      <c r="AA23" s="105"/>
      <c r="AB23" s="105"/>
      <c r="AC23" s="105"/>
      <c r="AD23" s="105"/>
      <c r="AE23" s="105"/>
      <c r="AF23" s="105"/>
      <c r="AG23" s="105"/>
      <c r="AH23" s="105"/>
      <c r="AI23" s="105"/>
      <c r="AJ23" s="105"/>
      <c r="AK23" s="105"/>
      <c r="AL23" s="105"/>
      <c r="AM23" s="100"/>
      <c r="AN23" s="100"/>
      <c r="AO23" s="100"/>
      <c r="AP23" s="100"/>
      <c r="AQ23" s="100"/>
      <c r="AR23" s="100"/>
    </row>
    <row r="24" spans="1:44" ht="12.75" customHeight="1">
      <c r="A24" s="105"/>
      <c r="B24" s="105"/>
      <c r="C24" s="105"/>
      <c r="D24" s="105"/>
      <c r="E24" s="105"/>
      <c r="F24" s="105"/>
      <c r="G24" s="954"/>
      <c r="H24" s="105"/>
      <c r="I24" s="105"/>
      <c r="J24" s="105"/>
      <c r="K24" s="105"/>
      <c r="L24" s="105"/>
      <c r="M24" s="105"/>
      <c r="N24" s="105"/>
      <c r="O24" s="105"/>
      <c r="P24" s="105"/>
      <c r="Q24" s="105"/>
      <c r="R24" s="105"/>
      <c r="S24" s="105"/>
      <c r="T24" s="105"/>
      <c r="U24" s="105"/>
      <c r="V24" s="105"/>
      <c r="W24" s="105"/>
      <c r="X24" s="105"/>
      <c r="Y24" s="954"/>
      <c r="Z24" s="105"/>
      <c r="AA24" s="105"/>
      <c r="AB24" s="105"/>
      <c r="AC24" s="105"/>
      <c r="AD24" s="105"/>
      <c r="AE24" s="105"/>
      <c r="AF24" s="105"/>
      <c r="AG24" s="105"/>
      <c r="AH24" s="105"/>
      <c r="AI24" s="105"/>
      <c r="AJ24" s="105"/>
      <c r="AK24" s="105"/>
      <c r="AL24" s="105"/>
      <c r="AM24" s="100"/>
      <c r="AN24" s="100"/>
      <c r="AO24" s="100"/>
      <c r="AP24" s="100"/>
      <c r="AQ24" s="100"/>
      <c r="AR24" s="100"/>
    </row>
    <row r="25" spans="1:44" ht="12.75" customHeight="1">
      <c r="A25" s="105"/>
      <c r="B25" s="105"/>
      <c r="C25" s="105"/>
      <c r="D25" s="105"/>
      <c r="E25" s="994"/>
      <c r="F25" s="105"/>
      <c r="G25" s="105"/>
      <c r="H25" s="105"/>
      <c r="I25" s="994"/>
      <c r="J25" s="105"/>
      <c r="K25" s="105"/>
      <c r="L25" s="105"/>
      <c r="M25" s="105"/>
      <c r="N25" s="105"/>
      <c r="O25" s="105"/>
      <c r="P25" s="105"/>
      <c r="Q25" s="105"/>
      <c r="R25" s="105"/>
      <c r="S25" s="105"/>
      <c r="T25" s="105"/>
      <c r="U25" s="105"/>
      <c r="V25" s="105"/>
      <c r="W25" s="994"/>
      <c r="X25" s="105"/>
      <c r="Y25" s="105"/>
      <c r="Z25" s="105"/>
      <c r="AA25" s="994"/>
      <c r="AB25" s="105"/>
      <c r="AC25" s="105"/>
      <c r="AD25" s="105"/>
      <c r="AE25" s="105"/>
      <c r="AF25" s="105"/>
      <c r="AG25" s="105"/>
      <c r="AH25" s="105"/>
      <c r="AI25" s="105"/>
      <c r="AJ25" s="105"/>
      <c r="AK25" s="105"/>
      <c r="AL25" s="105"/>
      <c r="AM25" s="100"/>
      <c r="AN25" s="100"/>
      <c r="AO25" s="100"/>
      <c r="AP25" s="100"/>
      <c r="AQ25" s="100"/>
      <c r="AR25" s="100"/>
    </row>
    <row r="26" spans="1:44" ht="12.75" customHeight="1">
      <c r="A26" s="986"/>
      <c r="B26" s="105"/>
      <c r="C26" s="985"/>
      <c r="D26" s="105"/>
      <c r="E26" s="985"/>
      <c r="F26" s="105"/>
      <c r="G26" s="954"/>
      <c r="H26" s="105"/>
      <c r="I26" s="985"/>
      <c r="J26" s="105"/>
      <c r="K26" s="105"/>
      <c r="L26" s="105"/>
      <c r="M26" s="105"/>
      <c r="N26" s="105"/>
      <c r="O26" s="105"/>
      <c r="P26" s="105"/>
      <c r="Q26" s="995"/>
      <c r="R26" s="996"/>
      <c r="S26" s="996"/>
      <c r="T26" s="985"/>
      <c r="U26" s="985"/>
      <c r="V26" s="105"/>
      <c r="W26" s="985"/>
      <c r="X26" s="105"/>
      <c r="Y26" s="954"/>
      <c r="Z26" s="105"/>
      <c r="AA26" s="985"/>
      <c r="AB26" s="105"/>
      <c r="AC26" s="105"/>
      <c r="AD26" s="105"/>
      <c r="AE26" s="105"/>
      <c r="AF26" s="105"/>
      <c r="AG26" s="105"/>
      <c r="AH26" s="105"/>
      <c r="AI26" s="105"/>
      <c r="AJ26" s="105"/>
      <c r="AK26" s="105"/>
      <c r="AL26" s="105"/>
      <c r="AM26" s="100"/>
      <c r="AN26" s="100"/>
      <c r="AO26" s="100"/>
      <c r="AP26" s="100"/>
      <c r="AQ26" s="100"/>
      <c r="AR26" s="100"/>
    </row>
    <row r="27" spans="1:44" ht="12.75" customHeight="1">
      <c r="A27" s="105"/>
      <c r="B27" s="105"/>
      <c r="C27" s="105"/>
      <c r="D27" s="105"/>
      <c r="E27" s="994"/>
      <c r="F27" s="105"/>
      <c r="G27" s="105"/>
      <c r="H27" s="105"/>
      <c r="I27" s="994"/>
      <c r="J27" s="105"/>
      <c r="K27" s="105"/>
      <c r="L27" s="105"/>
      <c r="M27" s="105"/>
      <c r="N27" s="105"/>
      <c r="O27" s="105"/>
      <c r="P27" s="105"/>
      <c r="Q27" s="997"/>
      <c r="R27" s="105"/>
      <c r="S27" s="105"/>
      <c r="T27" s="105"/>
      <c r="U27" s="105"/>
      <c r="V27" s="105"/>
      <c r="W27" s="994"/>
      <c r="X27" s="105"/>
      <c r="Y27" s="105"/>
      <c r="Z27" s="105"/>
      <c r="AA27" s="994"/>
      <c r="AB27" s="105"/>
      <c r="AC27" s="105"/>
      <c r="AD27" s="105"/>
      <c r="AE27" s="105"/>
      <c r="AF27" s="105"/>
      <c r="AG27" s="105"/>
      <c r="AH27" s="105"/>
      <c r="AI27" s="105"/>
      <c r="AJ27" s="105"/>
      <c r="AK27" s="105"/>
      <c r="AL27" s="105"/>
      <c r="AM27" s="100"/>
      <c r="AN27" s="100"/>
      <c r="AO27" s="100"/>
      <c r="AP27" s="100"/>
      <c r="AQ27" s="100"/>
      <c r="AR27" s="100"/>
    </row>
    <row r="28" spans="1:44" ht="12.75" customHeight="1">
      <c r="A28" s="986"/>
      <c r="B28" s="105"/>
      <c r="C28" s="105"/>
      <c r="D28" s="105"/>
      <c r="E28" s="105"/>
      <c r="F28" s="105"/>
      <c r="G28" s="954"/>
      <c r="H28" s="105"/>
      <c r="I28" s="105"/>
      <c r="J28" s="105"/>
      <c r="K28" s="105"/>
      <c r="L28" s="105"/>
      <c r="M28" s="105"/>
      <c r="N28" s="105"/>
      <c r="O28" s="105"/>
      <c r="P28" s="105"/>
      <c r="Q28" s="995"/>
      <c r="R28" s="996"/>
      <c r="S28" s="996"/>
      <c r="T28" s="105"/>
      <c r="U28" s="105"/>
      <c r="V28" s="105"/>
      <c r="W28" s="105"/>
      <c r="X28" s="105"/>
      <c r="Y28" s="954"/>
      <c r="Z28" s="105"/>
      <c r="AA28" s="105"/>
      <c r="AB28" s="105"/>
      <c r="AC28" s="105"/>
      <c r="AD28" s="105"/>
      <c r="AE28" s="105"/>
      <c r="AF28" s="105"/>
      <c r="AG28" s="105"/>
      <c r="AH28" s="105"/>
      <c r="AI28" s="105"/>
      <c r="AJ28" s="105"/>
      <c r="AK28" s="105"/>
      <c r="AL28" s="105"/>
      <c r="AM28" s="100"/>
      <c r="AN28" s="100"/>
      <c r="AO28" s="100"/>
      <c r="AP28" s="100"/>
      <c r="AQ28" s="100"/>
      <c r="AR28" s="100"/>
    </row>
    <row r="29" spans="1:44" ht="12.75" customHeight="1">
      <c r="A29" s="105"/>
      <c r="B29" s="105"/>
      <c r="C29" s="105"/>
      <c r="D29" s="105"/>
      <c r="E29" s="994"/>
      <c r="F29" s="985"/>
      <c r="G29" s="105"/>
      <c r="H29" s="105"/>
      <c r="I29" s="994"/>
      <c r="J29" s="105"/>
      <c r="K29" s="105"/>
      <c r="L29" s="105"/>
      <c r="M29" s="105"/>
      <c r="N29" s="105"/>
      <c r="O29" s="105"/>
      <c r="P29" s="105"/>
      <c r="Q29" s="997"/>
      <c r="R29" s="105"/>
      <c r="S29" s="105"/>
      <c r="T29" s="105"/>
      <c r="U29" s="105"/>
      <c r="V29" s="105"/>
      <c r="W29" s="994"/>
      <c r="X29" s="985"/>
      <c r="Y29" s="105"/>
      <c r="Z29" s="105"/>
      <c r="AA29" s="994"/>
      <c r="AB29" s="105"/>
      <c r="AC29" s="105"/>
      <c r="AD29" s="105"/>
      <c r="AE29" s="105"/>
      <c r="AF29" s="105"/>
      <c r="AG29" s="105"/>
      <c r="AH29" s="105"/>
      <c r="AI29" s="105"/>
      <c r="AJ29" s="105"/>
      <c r="AK29" s="105"/>
      <c r="AL29" s="105"/>
      <c r="AM29" s="100"/>
      <c r="AN29" s="100"/>
      <c r="AO29" s="100"/>
      <c r="AP29" s="100"/>
      <c r="AQ29" s="100"/>
      <c r="AR29" s="100"/>
    </row>
    <row r="30" spans="1:44" ht="12.75" customHeight="1">
      <c r="A30" s="105"/>
      <c r="B30" s="105"/>
      <c r="C30" s="105"/>
      <c r="D30" s="105"/>
      <c r="E30" s="105"/>
      <c r="F30" s="105"/>
      <c r="G30" s="954"/>
      <c r="H30" s="105"/>
      <c r="I30" s="105"/>
      <c r="J30" s="105"/>
      <c r="K30" s="105"/>
      <c r="L30" s="105"/>
      <c r="M30" s="105"/>
      <c r="N30" s="105"/>
      <c r="O30" s="105"/>
      <c r="P30" s="105"/>
      <c r="Q30" s="995"/>
      <c r="R30" s="996"/>
      <c r="S30" s="996"/>
      <c r="T30" s="105"/>
      <c r="U30" s="105"/>
      <c r="V30" s="105"/>
      <c r="W30" s="105"/>
      <c r="X30" s="105"/>
      <c r="Y30" s="954"/>
      <c r="Z30" s="105"/>
      <c r="AA30" s="105"/>
      <c r="AB30" s="105"/>
      <c r="AC30" s="105"/>
      <c r="AD30" s="105"/>
      <c r="AE30" s="105"/>
      <c r="AF30" s="105"/>
      <c r="AG30" s="105"/>
      <c r="AH30" s="105"/>
      <c r="AI30" s="105"/>
      <c r="AJ30" s="105"/>
      <c r="AK30" s="105"/>
      <c r="AL30" s="105"/>
      <c r="AM30" s="100"/>
      <c r="AN30" s="100"/>
      <c r="AO30" s="100"/>
      <c r="AP30" s="100"/>
      <c r="AQ30" s="100"/>
      <c r="AR30" s="100"/>
    </row>
    <row r="31" spans="1:44" ht="12.75" customHeight="1">
      <c r="A31" s="105"/>
      <c r="B31" s="105"/>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c r="AL31" s="105"/>
      <c r="AM31" s="100"/>
      <c r="AN31" s="100"/>
      <c r="AO31" s="100"/>
      <c r="AP31" s="100"/>
      <c r="AQ31" s="100"/>
      <c r="AR31" s="100"/>
    </row>
    <row r="32" spans="1:44" ht="12.75" customHeight="1">
      <c r="A32" s="105"/>
      <c r="B32" s="105"/>
      <c r="C32" s="105"/>
      <c r="D32" s="105"/>
      <c r="E32" s="1203"/>
      <c r="F32" s="985"/>
      <c r="G32" s="105"/>
      <c r="H32" s="105"/>
      <c r="I32" s="1204"/>
      <c r="J32" s="105"/>
      <c r="K32" s="105"/>
      <c r="L32" s="105"/>
      <c r="M32" s="105"/>
      <c r="N32" s="105"/>
      <c r="O32" s="105"/>
      <c r="P32" s="105"/>
      <c r="Q32" s="105"/>
      <c r="R32" s="105"/>
      <c r="S32" s="105"/>
      <c r="T32" s="105"/>
      <c r="U32" s="105"/>
      <c r="V32" s="105"/>
      <c r="W32" s="1204"/>
      <c r="X32" s="985"/>
      <c r="Y32" s="105"/>
      <c r="Z32" s="105"/>
      <c r="AA32" s="1203"/>
      <c r="AB32" s="105"/>
      <c r="AC32" s="105"/>
      <c r="AD32" s="105"/>
      <c r="AE32" s="105"/>
      <c r="AF32" s="105"/>
      <c r="AG32" s="105"/>
      <c r="AH32" s="105"/>
      <c r="AI32" s="105"/>
      <c r="AJ32" s="105"/>
      <c r="AK32" s="105"/>
      <c r="AL32" s="105"/>
      <c r="AM32" s="100"/>
      <c r="AN32" s="100"/>
      <c r="AO32" s="100"/>
      <c r="AP32" s="100"/>
      <c r="AQ32" s="100"/>
      <c r="AR32" s="100"/>
    </row>
    <row r="33" spans="1:44" ht="12.75" customHeight="1">
      <c r="A33" s="105"/>
      <c r="B33" s="105"/>
      <c r="C33" s="105"/>
      <c r="D33" s="105"/>
      <c r="E33" s="1203"/>
      <c r="F33" s="105"/>
      <c r="G33" s="1202"/>
      <c r="H33" s="105"/>
      <c r="I33" s="1204"/>
      <c r="J33" s="105"/>
      <c r="K33" s="105"/>
      <c r="L33" s="105"/>
      <c r="M33" s="105"/>
      <c r="N33" s="105"/>
      <c r="O33" s="105"/>
      <c r="P33" s="105"/>
      <c r="Q33" s="105"/>
      <c r="R33" s="105"/>
      <c r="S33" s="105"/>
      <c r="T33" s="105"/>
      <c r="U33" s="105"/>
      <c r="V33" s="105"/>
      <c r="W33" s="1204"/>
      <c r="X33" s="105"/>
      <c r="Y33" s="1202"/>
      <c r="Z33" s="105"/>
      <c r="AA33" s="1203"/>
      <c r="AB33" s="105"/>
      <c r="AC33" s="105"/>
      <c r="AD33" s="105"/>
      <c r="AE33" s="105"/>
      <c r="AF33" s="105"/>
      <c r="AG33" s="105"/>
      <c r="AH33" s="105"/>
      <c r="AI33" s="105"/>
      <c r="AJ33" s="105"/>
      <c r="AK33" s="105"/>
      <c r="AL33" s="105"/>
      <c r="AM33" s="100"/>
      <c r="AN33" s="100"/>
      <c r="AO33" s="100"/>
      <c r="AP33" s="100"/>
      <c r="AQ33" s="100"/>
      <c r="AR33" s="100"/>
    </row>
    <row r="34" spans="1:44" ht="12.75" customHeight="1">
      <c r="A34" s="105"/>
      <c r="B34" s="105"/>
      <c r="C34" s="105"/>
      <c r="D34" s="105"/>
      <c r="E34" s="1203"/>
      <c r="F34" s="105"/>
      <c r="G34" s="1202"/>
      <c r="H34" s="105"/>
      <c r="I34" s="1204"/>
      <c r="J34" s="105"/>
      <c r="K34" s="105"/>
      <c r="L34" s="105"/>
      <c r="M34" s="105"/>
      <c r="N34" s="105"/>
      <c r="O34" s="105"/>
      <c r="P34" s="105"/>
      <c r="Q34" s="105"/>
      <c r="R34" s="105"/>
      <c r="S34" s="105"/>
      <c r="T34" s="105"/>
      <c r="U34" s="105"/>
      <c r="V34" s="105"/>
      <c r="W34" s="1204"/>
      <c r="X34" s="105"/>
      <c r="Y34" s="1202"/>
      <c r="Z34" s="105"/>
      <c r="AA34" s="1203"/>
      <c r="AB34" s="105"/>
      <c r="AC34" s="105"/>
      <c r="AD34" s="105"/>
      <c r="AE34" s="105"/>
      <c r="AF34" s="105"/>
      <c r="AG34" s="105"/>
      <c r="AH34" s="105"/>
      <c r="AI34" s="105"/>
      <c r="AJ34" s="105"/>
      <c r="AK34" s="105"/>
      <c r="AL34" s="105"/>
      <c r="AM34" s="100"/>
      <c r="AN34" s="100"/>
      <c r="AO34" s="100"/>
      <c r="AP34" s="100"/>
      <c r="AQ34" s="100"/>
      <c r="AR34" s="100"/>
    </row>
    <row r="35" spans="1:44" ht="12.75" customHeight="1">
      <c r="A35" s="105"/>
      <c r="B35" s="105"/>
      <c r="C35" s="105"/>
      <c r="D35" s="105"/>
      <c r="E35" s="105"/>
      <c r="F35" s="105"/>
      <c r="G35" s="1199"/>
      <c r="H35" s="105"/>
      <c r="I35" s="997"/>
      <c r="J35" s="105"/>
      <c r="K35" s="105"/>
      <c r="L35" s="105"/>
      <c r="M35" s="105"/>
      <c r="N35" s="105"/>
      <c r="O35" s="105"/>
      <c r="P35" s="105"/>
      <c r="Q35" s="105"/>
      <c r="R35" s="105"/>
      <c r="S35" s="105"/>
      <c r="T35" s="105"/>
      <c r="U35" s="105"/>
      <c r="V35" s="105"/>
      <c r="W35" s="105"/>
      <c r="X35" s="105"/>
      <c r="Y35" s="105"/>
      <c r="Z35" s="105"/>
      <c r="AA35" s="997"/>
      <c r="AB35" s="105"/>
      <c r="AC35" s="105"/>
      <c r="AD35" s="105"/>
      <c r="AE35" s="105"/>
      <c r="AF35" s="105"/>
      <c r="AG35" s="105"/>
      <c r="AH35" s="105"/>
      <c r="AI35" s="105"/>
      <c r="AJ35" s="105"/>
      <c r="AK35" s="105"/>
      <c r="AL35" s="105"/>
      <c r="AM35" s="100"/>
      <c r="AN35" s="100"/>
      <c r="AO35" s="100"/>
      <c r="AP35" s="100"/>
      <c r="AQ35" s="100"/>
      <c r="AR35" s="100"/>
    </row>
    <row r="36" spans="1:44" ht="12.75" customHeight="1">
      <c r="A36" s="105"/>
      <c r="B36" s="105"/>
      <c r="C36" s="105"/>
      <c r="D36" s="105"/>
      <c r="E36" s="105"/>
      <c r="F36" s="105"/>
      <c r="G36" s="1199"/>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0"/>
      <c r="AN36" s="100"/>
      <c r="AO36" s="100"/>
      <c r="AP36" s="100"/>
      <c r="AQ36" s="100"/>
      <c r="AR36" s="100"/>
    </row>
    <row r="37" spans="1:44" ht="12.75" customHeight="1">
      <c r="A37" s="105"/>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0"/>
      <c r="AN37" s="100"/>
      <c r="AO37" s="100"/>
      <c r="AP37" s="100"/>
      <c r="AQ37" s="100"/>
      <c r="AR37" s="100"/>
    </row>
    <row r="38" spans="1:44" ht="12.75" customHeight="1">
      <c r="A38" s="105"/>
      <c r="B38" s="105"/>
      <c r="C38" s="105"/>
      <c r="D38" s="105"/>
      <c r="E38" s="985"/>
      <c r="F38" s="105"/>
      <c r="G38" s="105"/>
      <c r="H38" s="105"/>
      <c r="I38" s="105"/>
      <c r="J38" s="105"/>
      <c r="K38" s="105"/>
      <c r="L38" s="105"/>
      <c r="M38" s="105"/>
      <c r="N38" s="105"/>
      <c r="O38" s="105"/>
      <c r="P38" s="105"/>
      <c r="Q38" s="105"/>
      <c r="R38" s="105"/>
      <c r="S38" s="105"/>
      <c r="T38" s="105"/>
      <c r="U38" s="105"/>
      <c r="V38" s="105"/>
      <c r="W38" s="985"/>
      <c r="X38" s="105"/>
      <c r="Y38" s="105"/>
      <c r="Z38" s="105"/>
      <c r="AA38" s="105"/>
      <c r="AB38" s="105"/>
      <c r="AC38" s="105"/>
      <c r="AD38" s="105"/>
      <c r="AE38" s="105"/>
      <c r="AF38" s="105"/>
      <c r="AG38" s="105"/>
      <c r="AH38" s="105"/>
      <c r="AI38" s="105"/>
      <c r="AJ38" s="105"/>
      <c r="AK38" s="105"/>
      <c r="AL38" s="105"/>
      <c r="AM38" s="100"/>
      <c r="AN38" s="100"/>
      <c r="AO38" s="100"/>
      <c r="AP38" s="100"/>
      <c r="AQ38" s="100"/>
      <c r="AR38" s="100"/>
    </row>
    <row r="39" spans="1:44" ht="12.75" customHeight="1">
      <c r="A39" s="105"/>
      <c r="B39" s="105"/>
      <c r="C39" s="105"/>
      <c r="D39" s="998"/>
      <c r="E39" s="992"/>
      <c r="F39" s="105"/>
      <c r="G39" s="105"/>
      <c r="H39" s="105"/>
      <c r="I39" s="990"/>
      <c r="J39" s="105"/>
      <c r="K39" s="105"/>
      <c r="L39" s="105"/>
      <c r="M39" s="105"/>
      <c r="N39" s="105"/>
      <c r="O39" s="105"/>
      <c r="P39" s="105"/>
      <c r="Q39" s="105"/>
      <c r="R39" s="105"/>
      <c r="S39" s="105"/>
      <c r="T39" s="105"/>
      <c r="U39" s="105"/>
      <c r="V39" s="985"/>
      <c r="W39" s="992"/>
      <c r="X39" s="105"/>
      <c r="Y39" s="105"/>
      <c r="Z39" s="105"/>
      <c r="AA39" s="990"/>
      <c r="AB39" s="999"/>
      <c r="AC39" s="105"/>
      <c r="AD39" s="105"/>
      <c r="AE39" s="105"/>
      <c r="AF39" s="105"/>
      <c r="AG39" s="105"/>
      <c r="AH39" s="105"/>
      <c r="AI39" s="105"/>
      <c r="AJ39" s="105"/>
      <c r="AK39" s="105"/>
      <c r="AL39" s="105"/>
      <c r="AM39" s="100"/>
      <c r="AN39" s="100"/>
      <c r="AO39" s="100"/>
      <c r="AP39" s="100"/>
      <c r="AQ39" s="100"/>
      <c r="AR39" s="100"/>
    </row>
    <row r="40" spans="1:44" ht="12.75" customHeight="1">
      <c r="A40" s="105"/>
      <c r="B40" s="986"/>
      <c r="C40" s="985"/>
      <c r="D40" s="105"/>
      <c r="E40" s="105"/>
      <c r="F40" s="105"/>
      <c r="G40" s="105"/>
      <c r="H40" s="105"/>
      <c r="I40" s="105"/>
      <c r="J40" s="105"/>
      <c r="K40" s="105"/>
      <c r="L40" s="105"/>
      <c r="M40" s="105"/>
      <c r="N40" s="105"/>
      <c r="O40" s="105"/>
      <c r="P40" s="105"/>
      <c r="Q40" s="105"/>
      <c r="R40" s="105"/>
      <c r="S40" s="105"/>
      <c r="T40" s="986"/>
      <c r="U40" s="985"/>
      <c r="V40" s="105"/>
      <c r="W40" s="105"/>
      <c r="X40" s="105"/>
      <c r="Y40" s="105"/>
      <c r="Z40" s="105"/>
      <c r="AA40" s="105"/>
      <c r="AB40" s="105"/>
      <c r="AC40" s="105"/>
      <c r="AD40" s="105"/>
      <c r="AE40" s="105"/>
      <c r="AF40" s="105"/>
      <c r="AG40" s="105"/>
      <c r="AH40" s="105"/>
      <c r="AI40" s="105"/>
      <c r="AJ40" s="105"/>
      <c r="AK40" s="105"/>
      <c r="AL40" s="105"/>
      <c r="AM40" s="100"/>
      <c r="AN40" s="100"/>
      <c r="AO40" s="100"/>
      <c r="AP40" s="100"/>
      <c r="AQ40" s="100"/>
      <c r="AR40" s="100"/>
    </row>
    <row r="41" spans="1:44" ht="12.75" customHeight="1">
      <c r="A41" s="100"/>
      <c r="B41" s="100"/>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row>
    <row r="42" spans="1:44" ht="12.75" customHeight="1">
      <c r="A42" s="975"/>
      <c r="B42" s="100"/>
      <c r="C42" s="100"/>
      <c r="D42" s="100"/>
      <c r="E42" s="100"/>
      <c r="F42" s="10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row>
    <row r="43" spans="1:44" ht="12.75" customHeight="1">
      <c r="A43" s="975"/>
      <c r="B43" s="100"/>
      <c r="C43" s="100"/>
      <c r="D43" s="100"/>
      <c r="E43" s="100"/>
      <c r="F43" s="100"/>
      <c r="G43" s="100"/>
      <c r="H43" s="100"/>
      <c r="I43" s="100"/>
      <c r="J43" s="100"/>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row>
    <row r="44" spans="1:44" ht="12.75" customHeight="1">
      <c r="A44" s="100"/>
      <c r="B44" s="100"/>
      <c r="C44" s="100"/>
      <c r="D44" s="100"/>
      <c r="E44" s="100"/>
      <c r="F44" s="100"/>
      <c r="G44" s="100"/>
      <c r="H44" s="100"/>
      <c r="I44" s="100"/>
      <c r="J44" s="100"/>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row>
    <row r="45" spans="1:44" ht="12.75" customHeight="1">
      <c r="A45" s="100"/>
      <c r="B45" s="100"/>
      <c r="C45" s="100"/>
      <c r="D45" s="100"/>
      <c r="E45" s="100"/>
      <c r="F45" s="100"/>
      <c r="G45" s="100"/>
      <c r="H45" s="100"/>
      <c r="I45" s="100"/>
      <c r="J45" s="100"/>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row>
    <row r="46" spans="1:44" ht="12.75" customHeight="1">
      <c r="A46" s="100"/>
      <c r="B46" s="100"/>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row>
    <row r="47" spans="1:44" ht="12.75" customHeight="1">
      <c r="A47" s="100"/>
      <c r="B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row>
    <row r="48" spans="1:44" ht="12.75" customHeight="1">
      <c r="A48" s="100"/>
      <c r="B48" s="100"/>
      <c r="C48" s="100"/>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row>
    <row r="49" spans="1:44">
      <c r="A49" s="100"/>
      <c r="B49" s="100"/>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row>
    <row r="50" spans="1:44">
      <c r="A50" s="100"/>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row>
    <row r="51" spans="1:44">
      <c r="A51" s="100"/>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row>
    <row r="52" spans="1:44">
      <c r="A52" s="100"/>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row>
    <row r="53" spans="1:44">
      <c r="A53" s="100"/>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row>
    <row r="54" spans="1:44">
      <c r="A54" s="100"/>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row>
    <row r="55" spans="1:44">
      <c r="A55" s="100"/>
      <c r="B55" s="100"/>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row>
    <row r="56" spans="1:44">
      <c r="A56" s="100"/>
      <c r="B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row>
    <row r="57" spans="1:44">
      <c r="A57" s="100"/>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row>
    <row r="58" spans="1:44">
      <c r="A58" s="100"/>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row>
    <row r="59" spans="1:44">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row>
    <row r="60" spans="1:44">
      <c r="A60" s="100"/>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row>
    <row r="61" spans="1:44">
      <c r="A61" s="100"/>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row>
    <row r="62" spans="1:44">
      <c r="A62" s="100"/>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row>
    <row r="63" spans="1:44">
      <c r="A63" s="100"/>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row>
    <row r="64" spans="1:44">
      <c r="A64" s="100"/>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row>
    <row r="65" spans="1:44">
      <c r="A65" s="100"/>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row>
    <row r="66" spans="1:44">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row>
    <row r="67" spans="1:44">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row>
    <row r="68" spans="1:44">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row>
    <row r="69" spans="1:44">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row>
    <row r="70" spans="1:44">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row>
    <row r="71" spans="1:44">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row>
    <row r="72" spans="1:44">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row>
    <row r="73" spans="1:44">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row>
    <row r="74" spans="1:44">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row>
    <row r="75" spans="1:44">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row>
    <row r="76" spans="1:44">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row>
    <row r="77" spans="1:44">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row>
    <row r="78" spans="1:44">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row>
    <row r="79" spans="1:44">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row>
    <row r="80" spans="1:44">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row>
    <row r="81" spans="1:44">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row>
    <row r="82" spans="1:44">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row>
    <row r="83" spans="1:44">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row>
    <row r="84" spans="1:44">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row>
    <row r="85" spans="1:44">
      <c r="A85" s="100"/>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row>
    <row r="86" spans="1:44">
      <c r="A86" s="100"/>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row>
    <row r="87" spans="1:44">
      <c r="A87" s="100"/>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row>
    <row r="88" spans="1:44">
      <c r="A88" s="100"/>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row>
    <row r="89" spans="1:44">
      <c r="A89" s="100"/>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row>
    <row r="90" spans="1:44">
      <c r="A90" s="100"/>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row>
    <row r="91" spans="1:44">
      <c r="A91" s="100"/>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row>
    <row r="92" spans="1:44">
      <c r="A92" s="100"/>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row>
    <row r="93" spans="1:44">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row>
    <row r="94" spans="1:44">
      <c r="A94" s="100"/>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row>
    <row r="95" spans="1:44">
      <c r="A95" s="100"/>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row>
    <row r="96" spans="1:44">
      <c r="A96" s="100"/>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row>
    <row r="97" spans="1:44">
      <c r="A97" s="100"/>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row>
    <row r="98" spans="1:44">
      <c r="A98" s="100"/>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row>
    <row r="99" spans="1:44">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row>
    <row r="100" spans="1:44">
      <c r="A100" s="100"/>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row>
  </sheetData>
  <sheetProtection selectLockedCells="1" selectUnlockedCells="1"/>
  <mergeCells count="7">
    <mergeCell ref="G35:G36"/>
    <mergeCell ref="E32:E34"/>
    <mergeCell ref="I32:I34"/>
    <mergeCell ref="W32:W34"/>
    <mergeCell ref="AA32:AA34"/>
    <mergeCell ref="G33:G34"/>
    <mergeCell ref="Y33:Y34"/>
  </mergeCells>
  <pageMargins left="0.7" right="0.7" top="0.75" bottom="0.75" header="0.3" footer="0.3"/>
  <pageSetup paperSize="9" scale="26"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CCFF"/>
  </sheetPr>
  <dimension ref="A1:AF19"/>
  <sheetViews>
    <sheetView zoomScale="70" zoomScaleNormal="70" workbookViewId="0">
      <selection activeCell="W30" sqref="W30"/>
    </sheetView>
  </sheetViews>
  <sheetFormatPr defaultColWidth="10.6640625" defaultRowHeight="14.4"/>
  <cols>
    <col min="1" max="1" width="40.6640625" style="1029" customWidth="1"/>
    <col min="2" max="16384" width="10.6640625" style="1029"/>
  </cols>
  <sheetData>
    <row r="1" spans="1:32" ht="31.2">
      <c r="A1" s="1028" t="s">
        <v>1607</v>
      </c>
    </row>
    <row r="2" spans="1:32">
      <c r="A2" s="1029" t="s">
        <v>1544</v>
      </c>
    </row>
    <row r="3" spans="1:32">
      <c r="A3" s="1029" t="s">
        <v>1546</v>
      </c>
    </row>
    <row r="4" spans="1:32">
      <c r="A4" s="1030" t="str">
        <f>'Project-definition'!S5&amp;": "&amp;'Project-definition'!V5</f>
        <v>First year of evaluation: 2017</v>
      </c>
    </row>
    <row r="5" spans="1:32">
      <c r="A5" s="1046" t="s">
        <v>1608</v>
      </c>
      <c r="B5" s="1042">
        <f>Cashflow!C110</f>
        <v>2017</v>
      </c>
      <c r="C5" s="1042">
        <f>Cashflow!D110</f>
        <v>2018</v>
      </c>
      <c r="D5" s="1042">
        <f>Cashflow!E110</f>
        <v>2019</v>
      </c>
      <c r="E5" s="1042">
        <f>Cashflow!F110</f>
        <v>2020</v>
      </c>
      <c r="F5" s="1042">
        <f>Cashflow!G110</f>
        <v>2021</v>
      </c>
      <c r="G5" s="1042">
        <f>Cashflow!H110</f>
        <v>2022</v>
      </c>
      <c r="H5" s="1042">
        <f>Cashflow!I110</f>
        <v>2023</v>
      </c>
      <c r="I5" s="1042">
        <f>Cashflow!J110</f>
        <v>2024</v>
      </c>
      <c r="J5" s="1042">
        <f>Cashflow!K110</f>
        <v>2025</v>
      </c>
      <c r="K5" s="1042">
        <f>Cashflow!L110</f>
        <v>2026</v>
      </c>
      <c r="L5" s="1042">
        <f>Cashflow!M110</f>
        <v>2027</v>
      </c>
      <c r="M5" s="1042">
        <f>Cashflow!N110</f>
        <v>2028</v>
      </c>
      <c r="N5" s="1042">
        <f>Cashflow!O110</f>
        <v>2029</v>
      </c>
      <c r="O5" s="1042">
        <f>Cashflow!P110</f>
        <v>2030</v>
      </c>
      <c r="P5" s="1042">
        <f>Cashflow!Q110</f>
        <v>2031</v>
      </c>
      <c r="Q5" s="1042">
        <f>Cashflow!R110</f>
        <v>2032</v>
      </c>
      <c r="R5" s="1042">
        <f>Cashflow!S110</f>
        <v>2033</v>
      </c>
      <c r="S5" s="1042">
        <f>Cashflow!T110</f>
        <v>2034</v>
      </c>
      <c r="T5" s="1042">
        <f>Cashflow!U110</f>
        <v>2035</v>
      </c>
      <c r="U5" s="1042">
        <f>Cashflow!V110</f>
        <v>2036</v>
      </c>
      <c r="V5" s="1042">
        <f>Cashflow!W110</f>
        <v>2037</v>
      </c>
      <c r="W5" s="1042">
        <f>Cashflow!X110</f>
        <v>2038</v>
      </c>
      <c r="X5" s="1042">
        <f>Cashflow!Y110</f>
        <v>2039</v>
      </c>
      <c r="Y5" s="1042">
        <f>Cashflow!Z110</f>
        <v>2040</v>
      </c>
      <c r="Z5" s="1042">
        <f>Cashflow!AA110</f>
        <v>2041</v>
      </c>
      <c r="AA5" s="1042">
        <f>Cashflow!AB110</f>
        <v>2042</v>
      </c>
      <c r="AB5" s="1042">
        <f>Cashflow!AC110</f>
        <v>2043</v>
      </c>
      <c r="AC5" s="1042">
        <f>Cashflow!AD110</f>
        <v>2044</v>
      </c>
      <c r="AD5" s="1042">
        <f>Cashflow!AE110</f>
        <v>2045</v>
      </c>
      <c r="AE5" s="1042">
        <f>Cashflow!AF110</f>
        <v>2046</v>
      </c>
      <c r="AF5" s="1042">
        <f>Cashflow!AG110</f>
        <v>2047</v>
      </c>
    </row>
    <row r="6" spans="1:32">
      <c r="A6" s="1047" t="str">
        <f>Cashflow!B111</f>
        <v>Status of field</v>
      </c>
      <c r="B6" s="1043" t="str">
        <f>Cashflow!C111</f>
        <v>Not yet producing</v>
      </c>
      <c r="C6" s="1043" t="str">
        <f>Cashflow!D111</f>
        <v>Not yet producing</v>
      </c>
      <c r="D6" s="1043" t="str">
        <f>Cashflow!E111</f>
        <v>Not yet producing</v>
      </c>
      <c r="E6" s="1043" t="str">
        <f>Cashflow!F111</f>
        <v>Not yet producing</v>
      </c>
      <c r="F6" s="1043" t="str">
        <f>Cashflow!G111</f>
        <v>Not yet producing</v>
      </c>
      <c r="G6" s="1043" t="str">
        <f>Cashflow!H111</f>
        <v>Not yet producing</v>
      </c>
      <c r="H6" s="1043" t="str">
        <f>Cashflow!I111</f>
        <v>Not yet producing</v>
      </c>
      <c r="I6" s="1043" t="str">
        <f>Cashflow!J111</f>
        <v>Not yet producing</v>
      </c>
      <c r="J6" s="1043" t="str">
        <f>Cashflow!K111</f>
        <v>Producing</v>
      </c>
      <c r="K6" s="1043" t="str">
        <f ca="1">Cashflow!L111</f>
        <v>Producing</v>
      </c>
      <c r="L6" s="1043" t="str">
        <f ca="1">Cashflow!M111</f>
        <v>Producing</v>
      </c>
      <c r="M6" s="1043" t="str">
        <f ca="1">Cashflow!N111</f>
        <v>Producing</v>
      </c>
      <c r="N6" s="1043" t="str">
        <f ca="1">Cashflow!O111</f>
        <v>Producing</v>
      </c>
      <c r="O6" s="1043" t="str">
        <f ca="1">Cashflow!P111</f>
        <v>Producing</v>
      </c>
      <c r="P6" s="1043" t="str">
        <f ca="1">Cashflow!Q111</f>
        <v>Producing</v>
      </c>
      <c r="Q6" s="1043" t="str">
        <f ca="1">Cashflow!R111</f>
        <v>Producing</v>
      </c>
      <c r="R6" s="1043" t="str">
        <f ca="1">Cashflow!S111</f>
        <v>Producing</v>
      </c>
      <c r="S6" s="1043" t="str">
        <f ca="1">Cashflow!T111</f>
        <v>Producing</v>
      </c>
      <c r="T6" s="1043" t="str">
        <f ca="1">Cashflow!U111</f>
        <v>Producing</v>
      </c>
      <c r="U6" s="1043" t="str">
        <f ca="1">Cashflow!V111</f>
        <v>Producing</v>
      </c>
      <c r="V6" s="1043" t="str">
        <f ca="1">Cashflow!W111</f>
        <v>Producing</v>
      </c>
      <c r="W6" s="1043" t="str">
        <f ca="1">Cashflow!X111</f>
        <v>Producing</v>
      </c>
      <c r="X6" s="1043" t="str">
        <f ca="1">Cashflow!Y111</f>
        <v>Producing</v>
      </c>
      <c r="Y6" s="1043" t="str">
        <f ca="1">Cashflow!Z111</f>
        <v>Producing</v>
      </c>
      <c r="Z6" s="1043" t="str">
        <f ca="1">Cashflow!AA111</f>
        <v>Producing</v>
      </c>
      <c r="AA6" s="1043" t="str">
        <f ca="1">Cashflow!AB111</f>
        <v>Producing</v>
      </c>
      <c r="AB6" s="1043" t="str">
        <f ca="1">Cashflow!AC111</f>
        <v>Producing</v>
      </c>
      <c r="AC6" s="1043" t="str">
        <f ca="1">Cashflow!AD111</f>
        <v>Producing</v>
      </c>
      <c r="AD6" s="1043" t="str">
        <f ca="1">Cashflow!AE111</f>
        <v>Producing</v>
      </c>
      <c r="AE6" s="1043" t="str">
        <f ca="1">Cashflow!AF111</f>
        <v>Producing</v>
      </c>
      <c r="AF6" s="1043" t="str">
        <f ca="1">Cashflow!AG111</f>
        <v>Producing</v>
      </c>
    </row>
    <row r="7" spans="1:32">
      <c r="A7" s="1047" t="str">
        <f>Cashflow!B135</f>
        <v>Nr exploration wells attempted</v>
      </c>
      <c r="B7" s="1044">
        <f>Cashflow!C135</f>
        <v>0</v>
      </c>
      <c r="C7" s="1044">
        <f>Cashflow!D135</f>
        <v>0</v>
      </c>
      <c r="D7" s="1044">
        <f>Cashflow!E135</f>
        <v>0</v>
      </c>
      <c r="E7" s="1044">
        <f>Cashflow!F135</f>
        <v>2</v>
      </c>
      <c r="F7" s="1044">
        <f>Cashflow!G135</f>
        <v>0</v>
      </c>
      <c r="G7" s="1044">
        <f>Cashflow!H135</f>
        <v>0</v>
      </c>
      <c r="H7" s="1044">
        <f>Cashflow!I135</f>
        <v>0</v>
      </c>
      <c r="I7" s="1044">
        <f>Cashflow!J135</f>
        <v>0</v>
      </c>
      <c r="J7" s="1044">
        <f>Cashflow!K135</f>
        <v>0</v>
      </c>
      <c r="K7" s="1044">
        <f ca="1">Cashflow!L135</f>
        <v>0</v>
      </c>
      <c r="L7" s="1044">
        <f ca="1">Cashflow!M135</f>
        <v>0</v>
      </c>
      <c r="M7" s="1044">
        <f ca="1">Cashflow!N135</f>
        <v>0</v>
      </c>
      <c r="N7" s="1044">
        <f ca="1">Cashflow!O135</f>
        <v>0</v>
      </c>
      <c r="O7" s="1044">
        <f ca="1">Cashflow!P135</f>
        <v>0</v>
      </c>
      <c r="P7" s="1044">
        <f ca="1">Cashflow!Q135</f>
        <v>0</v>
      </c>
      <c r="Q7" s="1044">
        <f ca="1">Cashflow!R135</f>
        <v>0</v>
      </c>
      <c r="R7" s="1044">
        <f ca="1">Cashflow!S135</f>
        <v>0</v>
      </c>
      <c r="S7" s="1044">
        <f ca="1">Cashflow!T135</f>
        <v>0</v>
      </c>
      <c r="T7" s="1044">
        <f ca="1">Cashflow!U135</f>
        <v>0</v>
      </c>
      <c r="U7" s="1044">
        <f ca="1">Cashflow!V135</f>
        <v>0</v>
      </c>
      <c r="V7" s="1044">
        <f ca="1">Cashflow!W135</f>
        <v>0</v>
      </c>
      <c r="W7" s="1044">
        <f ca="1">Cashflow!X135</f>
        <v>0</v>
      </c>
      <c r="X7" s="1044">
        <f ca="1">Cashflow!Y135</f>
        <v>0</v>
      </c>
      <c r="Y7" s="1044">
        <f ca="1">Cashflow!Z135</f>
        <v>0</v>
      </c>
      <c r="Z7" s="1044">
        <f ca="1">Cashflow!AA135</f>
        <v>0</v>
      </c>
      <c r="AA7" s="1044">
        <f ca="1">Cashflow!AB135</f>
        <v>0</v>
      </c>
      <c r="AB7" s="1044">
        <f ca="1">Cashflow!AC135</f>
        <v>0</v>
      </c>
      <c r="AC7" s="1044">
        <f ca="1">Cashflow!AD135</f>
        <v>0</v>
      </c>
      <c r="AD7" s="1044">
        <f ca="1">Cashflow!AE135</f>
        <v>0</v>
      </c>
      <c r="AE7" s="1044">
        <f ca="1">Cashflow!AF135</f>
        <v>0</v>
      </c>
      <c r="AF7" s="1044">
        <f ca="1">Cashflow!AG135</f>
        <v>0</v>
      </c>
    </row>
    <row r="8" spans="1:32">
      <c r="A8" s="1047" t="str">
        <f>Cashflow!B141</f>
        <v>Nr appraisal wells attempted</v>
      </c>
      <c r="B8" s="1044">
        <f>Cashflow!C141</f>
        <v>0</v>
      </c>
      <c r="C8" s="1044">
        <f>Cashflow!D141</f>
        <v>0</v>
      </c>
      <c r="D8" s="1044">
        <f>Cashflow!E141</f>
        <v>0</v>
      </c>
      <c r="E8" s="1044">
        <f>Cashflow!F141</f>
        <v>0</v>
      </c>
      <c r="F8" s="1044">
        <f>Cashflow!G141</f>
        <v>2</v>
      </c>
      <c r="G8" s="1044">
        <f>Cashflow!H141</f>
        <v>0</v>
      </c>
      <c r="H8" s="1044">
        <f>Cashflow!I141</f>
        <v>0</v>
      </c>
      <c r="I8" s="1044">
        <f>Cashflow!J141</f>
        <v>0</v>
      </c>
      <c r="J8" s="1044">
        <f>Cashflow!K141</f>
        <v>0</v>
      </c>
      <c r="K8" s="1044">
        <f ca="1">Cashflow!L141</f>
        <v>0</v>
      </c>
      <c r="L8" s="1044">
        <f ca="1">Cashflow!M141</f>
        <v>0</v>
      </c>
      <c r="M8" s="1044">
        <f ca="1">Cashflow!N141</f>
        <v>0</v>
      </c>
      <c r="N8" s="1044">
        <f ca="1">Cashflow!O141</f>
        <v>0</v>
      </c>
      <c r="O8" s="1044">
        <f ca="1">Cashflow!P141</f>
        <v>0</v>
      </c>
      <c r="P8" s="1044">
        <f ca="1">Cashflow!Q141</f>
        <v>0</v>
      </c>
      <c r="Q8" s="1044">
        <f ca="1">Cashflow!R141</f>
        <v>0</v>
      </c>
      <c r="R8" s="1044">
        <f ca="1">Cashflow!S141</f>
        <v>0</v>
      </c>
      <c r="S8" s="1044">
        <f ca="1">Cashflow!T141</f>
        <v>0</v>
      </c>
      <c r="T8" s="1044">
        <f ca="1">Cashflow!U141</f>
        <v>0</v>
      </c>
      <c r="U8" s="1044">
        <f ca="1">Cashflow!V141</f>
        <v>0</v>
      </c>
      <c r="V8" s="1044">
        <f ca="1">Cashflow!W141</f>
        <v>0</v>
      </c>
      <c r="W8" s="1044">
        <f ca="1">Cashflow!X141</f>
        <v>0</v>
      </c>
      <c r="X8" s="1044">
        <f ca="1">Cashflow!Y141</f>
        <v>0</v>
      </c>
      <c r="Y8" s="1044">
        <f ca="1">Cashflow!Z141</f>
        <v>0</v>
      </c>
      <c r="Z8" s="1044">
        <f ca="1">Cashflow!AA141</f>
        <v>0</v>
      </c>
      <c r="AA8" s="1044">
        <f ca="1">Cashflow!AB141</f>
        <v>0</v>
      </c>
      <c r="AB8" s="1044">
        <f ca="1">Cashflow!AC141</f>
        <v>0</v>
      </c>
      <c r="AC8" s="1044">
        <f ca="1">Cashflow!AD141</f>
        <v>0</v>
      </c>
      <c r="AD8" s="1044">
        <f ca="1">Cashflow!AE141</f>
        <v>0</v>
      </c>
      <c r="AE8" s="1044">
        <f ca="1">Cashflow!AF141</f>
        <v>0</v>
      </c>
      <c r="AF8" s="1044">
        <f ca="1">Cashflow!AG141</f>
        <v>0</v>
      </c>
    </row>
    <row r="9" spans="1:32">
      <c r="A9" s="1047" t="s">
        <v>1611</v>
      </c>
      <c r="B9" s="1044" t="str">
        <f>IF(AND(B6="Producing", B6&lt;&gt;A6), "COD", "")</f>
        <v/>
      </c>
      <c r="C9" s="1044" t="str">
        <f t="shared" ref="C9:AF9" si="0">IF(AND(C6="Producing", C6&lt;&gt;B6), "COD", "")</f>
        <v/>
      </c>
      <c r="D9" s="1044" t="str">
        <f t="shared" si="0"/>
        <v/>
      </c>
      <c r="E9" s="1044" t="str">
        <f t="shared" si="0"/>
        <v/>
      </c>
      <c r="F9" s="1044" t="str">
        <f t="shared" si="0"/>
        <v/>
      </c>
      <c r="G9" s="1044" t="str">
        <f t="shared" si="0"/>
        <v/>
      </c>
      <c r="H9" s="1044" t="str">
        <f t="shared" si="0"/>
        <v/>
      </c>
      <c r="I9" s="1044" t="str">
        <f t="shared" si="0"/>
        <v/>
      </c>
      <c r="J9" s="1044" t="str">
        <f t="shared" si="0"/>
        <v>COD</v>
      </c>
      <c r="K9" s="1044" t="str">
        <f t="shared" ca="1" si="0"/>
        <v/>
      </c>
      <c r="L9" s="1044" t="str">
        <f t="shared" ca="1" si="0"/>
        <v/>
      </c>
      <c r="M9" s="1044" t="str">
        <f t="shared" ca="1" si="0"/>
        <v/>
      </c>
      <c r="N9" s="1044" t="str">
        <f t="shared" ca="1" si="0"/>
        <v/>
      </c>
      <c r="O9" s="1044" t="str">
        <f t="shared" ca="1" si="0"/>
        <v/>
      </c>
      <c r="P9" s="1044" t="str">
        <f t="shared" ca="1" si="0"/>
        <v/>
      </c>
      <c r="Q9" s="1044" t="str">
        <f t="shared" ca="1" si="0"/>
        <v/>
      </c>
      <c r="R9" s="1044" t="str">
        <f t="shared" ca="1" si="0"/>
        <v/>
      </c>
      <c r="S9" s="1044" t="str">
        <f t="shared" ca="1" si="0"/>
        <v/>
      </c>
      <c r="T9" s="1044" t="str">
        <f t="shared" ca="1" si="0"/>
        <v/>
      </c>
      <c r="U9" s="1044" t="str">
        <f t="shared" ca="1" si="0"/>
        <v/>
      </c>
      <c r="V9" s="1044" t="str">
        <f t="shared" ca="1" si="0"/>
        <v/>
      </c>
      <c r="W9" s="1044" t="str">
        <f t="shared" ca="1" si="0"/>
        <v/>
      </c>
      <c r="X9" s="1044" t="str">
        <f t="shared" ca="1" si="0"/>
        <v/>
      </c>
      <c r="Y9" s="1044" t="str">
        <f t="shared" ca="1" si="0"/>
        <v/>
      </c>
      <c r="Z9" s="1044" t="str">
        <f t="shared" ca="1" si="0"/>
        <v/>
      </c>
      <c r="AA9" s="1044" t="str">
        <f t="shared" ca="1" si="0"/>
        <v/>
      </c>
      <c r="AB9" s="1044" t="str">
        <f t="shared" ca="1" si="0"/>
        <v/>
      </c>
      <c r="AC9" s="1044" t="str">
        <f t="shared" ca="1" si="0"/>
        <v/>
      </c>
      <c r="AD9" s="1044" t="str">
        <f t="shared" ca="1" si="0"/>
        <v/>
      </c>
      <c r="AE9" s="1044" t="str">
        <f t="shared" ca="1" si="0"/>
        <v/>
      </c>
      <c r="AF9" s="1044" t="str">
        <f t="shared" ca="1" si="0"/>
        <v/>
      </c>
    </row>
    <row r="10" spans="1:32">
      <c r="A10" s="1047" t="str">
        <f>Cashflow!B147</f>
        <v>Nr development wells (producers) attempted</v>
      </c>
      <c r="B10" s="1044">
        <f>Cashflow!C147</f>
        <v>0</v>
      </c>
      <c r="C10" s="1044">
        <f>Cashflow!D147</f>
        <v>0</v>
      </c>
      <c r="D10" s="1044">
        <f>Cashflow!E147</f>
        <v>0</v>
      </c>
      <c r="E10" s="1044">
        <f>Cashflow!F147</f>
        <v>0</v>
      </c>
      <c r="F10" s="1044">
        <f>Cashflow!G147</f>
        <v>0</v>
      </c>
      <c r="G10" s="1044">
        <f>Cashflow!H147</f>
        <v>0</v>
      </c>
      <c r="H10" s="1044">
        <f>Cashflow!I147</f>
        <v>1</v>
      </c>
      <c r="I10" s="1044">
        <f>Cashflow!J147</f>
        <v>2</v>
      </c>
      <c r="J10" s="1044">
        <f>Cashflow!K147</f>
        <v>2</v>
      </c>
      <c r="K10" s="1044">
        <f ca="1">Cashflow!L147</f>
        <v>2</v>
      </c>
      <c r="L10" s="1044">
        <f ca="1">Cashflow!M147</f>
        <v>2</v>
      </c>
      <c r="M10" s="1044">
        <f ca="1">Cashflow!N147</f>
        <v>2</v>
      </c>
      <c r="N10" s="1044">
        <f ca="1">Cashflow!O147</f>
        <v>0</v>
      </c>
      <c r="O10" s="1044">
        <f ca="1">Cashflow!P147</f>
        <v>0</v>
      </c>
      <c r="P10" s="1044">
        <f ca="1">Cashflow!Q147</f>
        <v>0</v>
      </c>
      <c r="Q10" s="1044">
        <f ca="1">Cashflow!R147</f>
        <v>0</v>
      </c>
      <c r="R10" s="1044">
        <f ca="1">Cashflow!S147</f>
        <v>0</v>
      </c>
      <c r="S10" s="1044">
        <f ca="1">Cashflow!T147</f>
        <v>0</v>
      </c>
      <c r="T10" s="1044">
        <f ca="1">Cashflow!U147</f>
        <v>0</v>
      </c>
      <c r="U10" s="1044">
        <f ca="1">Cashflow!V147</f>
        <v>0</v>
      </c>
      <c r="V10" s="1044">
        <f ca="1">Cashflow!W147</f>
        <v>0</v>
      </c>
      <c r="W10" s="1044">
        <f ca="1">Cashflow!X147</f>
        <v>0</v>
      </c>
      <c r="X10" s="1044">
        <f ca="1">Cashflow!Y147</f>
        <v>0</v>
      </c>
      <c r="Y10" s="1044">
        <f ca="1">Cashflow!Z147</f>
        <v>0</v>
      </c>
      <c r="Z10" s="1044">
        <f ca="1">Cashflow!AA147</f>
        <v>0</v>
      </c>
      <c r="AA10" s="1044">
        <f ca="1">Cashflow!AB147</f>
        <v>0</v>
      </c>
      <c r="AB10" s="1044">
        <f ca="1">Cashflow!AC147</f>
        <v>0</v>
      </c>
      <c r="AC10" s="1044">
        <f ca="1">Cashflow!AD147</f>
        <v>0</v>
      </c>
      <c r="AD10" s="1044">
        <f ca="1">Cashflow!AE147</f>
        <v>0</v>
      </c>
      <c r="AE10" s="1044">
        <f ca="1">Cashflow!AF147</f>
        <v>0</v>
      </c>
      <c r="AF10" s="1044">
        <f ca="1">Cashflow!AG147</f>
        <v>0</v>
      </c>
    </row>
    <row r="11" spans="1:32">
      <c r="A11" s="1047" t="str">
        <f>'Well Opex'!B48</f>
        <v>Nr of injection wells drilled</v>
      </c>
      <c r="B11" s="1044">
        <f>'Well Opex'!C48</f>
        <v>0</v>
      </c>
      <c r="C11" s="1044">
        <f>'Well Opex'!D48</f>
        <v>0</v>
      </c>
      <c r="D11" s="1044">
        <f>'Well Opex'!E48</f>
        <v>0</v>
      </c>
      <c r="E11" s="1044">
        <f>'Well Opex'!F48</f>
        <v>0</v>
      </c>
      <c r="F11" s="1044">
        <f>'Well Opex'!G48</f>
        <v>0</v>
      </c>
      <c r="G11" s="1044">
        <f>'Well Opex'!H48</f>
        <v>0</v>
      </c>
      <c r="H11" s="1044">
        <f>'Well Opex'!I48</f>
        <v>1</v>
      </c>
      <c r="I11" s="1044">
        <f>'Well Opex'!J48</f>
        <v>2</v>
      </c>
      <c r="J11" s="1044">
        <f>'Well Opex'!K48</f>
        <v>1</v>
      </c>
      <c r="K11" s="1044">
        <f ca="1">'Well Opex'!L48</f>
        <v>2</v>
      </c>
      <c r="L11" s="1044">
        <f ca="1">'Well Opex'!M48</f>
        <v>1</v>
      </c>
      <c r="M11" s="1044">
        <f ca="1">'Well Opex'!N48</f>
        <v>2</v>
      </c>
      <c r="N11" s="1044">
        <f ca="1">'Well Opex'!O48</f>
        <v>0</v>
      </c>
      <c r="O11" s="1044">
        <f ca="1">'Well Opex'!P48</f>
        <v>0</v>
      </c>
      <c r="P11" s="1044">
        <f ca="1">'Well Opex'!Q48</f>
        <v>0</v>
      </c>
      <c r="Q11" s="1044">
        <f ca="1">'Well Opex'!R48</f>
        <v>0</v>
      </c>
      <c r="R11" s="1044">
        <f ca="1">'Well Opex'!S48</f>
        <v>0</v>
      </c>
      <c r="S11" s="1044">
        <f ca="1">'Well Opex'!T48</f>
        <v>0</v>
      </c>
      <c r="T11" s="1044">
        <f ca="1">'Well Opex'!U48</f>
        <v>0</v>
      </c>
      <c r="U11" s="1044">
        <f ca="1">'Well Opex'!V48</f>
        <v>0</v>
      </c>
      <c r="V11" s="1044">
        <f ca="1">'Well Opex'!W48</f>
        <v>0</v>
      </c>
      <c r="W11" s="1044">
        <f ca="1">'Well Opex'!X48</f>
        <v>0</v>
      </c>
      <c r="X11" s="1044">
        <f ca="1">'Well Opex'!Y48</f>
        <v>0</v>
      </c>
      <c r="Y11" s="1044">
        <f ca="1">'Well Opex'!Z48</f>
        <v>0</v>
      </c>
      <c r="Z11" s="1044">
        <f ca="1">'Well Opex'!AA48</f>
        <v>0</v>
      </c>
      <c r="AA11" s="1044">
        <f ca="1">'Well Opex'!AB48</f>
        <v>0</v>
      </c>
      <c r="AB11" s="1044">
        <f ca="1">'Well Opex'!AC48</f>
        <v>0</v>
      </c>
      <c r="AC11" s="1044">
        <f ca="1">'Well Opex'!AD48</f>
        <v>0</v>
      </c>
      <c r="AD11" s="1044">
        <f ca="1">'Well Opex'!AE48</f>
        <v>0</v>
      </c>
      <c r="AE11" s="1044">
        <f ca="1">'Well Opex'!AF48</f>
        <v>0</v>
      </c>
      <c r="AF11" s="1044">
        <f ca="1">'Well Opex'!AG48</f>
        <v>0</v>
      </c>
    </row>
    <row r="12" spans="1:32">
      <c r="A12" s="1047" t="str">
        <f>Cashflow!B122</f>
        <v>New prod/inj well clusters constructed</v>
      </c>
      <c r="B12" s="1045">
        <f>Cashflow!C122</f>
        <v>0</v>
      </c>
      <c r="C12" s="1045">
        <f>Cashflow!D122</f>
        <v>0</v>
      </c>
      <c r="D12" s="1045">
        <f>Cashflow!E122</f>
        <v>0</v>
      </c>
      <c r="E12" s="1045">
        <f>Cashflow!F122</f>
        <v>1</v>
      </c>
      <c r="F12" s="1045">
        <f>Cashflow!G122</f>
        <v>0</v>
      </c>
      <c r="G12" s="1045">
        <f>Cashflow!H122</f>
        <v>0</v>
      </c>
      <c r="H12" s="1045">
        <f>Cashflow!I122</f>
        <v>0</v>
      </c>
      <c r="I12" s="1045">
        <f>Cashflow!J122</f>
        <v>1</v>
      </c>
      <c r="J12" s="1045">
        <f>Cashflow!K122</f>
        <v>1</v>
      </c>
      <c r="K12" s="1045">
        <f ca="1">Cashflow!L122</f>
        <v>0</v>
      </c>
      <c r="L12" s="1045">
        <f ca="1">Cashflow!M122</f>
        <v>1</v>
      </c>
      <c r="M12" s="1045">
        <f ca="1">Cashflow!N122</f>
        <v>1</v>
      </c>
      <c r="N12" s="1045">
        <f ca="1">Cashflow!O122</f>
        <v>0</v>
      </c>
      <c r="O12" s="1045">
        <f ca="1">Cashflow!P122</f>
        <v>0</v>
      </c>
      <c r="P12" s="1045">
        <f ca="1">Cashflow!Q122</f>
        <v>0</v>
      </c>
      <c r="Q12" s="1045">
        <f ca="1">Cashflow!R122</f>
        <v>0</v>
      </c>
      <c r="R12" s="1045">
        <f ca="1">Cashflow!S122</f>
        <v>0</v>
      </c>
      <c r="S12" s="1045">
        <f ca="1">Cashflow!T122</f>
        <v>0</v>
      </c>
      <c r="T12" s="1045">
        <f ca="1">Cashflow!U122</f>
        <v>0</v>
      </c>
      <c r="U12" s="1045">
        <f ca="1">Cashflow!V122</f>
        <v>0</v>
      </c>
      <c r="V12" s="1045">
        <f ca="1">Cashflow!W122</f>
        <v>0</v>
      </c>
      <c r="W12" s="1045">
        <f ca="1">Cashflow!X122</f>
        <v>0</v>
      </c>
      <c r="X12" s="1045">
        <f ca="1">Cashflow!Y122</f>
        <v>0</v>
      </c>
      <c r="Y12" s="1045">
        <f ca="1">Cashflow!Z122</f>
        <v>0</v>
      </c>
      <c r="Z12" s="1045">
        <f ca="1">Cashflow!AA122</f>
        <v>0</v>
      </c>
      <c r="AA12" s="1045">
        <f ca="1">Cashflow!AB122</f>
        <v>0</v>
      </c>
      <c r="AB12" s="1045">
        <f ca="1">Cashflow!AC122</f>
        <v>0</v>
      </c>
      <c r="AC12" s="1045">
        <f ca="1">Cashflow!AD122</f>
        <v>0</v>
      </c>
      <c r="AD12" s="1045">
        <f ca="1">Cashflow!AE122</f>
        <v>0</v>
      </c>
      <c r="AE12" s="1045">
        <f ca="1">Cashflow!AF122</f>
        <v>0</v>
      </c>
      <c r="AF12" s="1045">
        <f ca="1">Cashflow!AG122</f>
        <v>0</v>
      </c>
    </row>
    <row r="13" spans="1:32">
      <c r="A13" s="1047" t="s">
        <v>1893</v>
      </c>
      <c r="B13" s="1045">
        <f>IF(Capex!C65=0,0,1)</f>
        <v>0</v>
      </c>
      <c r="C13" s="1045">
        <f>IF(Capex!D65=0,0,1)</f>
        <v>0</v>
      </c>
      <c r="D13" s="1045">
        <f>IF(Capex!E65=0,0,1)</f>
        <v>0</v>
      </c>
      <c r="E13" s="1045">
        <f>IF(Capex!F65=0,0,1)</f>
        <v>0</v>
      </c>
      <c r="F13" s="1045">
        <f>IF(Capex!G65=0,0,1)</f>
        <v>0</v>
      </c>
      <c r="G13" s="1045">
        <f>IF(Capex!H65=0,0,1)</f>
        <v>0</v>
      </c>
      <c r="H13" s="1045">
        <f>IF(Capex!I65=0,0,1)</f>
        <v>0</v>
      </c>
      <c r="I13" s="1045">
        <f>IF(Capex!J65=0,0,1)</f>
        <v>0</v>
      </c>
      <c r="J13" s="1045">
        <f>IF(Capex!K65=0,0,1)</f>
        <v>0</v>
      </c>
      <c r="K13" s="1045">
        <f ca="1">IF(Capex!L65=0,0,1)</f>
        <v>0</v>
      </c>
      <c r="L13" s="1045">
        <f ca="1">IF(Capex!M65=0,0,1)</f>
        <v>0</v>
      </c>
      <c r="M13" s="1045">
        <f ca="1">IF(Capex!N65=0,0,1)</f>
        <v>0</v>
      </c>
      <c r="N13" s="1045">
        <f ca="1">IF(Capex!O65=0,0,1)</f>
        <v>0</v>
      </c>
      <c r="O13" s="1045">
        <f ca="1">IF(Capex!P65=0,0,1)</f>
        <v>0</v>
      </c>
      <c r="P13" s="1045">
        <f ca="1">IF(Capex!Q65=0,0,1)</f>
        <v>0</v>
      </c>
      <c r="Q13" s="1045">
        <f ca="1">IF(Capex!R65=0,0,1)</f>
        <v>0</v>
      </c>
      <c r="R13" s="1045">
        <f ca="1">IF(Capex!S65=0,0,1)</f>
        <v>0</v>
      </c>
      <c r="S13" s="1045">
        <f ca="1">IF(Capex!T65=0,0,1)</f>
        <v>0</v>
      </c>
      <c r="T13" s="1045">
        <f ca="1">IF(Capex!U65=0,0,1)</f>
        <v>0</v>
      </c>
      <c r="U13" s="1045">
        <f ca="1">IF(Capex!V65=0,0,1)</f>
        <v>0</v>
      </c>
      <c r="V13" s="1045">
        <f ca="1">IF(Capex!W65=0,0,1)</f>
        <v>0</v>
      </c>
      <c r="W13" s="1045">
        <f ca="1">IF(Capex!X65=0,0,1)</f>
        <v>1</v>
      </c>
      <c r="X13" s="1045">
        <f ca="1">IF(Capex!Y65=0,0,1)</f>
        <v>0</v>
      </c>
      <c r="Y13" s="1045">
        <f ca="1">IF(Capex!Z65=0,0,1)</f>
        <v>0</v>
      </c>
      <c r="Z13" s="1045">
        <f ca="1">IF(Capex!AA65=0,0,1)</f>
        <v>0</v>
      </c>
      <c r="AA13" s="1045">
        <f ca="1">IF(Capex!AB65=0,0,1)</f>
        <v>0</v>
      </c>
      <c r="AB13" s="1045">
        <f ca="1">IF(Capex!AC65=0,0,1)</f>
        <v>0</v>
      </c>
      <c r="AC13" s="1045">
        <f ca="1">IF(Capex!AD65=0,0,1)</f>
        <v>0</v>
      </c>
      <c r="AD13" s="1045">
        <f ca="1">IF(Capex!AE65=0,0,1)</f>
        <v>0</v>
      </c>
      <c r="AE13" s="1045">
        <f ca="1">IF(Capex!AF65=0,0,1)</f>
        <v>0</v>
      </c>
      <c r="AF13" s="1045">
        <f ca="1">IF(Capex!AG65=0,0,1)</f>
        <v>0</v>
      </c>
    </row>
    <row r="14" spans="1:32">
      <c r="A14" s="1047" t="s">
        <v>1685</v>
      </c>
      <c r="B14" s="1045">
        <f>Flow!C58</f>
        <v>0</v>
      </c>
      <c r="C14" s="1045">
        <f>Flow!D58</f>
        <v>0</v>
      </c>
      <c r="D14" s="1045">
        <f>Flow!E58</f>
        <v>0</v>
      </c>
      <c r="E14" s="1045">
        <f>Flow!F58</f>
        <v>0</v>
      </c>
      <c r="F14" s="1045">
        <f>Flow!G58</f>
        <v>0</v>
      </c>
      <c r="G14" s="1045">
        <f>Flow!H58</f>
        <v>0</v>
      </c>
      <c r="H14" s="1045">
        <f>Flow!I58</f>
        <v>0</v>
      </c>
      <c r="I14" s="1045">
        <f>Flow!J58</f>
        <v>0</v>
      </c>
      <c r="J14" s="1045" t="str">
        <f>Flow!K58</f>
        <v>Res. inj.</v>
      </c>
      <c r="K14" s="1045" t="e">
        <f ca="1">Flow!L58</f>
        <v>#NAME?</v>
      </c>
      <c r="L14" s="1045" t="e">
        <f ca="1">Flow!M58</f>
        <v>#NAME?</v>
      </c>
      <c r="M14" s="1045" t="e">
        <f ca="1">Flow!N58</f>
        <v>#NAME?</v>
      </c>
      <c r="N14" s="1045" t="e">
        <f ca="1">Flow!O58</f>
        <v>#NAME?</v>
      </c>
      <c r="O14" s="1045" t="e">
        <f ca="1">Flow!P58</f>
        <v>#NAME?</v>
      </c>
      <c r="P14" s="1045" t="e">
        <f ca="1">Flow!Q58</f>
        <v>#NAME?</v>
      </c>
      <c r="Q14" s="1045" t="e">
        <f ca="1">Flow!R58</f>
        <v>#NAME?</v>
      </c>
      <c r="R14" s="1045" t="e">
        <f ca="1">Flow!S58</f>
        <v>#NAME?</v>
      </c>
      <c r="S14" s="1045" t="e">
        <f ca="1">Flow!T58</f>
        <v>#NAME?</v>
      </c>
      <c r="T14" s="1045" t="e">
        <f ca="1">Flow!U58</f>
        <v>#NAME?</v>
      </c>
      <c r="U14" s="1045" t="e">
        <f ca="1">Flow!V58</f>
        <v>#NAME?</v>
      </c>
      <c r="V14" s="1045" t="e">
        <f ca="1">Flow!W58</f>
        <v>#NAME?</v>
      </c>
      <c r="W14" s="1045" t="e">
        <f ca="1">Flow!X58</f>
        <v>#NAME?</v>
      </c>
      <c r="X14" s="1045" t="e">
        <f ca="1">Flow!Y58</f>
        <v>#NAME?</v>
      </c>
      <c r="Y14" s="1045" t="e">
        <f ca="1">Flow!Z58</f>
        <v>#NAME?</v>
      </c>
      <c r="Z14" s="1045" t="e">
        <f ca="1">Flow!AA58</f>
        <v>#NAME?</v>
      </c>
      <c r="AA14" s="1045" t="e">
        <f ca="1">Flow!AB58</f>
        <v>#NAME?</v>
      </c>
      <c r="AB14" s="1045" t="e">
        <f ca="1">Flow!AC58</f>
        <v>#NAME?</v>
      </c>
      <c r="AC14" s="1045" t="e">
        <f ca="1">Flow!AD58</f>
        <v>#NAME?</v>
      </c>
      <c r="AD14" s="1045" t="e">
        <f ca="1">Flow!AE58</f>
        <v>#NAME?</v>
      </c>
      <c r="AE14" s="1045" t="e">
        <f ca="1">Flow!AF58</f>
        <v>#NAME?</v>
      </c>
      <c r="AF14" s="1045" t="e">
        <f ca="1">Flow!AG58</f>
        <v>#NAME?</v>
      </c>
    </row>
    <row r="15" spans="1:32">
      <c r="A15" s="1047"/>
      <c r="B15" s="1049"/>
      <c r="C15" s="1049"/>
      <c r="D15" s="1049"/>
      <c r="E15" s="1049"/>
      <c r="F15" s="1049"/>
      <c r="G15" s="1049"/>
      <c r="H15" s="1049"/>
      <c r="I15" s="1049"/>
      <c r="J15" s="1049"/>
      <c r="K15" s="1049"/>
      <c r="L15" s="1049"/>
      <c r="M15" s="1049"/>
      <c r="N15" s="1049"/>
      <c r="O15" s="1049"/>
      <c r="P15" s="1049"/>
      <c r="Q15" s="1049"/>
      <c r="R15" s="1049"/>
      <c r="S15" s="1049"/>
      <c r="T15" s="1049"/>
      <c r="U15" s="1049"/>
      <c r="V15" s="1049"/>
      <c r="W15" s="1049"/>
      <c r="X15" s="1049"/>
      <c r="Y15" s="1049"/>
      <c r="Z15" s="1049"/>
      <c r="AA15" s="1049"/>
      <c r="AB15" s="1049"/>
      <c r="AC15" s="1049"/>
      <c r="AD15" s="1049"/>
      <c r="AE15" s="1049"/>
      <c r="AF15" s="1049"/>
    </row>
    <row r="16" spans="1:32">
      <c r="A16" s="1047" t="str">
        <f>Cashflow!B115</f>
        <v>Determine year of C/I field</v>
      </c>
      <c r="B16" s="1044" t="str">
        <f>Cashflow!C115</f>
        <v/>
      </c>
      <c r="C16" s="1044" t="str">
        <f>Cashflow!D115</f>
        <v/>
      </c>
      <c r="D16" s="1044" t="str">
        <f>Cashflow!E115</f>
        <v/>
      </c>
      <c r="E16" s="1044" t="str">
        <f>Cashflow!F115</f>
        <v/>
      </c>
      <c r="F16" s="1044" t="str">
        <f>Cashflow!G115</f>
        <v/>
      </c>
      <c r="G16" s="1044" t="str">
        <f>Cashflow!H115</f>
        <v/>
      </c>
      <c r="H16" s="1044" t="str">
        <f>Cashflow!I115</f>
        <v/>
      </c>
      <c r="I16" s="1044" t="str">
        <f>Cashflow!J115</f>
        <v/>
      </c>
      <c r="J16" s="1044" t="str">
        <f>Cashflow!K115</f>
        <v/>
      </c>
      <c r="K16" s="1044" t="str">
        <f ca="1">Cashflow!L115</f>
        <v/>
      </c>
      <c r="L16" s="1044" t="str">
        <f ca="1">Cashflow!M115</f>
        <v/>
      </c>
      <c r="M16" s="1044" t="str">
        <f ca="1">Cashflow!N115</f>
        <v/>
      </c>
      <c r="N16" s="1044" t="str">
        <f ca="1">Cashflow!O115</f>
        <v/>
      </c>
      <c r="O16" s="1044" t="str">
        <f ca="1">Cashflow!P115</f>
        <v/>
      </c>
      <c r="P16" s="1044" t="str">
        <f ca="1">Cashflow!Q115</f>
        <v/>
      </c>
      <c r="Q16" s="1044" t="str">
        <f ca="1">Cashflow!R115</f>
        <v/>
      </c>
      <c r="R16" s="1044" t="str">
        <f ca="1">Cashflow!S115</f>
        <v/>
      </c>
      <c r="S16" s="1044" t="str">
        <f ca="1">Cashflow!T115</f>
        <v/>
      </c>
      <c r="T16" s="1044" t="str">
        <f ca="1">Cashflow!U115</f>
        <v/>
      </c>
      <c r="U16" s="1044" t="str">
        <f ca="1">Cashflow!V115</f>
        <v/>
      </c>
      <c r="V16" s="1044" t="str">
        <f ca="1">Cashflow!W115</f>
        <v/>
      </c>
      <c r="W16" s="1044" t="str">
        <f ca="1">Cashflow!X115</f>
        <v/>
      </c>
      <c r="X16" s="1044" t="str">
        <f ca="1">Cashflow!Y115</f>
        <v/>
      </c>
      <c r="Y16" s="1044" t="str">
        <f ca="1">Cashflow!Z115</f>
        <v/>
      </c>
      <c r="Z16" s="1044" t="str">
        <f ca="1">Cashflow!AA115</f>
        <v/>
      </c>
      <c r="AA16" s="1044" t="str">
        <f ca="1">Cashflow!AB115</f>
        <v/>
      </c>
      <c r="AB16" s="1044" t="str">
        <f ca="1">Cashflow!AC115</f>
        <v/>
      </c>
      <c r="AC16" s="1044" t="str">
        <f ca="1">Cashflow!AD115</f>
        <v/>
      </c>
      <c r="AD16" s="1044" t="str">
        <f ca="1">Cashflow!AE115</f>
        <v/>
      </c>
      <c r="AE16" s="1044" t="str">
        <f ca="1">Cashflow!AF115</f>
        <v/>
      </c>
      <c r="AF16" s="1044" t="str">
        <f ca="1">Cashflow!AG115</f>
        <v/>
      </c>
    </row>
    <row r="17" spans="1:32">
      <c r="A17" s="1047" t="str">
        <f>Cashflow!B112</f>
        <v>Shut-in reason</v>
      </c>
      <c r="B17" s="1043" t="str">
        <f>Cashflow!C112</f>
        <v/>
      </c>
      <c r="C17" s="1043" t="str">
        <f>Cashflow!D112</f>
        <v/>
      </c>
      <c r="D17" s="1043" t="str">
        <f>Cashflow!E112</f>
        <v/>
      </c>
      <c r="E17" s="1043" t="str">
        <f>Cashflow!F112</f>
        <v/>
      </c>
      <c r="F17" s="1043" t="str">
        <f>Cashflow!G112</f>
        <v/>
      </c>
      <c r="G17" s="1043" t="str">
        <f>Cashflow!H112</f>
        <v/>
      </c>
      <c r="H17" s="1043" t="str">
        <f>Cashflow!I112</f>
        <v/>
      </c>
      <c r="I17" s="1043" t="str">
        <f>Cashflow!J112</f>
        <v/>
      </c>
      <c r="J17" s="1043" t="str">
        <f>Cashflow!K112</f>
        <v/>
      </c>
      <c r="K17" s="1043" t="str">
        <f ca="1">Cashflow!L112</f>
        <v/>
      </c>
      <c r="L17" s="1043" t="str">
        <f ca="1">Cashflow!M112</f>
        <v/>
      </c>
      <c r="M17" s="1043" t="str">
        <f ca="1">Cashflow!N112</f>
        <v/>
      </c>
      <c r="N17" s="1043" t="str">
        <f ca="1">Cashflow!O112</f>
        <v/>
      </c>
      <c r="O17" s="1043" t="str">
        <f ca="1">Cashflow!P112</f>
        <v/>
      </c>
      <c r="P17" s="1043" t="str">
        <f ca="1">Cashflow!Q112</f>
        <v/>
      </c>
      <c r="Q17" s="1043" t="str">
        <f ca="1">Cashflow!R112</f>
        <v/>
      </c>
      <c r="R17" s="1043" t="str">
        <f ca="1">Cashflow!S112</f>
        <v/>
      </c>
      <c r="S17" s="1043" t="str">
        <f ca="1">Cashflow!T112</f>
        <v/>
      </c>
      <c r="T17" s="1043" t="str">
        <f ca="1">Cashflow!U112</f>
        <v/>
      </c>
      <c r="U17" s="1043" t="str">
        <f ca="1">Cashflow!V112</f>
        <v/>
      </c>
      <c r="V17" s="1043" t="str">
        <f ca="1">Cashflow!W112</f>
        <v/>
      </c>
      <c r="W17" s="1043" t="str">
        <f ca="1">Cashflow!X112</f>
        <v/>
      </c>
      <c r="X17" s="1043" t="str">
        <f ca="1">Cashflow!Y112</f>
        <v/>
      </c>
      <c r="Y17" s="1043" t="str">
        <f ca="1">Cashflow!Z112</f>
        <v/>
      </c>
      <c r="Z17" s="1043" t="str">
        <f ca="1">Cashflow!AA112</f>
        <v/>
      </c>
      <c r="AA17" s="1043" t="str">
        <f ca="1">Cashflow!AB112</f>
        <v/>
      </c>
      <c r="AB17" s="1043" t="str">
        <f ca="1">Cashflow!AC112</f>
        <v/>
      </c>
      <c r="AC17" s="1043" t="str">
        <f ca="1">Cashflow!AD112</f>
        <v/>
      </c>
      <c r="AD17" s="1043" t="str">
        <f ca="1">Cashflow!AE112</f>
        <v/>
      </c>
      <c r="AE17" s="1043" t="str">
        <f ca="1">Cashflow!AF112</f>
        <v/>
      </c>
      <c r="AF17" s="1043" t="str">
        <f ca="1">Cashflow!AG112</f>
        <v/>
      </c>
    </row>
    <row r="18" spans="1:32">
      <c r="A18" s="1047" t="s">
        <v>1609</v>
      </c>
      <c r="B18" s="1045" t="str">
        <f ca="1">IF(Cashflow!C117=0, "N/A", Cashflow!C117)</f>
        <v>N/A</v>
      </c>
      <c r="C18" s="1049"/>
      <c r="D18" s="1049"/>
      <c r="E18" s="1049"/>
      <c r="F18" s="1049"/>
      <c r="G18" s="1049"/>
      <c r="H18" s="1049"/>
      <c r="I18" s="1049"/>
      <c r="J18" s="1049"/>
      <c r="K18" s="1049"/>
      <c r="L18" s="1049"/>
      <c r="M18" s="1049"/>
      <c r="N18" s="1049"/>
      <c r="O18" s="1049"/>
      <c r="P18" s="1049"/>
      <c r="Q18" s="1049"/>
      <c r="R18" s="1049"/>
      <c r="S18" s="1049"/>
      <c r="T18" s="1049"/>
      <c r="U18" s="1049"/>
      <c r="V18" s="1049"/>
      <c r="W18" s="1049"/>
      <c r="X18" s="1049"/>
      <c r="Y18" s="1049"/>
      <c r="Z18" s="1049"/>
      <c r="AA18" s="1049"/>
      <c r="AB18" s="1049"/>
      <c r="AC18" s="1049"/>
      <c r="AD18" s="1049"/>
      <c r="AE18" s="1049"/>
      <c r="AF18" s="1049"/>
    </row>
    <row r="19" spans="1:32">
      <c r="A19" s="1047" t="s">
        <v>1610</v>
      </c>
      <c r="B19" s="1045" t="str">
        <f ca="1">Cashflow!C118</f>
        <v>N/A</v>
      </c>
      <c r="C19" s="1049"/>
      <c r="D19" s="1049"/>
      <c r="E19" s="1049"/>
      <c r="F19" s="1049"/>
      <c r="G19" s="1049"/>
      <c r="H19" s="1049"/>
      <c r="I19" s="1049"/>
      <c r="J19" s="1049"/>
      <c r="K19" s="1049"/>
      <c r="L19" s="1049"/>
      <c r="M19" s="1049"/>
      <c r="N19" s="1049"/>
      <c r="O19" s="1049"/>
      <c r="P19" s="1049"/>
      <c r="Q19" s="1049"/>
      <c r="R19" s="1049"/>
      <c r="S19" s="1049"/>
      <c r="T19" s="1049"/>
      <c r="U19" s="1049"/>
      <c r="V19" s="1049"/>
      <c r="W19" s="1049"/>
      <c r="X19" s="1049"/>
      <c r="Y19" s="1049"/>
      <c r="Z19" s="1049"/>
      <c r="AA19" s="1049"/>
      <c r="AB19" s="1049"/>
      <c r="AC19" s="1049"/>
      <c r="AD19" s="1049"/>
      <c r="AE19" s="1049"/>
      <c r="AF19" s="1049"/>
    </row>
  </sheetData>
  <sheetProtection sheet="1" objects="1" scenarios="1" selectLockedCells="1" selectUnlockedCells="1"/>
  <conditionalFormatting sqref="B6:AF6">
    <cfRule type="expression" dxfId="281" priority="4">
      <formula>B$6&lt;&gt;A$6</formula>
    </cfRule>
  </conditionalFormatting>
  <conditionalFormatting sqref="B7:AF14">
    <cfRule type="expression" dxfId="280" priority="3">
      <formula>B7=0</formula>
    </cfRule>
  </conditionalFormatting>
  <conditionalFormatting sqref="B9:AF9">
    <cfRule type="expression" dxfId="279" priority="2">
      <formula>B$9="COD"</formula>
    </cfRule>
  </conditionalFormatting>
  <conditionalFormatting sqref="B13:AF13">
    <cfRule type="cellIs" dxfId="278" priority="1" operator="equal">
      <formula>1</formula>
    </cfRule>
  </conditionalFormatting>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C99"/>
  </sheetPr>
  <dimension ref="A1:AZ100"/>
  <sheetViews>
    <sheetView zoomScale="80" zoomScaleNormal="80" workbookViewId="0">
      <selection activeCell="S23" sqref="S23"/>
    </sheetView>
  </sheetViews>
  <sheetFormatPr defaultRowHeight="14.4"/>
  <sheetData>
    <row r="1" spans="1:52">
      <c r="A1" s="553"/>
      <c r="B1" s="358"/>
      <c r="C1" s="553"/>
      <c r="D1" s="358"/>
      <c r="E1" s="553"/>
      <c r="F1" s="358"/>
      <c r="G1" s="553"/>
      <c r="H1" s="358"/>
      <c r="I1" s="553"/>
      <c r="J1" s="358"/>
      <c r="K1" s="553"/>
      <c r="L1" s="358"/>
      <c r="M1" s="553"/>
      <c r="N1" s="358"/>
      <c r="O1" s="553"/>
      <c r="P1" s="358"/>
      <c r="Q1" s="553"/>
      <c r="R1" s="358"/>
      <c r="S1" s="553"/>
      <c r="T1" s="358"/>
      <c r="U1" s="553"/>
      <c r="V1" s="358"/>
      <c r="W1" s="553"/>
      <c r="X1" s="358"/>
      <c r="Y1" s="553"/>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row>
    <row r="2" spans="1:52">
      <c r="A2" s="358"/>
      <c r="B2" s="358"/>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row>
    <row r="3" spans="1:52">
      <c r="A3" s="553"/>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row>
    <row r="4" spans="1:52">
      <c r="A4" s="358"/>
      <c r="B4" s="358"/>
      <c r="C4" s="553"/>
      <c r="D4" s="358"/>
      <c r="E4" s="553"/>
      <c r="F4" s="358"/>
      <c r="G4" s="553"/>
      <c r="H4" s="358"/>
      <c r="I4" s="553"/>
      <c r="J4" s="358"/>
      <c r="K4" s="553"/>
      <c r="L4" s="358"/>
      <c r="M4" s="553"/>
      <c r="N4" s="358"/>
      <c r="O4" s="553"/>
      <c r="P4" s="358"/>
      <c r="Q4" s="553"/>
      <c r="R4" s="358"/>
      <c r="S4" s="553"/>
      <c r="T4" s="358"/>
      <c r="U4" s="553"/>
      <c r="V4" s="358"/>
      <c r="W4" s="553"/>
      <c r="X4" s="358"/>
      <c r="Y4" s="553"/>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row>
    <row r="5" spans="1:52">
      <c r="A5" s="553"/>
      <c r="B5" s="358"/>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row>
    <row r="6" spans="1:52">
      <c r="A6" s="358"/>
      <c r="B6" s="358"/>
      <c r="C6" s="358"/>
      <c r="D6" s="358"/>
      <c r="E6" s="358"/>
      <c r="F6" s="358"/>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c r="AT6" s="358"/>
      <c r="AU6" s="358"/>
      <c r="AV6" s="358"/>
      <c r="AW6" s="358"/>
      <c r="AX6" s="358"/>
      <c r="AY6" s="358"/>
      <c r="AZ6" s="358"/>
    </row>
    <row r="7" spans="1:52">
      <c r="A7" s="553"/>
      <c r="B7" s="358"/>
      <c r="C7" s="553"/>
      <c r="D7" s="358"/>
      <c r="E7" s="553"/>
      <c r="F7" s="358"/>
      <c r="G7" s="553"/>
      <c r="H7" s="358"/>
      <c r="I7" s="553"/>
      <c r="J7" s="358"/>
      <c r="K7" s="553"/>
      <c r="L7" s="358"/>
      <c r="M7" s="553"/>
      <c r="N7" s="358"/>
      <c r="O7" s="553"/>
      <c r="P7" s="358"/>
      <c r="Q7" s="553"/>
      <c r="R7" s="358"/>
      <c r="S7" s="553"/>
      <c r="T7" s="358"/>
      <c r="U7" s="553"/>
      <c r="V7" s="358"/>
      <c r="W7" s="553"/>
      <c r="X7" s="358"/>
      <c r="Y7" s="553"/>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358"/>
      <c r="AZ7" s="358"/>
    </row>
    <row r="8" spans="1:52">
      <c r="A8" s="358"/>
      <c r="B8" s="358"/>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58"/>
      <c r="AV8" s="358"/>
      <c r="AW8" s="358"/>
      <c r="AX8" s="358"/>
      <c r="AY8" s="358"/>
      <c r="AZ8" s="358"/>
    </row>
    <row r="9" spans="1:52">
      <c r="A9" s="553"/>
      <c r="B9" s="358"/>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c r="AT9" s="358"/>
      <c r="AU9" s="358"/>
      <c r="AV9" s="358"/>
      <c r="AW9" s="358"/>
      <c r="AX9" s="358"/>
      <c r="AY9" s="358"/>
      <c r="AZ9" s="358"/>
    </row>
    <row r="10" spans="1:52">
      <c r="A10" s="358"/>
      <c r="B10" s="358"/>
      <c r="C10" s="553"/>
      <c r="D10" s="358"/>
      <c r="E10" s="553"/>
      <c r="F10" s="358"/>
      <c r="G10" s="553"/>
      <c r="H10" s="358"/>
      <c r="I10" s="553"/>
      <c r="J10" s="358"/>
      <c r="K10" s="553"/>
      <c r="L10" s="358"/>
      <c r="M10" s="553"/>
      <c r="N10" s="358"/>
      <c r="O10" s="553"/>
      <c r="P10" s="358"/>
      <c r="Q10" s="553"/>
      <c r="R10" s="358"/>
      <c r="S10" s="553"/>
      <c r="T10" s="358"/>
      <c r="U10" s="553"/>
      <c r="V10" s="358"/>
      <c r="W10" s="553"/>
      <c r="X10" s="358"/>
      <c r="Y10" s="553"/>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row>
    <row r="11" spans="1:52">
      <c r="A11" s="553"/>
      <c r="B11" s="358"/>
      <c r="C11" s="358"/>
      <c r="D11" s="358"/>
      <c r="E11" s="358"/>
      <c r="F11" s="358"/>
      <c r="G11" s="358"/>
      <c r="H11" s="358"/>
      <c r="I11" s="358"/>
      <c r="J11" s="358"/>
      <c r="K11" s="358"/>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row>
    <row r="12" spans="1:52">
      <c r="A12" s="358"/>
      <c r="B12" s="358"/>
      <c r="C12" s="358"/>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358"/>
    </row>
    <row r="13" spans="1:52">
      <c r="A13" s="553"/>
      <c r="B13" s="358"/>
      <c r="C13" s="553"/>
      <c r="D13" s="358"/>
      <c r="E13" s="553"/>
      <c r="F13" s="358"/>
      <c r="G13" s="553"/>
      <c r="H13" s="358"/>
      <c r="I13" s="553"/>
      <c r="J13" s="358"/>
      <c r="K13" s="553"/>
      <c r="L13" s="358"/>
      <c r="M13" s="553"/>
      <c r="N13" s="358"/>
      <c r="O13" s="553"/>
      <c r="P13" s="358"/>
      <c r="Q13" s="553"/>
      <c r="R13" s="358"/>
      <c r="S13" s="553"/>
      <c r="T13" s="358"/>
      <c r="U13" s="553"/>
      <c r="V13" s="358"/>
      <c r="W13" s="553"/>
      <c r="X13" s="358"/>
      <c r="Y13" s="553"/>
      <c r="Z13" s="358"/>
      <c r="AA13" s="358"/>
      <c r="AB13" s="358"/>
      <c r="AC13" s="358"/>
      <c r="AD13" s="358"/>
      <c r="AE13" s="358"/>
      <c r="AF13" s="358"/>
      <c r="AG13" s="358"/>
      <c r="AH13" s="358"/>
      <c r="AI13" s="358"/>
      <c r="AJ13" s="358"/>
      <c r="AK13" s="358"/>
      <c r="AL13" s="358"/>
      <c r="AM13" s="358"/>
      <c r="AN13" s="358"/>
      <c r="AO13" s="358"/>
      <c r="AP13" s="358"/>
      <c r="AQ13" s="358"/>
      <c r="AR13" s="358"/>
      <c r="AS13" s="358"/>
      <c r="AT13" s="358"/>
      <c r="AU13" s="358"/>
      <c r="AV13" s="358"/>
      <c r="AW13" s="358"/>
      <c r="AX13" s="358"/>
      <c r="AY13" s="358"/>
      <c r="AZ13" s="358"/>
    </row>
    <row r="14" spans="1:52">
      <c r="A14" s="358"/>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row>
    <row r="15" spans="1:52">
      <c r="A15" s="553"/>
      <c r="B15" s="358"/>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row>
    <row r="16" spans="1:52">
      <c r="A16" s="358"/>
      <c r="B16" s="358"/>
      <c r="C16" s="553"/>
      <c r="D16" s="358"/>
      <c r="E16" s="553"/>
      <c r="F16" s="358"/>
      <c r="G16" s="553"/>
      <c r="H16" s="358"/>
      <c r="I16" s="553"/>
      <c r="J16" s="358"/>
      <c r="K16" s="553"/>
      <c r="L16" s="358"/>
      <c r="M16" s="553"/>
      <c r="N16" s="358"/>
      <c r="O16" s="553"/>
      <c r="P16" s="358"/>
      <c r="Q16" s="553"/>
      <c r="R16" s="358"/>
      <c r="S16" s="553"/>
      <c r="T16" s="358"/>
      <c r="U16" s="553"/>
      <c r="V16" s="358"/>
      <c r="W16" s="553"/>
      <c r="X16" s="358"/>
      <c r="Y16" s="553"/>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358"/>
    </row>
    <row r="17" spans="1:52">
      <c r="A17" s="553"/>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358"/>
      <c r="AZ17" s="358"/>
    </row>
    <row r="18" spans="1:52">
      <c r="A18" s="358"/>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358"/>
      <c r="AZ18" s="358"/>
    </row>
    <row r="19" spans="1:52">
      <c r="A19" s="553"/>
      <c r="B19" s="358"/>
      <c r="C19" s="553"/>
      <c r="D19" s="358"/>
      <c r="E19" s="553"/>
      <c r="F19" s="358"/>
      <c r="G19" s="553"/>
      <c r="H19" s="358"/>
      <c r="I19" s="553"/>
      <c r="J19" s="358"/>
      <c r="K19" s="553"/>
      <c r="L19" s="358"/>
      <c r="M19" s="553"/>
      <c r="N19" s="358"/>
      <c r="O19" s="553"/>
      <c r="P19" s="358"/>
      <c r="Q19" s="553"/>
      <c r="R19" s="358"/>
      <c r="S19" s="553"/>
      <c r="T19" s="358"/>
      <c r="U19" s="553"/>
      <c r="V19" s="358"/>
      <c r="W19" s="553"/>
      <c r="X19" s="358"/>
      <c r="Y19" s="553"/>
      <c r="Z19" s="358"/>
      <c r="AA19" s="358"/>
      <c r="AB19" s="358"/>
      <c r="AC19" s="358"/>
      <c r="AD19" s="358"/>
      <c r="AE19" s="358"/>
      <c r="AF19" s="358"/>
      <c r="AG19" s="358"/>
      <c r="AH19" s="358"/>
      <c r="AI19" s="358"/>
      <c r="AJ19" s="358"/>
      <c r="AK19" s="358"/>
      <c r="AL19" s="358"/>
      <c r="AM19" s="358"/>
      <c r="AN19" s="358"/>
      <c r="AO19" s="358"/>
      <c r="AP19" s="358"/>
      <c r="AQ19" s="358"/>
      <c r="AR19" s="358"/>
      <c r="AS19" s="358"/>
      <c r="AT19" s="358"/>
      <c r="AU19" s="358"/>
      <c r="AV19" s="358"/>
      <c r="AW19" s="358"/>
      <c r="AX19" s="358"/>
      <c r="AY19" s="358"/>
      <c r="AZ19" s="358"/>
    </row>
    <row r="20" spans="1:52">
      <c r="A20" s="358"/>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358"/>
      <c r="AS20" s="358"/>
      <c r="AT20" s="358"/>
      <c r="AU20" s="358"/>
      <c r="AV20" s="358"/>
      <c r="AW20" s="358"/>
      <c r="AX20" s="358"/>
      <c r="AY20" s="358"/>
      <c r="AZ20" s="358"/>
    </row>
    <row r="21" spans="1:52">
      <c r="A21" s="553"/>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row>
    <row r="22" spans="1:52">
      <c r="A22" s="358"/>
      <c r="B22" s="358"/>
      <c r="C22" s="553"/>
      <c r="D22" s="358"/>
      <c r="E22" s="553"/>
      <c r="F22" s="358"/>
      <c r="G22" s="553"/>
      <c r="H22" s="358"/>
      <c r="I22" s="553"/>
      <c r="J22" s="358"/>
      <c r="K22" s="553"/>
      <c r="L22" s="358"/>
      <c r="M22" s="553"/>
      <c r="N22" s="358"/>
      <c r="O22" s="553"/>
      <c r="P22" s="358"/>
      <c r="Q22" s="553"/>
      <c r="R22" s="358"/>
      <c r="S22" s="553"/>
      <c r="T22" s="358"/>
      <c r="U22" s="553"/>
      <c r="V22" s="358"/>
      <c r="W22" s="553"/>
      <c r="X22" s="358"/>
      <c r="Y22" s="553"/>
      <c r="Z22" s="358"/>
      <c r="AA22" s="358"/>
      <c r="AB22" s="358"/>
      <c r="AC22" s="358"/>
      <c r="AD22" s="358"/>
      <c r="AE22" s="358"/>
      <c r="AF22" s="358"/>
      <c r="AG22" s="358"/>
      <c r="AH22" s="358"/>
      <c r="AI22" s="358"/>
      <c r="AJ22" s="358"/>
      <c r="AK22" s="358"/>
      <c r="AL22" s="358"/>
      <c r="AM22" s="358"/>
      <c r="AN22" s="358"/>
      <c r="AO22" s="358"/>
      <c r="AP22" s="358"/>
      <c r="AQ22" s="358"/>
      <c r="AR22" s="358"/>
      <c r="AS22" s="358"/>
      <c r="AT22" s="358"/>
      <c r="AU22" s="358"/>
      <c r="AV22" s="358"/>
      <c r="AW22" s="358"/>
      <c r="AX22" s="358"/>
      <c r="AY22" s="358"/>
      <c r="AZ22" s="358"/>
    </row>
    <row r="23" spans="1:52">
      <c r="A23" s="553"/>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row>
    <row r="24" spans="1:52">
      <c r="A24" s="358"/>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row>
    <row r="25" spans="1:52">
      <c r="A25" s="553"/>
      <c r="B25" s="358"/>
      <c r="C25" s="553"/>
      <c r="D25" s="358"/>
      <c r="E25" s="553"/>
      <c r="F25" s="358"/>
      <c r="G25" s="553"/>
      <c r="H25" s="358"/>
      <c r="I25" s="553"/>
      <c r="J25" s="358"/>
      <c r="K25" s="553"/>
      <c r="L25" s="358"/>
      <c r="M25" s="553"/>
      <c r="N25" s="358"/>
      <c r="O25" s="553"/>
      <c r="P25" s="358"/>
      <c r="Q25" s="553"/>
      <c r="R25" s="358"/>
      <c r="S25" s="553"/>
      <c r="T25" s="358"/>
      <c r="U25" s="553"/>
      <c r="V25" s="358"/>
      <c r="W25" s="553"/>
      <c r="X25" s="358"/>
      <c r="Y25" s="553"/>
      <c r="Z25" s="358"/>
      <c r="AA25" s="358"/>
      <c r="AB25" s="358"/>
      <c r="AC25" s="358"/>
      <c r="AD25" s="358"/>
      <c r="AE25" s="358"/>
      <c r="AF25" s="358"/>
      <c r="AG25" s="358"/>
      <c r="AH25" s="358"/>
      <c r="AI25" s="358"/>
      <c r="AJ25" s="358"/>
      <c r="AK25" s="358"/>
      <c r="AL25" s="358"/>
      <c r="AM25" s="358"/>
      <c r="AN25" s="358"/>
      <c r="AO25" s="358"/>
      <c r="AP25" s="358"/>
      <c r="AQ25" s="358"/>
      <c r="AR25" s="358"/>
      <c r="AS25" s="358"/>
      <c r="AT25" s="358"/>
      <c r="AU25" s="358"/>
      <c r="AV25" s="358"/>
      <c r="AW25" s="358"/>
      <c r="AX25" s="358"/>
      <c r="AY25" s="358"/>
      <c r="AZ25" s="358"/>
    </row>
    <row r="26" spans="1:52">
      <c r="A26" s="358"/>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c r="AH26" s="358"/>
      <c r="AI26" s="358"/>
      <c r="AJ26" s="358"/>
      <c r="AK26" s="358"/>
      <c r="AL26" s="358"/>
      <c r="AM26" s="358"/>
      <c r="AN26" s="358"/>
      <c r="AO26" s="358"/>
      <c r="AP26" s="358"/>
      <c r="AQ26" s="358"/>
      <c r="AR26" s="358"/>
      <c r="AS26" s="358"/>
      <c r="AT26" s="358"/>
      <c r="AU26" s="358"/>
      <c r="AV26" s="358"/>
      <c r="AW26" s="358"/>
      <c r="AX26" s="358"/>
      <c r="AY26" s="358"/>
      <c r="AZ26" s="358"/>
    </row>
    <row r="27" spans="1:52">
      <c r="A27" s="553"/>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358"/>
      <c r="AZ27" s="358"/>
    </row>
    <row r="28" spans="1:52">
      <c r="A28" s="358"/>
      <c r="B28" s="358"/>
      <c r="C28" s="553"/>
      <c r="D28" s="358"/>
      <c r="E28" s="553"/>
      <c r="F28" s="358"/>
      <c r="G28" s="553"/>
      <c r="H28" s="358"/>
      <c r="I28" s="553"/>
      <c r="J28" s="358"/>
      <c r="K28" s="553"/>
      <c r="L28" s="358"/>
      <c r="M28" s="553"/>
      <c r="N28" s="358"/>
      <c r="O28" s="553"/>
      <c r="P28" s="358"/>
      <c r="Q28" s="553"/>
      <c r="R28" s="358"/>
      <c r="S28" s="553"/>
      <c r="T28" s="358"/>
      <c r="U28" s="553"/>
      <c r="V28" s="358"/>
      <c r="W28" s="553"/>
      <c r="X28" s="358"/>
      <c r="Y28" s="553"/>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358"/>
      <c r="AZ28" s="358"/>
    </row>
    <row r="29" spans="1:52">
      <c r="A29" s="553"/>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row>
    <row r="30" spans="1:52">
      <c r="A30" s="358"/>
      <c r="B30" s="358"/>
      <c r="C30" s="553"/>
      <c r="D30" s="358"/>
      <c r="E30" s="553"/>
      <c r="F30" s="358"/>
      <c r="G30" s="553"/>
      <c r="H30" s="358"/>
      <c r="I30" s="553"/>
      <c r="J30" s="358"/>
      <c r="K30" s="553"/>
      <c r="L30" s="358"/>
      <c r="M30" s="553"/>
      <c r="N30" s="358"/>
      <c r="O30" s="553"/>
      <c r="P30" s="358"/>
      <c r="Q30" s="553"/>
      <c r="R30" s="358"/>
      <c r="S30" s="553"/>
      <c r="T30" s="358"/>
      <c r="U30" s="553"/>
      <c r="V30" s="358"/>
      <c r="W30" s="553"/>
      <c r="X30" s="358"/>
      <c r="Y30" s="553"/>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row>
    <row r="31" spans="1:52">
      <c r="A31" s="553"/>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row>
    <row r="32" spans="1:52">
      <c r="A32" s="358"/>
      <c r="B32" s="358"/>
      <c r="C32" s="553"/>
      <c r="D32" s="358"/>
      <c r="E32" s="553"/>
      <c r="F32" s="358"/>
      <c r="G32" s="553"/>
      <c r="H32" s="358"/>
      <c r="I32" s="553"/>
      <c r="J32" s="358"/>
      <c r="K32" s="553"/>
      <c r="L32" s="358"/>
      <c r="M32" s="553"/>
      <c r="N32" s="358"/>
      <c r="O32" s="553"/>
      <c r="P32" s="358"/>
      <c r="Q32" s="553"/>
      <c r="R32" s="358"/>
      <c r="S32" s="553"/>
      <c r="T32" s="358"/>
      <c r="U32" s="553"/>
      <c r="V32" s="358"/>
      <c r="W32" s="553"/>
      <c r="X32" s="358"/>
      <c r="Y32" s="553"/>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row>
    <row r="33" spans="1:52">
      <c r="A33" s="553"/>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c r="AH33" s="358"/>
      <c r="AI33" s="358"/>
      <c r="AJ33" s="358"/>
      <c r="AK33" s="358"/>
      <c r="AL33" s="358"/>
      <c r="AM33" s="358"/>
      <c r="AN33" s="358"/>
      <c r="AO33" s="358"/>
      <c r="AP33" s="358"/>
      <c r="AQ33" s="358"/>
      <c r="AR33" s="358"/>
      <c r="AS33" s="358"/>
      <c r="AT33" s="358"/>
      <c r="AU33" s="358"/>
      <c r="AV33" s="358"/>
      <c r="AW33" s="358"/>
      <c r="AX33" s="358"/>
      <c r="AY33" s="358"/>
      <c r="AZ33" s="358"/>
    </row>
    <row r="34" spans="1:52">
      <c r="A34" s="358"/>
      <c r="B34" s="358"/>
      <c r="C34" s="553"/>
      <c r="D34" s="358"/>
      <c r="E34" s="553"/>
      <c r="F34" s="358"/>
      <c r="G34" s="553"/>
      <c r="H34" s="358"/>
      <c r="I34" s="553"/>
      <c r="J34" s="358"/>
      <c r="K34" s="553"/>
      <c r="L34" s="358"/>
      <c r="M34" s="553"/>
      <c r="N34" s="358"/>
      <c r="O34" s="553"/>
      <c r="P34" s="358"/>
      <c r="Q34" s="553"/>
      <c r="R34" s="358"/>
      <c r="S34" s="553"/>
      <c r="T34" s="358"/>
      <c r="U34" s="553"/>
      <c r="V34" s="358"/>
      <c r="W34" s="553"/>
      <c r="X34" s="358"/>
      <c r="Y34" s="553"/>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row>
    <row r="35" spans="1:52">
      <c r="A35" s="861" t="s">
        <v>1372</v>
      </c>
      <c r="B35" s="861"/>
      <c r="C35" s="358"/>
      <c r="D35" s="861" t="str">
        <f>'Well Success'!K4</f>
        <v>Total nr of wells drilled</v>
      </c>
      <c r="E35" s="861" t="str">
        <f>'Well Success'!K6</f>
        <v>Total nr of successful wells</v>
      </c>
      <c r="F35" s="861" t="str">
        <f>'Well Success'!K5</f>
        <v>Total nr of well failures</v>
      </c>
      <c r="G35" s="861"/>
      <c r="H35" s="861" t="str">
        <f ca="1">D35&amp;": "&amp;D36&amp;CHAR(10)&amp;E35&amp;": "&amp;E36&amp;CHAR(10)&amp;F35&amp;": "&amp;F36</f>
        <v>Total nr of wells drilled: 15
Total nr of successful wells: 11
Total nr of well failures: 4</v>
      </c>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c r="AI35" s="358"/>
      <c r="AJ35" s="358"/>
      <c r="AK35" s="358"/>
      <c r="AL35" s="358"/>
      <c r="AM35" s="358"/>
      <c r="AN35" s="358"/>
      <c r="AO35" s="358"/>
      <c r="AP35" s="358"/>
      <c r="AQ35" s="358"/>
      <c r="AR35" s="358"/>
      <c r="AS35" s="358"/>
      <c r="AT35" s="358"/>
      <c r="AU35" s="358"/>
      <c r="AV35" s="358"/>
      <c r="AW35" s="358"/>
      <c r="AX35" s="358"/>
      <c r="AY35" s="358"/>
      <c r="AZ35" s="358"/>
    </row>
    <row r="36" spans="1:52">
      <c r="A36" s="871">
        <f ca="1">'Well Success'!AG17</f>
        <v>15</v>
      </c>
      <c r="B36" s="872">
        <f ca="1">'Well Success'!AG17</f>
        <v>15</v>
      </c>
      <c r="C36" s="553"/>
      <c r="D36" s="861">
        <f ca="1">'Well Success'!N4</f>
        <v>15</v>
      </c>
      <c r="E36" s="860">
        <f ca="1">'Well Success'!N6</f>
        <v>11</v>
      </c>
      <c r="F36" s="861">
        <f ca="1">'Well Success'!N5</f>
        <v>4</v>
      </c>
      <c r="G36" s="858"/>
      <c r="H36" s="861"/>
      <c r="I36" s="553"/>
      <c r="J36" s="358"/>
      <c r="K36" s="553"/>
      <c r="L36" s="358"/>
      <c r="M36" s="553"/>
      <c r="N36" s="358"/>
      <c r="O36" s="553"/>
      <c r="P36" s="358"/>
      <c r="Q36" s="553"/>
      <c r="R36" s="358"/>
      <c r="S36" s="553"/>
      <c r="T36" s="358"/>
      <c r="U36" s="553"/>
      <c r="V36" s="358"/>
      <c r="W36" s="553"/>
      <c r="X36" s="358"/>
      <c r="Y36" s="553"/>
      <c r="Z36" s="358"/>
      <c r="AA36" s="358"/>
      <c r="AB36" s="358"/>
      <c r="AC36" s="358"/>
      <c r="AD36" s="358"/>
      <c r="AE36" s="358"/>
      <c r="AF36" s="358"/>
      <c r="AG36" s="358"/>
      <c r="AH36" s="358"/>
      <c r="AI36" s="358"/>
      <c r="AJ36" s="358"/>
      <c r="AK36" s="358"/>
      <c r="AL36" s="358"/>
      <c r="AM36" s="358"/>
      <c r="AN36" s="358"/>
      <c r="AO36" s="358"/>
      <c r="AP36" s="358"/>
      <c r="AQ36" s="358"/>
      <c r="AR36" s="358"/>
      <c r="AS36" s="358"/>
      <c r="AT36" s="358"/>
      <c r="AU36" s="358"/>
      <c r="AV36" s="358"/>
      <c r="AW36" s="358"/>
      <c r="AX36" s="358"/>
      <c r="AY36" s="358"/>
      <c r="AZ36" s="358"/>
    </row>
    <row r="37" spans="1:52">
      <c r="A37" s="860">
        <v>0</v>
      </c>
      <c r="B37" s="861">
        <v>1</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358"/>
      <c r="AZ37" s="358"/>
    </row>
    <row r="38" spans="1:52">
      <c r="A38" s="358"/>
      <c r="B38" s="358"/>
      <c r="C38" s="553"/>
      <c r="D38" s="358"/>
      <c r="E38" s="553"/>
      <c r="F38" s="358"/>
      <c r="G38" s="553"/>
      <c r="H38" s="358"/>
      <c r="I38" s="553"/>
      <c r="J38" s="358"/>
      <c r="K38" s="553"/>
      <c r="L38" s="358"/>
      <c r="M38" s="553"/>
      <c r="N38" s="358"/>
      <c r="O38" s="553"/>
      <c r="P38" s="358"/>
      <c r="Q38" s="553"/>
      <c r="R38" s="358"/>
      <c r="S38" s="553"/>
      <c r="T38" s="358"/>
      <c r="U38" s="553"/>
      <c r="V38" s="358"/>
      <c r="W38" s="553"/>
      <c r="X38" s="358"/>
      <c r="Y38" s="553"/>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358"/>
    </row>
    <row r="39" spans="1:52">
      <c r="A39" s="358"/>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c r="AH39" s="358"/>
      <c r="AI39" s="358"/>
      <c r="AJ39" s="358"/>
      <c r="AK39" s="358"/>
      <c r="AL39" s="358"/>
      <c r="AM39" s="358"/>
      <c r="AN39" s="358"/>
      <c r="AO39" s="358"/>
      <c r="AP39" s="358"/>
      <c r="AQ39" s="358"/>
      <c r="AR39" s="358"/>
      <c r="AS39" s="358"/>
      <c r="AT39" s="358"/>
      <c r="AU39" s="358"/>
      <c r="AV39" s="358"/>
      <c r="AW39" s="358"/>
      <c r="AX39" s="358"/>
      <c r="AY39" s="358"/>
      <c r="AZ39" s="358"/>
    </row>
    <row r="40" spans="1:52">
      <c r="A40" s="358"/>
      <c r="B40" s="358"/>
      <c r="C40" s="553"/>
      <c r="D40" s="358"/>
      <c r="E40" s="553"/>
      <c r="F40" s="358"/>
      <c r="G40" s="553"/>
      <c r="H40" s="358"/>
      <c r="I40" s="553"/>
      <c r="J40" s="358"/>
      <c r="K40" s="553"/>
      <c r="L40" s="358"/>
      <c r="M40" s="553"/>
      <c r="N40" s="358"/>
      <c r="O40" s="553"/>
      <c r="P40" s="358"/>
      <c r="Q40" s="553"/>
      <c r="R40" s="358"/>
      <c r="S40" s="553"/>
      <c r="T40" s="358"/>
      <c r="U40" s="553"/>
      <c r="V40" s="358"/>
      <c r="W40" s="553"/>
      <c r="X40" s="358"/>
      <c r="Y40" s="553"/>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358"/>
      <c r="AZ40" s="358"/>
    </row>
    <row r="41" spans="1:52">
      <c r="A41" s="358"/>
      <c r="B41" s="358"/>
      <c r="C41" s="358"/>
      <c r="D41" s="358"/>
      <c r="E41" s="358"/>
      <c r="F41" s="35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358"/>
      <c r="AG41" s="358"/>
      <c r="AH41" s="358"/>
      <c r="AI41" s="358"/>
      <c r="AJ41" s="358"/>
      <c r="AK41" s="358"/>
      <c r="AL41" s="358"/>
      <c r="AM41" s="358"/>
      <c r="AN41" s="358"/>
      <c r="AO41" s="358"/>
      <c r="AP41" s="358"/>
      <c r="AQ41" s="358"/>
      <c r="AR41" s="358"/>
      <c r="AS41" s="358"/>
      <c r="AT41" s="358"/>
      <c r="AU41" s="358"/>
      <c r="AV41" s="358"/>
      <c r="AW41" s="358"/>
      <c r="AX41" s="358"/>
      <c r="AY41" s="358"/>
      <c r="AZ41" s="358"/>
    </row>
    <row r="42" spans="1:52">
      <c r="A42" s="358"/>
      <c r="B42" s="358"/>
      <c r="C42" s="553"/>
      <c r="D42" s="358"/>
      <c r="E42" s="553"/>
      <c r="F42" s="358"/>
      <c r="G42" s="553"/>
      <c r="H42" s="358"/>
      <c r="I42" s="553"/>
      <c r="J42" s="358"/>
      <c r="K42" s="553"/>
      <c r="L42" s="358"/>
      <c r="M42" s="553"/>
      <c r="N42" s="358"/>
      <c r="O42" s="553"/>
      <c r="P42" s="358"/>
      <c r="Q42" s="553"/>
      <c r="R42" s="358"/>
      <c r="S42" s="553"/>
      <c r="T42" s="358"/>
      <c r="U42" s="553"/>
      <c r="V42" s="358"/>
      <c r="W42" s="553"/>
      <c r="X42" s="358"/>
      <c r="Y42" s="553"/>
      <c r="Z42" s="358"/>
      <c r="AA42" s="358"/>
      <c r="AB42" s="358"/>
      <c r="AC42" s="358"/>
      <c r="AD42" s="358"/>
      <c r="AE42" s="358"/>
      <c r="AF42" s="358"/>
      <c r="AG42" s="358"/>
      <c r="AH42" s="358"/>
      <c r="AI42" s="358"/>
      <c r="AJ42" s="358"/>
      <c r="AK42" s="358"/>
      <c r="AL42" s="358"/>
      <c r="AM42" s="358"/>
      <c r="AN42" s="358"/>
      <c r="AO42" s="358"/>
      <c r="AP42" s="358"/>
      <c r="AQ42" s="358"/>
      <c r="AR42" s="358"/>
      <c r="AS42" s="358"/>
      <c r="AT42" s="358"/>
      <c r="AU42" s="358"/>
      <c r="AV42" s="358"/>
      <c r="AW42" s="358"/>
      <c r="AX42" s="358"/>
      <c r="AY42" s="358"/>
      <c r="AZ42" s="358"/>
    </row>
    <row r="43" spans="1:52">
      <c r="A43" s="358"/>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row>
    <row r="44" spans="1:52">
      <c r="A44" s="358"/>
      <c r="B44" s="358"/>
      <c r="C44" s="553"/>
      <c r="D44" s="358"/>
      <c r="E44" s="553"/>
      <c r="F44" s="358"/>
      <c r="G44" s="553"/>
      <c r="H44" s="358"/>
      <c r="I44" s="553"/>
      <c r="J44" s="358"/>
      <c r="K44" s="553"/>
      <c r="L44" s="358"/>
      <c r="M44" s="553"/>
      <c r="N44" s="358"/>
      <c r="O44" s="553"/>
      <c r="P44" s="358"/>
      <c r="Q44" s="553"/>
      <c r="R44" s="358"/>
      <c r="S44" s="553"/>
      <c r="T44" s="358"/>
      <c r="U44" s="553"/>
      <c r="V44" s="358"/>
      <c r="W44" s="553"/>
      <c r="X44" s="358"/>
      <c r="Y44" s="553"/>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row>
    <row r="45" spans="1:52">
      <c r="A45" s="358"/>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358"/>
    </row>
    <row r="46" spans="1:52">
      <c r="A46" s="358"/>
      <c r="B46" s="358"/>
      <c r="C46" s="553"/>
      <c r="D46" s="358"/>
      <c r="E46" s="553"/>
      <c r="F46" s="358"/>
      <c r="G46" s="553"/>
      <c r="H46" s="358"/>
      <c r="I46" s="553"/>
      <c r="J46" s="358"/>
      <c r="K46" s="553"/>
      <c r="L46" s="358"/>
      <c r="M46" s="553"/>
      <c r="N46" s="358"/>
      <c r="O46" s="553"/>
      <c r="P46" s="358"/>
      <c r="Q46" s="553"/>
      <c r="R46" s="358"/>
      <c r="S46" s="553"/>
      <c r="T46" s="358"/>
      <c r="U46" s="553"/>
      <c r="V46" s="358"/>
      <c r="W46" s="553"/>
      <c r="X46" s="358"/>
      <c r="Y46" s="553"/>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358"/>
    </row>
    <row r="47" spans="1:52">
      <c r="A47" s="358"/>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358"/>
    </row>
    <row r="48" spans="1:52">
      <c r="A48" s="358"/>
      <c r="B48" s="358"/>
      <c r="C48" s="553"/>
      <c r="D48" s="358"/>
      <c r="E48" s="553"/>
      <c r="F48" s="358"/>
      <c r="G48" s="553"/>
      <c r="H48" s="358"/>
      <c r="I48" s="553"/>
      <c r="J48" s="358"/>
      <c r="K48" s="553"/>
      <c r="L48" s="358"/>
      <c r="M48" s="553"/>
      <c r="N48" s="358"/>
      <c r="O48" s="553"/>
      <c r="P48" s="358"/>
      <c r="Q48" s="553"/>
      <c r="R48" s="358"/>
      <c r="S48" s="553"/>
      <c r="T48" s="358"/>
      <c r="U48" s="553"/>
      <c r="V48" s="358"/>
      <c r="W48" s="553"/>
      <c r="X48" s="358"/>
      <c r="Y48" s="553"/>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row>
    <row r="49" spans="1:52">
      <c r="A49" s="358"/>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row>
    <row r="50" spans="1:52">
      <c r="A50" s="358"/>
      <c r="B50" s="358"/>
      <c r="C50" s="553"/>
      <c r="D50" s="358"/>
      <c r="E50" s="553"/>
      <c r="F50" s="358"/>
      <c r="G50" s="553"/>
      <c r="H50" s="358"/>
      <c r="I50" s="553"/>
      <c r="J50" s="358"/>
      <c r="K50" s="553"/>
      <c r="L50" s="358"/>
      <c r="M50" s="553"/>
      <c r="N50" s="358"/>
      <c r="O50" s="553"/>
      <c r="P50" s="358"/>
      <c r="Q50" s="553"/>
      <c r="R50" s="358"/>
      <c r="S50" s="553"/>
      <c r="T50" s="358"/>
      <c r="U50" s="553"/>
      <c r="V50" s="358"/>
      <c r="W50" s="553"/>
      <c r="X50" s="358"/>
      <c r="Y50" s="553"/>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row>
    <row r="51" spans="1:52">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row>
    <row r="52" spans="1:52">
      <c r="A52" s="358"/>
      <c r="B52" s="358"/>
      <c r="C52" s="553"/>
      <c r="D52" s="358"/>
      <c r="E52" s="553"/>
      <c r="F52" s="358"/>
      <c r="G52" s="553"/>
      <c r="H52" s="358"/>
      <c r="I52" s="553"/>
      <c r="J52" s="358"/>
      <c r="K52" s="553"/>
      <c r="L52" s="358"/>
      <c r="M52" s="553"/>
      <c r="N52" s="358"/>
      <c r="O52" s="553"/>
      <c r="P52" s="358"/>
      <c r="Q52" s="553"/>
      <c r="R52" s="358"/>
      <c r="S52" s="553"/>
      <c r="T52" s="358"/>
      <c r="U52" s="553"/>
      <c r="V52" s="358"/>
      <c r="W52" s="553"/>
      <c r="X52" s="358"/>
      <c r="Y52" s="553"/>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row>
    <row r="53" spans="1:52">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row>
    <row r="54" spans="1:52">
      <c r="A54" s="358"/>
      <c r="B54" s="358"/>
      <c r="C54" s="553"/>
      <c r="D54" s="358"/>
      <c r="E54" s="553"/>
      <c r="F54" s="358"/>
      <c r="G54" s="553"/>
      <c r="H54" s="358"/>
      <c r="I54" s="553"/>
      <c r="J54" s="358"/>
      <c r="K54" s="553"/>
      <c r="L54" s="358"/>
      <c r="M54" s="553"/>
      <c r="N54" s="358"/>
      <c r="O54" s="553"/>
      <c r="P54" s="358"/>
      <c r="Q54" s="553"/>
      <c r="R54" s="358"/>
      <c r="S54" s="553"/>
      <c r="T54" s="358"/>
      <c r="U54" s="553"/>
      <c r="V54" s="358"/>
      <c r="W54" s="553"/>
      <c r="X54" s="358"/>
      <c r="Y54" s="553"/>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c r="AV54" s="358"/>
      <c r="AW54" s="358"/>
      <c r="AX54" s="358"/>
      <c r="AY54" s="358"/>
      <c r="AZ54" s="358"/>
    </row>
    <row r="55" spans="1:52">
      <c r="A55" s="358"/>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358"/>
    </row>
    <row r="56" spans="1:52">
      <c r="A56" s="358"/>
      <c r="B56" s="358"/>
      <c r="C56" s="553"/>
      <c r="D56" s="358"/>
      <c r="E56" s="553"/>
      <c r="F56" s="358"/>
      <c r="G56" s="553"/>
      <c r="H56" s="358"/>
      <c r="I56" s="553"/>
      <c r="J56" s="358"/>
      <c r="K56" s="553"/>
      <c r="L56" s="358"/>
      <c r="M56" s="553"/>
      <c r="N56" s="358"/>
      <c r="O56" s="553"/>
      <c r="P56" s="358"/>
      <c r="Q56" s="553"/>
      <c r="R56" s="358"/>
      <c r="S56" s="553"/>
      <c r="T56" s="358"/>
      <c r="U56" s="553"/>
      <c r="V56" s="358"/>
      <c r="W56" s="553"/>
      <c r="X56" s="358"/>
      <c r="Y56" s="553"/>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row>
    <row r="57" spans="1:52">
      <c r="A57" s="358"/>
      <c r="B57" s="358"/>
      <c r="C57" s="358"/>
      <c r="D57" s="358"/>
      <c r="E57" s="358"/>
      <c r="F57" s="358"/>
      <c r="G57" s="358"/>
      <c r="H57" s="358"/>
      <c r="I57" s="358"/>
      <c r="J57" s="358"/>
      <c r="K57" s="358"/>
      <c r="L57" s="358"/>
      <c r="M57" s="358"/>
      <c r="N57" s="358"/>
      <c r="O57" s="358"/>
      <c r="P57" s="358"/>
      <c r="Q57" s="358"/>
      <c r="R57" s="358"/>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c r="AV57" s="358"/>
      <c r="AW57" s="358"/>
      <c r="AX57" s="358"/>
      <c r="AY57" s="358"/>
      <c r="AZ57" s="358"/>
    </row>
    <row r="58" spans="1:52">
      <c r="A58" s="358"/>
      <c r="B58" s="358"/>
      <c r="C58" s="553"/>
      <c r="D58" s="358"/>
      <c r="E58" s="553"/>
      <c r="F58" s="358"/>
      <c r="G58" s="553"/>
      <c r="H58" s="358"/>
      <c r="I58" s="553"/>
      <c r="J58" s="358"/>
      <c r="K58" s="553"/>
      <c r="L58" s="358"/>
      <c r="M58" s="553"/>
      <c r="N58" s="358"/>
      <c r="O58" s="553"/>
      <c r="P58" s="358"/>
      <c r="Q58" s="553"/>
      <c r="R58" s="358"/>
      <c r="S58" s="553"/>
      <c r="T58" s="358"/>
      <c r="U58" s="553"/>
      <c r="V58" s="358"/>
      <c r="W58" s="553"/>
      <c r="X58" s="358"/>
      <c r="Y58" s="553"/>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row>
    <row r="59" spans="1:52">
      <c r="A59" s="35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58"/>
    </row>
    <row r="60" spans="1:52">
      <c r="A60" s="358"/>
      <c r="B60" s="358"/>
      <c r="C60" s="553"/>
      <c r="D60" s="358"/>
      <c r="E60" s="553"/>
      <c r="F60" s="358"/>
      <c r="G60" s="553"/>
      <c r="H60" s="358"/>
      <c r="I60" s="553"/>
      <c r="J60" s="358"/>
      <c r="K60" s="553"/>
      <c r="L60" s="358"/>
      <c r="M60" s="553"/>
      <c r="N60" s="358"/>
      <c r="O60" s="553"/>
      <c r="P60" s="358"/>
      <c r="Q60" s="553"/>
      <c r="R60" s="358"/>
      <c r="S60" s="553"/>
      <c r="T60" s="358"/>
      <c r="U60" s="553"/>
      <c r="V60" s="358"/>
      <c r="W60" s="553"/>
      <c r="X60" s="358"/>
      <c r="Y60" s="553"/>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58"/>
      <c r="AZ60" s="358"/>
    </row>
    <row r="61" spans="1:52">
      <c r="A61" s="358"/>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row>
    <row r="62" spans="1:52">
      <c r="A62" s="358"/>
      <c r="B62" s="358"/>
      <c r="C62" s="553"/>
      <c r="D62" s="358"/>
      <c r="E62" s="553"/>
      <c r="F62" s="358"/>
      <c r="G62" s="553"/>
      <c r="H62" s="358"/>
      <c r="I62" s="553"/>
      <c r="J62" s="358"/>
      <c r="K62" s="553"/>
      <c r="L62" s="358"/>
      <c r="M62" s="553"/>
      <c r="N62" s="358"/>
      <c r="O62" s="553"/>
      <c r="P62" s="358"/>
      <c r="Q62" s="553"/>
      <c r="R62" s="358"/>
      <c r="S62" s="553"/>
      <c r="T62" s="358"/>
      <c r="U62" s="553"/>
      <c r="V62" s="358"/>
      <c r="W62" s="553"/>
      <c r="X62" s="358"/>
      <c r="Y62" s="553"/>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58"/>
      <c r="AZ62" s="358"/>
    </row>
    <row r="63" spans="1:52">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c r="AV63" s="358"/>
      <c r="AW63" s="358"/>
      <c r="AX63" s="358"/>
      <c r="AY63" s="358"/>
      <c r="AZ63" s="358"/>
    </row>
    <row r="64" spans="1:52">
      <c r="A64" s="358"/>
      <c r="B64" s="358"/>
      <c r="C64" s="553"/>
      <c r="D64" s="358"/>
      <c r="E64" s="553"/>
      <c r="F64" s="358"/>
      <c r="G64" s="553"/>
      <c r="H64" s="358"/>
      <c r="I64" s="553"/>
      <c r="J64" s="358"/>
      <c r="K64" s="553"/>
      <c r="L64" s="358"/>
      <c r="M64" s="553"/>
      <c r="N64" s="358"/>
      <c r="O64" s="553"/>
      <c r="P64" s="358"/>
      <c r="Q64" s="553"/>
      <c r="R64" s="358"/>
      <c r="S64" s="553"/>
      <c r="T64" s="358"/>
      <c r="U64" s="553"/>
      <c r="V64" s="358"/>
      <c r="W64" s="553"/>
      <c r="X64" s="358"/>
      <c r="Y64" s="553"/>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row>
    <row r="65" spans="1:52">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row>
    <row r="66" spans="1:52">
      <c r="A66" s="358"/>
      <c r="B66" s="358"/>
      <c r="C66" s="553"/>
      <c r="D66" s="358"/>
      <c r="E66" s="553"/>
      <c r="F66" s="358"/>
      <c r="G66" s="553"/>
      <c r="H66" s="358"/>
      <c r="I66" s="553"/>
      <c r="J66" s="358"/>
      <c r="K66" s="553"/>
      <c r="L66" s="358"/>
      <c r="M66" s="553"/>
      <c r="N66" s="358"/>
      <c r="O66" s="553"/>
      <c r="P66" s="358"/>
      <c r="Q66" s="553"/>
      <c r="R66" s="358"/>
      <c r="S66" s="553"/>
      <c r="T66" s="358"/>
      <c r="U66" s="553"/>
      <c r="V66" s="358"/>
      <c r="W66" s="553"/>
      <c r="X66" s="358"/>
      <c r="Y66" s="553"/>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row>
    <row r="67" spans="1:52">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row>
    <row r="68" spans="1:52">
      <c r="A68" s="358"/>
      <c r="B68" s="358"/>
      <c r="C68" s="553"/>
      <c r="D68" s="358"/>
      <c r="E68" s="553"/>
      <c r="F68" s="358"/>
      <c r="G68" s="553"/>
      <c r="H68" s="358"/>
      <c r="I68" s="553"/>
      <c r="J68" s="358"/>
      <c r="K68" s="553"/>
      <c r="L68" s="358"/>
      <c r="M68" s="553"/>
      <c r="N68" s="358"/>
      <c r="O68" s="553"/>
      <c r="P68" s="358"/>
      <c r="Q68" s="553"/>
      <c r="R68" s="358"/>
      <c r="S68" s="553"/>
      <c r="T68" s="358"/>
      <c r="U68" s="553"/>
      <c r="V68" s="358"/>
      <c r="W68" s="553"/>
      <c r="X68" s="358"/>
      <c r="Y68" s="553"/>
      <c r="Z68" s="358"/>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row>
    <row r="69" spans="1:52">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row>
    <row r="70" spans="1:52">
      <c r="A70" s="358"/>
      <c r="B70" s="358"/>
      <c r="C70" s="553"/>
      <c r="D70" s="358"/>
      <c r="E70" s="553"/>
      <c r="F70" s="358"/>
      <c r="G70" s="553"/>
      <c r="H70" s="358"/>
      <c r="I70" s="553"/>
      <c r="J70" s="358"/>
      <c r="K70" s="553"/>
      <c r="L70" s="358"/>
      <c r="M70" s="553"/>
      <c r="N70" s="358"/>
      <c r="O70" s="553"/>
      <c r="P70" s="358"/>
      <c r="Q70" s="553"/>
      <c r="R70" s="358"/>
      <c r="S70" s="553"/>
      <c r="T70" s="358"/>
      <c r="U70" s="553"/>
      <c r="V70" s="358"/>
      <c r="W70" s="553"/>
      <c r="X70" s="358"/>
      <c r="Y70" s="553"/>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row>
    <row r="71" spans="1:52">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c r="AV71" s="358"/>
      <c r="AW71" s="358"/>
      <c r="AX71" s="358"/>
      <c r="AY71" s="358"/>
      <c r="AZ71" s="358"/>
    </row>
    <row r="72" spans="1:52">
      <c r="A72" s="358"/>
      <c r="B72" s="358"/>
      <c r="C72" s="553"/>
      <c r="D72" s="358"/>
      <c r="E72" s="553"/>
      <c r="F72" s="358"/>
      <c r="G72" s="553"/>
      <c r="H72" s="358"/>
      <c r="I72" s="553"/>
      <c r="J72" s="358"/>
      <c r="K72" s="553"/>
      <c r="L72" s="358"/>
      <c r="M72" s="553"/>
      <c r="N72" s="358"/>
      <c r="O72" s="553"/>
      <c r="P72" s="358"/>
      <c r="Q72" s="553"/>
      <c r="R72" s="358"/>
      <c r="S72" s="553"/>
      <c r="T72" s="358"/>
      <c r="U72" s="553"/>
      <c r="V72" s="358"/>
      <c r="W72" s="553"/>
      <c r="X72" s="358"/>
      <c r="Y72" s="553"/>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row>
    <row r="73" spans="1:52">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row>
    <row r="74" spans="1:52">
      <c r="A74" s="358"/>
      <c r="B74" s="358"/>
      <c r="C74" s="553"/>
      <c r="D74" s="358"/>
      <c r="E74" s="553"/>
      <c r="F74" s="358"/>
      <c r="G74" s="553"/>
      <c r="H74" s="358"/>
      <c r="I74" s="553"/>
      <c r="J74" s="358"/>
      <c r="K74" s="553"/>
      <c r="L74" s="358"/>
      <c r="M74" s="553"/>
      <c r="N74" s="358"/>
      <c r="O74" s="553"/>
      <c r="P74" s="358"/>
      <c r="Q74" s="553"/>
      <c r="R74" s="358"/>
      <c r="S74" s="553"/>
      <c r="T74" s="358"/>
      <c r="U74" s="553"/>
      <c r="V74" s="358"/>
      <c r="W74" s="553"/>
      <c r="X74" s="358"/>
      <c r="Y74" s="553"/>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row>
    <row r="75" spans="1:52">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row>
    <row r="76" spans="1:52">
      <c r="A76" s="358"/>
      <c r="B76" s="358"/>
      <c r="C76" s="553"/>
      <c r="D76" s="358"/>
      <c r="E76" s="553"/>
      <c r="F76" s="358"/>
      <c r="G76" s="553"/>
      <c r="H76" s="358"/>
      <c r="I76" s="553"/>
      <c r="J76" s="358"/>
      <c r="K76" s="553"/>
      <c r="L76" s="358"/>
      <c r="M76" s="553"/>
      <c r="N76" s="358"/>
      <c r="O76" s="553"/>
      <c r="P76" s="358"/>
      <c r="Q76" s="553"/>
      <c r="R76" s="358"/>
      <c r="S76" s="553"/>
      <c r="T76" s="358"/>
      <c r="U76" s="553"/>
      <c r="V76" s="358"/>
      <c r="W76" s="553"/>
      <c r="X76" s="358"/>
      <c r="Y76" s="553"/>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row>
    <row r="77" spans="1:52">
      <c r="A77" s="35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row>
    <row r="78" spans="1:52">
      <c r="A78" s="358"/>
      <c r="B78" s="358"/>
      <c r="C78" s="553"/>
      <c r="D78" s="358"/>
      <c r="E78" s="553"/>
      <c r="F78" s="358"/>
      <c r="G78" s="553"/>
      <c r="H78" s="358"/>
      <c r="I78" s="553"/>
      <c r="J78" s="358"/>
      <c r="K78" s="553"/>
      <c r="L78" s="358"/>
      <c r="M78" s="553"/>
      <c r="N78" s="358"/>
      <c r="O78" s="553"/>
      <c r="P78" s="358"/>
      <c r="Q78" s="553"/>
      <c r="R78" s="358"/>
      <c r="S78" s="553"/>
      <c r="T78" s="358"/>
      <c r="U78" s="553"/>
      <c r="V78" s="358"/>
      <c r="W78" s="553"/>
      <c r="X78" s="358"/>
      <c r="Y78" s="553"/>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row>
    <row r="79" spans="1:52">
      <c r="A79" s="35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58"/>
      <c r="AO79" s="358"/>
      <c r="AP79" s="358"/>
      <c r="AQ79" s="358"/>
      <c r="AR79" s="358"/>
      <c r="AS79" s="358"/>
      <c r="AT79" s="358"/>
      <c r="AU79" s="358"/>
      <c r="AV79" s="358"/>
      <c r="AW79" s="358"/>
      <c r="AX79" s="358"/>
      <c r="AY79" s="358"/>
      <c r="AZ79" s="358"/>
    </row>
    <row r="80" spans="1:52">
      <c r="A80" s="358"/>
      <c r="B80" s="358"/>
      <c r="C80" s="553"/>
      <c r="D80" s="358"/>
      <c r="E80" s="553"/>
      <c r="F80" s="358"/>
      <c r="G80" s="553"/>
      <c r="H80" s="358"/>
      <c r="I80" s="553"/>
      <c r="J80" s="358"/>
      <c r="K80" s="553"/>
      <c r="L80" s="358"/>
      <c r="M80" s="553"/>
      <c r="N80" s="358"/>
      <c r="O80" s="553"/>
      <c r="P80" s="358"/>
      <c r="Q80" s="553"/>
      <c r="R80" s="358"/>
      <c r="S80" s="553"/>
      <c r="T80" s="358"/>
      <c r="U80" s="553"/>
      <c r="V80" s="358"/>
      <c r="W80" s="553"/>
      <c r="X80" s="358"/>
      <c r="Y80" s="553"/>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row>
    <row r="81" spans="1:52">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row>
    <row r="82" spans="1:52">
      <c r="A82" s="358"/>
      <c r="B82" s="358"/>
      <c r="C82" s="553"/>
      <c r="D82" s="358"/>
      <c r="E82" s="553"/>
      <c r="F82" s="358"/>
      <c r="G82" s="553"/>
      <c r="H82" s="358"/>
      <c r="I82" s="553"/>
      <c r="J82" s="358"/>
      <c r="K82" s="553"/>
      <c r="L82" s="358"/>
      <c r="M82" s="553"/>
      <c r="N82" s="358"/>
      <c r="O82" s="553"/>
      <c r="P82" s="358"/>
      <c r="Q82" s="553"/>
      <c r="R82" s="358"/>
      <c r="S82" s="553"/>
      <c r="T82" s="358"/>
      <c r="U82" s="553"/>
      <c r="V82" s="358"/>
      <c r="W82" s="553"/>
      <c r="X82" s="358"/>
      <c r="Y82" s="553"/>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row>
    <row r="83" spans="1:52">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row>
    <row r="84" spans="1:52">
      <c r="A84" s="358"/>
      <c r="B84" s="358"/>
      <c r="C84" s="553"/>
      <c r="D84" s="358"/>
      <c r="E84" s="553"/>
      <c r="F84" s="358"/>
      <c r="G84" s="553"/>
      <c r="H84" s="358"/>
      <c r="I84" s="553"/>
      <c r="J84" s="358"/>
      <c r="K84" s="553"/>
      <c r="L84" s="358"/>
      <c r="M84" s="553"/>
      <c r="N84" s="358"/>
      <c r="O84" s="553"/>
      <c r="P84" s="358"/>
      <c r="Q84" s="553"/>
      <c r="R84" s="358"/>
      <c r="S84" s="553"/>
      <c r="T84" s="358"/>
      <c r="U84" s="553"/>
      <c r="V84" s="358"/>
      <c r="W84" s="553"/>
      <c r="X84" s="358"/>
      <c r="Y84" s="553"/>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row>
    <row r="85" spans="1:52">
      <c r="A85" s="35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row>
    <row r="86" spans="1:52">
      <c r="A86" s="358"/>
      <c r="B86" s="358"/>
      <c r="C86" s="553"/>
      <c r="D86" s="358"/>
      <c r="E86" s="553"/>
      <c r="F86" s="358"/>
      <c r="G86" s="553"/>
      <c r="H86" s="358"/>
      <c r="I86" s="553"/>
      <c r="J86" s="358"/>
      <c r="K86" s="553"/>
      <c r="L86" s="358"/>
      <c r="M86" s="553"/>
      <c r="N86" s="358"/>
      <c r="O86" s="553"/>
      <c r="P86" s="358"/>
      <c r="Q86" s="553"/>
      <c r="R86" s="358"/>
      <c r="S86" s="553"/>
      <c r="T86" s="358"/>
      <c r="U86" s="553"/>
      <c r="V86" s="358"/>
      <c r="W86" s="553"/>
      <c r="X86" s="358"/>
      <c r="Y86" s="553"/>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8"/>
      <c r="AY86" s="358"/>
      <c r="AZ86" s="358"/>
    </row>
    <row r="87" spans="1:52">
      <c r="A87" s="35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c r="AS87" s="358"/>
      <c r="AT87" s="358"/>
      <c r="AU87" s="358"/>
      <c r="AV87" s="358"/>
      <c r="AW87" s="358"/>
      <c r="AX87" s="358"/>
      <c r="AY87" s="358"/>
      <c r="AZ87" s="358"/>
    </row>
    <row r="88" spans="1:52">
      <c r="A88" s="358"/>
      <c r="B88" s="358"/>
      <c r="C88" s="553"/>
      <c r="D88" s="358"/>
      <c r="E88" s="553"/>
      <c r="F88" s="358"/>
      <c r="G88" s="553"/>
      <c r="H88" s="358"/>
      <c r="I88" s="553"/>
      <c r="J88" s="358"/>
      <c r="K88" s="553"/>
      <c r="L88" s="358"/>
      <c r="M88" s="553"/>
      <c r="N88" s="358"/>
      <c r="O88" s="553"/>
      <c r="P88" s="358"/>
      <c r="Q88" s="553"/>
      <c r="R88" s="358"/>
      <c r="S88" s="553"/>
      <c r="T88" s="358"/>
      <c r="U88" s="553"/>
      <c r="V88" s="358"/>
      <c r="W88" s="553"/>
      <c r="X88" s="358"/>
      <c r="Y88" s="553"/>
      <c r="Z88" s="358"/>
      <c r="AA88" s="358"/>
      <c r="AB88" s="358"/>
      <c r="AC88" s="358"/>
      <c r="AD88" s="358"/>
      <c r="AE88" s="358"/>
      <c r="AF88" s="358"/>
      <c r="AG88" s="358"/>
      <c r="AH88" s="358"/>
      <c r="AI88" s="358"/>
      <c r="AJ88" s="358"/>
      <c r="AK88" s="358"/>
      <c r="AL88" s="358"/>
      <c r="AM88" s="358"/>
      <c r="AN88" s="358"/>
      <c r="AO88" s="358"/>
      <c r="AP88" s="358"/>
      <c r="AQ88" s="358"/>
      <c r="AR88" s="358"/>
      <c r="AS88" s="358"/>
      <c r="AT88" s="358"/>
      <c r="AU88" s="358"/>
      <c r="AV88" s="358"/>
      <c r="AW88" s="358"/>
      <c r="AX88" s="358"/>
      <c r="AY88" s="358"/>
      <c r="AZ88" s="358"/>
    </row>
    <row r="89" spans="1:52">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58"/>
      <c r="AN89" s="358"/>
      <c r="AO89" s="358"/>
      <c r="AP89" s="358"/>
      <c r="AQ89" s="358"/>
      <c r="AR89" s="358"/>
      <c r="AS89" s="358"/>
      <c r="AT89" s="358"/>
      <c r="AU89" s="358"/>
      <c r="AV89" s="358"/>
      <c r="AW89" s="358"/>
      <c r="AX89" s="358"/>
      <c r="AY89" s="358"/>
      <c r="AZ89" s="358"/>
    </row>
    <row r="90" spans="1:52">
      <c r="A90" s="358"/>
      <c r="B90" s="358"/>
      <c r="C90" s="553"/>
      <c r="D90" s="358"/>
      <c r="E90" s="553"/>
      <c r="F90" s="358"/>
      <c r="G90" s="553"/>
      <c r="H90" s="358"/>
      <c r="I90" s="553"/>
      <c r="J90" s="358"/>
      <c r="K90" s="553"/>
      <c r="L90" s="358"/>
      <c r="M90" s="553"/>
      <c r="N90" s="358"/>
      <c r="O90" s="553"/>
      <c r="P90" s="358"/>
      <c r="Q90" s="553"/>
      <c r="R90" s="358"/>
      <c r="S90" s="553"/>
      <c r="T90" s="358"/>
      <c r="U90" s="553"/>
      <c r="V90" s="358"/>
      <c r="W90" s="553"/>
      <c r="X90" s="358"/>
      <c r="Y90" s="553"/>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row>
    <row r="91" spans="1:52">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c r="AS91" s="358"/>
      <c r="AT91" s="358"/>
      <c r="AU91" s="358"/>
      <c r="AV91" s="358"/>
      <c r="AW91" s="358"/>
      <c r="AX91" s="358"/>
      <c r="AY91" s="358"/>
      <c r="AZ91" s="358"/>
    </row>
    <row r="92" spans="1:52">
      <c r="A92" s="358"/>
      <c r="B92" s="358"/>
      <c r="C92" s="553"/>
      <c r="D92" s="358"/>
      <c r="E92" s="553"/>
      <c r="F92" s="358"/>
      <c r="G92" s="553"/>
      <c r="H92" s="358"/>
      <c r="I92" s="553"/>
      <c r="J92" s="358"/>
      <c r="K92" s="553"/>
      <c r="L92" s="358"/>
      <c r="M92" s="553"/>
      <c r="N92" s="358"/>
      <c r="O92" s="553"/>
      <c r="P92" s="358"/>
      <c r="Q92" s="553"/>
      <c r="R92" s="358"/>
      <c r="S92" s="553"/>
      <c r="T92" s="358"/>
      <c r="U92" s="553"/>
      <c r="V92" s="358"/>
      <c r="W92" s="553"/>
      <c r="X92" s="358"/>
      <c r="Y92" s="553"/>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row>
    <row r="93" spans="1:52">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58"/>
      <c r="AN93" s="358"/>
      <c r="AO93" s="358"/>
      <c r="AP93" s="358"/>
      <c r="AQ93" s="358"/>
      <c r="AR93" s="358"/>
      <c r="AS93" s="358"/>
      <c r="AT93" s="358"/>
      <c r="AU93" s="358"/>
      <c r="AV93" s="358"/>
      <c r="AW93" s="358"/>
      <c r="AX93" s="358"/>
      <c r="AY93" s="358"/>
      <c r="AZ93" s="358"/>
    </row>
    <row r="94" spans="1:52">
      <c r="A94" s="358"/>
      <c r="B94" s="358"/>
      <c r="C94" s="553"/>
      <c r="D94" s="358"/>
      <c r="E94" s="553"/>
      <c r="F94" s="358"/>
      <c r="G94" s="553"/>
      <c r="H94" s="358"/>
      <c r="I94" s="553"/>
      <c r="J94" s="358"/>
      <c r="K94" s="553"/>
      <c r="L94" s="358"/>
      <c r="M94" s="553"/>
      <c r="N94" s="358"/>
      <c r="O94" s="553"/>
      <c r="P94" s="358"/>
      <c r="Q94" s="553"/>
      <c r="R94" s="358"/>
      <c r="S94" s="553"/>
      <c r="T94" s="358"/>
      <c r="U94" s="553"/>
      <c r="V94" s="358"/>
      <c r="W94" s="553"/>
      <c r="X94" s="358"/>
      <c r="Y94" s="553"/>
      <c r="Z94" s="358"/>
      <c r="AA94" s="358"/>
      <c r="AB94" s="358"/>
      <c r="AC94" s="358"/>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row>
    <row r="95" spans="1:52">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c r="AS95" s="358"/>
      <c r="AT95" s="358"/>
      <c r="AU95" s="358"/>
      <c r="AV95" s="358"/>
      <c r="AW95" s="358"/>
      <c r="AX95" s="358"/>
      <c r="AY95" s="358"/>
      <c r="AZ95" s="358"/>
    </row>
    <row r="96" spans="1:52">
      <c r="A96" s="358"/>
      <c r="B96" s="358"/>
      <c r="C96" s="553"/>
      <c r="D96" s="358"/>
      <c r="E96" s="553"/>
      <c r="F96" s="358"/>
      <c r="G96" s="553"/>
      <c r="H96" s="358"/>
      <c r="I96" s="553"/>
      <c r="J96" s="358"/>
      <c r="K96" s="553"/>
      <c r="L96" s="358"/>
      <c r="M96" s="553"/>
      <c r="N96" s="358"/>
      <c r="O96" s="553"/>
      <c r="P96" s="358"/>
      <c r="Q96" s="553"/>
      <c r="R96" s="358"/>
      <c r="S96" s="553"/>
      <c r="T96" s="358"/>
      <c r="U96" s="553"/>
      <c r="V96" s="358"/>
      <c r="W96" s="553"/>
      <c r="X96" s="358"/>
      <c r="Y96" s="553"/>
      <c r="Z96" s="358"/>
      <c r="AA96" s="358"/>
      <c r="AB96" s="358"/>
      <c r="AC96" s="358"/>
      <c r="AD96" s="358"/>
      <c r="AE96" s="358"/>
      <c r="AF96" s="358"/>
      <c r="AG96" s="358"/>
      <c r="AH96" s="358"/>
      <c r="AI96" s="358"/>
      <c r="AJ96" s="358"/>
      <c r="AK96" s="358"/>
      <c r="AL96" s="358"/>
      <c r="AM96" s="358"/>
      <c r="AN96" s="358"/>
      <c r="AO96" s="358"/>
      <c r="AP96" s="358"/>
      <c r="AQ96" s="358"/>
      <c r="AR96" s="358"/>
      <c r="AS96" s="358"/>
      <c r="AT96" s="358"/>
      <c r="AU96" s="358"/>
      <c r="AV96" s="358"/>
      <c r="AW96" s="358"/>
      <c r="AX96" s="358"/>
      <c r="AY96" s="358"/>
      <c r="AZ96" s="358"/>
    </row>
    <row r="97" spans="1:52">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row>
    <row r="98" spans="1:52">
      <c r="A98" s="358"/>
      <c r="B98" s="358"/>
      <c r="C98" s="553"/>
      <c r="D98" s="358"/>
      <c r="E98" s="553"/>
      <c r="F98" s="358"/>
      <c r="G98" s="553"/>
      <c r="H98" s="358"/>
      <c r="I98" s="553"/>
      <c r="J98" s="358"/>
      <c r="K98" s="553"/>
      <c r="L98" s="358"/>
      <c r="M98" s="553"/>
      <c r="N98" s="358"/>
      <c r="O98" s="553"/>
      <c r="P98" s="358"/>
      <c r="Q98" s="553"/>
      <c r="R98" s="358"/>
      <c r="S98" s="553"/>
      <c r="T98" s="358"/>
      <c r="U98" s="553"/>
      <c r="V98" s="358"/>
      <c r="W98" s="553"/>
      <c r="X98" s="358"/>
      <c r="Y98" s="553"/>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row>
    <row r="99" spans="1:52">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row>
    <row r="100" spans="1:52">
      <c r="A100" s="358"/>
      <c r="B100" s="358"/>
      <c r="C100" s="358"/>
      <c r="D100" s="358"/>
      <c r="E100" s="553"/>
      <c r="F100" s="358"/>
      <c r="G100" s="553"/>
      <c r="H100" s="358"/>
      <c r="I100" s="553"/>
      <c r="J100" s="358"/>
      <c r="K100" s="553"/>
      <c r="L100" s="358"/>
      <c r="M100" s="553"/>
      <c r="N100" s="358"/>
      <c r="O100" s="553"/>
      <c r="P100" s="358"/>
      <c r="Q100" s="553"/>
      <c r="R100" s="358"/>
      <c r="S100" s="553"/>
      <c r="T100" s="358"/>
      <c r="U100" s="553"/>
      <c r="V100" s="358"/>
      <c r="W100" s="553"/>
      <c r="X100" s="358"/>
      <c r="Y100" s="553"/>
      <c r="Z100" s="358"/>
      <c r="AA100" s="358"/>
      <c r="AB100" s="358"/>
      <c r="AC100" s="358"/>
      <c r="AD100" s="358"/>
      <c r="AE100" s="358"/>
      <c r="AF100" s="358"/>
      <c r="AG100" s="358"/>
      <c r="AH100" s="358"/>
      <c r="AI100" s="358"/>
      <c r="AJ100" s="358"/>
      <c r="AK100" s="358"/>
      <c r="AL100" s="358"/>
      <c r="AM100" s="358"/>
      <c r="AN100" s="358"/>
      <c r="AO100" s="358"/>
      <c r="AP100" s="358"/>
      <c r="AQ100" s="358"/>
      <c r="AR100" s="358"/>
      <c r="AS100" s="358"/>
      <c r="AT100" s="358"/>
      <c r="AU100" s="358"/>
      <c r="AV100" s="358"/>
      <c r="AW100" s="358"/>
      <c r="AX100" s="358"/>
      <c r="AY100" s="358"/>
      <c r="AZ100" s="358"/>
    </row>
  </sheetData>
  <sheetProtection sheet="1" objects="1" scenarios="1" selectLockedCells="1" selectUnlockedCells="1"/>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C99"/>
  </sheetPr>
  <dimension ref="A1:AZ100"/>
  <sheetViews>
    <sheetView zoomScale="80" zoomScaleNormal="80" workbookViewId="0">
      <selection activeCell="K32" sqref="K32"/>
    </sheetView>
  </sheetViews>
  <sheetFormatPr defaultRowHeight="14.4"/>
  <sheetData>
    <row r="1" spans="1:52">
      <c r="A1" s="553"/>
      <c r="B1" s="358"/>
      <c r="C1" s="553"/>
      <c r="D1" s="358"/>
      <c r="E1" s="553"/>
      <c r="F1" s="358"/>
      <c r="G1" s="553"/>
      <c r="H1" s="358"/>
      <c r="I1" s="553"/>
      <c r="J1" s="358"/>
      <c r="K1" s="553"/>
      <c r="L1" s="358"/>
      <c r="M1" s="553"/>
      <c r="N1" s="358"/>
      <c r="O1" s="553"/>
      <c r="P1" s="358"/>
      <c r="Q1" s="553"/>
      <c r="R1" s="553"/>
      <c r="S1" s="553"/>
      <c r="T1" s="553"/>
      <c r="U1" s="553"/>
      <c r="V1" s="553"/>
      <c r="W1" s="553"/>
      <c r="X1" s="553"/>
      <c r="Y1" s="553"/>
      <c r="Z1" s="553"/>
      <c r="AA1" s="553"/>
      <c r="AB1" s="553"/>
      <c r="AC1" s="553"/>
      <c r="AD1" s="553"/>
      <c r="AE1" s="553"/>
      <c r="AF1" s="553"/>
      <c r="AG1" s="553"/>
      <c r="AH1" s="553"/>
      <c r="AI1" s="553"/>
      <c r="AJ1" s="553"/>
      <c r="AK1" s="553"/>
      <c r="AL1" s="553"/>
      <c r="AM1" s="553"/>
      <c r="AN1" s="553"/>
      <c r="AO1" s="553"/>
      <c r="AP1" s="553"/>
      <c r="AQ1" s="553"/>
      <c r="AR1" s="553"/>
      <c r="AS1" s="553"/>
      <c r="AT1" s="553"/>
      <c r="AU1" s="553"/>
      <c r="AV1" s="553"/>
      <c r="AW1" s="553"/>
      <c r="AX1" s="553"/>
      <c r="AY1" s="553"/>
      <c r="AZ1" s="553"/>
    </row>
    <row r="2" spans="1:52">
      <c r="A2" s="358"/>
      <c r="B2" s="358"/>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row>
    <row r="3" spans="1:52">
      <c r="A3" s="553"/>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row>
    <row r="4" spans="1:52">
      <c r="A4" s="358"/>
      <c r="B4" s="358"/>
      <c r="C4" s="553"/>
      <c r="D4" s="358"/>
      <c r="E4" s="553"/>
      <c r="F4" s="358"/>
      <c r="G4" s="553"/>
      <c r="H4" s="358"/>
      <c r="I4" s="553"/>
      <c r="J4" s="358"/>
      <c r="K4" s="553"/>
      <c r="L4" s="358"/>
      <c r="M4" s="553"/>
      <c r="N4" s="358"/>
      <c r="O4" s="553"/>
      <c r="P4" s="358"/>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c r="AR4" s="553"/>
      <c r="AS4" s="553"/>
      <c r="AT4" s="553"/>
      <c r="AU4" s="553"/>
      <c r="AV4" s="553"/>
      <c r="AW4" s="553"/>
      <c r="AX4" s="553"/>
      <c r="AY4" s="553"/>
      <c r="AZ4" s="553"/>
    </row>
    <row r="5" spans="1:52">
      <c r="A5" s="553"/>
      <c r="B5" s="358"/>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row>
    <row r="6" spans="1:52">
      <c r="A6" s="358"/>
      <c r="B6" s="358"/>
      <c r="C6" s="358"/>
      <c r="D6" s="358"/>
      <c r="E6" s="358"/>
      <c r="F6" s="358"/>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c r="AT6" s="358"/>
      <c r="AU6" s="358"/>
      <c r="AV6" s="358"/>
      <c r="AW6" s="358"/>
      <c r="AX6" s="358"/>
      <c r="AY6" s="358"/>
      <c r="AZ6" s="358"/>
    </row>
    <row r="7" spans="1:52">
      <c r="A7" s="553"/>
      <c r="B7" s="358"/>
      <c r="C7" s="553"/>
      <c r="D7" s="358"/>
      <c r="E7" s="553"/>
      <c r="F7" s="358"/>
      <c r="G7" s="553"/>
      <c r="H7" s="358"/>
      <c r="I7" s="553"/>
      <c r="J7" s="358"/>
      <c r="K7" s="553"/>
      <c r="L7" s="358"/>
      <c r="M7" s="553"/>
      <c r="N7" s="358"/>
      <c r="O7" s="553"/>
      <c r="P7" s="358"/>
      <c r="Q7" s="553"/>
      <c r="R7" s="553"/>
      <c r="S7" s="553"/>
      <c r="T7" s="553"/>
      <c r="U7" s="553"/>
      <c r="V7" s="553"/>
      <c r="W7" s="553"/>
      <c r="X7" s="553"/>
      <c r="Y7" s="553"/>
      <c r="Z7" s="553"/>
      <c r="AA7" s="553"/>
      <c r="AB7" s="553"/>
      <c r="AC7" s="553"/>
      <c r="AD7" s="553"/>
      <c r="AE7" s="553"/>
      <c r="AF7" s="553"/>
      <c r="AG7" s="553"/>
      <c r="AH7" s="553"/>
      <c r="AI7" s="553"/>
      <c r="AJ7" s="553"/>
      <c r="AK7" s="553"/>
      <c r="AL7" s="553"/>
      <c r="AM7" s="553"/>
      <c r="AN7" s="553"/>
      <c r="AO7" s="553"/>
      <c r="AP7" s="553"/>
      <c r="AQ7" s="553"/>
      <c r="AR7" s="553"/>
      <c r="AS7" s="553"/>
      <c r="AT7" s="553"/>
      <c r="AU7" s="553"/>
      <c r="AV7" s="553"/>
      <c r="AW7" s="553"/>
      <c r="AX7" s="553"/>
      <c r="AY7" s="553"/>
      <c r="AZ7" s="553"/>
    </row>
    <row r="8" spans="1:52">
      <c r="A8" s="358"/>
      <c r="B8" s="358"/>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58"/>
      <c r="AV8" s="358"/>
      <c r="AW8" s="358"/>
      <c r="AX8" s="358"/>
      <c r="AY8" s="358"/>
      <c r="AZ8" s="358"/>
    </row>
    <row r="9" spans="1:52">
      <c r="A9" s="553"/>
      <c r="B9" s="358"/>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c r="AT9" s="358"/>
      <c r="AU9" s="358"/>
      <c r="AV9" s="358"/>
      <c r="AW9" s="358"/>
      <c r="AX9" s="358"/>
      <c r="AY9" s="358"/>
      <c r="AZ9" s="358"/>
    </row>
    <row r="10" spans="1:52">
      <c r="A10" s="358"/>
      <c r="B10" s="358"/>
      <c r="C10" s="553"/>
      <c r="D10" s="358"/>
      <c r="E10" s="553"/>
      <c r="F10" s="358"/>
      <c r="G10" s="553"/>
      <c r="H10" s="358"/>
      <c r="I10" s="553"/>
      <c r="J10" s="358"/>
      <c r="K10" s="553"/>
      <c r="L10" s="358"/>
      <c r="M10" s="553"/>
      <c r="N10" s="358"/>
      <c r="O10" s="553"/>
      <c r="P10" s="358"/>
      <c r="Q10" s="553"/>
      <c r="R10" s="553"/>
      <c r="S10" s="553"/>
      <c r="T10" s="553"/>
      <c r="U10" s="553"/>
      <c r="V10" s="553"/>
      <c r="W10" s="553"/>
      <c r="X10" s="553"/>
      <c r="Y10" s="553"/>
      <c r="Z10" s="553"/>
      <c r="AA10" s="553"/>
      <c r="AB10" s="553"/>
      <c r="AC10" s="553"/>
      <c r="AD10" s="553"/>
      <c r="AE10" s="553"/>
      <c r="AF10" s="553"/>
      <c r="AG10" s="553"/>
      <c r="AH10" s="553"/>
      <c r="AI10" s="553"/>
      <c r="AJ10" s="553"/>
      <c r="AK10" s="553"/>
      <c r="AL10" s="553"/>
      <c r="AM10" s="553"/>
      <c r="AN10" s="553"/>
      <c r="AO10" s="553"/>
      <c r="AP10" s="553"/>
      <c r="AQ10" s="553"/>
      <c r="AR10" s="553"/>
      <c r="AS10" s="553"/>
      <c r="AT10" s="553"/>
      <c r="AU10" s="553"/>
      <c r="AV10" s="553"/>
      <c r="AW10" s="553"/>
      <c r="AX10" s="553"/>
      <c r="AY10" s="553"/>
      <c r="AZ10" s="553"/>
    </row>
    <row r="11" spans="1:52">
      <c r="A11" s="553"/>
      <c r="B11" s="358"/>
      <c r="C11" s="358"/>
      <c r="D11" s="358"/>
      <c r="E11" s="358"/>
      <c r="F11" s="358"/>
      <c r="G11" s="358"/>
      <c r="H11" s="358"/>
      <c r="I11" s="358"/>
      <c r="J11" s="358"/>
      <c r="K11" s="358"/>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row>
    <row r="12" spans="1:52">
      <c r="A12" s="358"/>
      <c r="B12" s="358"/>
      <c r="C12" s="358"/>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358"/>
    </row>
    <row r="13" spans="1:52">
      <c r="A13" s="553"/>
      <c r="B13" s="358"/>
      <c r="C13" s="553"/>
      <c r="D13" s="358"/>
      <c r="E13" s="553"/>
      <c r="F13" s="358"/>
      <c r="G13" s="553"/>
      <c r="H13" s="358"/>
      <c r="I13" s="553"/>
      <c r="J13" s="358"/>
      <c r="K13" s="553"/>
      <c r="L13" s="358"/>
      <c r="M13" s="553"/>
      <c r="N13" s="358"/>
      <c r="O13" s="553"/>
      <c r="P13" s="358"/>
      <c r="Q13" s="553"/>
      <c r="R13" s="553"/>
      <c r="S13" s="553"/>
      <c r="T13" s="553"/>
      <c r="U13" s="553"/>
      <c r="V13" s="553"/>
      <c r="W13" s="553"/>
      <c r="X13" s="553"/>
      <c r="Y13" s="553"/>
      <c r="Z13" s="553"/>
      <c r="AA13" s="553"/>
      <c r="AB13" s="553"/>
      <c r="AC13" s="553"/>
      <c r="AD13" s="553"/>
      <c r="AE13" s="553"/>
      <c r="AF13" s="553"/>
      <c r="AG13" s="553"/>
      <c r="AH13" s="553"/>
      <c r="AI13" s="553"/>
      <c r="AJ13" s="553"/>
      <c r="AK13" s="553"/>
      <c r="AL13" s="553"/>
      <c r="AM13" s="553"/>
      <c r="AN13" s="553"/>
      <c r="AO13" s="553"/>
      <c r="AP13" s="553"/>
      <c r="AQ13" s="553"/>
      <c r="AR13" s="553"/>
      <c r="AS13" s="553"/>
      <c r="AT13" s="553"/>
      <c r="AU13" s="553"/>
      <c r="AV13" s="553"/>
      <c r="AW13" s="553"/>
      <c r="AX13" s="553"/>
      <c r="AY13" s="553"/>
      <c r="AZ13" s="553"/>
    </row>
    <row r="14" spans="1:52">
      <c r="A14" s="358"/>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row>
    <row r="15" spans="1:52">
      <c r="A15" s="553"/>
      <c r="B15" s="358"/>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row>
    <row r="16" spans="1:52">
      <c r="A16" s="358"/>
      <c r="B16" s="358"/>
      <c r="C16" s="553"/>
      <c r="D16" s="358"/>
      <c r="E16" s="553"/>
      <c r="F16" s="358"/>
      <c r="G16" s="553"/>
      <c r="H16" s="358"/>
      <c r="I16" s="553"/>
      <c r="J16" s="358"/>
      <c r="K16" s="553"/>
      <c r="L16" s="358"/>
      <c r="M16" s="553"/>
      <c r="N16" s="358"/>
      <c r="O16" s="553"/>
      <c r="P16" s="358"/>
      <c r="Q16" s="553"/>
      <c r="R16" s="553"/>
      <c r="S16" s="553"/>
      <c r="T16" s="553"/>
      <c r="U16" s="553"/>
      <c r="V16" s="553"/>
      <c r="W16" s="553"/>
      <c r="X16" s="553"/>
      <c r="Y16" s="553"/>
      <c r="Z16" s="553"/>
      <c r="AA16" s="553"/>
      <c r="AB16" s="553"/>
      <c r="AC16" s="553"/>
      <c r="AD16" s="553"/>
      <c r="AE16" s="553"/>
      <c r="AF16" s="553"/>
      <c r="AG16" s="553"/>
      <c r="AH16" s="553"/>
      <c r="AI16" s="553"/>
      <c r="AJ16" s="553"/>
      <c r="AK16" s="553"/>
      <c r="AL16" s="553"/>
      <c r="AM16" s="553"/>
      <c r="AN16" s="553"/>
      <c r="AO16" s="553"/>
      <c r="AP16" s="553"/>
      <c r="AQ16" s="553"/>
      <c r="AR16" s="553"/>
      <c r="AS16" s="553"/>
      <c r="AT16" s="553"/>
      <c r="AU16" s="553"/>
      <c r="AV16" s="553"/>
      <c r="AW16" s="553"/>
      <c r="AX16" s="553"/>
      <c r="AY16" s="553"/>
      <c r="AZ16" s="553"/>
    </row>
    <row r="17" spans="1:52">
      <c r="A17" s="553"/>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358"/>
      <c r="AZ17" s="358"/>
    </row>
    <row r="18" spans="1:52">
      <c r="A18" s="358"/>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358"/>
      <c r="AZ18" s="358"/>
    </row>
    <row r="19" spans="1:52">
      <c r="A19" s="553"/>
      <c r="B19" s="358"/>
      <c r="C19" s="553"/>
      <c r="D19" s="358"/>
      <c r="E19" s="553"/>
      <c r="F19" s="358"/>
      <c r="G19" s="553"/>
      <c r="H19" s="358"/>
      <c r="I19" s="553"/>
      <c r="J19" s="358"/>
      <c r="K19" s="553"/>
      <c r="L19" s="358"/>
      <c r="M19" s="553"/>
      <c r="N19" s="358"/>
      <c r="O19" s="553"/>
      <c r="P19" s="358"/>
      <c r="Q19" s="553"/>
      <c r="R19" s="553"/>
      <c r="S19" s="553"/>
      <c r="T19" s="553"/>
      <c r="U19" s="553"/>
      <c r="V19" s="553"/>
      <c r="W19" s="553"/>
      <c r="X19" s="553"/>
      <c r="Y19" s="553"/>
      <c r="Z19" s="553"/>
      <c r="AA19" s="553"/>
      <c r="AB19" s="553"/>
      <c r="AC19" s="553"/>
      <c r="AD19" s="553"/>
      <c r="AE19" s="553"/>
      <c r="AF19" s="553"/>
      <c r="AG19" s="553"/>
      <c r="AH19" s="553"/>
      <c r="AI19" s="553"/>
      <c r="AJ19" s="553"/>
      <c r="AK19" s="553"/>
      <c r="AL19" s="553"/>
      <c r="AM19" s="553"/>
      <c r="AN19" s="553"/>
      <c r="AO19" s="553"/>
      <c r="AP19" s="553"/>
      <c r="AQ19" s="553"/>
      <c r="AR19" s="553"/>
      <c r="AS19" s="553"/>
      <c r="AT19" s="553"/>
      <c r="AU19" s="553"/>
      <c r="AV19" s="553"/>
      <c r="AW19" s="553"/>
      <c r="AX19" s="553"/>
      <c r="AY19" s="553"/>
      <c r="AZ19" s="553"/>
    </row>
    <row r="20" spans="1:52">
      <c r="A20" s="358"/>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358"/>
      <c r="AS20" s="358"/>
      <c r="AT20" s="358"/>
      <c r="AU20" s="358"/>
      <c r="AV20" s="358"/>
      <c r="AW20" s="358"/>
      <c r="AX20" s="358"/>
      <c r="AY20" s="358"/>
      <c r="AZ20" s="358"/>
    </row>
    <row r="21" spans="1:52">
      <c r="A21" s="553"/>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row>
    <row r="22" spans="1:52">
      <c r="A22" s="358"/>
      <c r="B22" s="358"/>
      <c r="C22" s="553"/>
      <c r="D22" s="358"/>
      <c r="E22" s="553"/>
      <c r="F22" s="358"/>
      <c r="G22" s="553"/>
      <c r="H22" s="358"/>
      <c r="I22" s="553"/>
      <c r="J22" s="358"/>
      <c r="K22" s="553"/>
      <c r="L22" s="358"/>
      <c r="M22" s="553"/>
      <c r="N22" s="358"/>
      <c r="O22" s="553"/>
      <c r="P22" s="358"/>
      <c r="Q22" s="553"/>
      <c r="R22" s="553"/>
      <c r="S22" s="553"/>
      <c r="T22" s="553"/>
      <c r="U22" s="553"/>
      <c r="V22" s="553"/>
      <c r="W22" s="553"/>
      <c r="X22" s="553"/>
      <c r="Y22" s="553"/>
      <c r="Z22" s="553"/>
      <c r="AA22" s="553"/>
      <c r="AB22" s="553"/>
      <c r="AC22" s="553"/>
      <c r="AD22" s="553"/>
      <c r="AE22" s="553"/>
      <c r="AF22" s="553"/>
      <c r="AG22" s="553"/>
      <c r="AH22" s="553"/>
      <c r="AI22" s="553"/>
      <c r="AJ22" s="553"/>
      <c r="AK22" s="553"/>
      <c r="AL22" s="553"/>
      <c r="AM22" s="553"/>
      <c r="AN22" s="553"/>
      <c r="AO22" s="553"/>
      <c r="AP22" s="553"/>
      <c r="AQ22" s="553"/>
      <c r="AR22" s="553"/>
      <c r="AS22" s="553"/>
      <c r="AT22" s="553"/>
      <c r="AU22" s="553"/>
      <c r="AV22" s="553"/>
      <c r="AW22" s="553"/>
      <c r="AX22" s="553"/>
      <c r="AY22" s="553"/>
      <c r="AZ22" s="553"/>
    </row>
    <row r="23" spans="1:52">
      <c r="A23" s="553"/>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row>
    <row r="24" spans="1:52">
      <c r="A24" s="358"/>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row>
    <row r="25" spans="1:52">
      <c r="A25" s="553"/>
      <c r="B25" s="358"/>
      <c r="C25" s="553"/>
      <c r="D25" s="358"/>
      <c r="E25" s="553"/>
      <c r="F25" s="358"/>
      <c r="G25" s="553"/>
      <c r="H25" s="358"/>
      <c r="I25" s="553"/>
      <c r="J25" s="358"/>
      <c r="K25" s="553"/>
      <c r="L25" s="358"/>
      <c r="M25" s="553"/>
      <c r="N25" s="358"/>
      <c r="O25" s="553"/>
      <c r="P25" s="358"/>
      <c r="Q25" s="553"/>
      <c r="R25" s="553"/>
      <c r="S25" s="553"/>
      <c r="T25" s="553"/>
      <c r="U25" s="553"/>
      <c r="V25" s="553"/>
      <c r="W25" s="553"/>
      <c r="X25" s="553"/>
      <c r="Y25" s="553"/>
      <c r="Z25" s="553"/>
      <c r="AA25" s="553"/>
      <c r="AB25" s="553"/>
      <c r="AC25" s="553"/>
      <c r="AD25" s="553"/>
      <c r="AE25" s="553"/>
      <c r="AF25" s="553"/>
      <c r="AG25" s="553"/>
      <c r="AH25" s="553"/>
      <c r="AI25" s="553"/>
      <c r="AJ25" s="553"/>
      <c r="AK25" s="553"/>
      <c r="AL25" s="553"/>
      <c r="AM25" s="553"/>
      <c r="AN25" s="553"/>
      <c r="AO25" s="553"/>
      <c r="AP25" s="553"/>
      <c r="AQ25" s="553"/>
      <c r="AR25" s="553"/>
      <c r="AS25" s="553"/>
      <c r="AT25" s="553"/>
      <c r="AU25" s="553"/>
      <c r="AV25" s="553"/>
      <c r="AW25" s="553"/>
      <c r="AX25" s="553"/>
      <c r="AY25" s="553"/>
      <c r="AZ25" s="553"/>
    </row>
    <row r="26" spans="1:52">
      <c r="A26" s="358"/>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c r="AH26" s="358"/>
      <c r="AI26" s="358"/>
      <c r="AJ26" s="358"/>
      <c r="AK26" s="358"/>
      <c r="AL26" s="358"/>
      <c r="AM26" s="358"/>
      <c r="AN26" s="358"/>
      <c r="AO26" s="358"/>
      <c r="AP26" s="358"/>
      <c r="AQ26" s="358"/>
      <c r="AR26" s="358"/>
      <c r="AS26" s="358"/>
      <c r="AT26" s="358"/>
      <c r="AU26" s="358"/>
      <c r="AV26" s="358"/>
      <c r="AW26" s="358"/>
      <c r="AX26" s="358"/>
      <c r="AY26" s="358"/>
      <c r="AZ26" s="358"/>
    </row>
    <row r="27" spans="1:52">
      <c r="A27" s="553"/>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358"/>
      <c r="AZ27" s="358"/>
    </row>
    <row r="28" spans="1:52">
      <c r="A28" s="358"/>
      <c r="B28" s="358"/>
      <c r="C28" s="553"/>
      <c r="D28" s="358"/>
      <c r="E28" s="553"/>
      <c r="F28" s="358"/>
      <c r="G28" s="553"/>
      <c r="H28" s="358"/>
      <c r="I28" s="553"/>
      <c r="J28" s="358"/>
      <c r="K28" s="553"/>
      <c r="L28" s="358"/>
      <c r="M28" s="553"/>
      <c r="N28" s="358"/>
      <c r="O28" s="553"/>
      <c r="P28" s="358"/>
      <c r="Q28" s="553"/>
      <c r="R28" s="553"/>
      <c r="S28" s="553"/>
      <c r="T28" s="553"/>
      <c r="U28" s="553"/>
      <c r="V28" s="553"/>
      <c r="W28" s="553"/>
      <c r="X28" s="553"/>
      <c r="Y28" s="553"/>
      <c r="Z28" s="553"/>
      <c r="AA28" s="553"/>
      <c r="AB28" s="553"/>
      <c r="AC28" s="553"/>
      <c r="AD28" s="553"/>
      <c r="AE28" s="553"/>
      <c r="AF28" s="553"/>
      <c r="AG28" s="553"/>
      <c r="AH28" s="553"/>
      <c r="AI28" s="553"/>
      <c r="AJ28" s="553"/>
      <c r="AK28" s="553"/>
      <c r="AL28" s="553"/>
      <c r="AM28" s="553"/>
      <c r="AN28" s="553"/>
      <c r="AO28" s="553"/>
      <c r="AP28" s="553"/>
      <c r="AQ28" s="553"/>
      <c r="AR28" s="553"/>
      <c r="AS28" s="553"/>
      <c r="AT28" s="553"/>
      <c r="AU28" s="553"/>
      <c r="AV28" s="553"/>
      <c r="AW28" s="553"/>
      <c r="AX28" s="553"/>
      <c r="AY28" s="553"/>
      <c r="AZ28" s="553"/>
    </row>
    <row r="29" spans="1:52">
      <c r="A29" s="553"/>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row>
    <row r="30" spans="1:52">
      <c r="A30" s="358"/>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553"/>
      <c r="AB30" s="553"/>
      <c r="AC30" s="553"/>
      <c r="AD30" s="553"/>
      <c r="AE30" s="553"/>
      <c r="AF30" s="553"/>
      <c r="AG30" s="553"/>
      <c r="AH30" s="553"/>
      <c r="AI30" s="553"/>
      <c r="AJ30" s="553"/>
      <c r="AK30" s="553"/>
      <c r="AL30" s="553"/>
      <c r="AM30" s="553"/>
      <c r="AN30" s="553"/>
      <c r="AO30" s="553"/>
      <c r="AP30" s="553"/>
      <c r="AQ30" s="553"/>
      <c r="AR30" s="553"/>
      <c r="AS30" s="553"/>
      <c r="AT30" s="553"/>
      <c r="AU30" s="553"/>
      <c r="AV30" s="553"/>
      <c r="AW30" s="553"/>
      <c r="AX30" s="553"/>
      <c r="AY30" s="553"/>
      <c r="AZ30" s="553"/>
    </row>
    <row r="31" spans="1:52">
      <c r="A31" s="929"/>
      <c r="B31" s="928"/>
      <c r="C31" s="929"/>
      <c r="D31" s="928"/>
      <c r="E31" s="929"/>
      <c r="F31" s="928"/>
      <c r="G31" s="929"/>
      <c r="H31" s="928"/>
      <c r="I31" s="929"/>
      <c r="J31" s="928"/>
      <c r="K31" s="929"/>
      <c r="L31" s="928"/>
      <c r="M31" s="929"/>
      <c r="N31" s="928"/>
      <c r="O31" s="929"/>
      <c r="P31" s="928"/>
      <c r="Q31" s="929"/>
      <c r="R31" s="928"/>
      <c r="S31" s="929"/>
      <c r="T31" s="928"/>
      <c r="U31" s="929"/>
      <c r="V31" s="928"/>
      <c r="W31" s="553"/>
      <c r="X31" s="358"/>
      <c r="Y31" s="553"/>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row>
    <row r="32" spans="1:52">
      <c r="A32" s="928"/>
      <c r="B32" s="928"/>
      <c r="C32" s="928"/>
      <c r="D32" s="928"/>
      <c r="E32" s="928"/>
      <c r="F32" s="928"/>
      <c r="G32" s="928"/>
      <c r="H32" s="928"/>
      <c r="I32" s="928"/>
      <c r="J32" s="928"/>
      <c r="K32" s="928"/>
      <c r="L32" s="928"/>
      <c r="M32" s="928"/>
      <c r="N32" s="928"/>
      <c r="O32" s="928"/>
      <c r="P32" s="928"/>
      <c r="Q32" s="928"/>
      <c r="R32" s="928"/>
      <c r="S32" s="928"/>
      <c r="T32" s="928"/>
      <c r="U32" s="928"/>
      <c r="V32" s="928"/>
      <c r="W32" s="358"/>
      <c r="X32" s="358"/>
      <c r="Y32" s="358"/>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row>
    <row r="33" spans="1:52">
      <c r="A33" s="929"/>
      <c r="B33" s="928"/>
      <c r="C33" s="928"/>
      <c r="D33" s="928"/>
      <c r="E33" s="928"/>
      <c r="F33" s="928"/>
      <c r="G33" s="928"/>
      <c r="H33" s="928"/>
      <c r="I33" s="928"/>
      <c r="J33" s="928"/>
      <c r="K33" s="928"/>
      <c r="L33" s="928"/>
      <c r="M33" s="928"/>
      <c r="N33" s="928"/>
      <c r="O33" s="928"/>
      <c r="P33" s="928"/>
      <c r="Q33" s="928"/>
      <c r="R33" s="928"/>
      <c r="S33" s="928"/>
      <c r="T33" s="928"/>
      <c r="U33" s="928"/>
      <c r="V33" s="928"/>
      <c r="W33" s="358"/>
      <c r="X33" s="358"/>
      <c r="Y33" s="358"/>
      <c r="Z33" s="358"/>
      <c r="AA33" s="553"/>
      <c r="AB33" s="553"/>
      <c r="AC33" s="553"/>
      <c r="AD33" s="553"/>
      <c r="AE33" s="553"/>
      <c r="AF33" s="553"/>
      <c r="AG33" s="553"/>
      <c r="AH33" s="553"/>
      <c r="AI33" s="553"/>
      <c r="AJ33" s="553"/>
      <c r="AK33" s="553"/>
      <c r="AL33" s="553"/>
      <c r="AM33" s="553"/>
      <c r="AN33" s="553"/>
      <c r="AO33" s="553"/>
      <c r="AP33" s="553"/>
      <c r="AQ33" s="553"/>
      <c r="AR33" s="553"/>
      <c r="AS33" s="553"/>
      <c r="AT33" s="553"/>
      <c r="AU33" s="553"/>
      <c r="AV33" s="553"/>
      <c r="AW33" s="553"/>
      <c r="AX33" s="553"/>
      <c r="AY33" s="553"/>
      <c r="AZ33" s="553"/>
    </row>
    <row r="34" spans="1:52">
      <c r="A34" s="928"/>
      <c r="B34" s="928"/>
      <c r="C34" s="929"/>
      <c r="D34" s="928"/>
      <c r="E34" s="929"/>
      <c r="F34" s="928"/>
      <c r="G34" s="929"/>
      <c r="H34" s="928"/>
      <c r="I34" s="929"/>
      <c r="J34" s="928"/>
      <c r="K34" s="929"/>
      <c r="L34" s="928"/>
      <c r="M34" s="929"/>
      <c r="N34" s="928"/>
      <c r="O34" s="929"/>
      <c r="P34" s="928"/>
      <c r="Q34" s="929"/>
      <c r="R34" s="928"/>
      <c r="S34" s="929"/>
      <c r="T34" s="928"/>
      <c r="U34" s="929"/>
      <c r="V34" s="928"/>
      <c r="W34" s="553"/>
      <c r="X34" s="358"/>
      <c r="Y34" s="553"/>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row>
    <row r="35" spans="1:52" s="1115" customFormat="1">
      <c r="A35" s="858" t="str">
        <f>IF(Cashflow!Q7="Yes","All expl. and appr. well successes re-used as injectors / All expl., appr., and devt. well failures P&amp;A","All expl. and appr. well successes P&amp;A / All expl., appr., and devt. well failures P&amp;A")</f>
        <v>All expl. and appr. well successes re-used as injectors / All expl., appr., and devt. well failures P&amp;A</v>
      </c>
      <c r="B35" s="861"/>
      <c r="C35" s="861"/>
      <c r="D35" s="861"/>
      <c r="E35" s="861"/>
      <c r="F35" s="861"/>
      <c r="G35" s="861"/>
      <c r="H35" s="861"/>
      <c r="I35" s="861"/>
      <c r="J35" s="861"/>
      <c r="K35" s="861"/>
      <c r="L35" s="861"/>
      <c r="M35" s="861"/>
      <c r="N35" s="861"/>
      <c r="O35" s="861"/>
      <c r="P35" s="861"/>
      <c r="Q35" s="861"/>
      <c r="R35" s="861"/>
      <c r="S35" s="861"/>
      <c r="T35" s="861"/>
      <c r="U35" s="861"/>
      <c r="V35" s="861"/>
      <c r="W35" s="861"/>
      <c r="X35" s="861"/>
      <c r="Y35" s="861"/>
      <c r="Z35" s="861"/>
      <c r="AA35" s="861"/>
      <c r="AB35" s="861"/>
      <c r="AC35" s="861"/>
      <c r="AD35" s="861"/>
      <c r="AE35" s="861"/>
      <c r="AF35" s="861"/>
      <c r="AG35" s="861"/>
      <c r="AH35" s="861"/>
      <c r="AI35" s="861"/>
      <c r="AJ35" s="861"/>
      <c r="AK35" s="861"/>
      <c r="AL35" s="861"/>
      <c r="AM35" s="861"/>
      <c r="AN35" s="861"/>
      <c r="AO35" s="861"/>
      <c r="AP35" s="861"/>
      <c r="AQ35" s="861"/>
      <c r="AR35" s="861"/>
      <c r="AS35" s="861"/>
      <c r="AT35" s="861"/>
      <c r="AU35" s="861"/>
      <c r="AV35" s="861"/>
      <c r="AW35" s="861"/>
      <c r="AX35" s="861"/>
      <c r="AY35" s="861"/>
      <c r="AZ35" s="861"/>
    </row>
    <row r="36" spans="1:52" s="1115" customFormat="1">
      <c r="A36" s="861"/>
      <c r="B36" s="861"/>
      <c r="C36" s="861"/>
      <c r="D36" s="861"/>
      <c r="E36" s="861"/>
      <c r="F36" s="861"/>
      <c r="G36" s="861"/>
      <c r="H36" s="861"/>
      <c r="I36" s="861"/>
      <c r="J36" s="861"/>
      <c r="K36" s="861"/>
      <c r="L36" s="861"/>
      <c r="M36" s="861"/>
      <c r="N36" s="861"/>
      <c r="O36" s="861"/>
      <c r="P36" s="861"/>
      <c r="Q36" s="861"/>
      <c r="R36" s="861"/>
      <c r="S36" s="861"/>
      <c r="T36" s="861"/>
      <c r="U36" s="861"/>
      <c r="V36" s="861"/>
      <c r="W36" s="861"/>
      <c r="X36" s="861"/>
      <c r="Y36" s="861"/>
      <c r="Z36" s="861"/>
      <c r="AA36" s="858"/>
      <c r="AB36" s="858"/>
      <c r="AC36" s="858"/>
      <c r="AD36" s="858"/>
      <c r="AE36" s="858"/>
      <c r="AF36" s="858"/>
      <c r="AG36" s="858"/>
      <c r="AH36" s="858"/>
      <c r="AI36" s="858"/>
      <c r="AJ36" s="858"/>
      <c r="AK36" s="858"/>
      <c r="AL36" s="858"/>
      <c r="AM36" s="858"/>
      <c r="AN36" s="858"/>
      <c r="AO36" s="858"/>
      <c r="AP36" s="858"/>
      <c r="AQ36" s="858"/>
      <c r="AR36" s="858"/>
      <c r="AS36" s="858"/>
      <c r="AT36" s="858"/>
      <c r="AU36" s="858"/>
      <c r="AV36" s="858"/>
      <c r="AW36" s="858"/>
      <c r="AX36" s="858"/>
      <c r="AY36" s="858"/>
      <c r="AZ36" s="858"/>
    </row>
    <row r="37" spans="1:52" s="1115" customFormat="1">
      <c r="A37" s="858"/>
      <c r="B37" s="1116" t="str">
        <f>Cashflow!B120</f>
        <v>New platform capex calc.</v>
      </c>
      <c r="C37" s="861">
        <f>Cashflow!C120</f>
        <v>2017</v>
      </c>
      <c r="D37" s="861">
        <f>Cashflow!D120</f>
        <v>2018</v>
      </c>
      <c r="E37" s="861">
        <f>Cashflow!E120</f>
        <v>2019</v>
      </c>
      <c r="F37" s="861">
        <f>Cashflow!F120</f>
        <v>2020</v>
      </c>
      <c r="G37" s="861">
        <f>Cashflow!G120</f>
        <v>2021</v>
      </c>
      <c r="H37" s="861">
        <f>Cashflow!H120</f>
        <v>2022</v>
      </c>
      <c r="I37" s="861">
        <f>Cashflow!I120</f>
        <v>2023</v>
      </c>
      <c r="J37" s="861">
        <f>Cashflow!J120</f>
        <v>2024</v>
      </c>
      <c r="K37" s="861">
        <f>Cashflow!K120</f>
        <v>2025</v>
      </c>
      <c r="L37" s="861">
        <f>Cashflow!L120</f>
        <v>2026</v>
      </c>
      <c r="M37" s="861">
        <f>Cashflow!M120</f>
        <v>2027</v>
      </c>
      <c r="N37" s="861">
        <f>Cashflow!N120</f>
        <v>2028</v>
      </c>
      <c r="O37" s="861">
        <f>Cashflow!O120</f>
        <v>2029</v>
      </c>
      <c r="P37" s="861">
        <f>Cashflow!P120</f>
        <v>2030</v>
      </c>
      <c r="Q37" s="861">
        <f>Cashflow!Q120</f>
        <v>2031</v>
      </c>
      <c r="R37" s="861">
        <f>Cashflow!R120</f>
        <v>2032</v>
      </c>
      <c r="S37" s="861">
        <f>Cashflow!S120</f>
        <v>2033</v>
      </c>
      <c r="T37" s="861">
        <f>Cashflow!T120</f>
        <v>2034</v>
      </c>
      <c r="U37" s="861">
        <f>Cashflow!U120</f>
        <v>2035</v>
      </c>
      <c r="V37" s="861">
        <f>Cashflow!V120</f>
        <v>2036</v>
      </c>
      <c r="W37" s="861">
        <f>Cashflow!W120</f>
        <v>2037</v>
      </c>
      <c r="X37" s="861">
        <f>Cashflow!X120</f>
        <v>2038</v>
      </c>
      <c r="Y37" s="861">
        <f>Cashflow!Y120</f>
        <v>2039</v>
      </c>
      <c r="Z37" s="861">
        <f>Cashflow!Z120</f>
        <v>2040</v>
      </c>
      <c r="AA37" s="861">
        <f>Cashflow!AA120</f>
        <v>2041</v>
      </c>
      <c r="AB37" s="861">
        <f>Cashflow!AB120</f>
        <v>2042</v>
      </c>
      <c r="AC37" s="861">
        <f>Cashflow!AC120</f>
        <v>2043</v>
      </c>
      <c r="AD37" s="861">
        <f>Cashflow!AD120</f>
        <v>2044</v>
      </c>
      <c r="AE37" s="861">
        <f>Cashflow!AE120</f>
        <v>2045</v>
      </c>
      <c r="AF37" s="861">
        <f>Cashflow!AF120</f>
        <v>2046</v>
      </c>
      <c r="AG37" s="861">
        <f>Cashflow!AG120</f>
        <v>2047</v>
      </c>
      <c r="AH37" s="861"/>
      <c r="AI37" s="861"/>
      <c r="AJ37" s="861"/>
      <c r="AK37" s="861"/>
      <c r="AL37" s="861"/>
      <c r="AM37" s="861"/>
      <c r="AN37" s="861"/>
      <c r="AO37" s="861"/>
      <c r="AP37" s="861"/>
      <c r="AQ37" s="861"/>
      <c r="AR37" s="861"/>
      <c r="AS37" s="861"/>
      <c r="AT37" s="861"/>
      <c r="AU37" s="861"/>
      <c r="AV37" s="861"/>
      <c r="AW37" s="861"/>
      <c r="AX37" s="861"/>
      <c r="AY37" s="861"/>
      <c r="AZ37" s="861"/>
    </row>
    <row r="38" spans="1:52" s="1115" customFormat="1">
      <c r="A38" s="861"/>
      <c r="B38" s="1116"/>
      <c r="C38" s="861"/>
      <c r="D38" s="861"/>
      <c r="E38" s="861"/>
      <c r="F38" s="861"/>
      <c r="G38" s="861"/>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row>
    <row r="39" spans="1:52" s="1115" customFormat="1">
      <c r="A39" s="858"/>
      <c r="B39" s="1116" t="str">
        <f>Cashflow!B122</f>
        <v>New prod/inj well clusters constructed</v>
      </c>
      <c r="C39" s="861" t="e">
        <f>IF(Cashflow!C122=0,#N/A,0)</f>
        <v>#N/A</v>
      </c>
      <c r="D39" s="861" t="e">
        <f>IF(Cashflow!D122=0,#N/A,0)</f>
        <v>#N/A</v>
      </c>
      <c r="E39" s="861" t="e">
        <f>IF(Cashflow!E122=0,#N/A,0)</f>
        <v>#N/A</v>
      </c>
      <c r="F39" s="861">
        <f>IF(Cashflow!F122=0,#N/A,0)</f>
        <v>0</v>
      </c>
      <c r="G39" s="861" t="e">
        <f>IF(Cashflow!G122=0,#N/A,0)</f>
        <v>#N/A</v>
      </c>
      <c r="H39" s="861" t="e">
        <f>IF(Cashflow!H122=0,#N/A,0)</f>
        <v>#N/A</v>
      </c>
      <c r="I39" s="861" t="e">
        <f>IF(Cashflow!I122=0,#N/A,0)</f>
        <v>#N/A</v>
      </c>
      <c r="J39" s="861">
        <f>IF(Cashflow!J122=0,#N/A,0)</f>
        <v>0</v>
      </c>
      <c r="K39" s="861">
        <f>IF(Cashflow!K122=0,#N/A,0)</f>
        <v>0</v>
      </c>
      <c r="L39" s="861" t="e">
        <f ca="1">IF(Cashflow!L122=0,#N/A,0)</f>
        <v>#N/A</v>
      </c>
      <c r="M39" s="861">
        <f ca="1">IF(Cashflow!M122=0,#N/A,0)</f>
        <v>0</v>
      </c>
      <c r="N39" s="861">
        <f ca="1">IF(Cashflow!N122=0,#N/A,0)</f>
        <v>0</v>
      </c>
      <c r="O39" s="861" t="e">
        <f ca="1">IF(Cashflow!O122=0,#N/A,0)</f>
        <v>#N/A</v>
      </c>
      <c r="P39" s="861" t="e">
        <f ca="1">IF(Cashflow!P122=0,#N/A,0)</f>
        <v>#N/A</v>
      </c>
      <c r="Q39" s="861" t="e">
        <f ca="1">IF(Cashflow!Q122=0,#N/A,0)</f>
        <v>#N/A</v>
      </c>
      <c r="R39" s="861" t="e">
        <f ca="1">IF(Cashflow!R122=0,#N/A,0)</f>
        <v>#N/A</v>
      </c>
      <c r="S39" s="861" t="e">
        <f ca="1">IF(Cashflow!S122=0,#N/A,0)</f>
        <v>#N/A</v>
      </c>
      <c r="T39" s="861" t="e">
        <f ca="1">IF(Cashflow!T122=0,#N/A,0)</f>
        <v>#N/A</v>
      </c>
      <c r="U39" s="861" t="e">
        <f ca="1">IF(Cashflow!U122=0,#N/A,0)</f>
        <v>#N/A</v>
      </c>
      <c r="V39" s="861" t="e">
        <f ca="1">IF(Cashflow!V122=0,#N/A,0)</f>
        <v>#N/A</v>
      </c>
      <c r="W39" s="861" t="e">
        <f ca="1">IF(Cashflow!W122=0,#N/A,0)</f>
        <v>#N/A</v>
      </c>
      <c r="X39" s="861" t="e">
        <f ca="1">IF(Cashflow!X122=0,#N/A,0)</f>
        <v>#N/A</v>
      </c>
      <c r="Y39" s="861" t="e">
        <f ca="1">IF(Cashflow!Y122=0,#N/A,0)</f>
        <v>#N/A</v>
      </c>
      <c r="Z39" s="861" t="e">
        <f ca="1">IF(Cashflow!Z122=0,#N/A,0)</f>
        <v>#N/A</v>
      </c>
      <c r="AA39" s="861" t="e">
        <f ca="1">IF(Cashflow!AA122=0,#N/A,0)</f>
        <v>#N/A</v>
      </c>
      <c r="AB39" s="861" t="e">
        <f ca="1">IF(Cashflow!AB122=0,#N/A,0)</f>
        <v>#N/A</v>
      </c>
      <c r="AC39" s="861" t="e">
        <f ca="1">IF(Cashflow!AC122=0,#N/A,0)</f>
        <v>#N/A</v>
      </c>
      <c r="AD39" s="861" t="e">
        <f ca="1">IF(Cashflow!AD122=0,#N/A,0)</f>
        <v>#N/A</v>
      </c>
      <c r="AE39" s="861" t="e">
        <f ca="1">IF(Cashflow!AE122=0,#N/A,0)</f>
        <v>#N/A</v>
      </c>
      <c r="AF39" s="861" t="e">
        <f ca="1">IF(Cashflow!AF122=0,#N/A,0)</f>
        <v>#N/A</v>
      </c>
      <c r="AG39" s="861" t="e">
        <f ca="1">IF(Cashflow!AG122=0,#N/A,0)</f>
        <v>#N/A</v>
      </c>
      <c r="AH39" s="858"/>
      <c r="AI39" s="858"/>
      <c r="AJ39" s="858"/>
      <c r="AK39" s="858"/>
      <c r="AL39" s="858"/>
      <c r="AM39" s="858"/>
      <c r="AN39" s="858"/>
      <c r="AO39" s="858"/>
      <c r="AP39" s="858"/>
      <c r="AQ39" s="858"/>
      <c r="AR39" s="858"/>
      <c r="AS39" s="858"/>
      <c r="AT39" s="858"/>
      <c r="AU39" s="858"/>
      <c r="AV39" s="858"/>
      <c r="AW39" s="858"/>
      <c r="AX39" s="858"/>
      <c r="AY39" s="858"/>
      <c r="AZ39" s="858"/>
    </row>
    <row r="40" spans="1:52" s="1115" customFormat="1">
      <c r="A40" s="861"/>
      <c r="B40" s="1116" t="str">
        <f>Cashflow!B124</f>
        <v>New well cluster capex in yr of prod</v>
      </c>
      <c r="C40" s="861" t="e">
        <f>IF(Cashflow!C124=0,#N/A,0)</f>
        <v>#N/A</v>
      </c>
      <c r="D40" s="861" t="e">
        <f>IF(Cashflow!D124=0,#N/A,0)</f>
        <v>#N/A</v>
      </c>
      <c r="E40" s="861" t="e">
        <f>IF(Cashflow!E124=0,#N/A,0)</f>
        <v>#N/A</v>
      </c>
      <c r="F40" s="861" t="e">
        <f>IF(Cashflow!F124=0,#N/A,0)</f>
        <v>#N/A</v>
      </c>
      <c r="G40" s="861" t="e">
        <f>IF(Cashflow!G124=0,#N/A,0)</f>
        <v>#N/A</v>
      </c>
      <c r="H40" s="861" t="e">
        <f>IF(Cashflow!H124=0,#N/A,0)</f>
        <v>#N/A</v>
      </c>
      <c r="I40" s="861" t="e">
        <f>IF(Cashflow!I124=0,#N/A,0)</f>
        <v>#N/A</v>
      </c>
      <c r="J40" s="861">
        <f>IF(Cashflow!J124=0,#N/A,0)</f>
        <v>0</v>
      </c>
      <c r="K40" s="861">
        <f>IF(Cashflow!K124=0,#N/A,0)</f>
        <v>0</v>
      </c>
      <c r="L40" s="861" t="e">
        <f ca="1">IF(Cashflow!L124=0,#N/A,0)</f>
        <v>#N/A</v>
      </c>
      <c r="M40" s="861">
        <f ca="1">IF(Cashflow!M124=0,#N/A,0)</f>
        <v>0</v>
      </c>
      <c r="N40" s="861">
        <f ca="1">IF(Cashflow!N124=0,#N/A,0)</f>
        <v>0</v>
      </c>
      <c r="O40" s="861" t="e">
        <f ca="1">IF(Cashflow!O124=0,#N/A,0)</f>
        <v>#N/A</v>
      </c>
      <c r="P40" s="861" t="e">
        <f ca="1">IF(Cashflow!P124=0,#N/A,0)</f>
        <v>#N/A</v>
      </c>
      <c r="Q40" s="861" t="e">
        <f ca="1">IF(Cashflow!Q124=0,#N/A,0)</f>
        <v>#N/A</v>
      </c>
      <c r="R40" s="861" t="e">
        <f ca="1">IF(Cashflow!R124=0,#N/A,0)</f>
        <v>#N/A</v>
      </c>
      <c r="S40" s="861" t="e">
        <f ca="1">IF(Cashflow!S124=0,#N/A,0)</f>
        <v>#N/A</v>
      </c>
      <c r="T40" s="861" t="e">
        <f ca="1">IF(Cashflow!T124=0,#N/A,0)</f>
        <v>#N/A</v>
      </c>
      <c r="U40" s="861" t="e">
        <f ca="1">IF(Cashflow!U124=0,#N/A,0)</f>
        <v>#N/A</v>
      </c>
      <c r="V40" s="861" t="e">
        <f ca="1">IF(Cashflow!V124=0,#N/A,0)</f>
        <v>#N/A</v>
      </c>
      <c r="W40" s="861" t="e">
        <f ca="1">IF(Cashflow!W124=0,#N/A,0)</f>
        <v>#N/A</v>
      </c>
      <c r="X40" s="861" t="e">
        <f ca="1">IF(Cashflow!X124=0,#N/A,0)</f>
        <v>#N/A</v>
      </c>
      <c r="Y40" s="861" t="e">
        <f ca="1">IF(Cashflow!Y124=0,#N/A,0)</f>
        <v>#N/A</v>
      </c>
      <c r="Z40" s="861" t="e">
        <f ca="1">IF(Cashflow!Z124=0,#N/A,0)</f>
        <v>#N/A</v>
      </c>
      <c r="AA40" s="861" t="e">
        <f ca="1">IF(Cashflow!AA124=0,#N/A,0)</f>
        <v>#N/A</v>
      </c>
      <c r="AB40" s="861" t="e">
        <f ca="1">IF(Cashflow!AB124=0,#N/A,0)</f>
        <v>#N/A</v>
      </c>
      <c r="AC40" s="861" t="e">
        <f ca="1">IF(Cashflow!AC124=0,#N/A,0)</f>
        <v>#N/A</v>
      </c>
      <c r="AD40" s="861" t="e">
        <f ca="1">IF(Cashflow!AD124=0,#N/A,0)</f>
        <v>#N/A</v>
      </c>
      <c r="AE40" s="861" t="e">
        <f ca="1">IF(Cashflow!AE124=0,#N/A,0)</f>
        <v>#N/A</v>
      </c>
      <c r="AF40" s="861" t="e">
        <f ca="1">IF(Cashflow!AF124=0,#N/A,0)</f>
        <v>#N/A</v>
      </c>
      <c r="AG40" s="861" t="e">
        <f ca="1">IF(Cashflow!AG124=0,#N/A,0)</f>
        <v>#N/A</v>
      </c>
      <c r="AH40" s="861"/>
      <c r="AI40" s="861"/>
      <c r="AJ40" s="861"/>
      <c r="AK40" s="861"/>
      <c r="AL40" s="861"/>
      <c r="AM40" s="861"/>
      <c r="AN40" s="861"/>
      <c r="AO40" s="861"/>
      <c r="AP40" s="861"/>
      <c r="AQ40" s="861"/>
      <c r="AR40" s="861"/>
      <c r="AS40" s="861"/>
      <c r="AT40" s="861"/>
      <c r="AU40" s="861"/>
      <c r="AV40" s="861"/>
      <c r="AW40" s="861"/>
      <c r="AX40" s="861"/>
      <c r="AY40" s="861"/>
      <c r="AZ40" s="861"/>
    </row>
    <row r="41" spans="1:52" s="1115" customFormat="1">
      <c r="A41" s="929"/>
      <c r="B41" s="928"/>
      <c r="C41" s="928"/>
      <c r="D41" s="928"/>
      <c r="E41" s="928"/>
      <c r="F41" s="928"/>
      <c r="G41" s="928"/>
      <c r="H41" s="928"/>
      <c r="I41" s="928"/>
      <c r="J41" s="928"/>
      <c r="K41" s="928"/>
      <c r="L41" s="928"/>
      <c r="M41" s="928"/>
      <c r="N41" s="928"/>
      <c r="O41" s="928"/>
      <c r="P41" s="928"/>
      <c r="Q41" s="928"/>
      <c r="R41" s="928"/>
      <c r="S41" s="928"/>
      <c r="T41" s="928"/>
      <c r="U41" s="928"/>
      <c r="V41" s="928"/>
      <c r="W41" s="358"/>
      <c r="X41" s="358"/>
      <c r="Y41" s="358"/>
      <c r="Z41" s="358"/>
      <c r="AA41" s="553"/>
      <c r="AB41" s="553"/>
      <c r="AC41" s="553"/>
      <c r="AD41" s="553"/>
      <c r="AE41" s="553"/>
      <c r="AF41" s="553"/>
      <c r="AG41" s="553"/>
      <c r="AH41" s="861"/>
      <c r="AI41" s="861"/>
      <c r="AJ41" s="861"/>
      <c r="AK41" s="861"/>
      <c r="AL41" s="861"/>
      <c r="AM41" s="861"/>
      <c r="AN41" s="861"/>
      <c r="AO41" s="861"/>
      <c r="AP41" s="861"/>
      <c r="AQ41" s="861"/>
      <c r="AR41" s="861"/>
      <c r="AS41" s="861"/>
      <c r="AT41" s="861"/>
      <c r="AU41" s="861"/>
      <c r="AV41" s="861"/>
      <c r="AW41" s="861"/>
      <c r="AX41" s="861"/>
      <c r="AY41" s="861"/>
      <c r="AZ41" s="861"/>
    </row>
    <row r="42" spans="1:52">
      <c r="A42" s="928"/>
      <c r="B42" s="928"/>
      <c r="C42" s="928"/>
      <c r="D42" s="928"/>
      <c r="E42" s="928"/>
      <c r="F42" s="928"/>
      <c r="G42" s="928"/>
      <c r="H42" s="928"/>
      <c r="I42" s="928"/>
      <c r="J42" s="928"/>
      <c r="K42" s="928"/>
      <c r="L42" s="928"/>
      <c r="M42" s="928"/>
      <c r="N42" s="928"/>
      <c r="O42" s="928"/>
      <c r="P42" s="928"/>
      <c r="Q42" s="928"/>
      <c r="R42" s="928"/>
      <c r="S42" s="928"/>
      <c r="T42" s="928"/>
      <c r="U42" s="928"/>
      <c r="V42" s="928"/>
      <c r="W42" s="358"/>
      <c r="X42" s="358"/>
      <c r="Y42" s="358"/>
      <c r="Z42" s="358"/>
      <c r="AA42" s="553"/>
      <c r="AB42" s="553"/>
      <c r="AC42" s="553"/>
      <c r="AD42" s="553"/>
      <c r="AE42" s="553"/>
      <c r="AF42" s="553"/>
      <c r="AG42" s="553"/>
      <c r="AH42" s="553"/>
      <c r="AI42" s="553"/>
      <c r="AJ42" s="553"/>
      <c r="AK42" s="553"/>
      <c r="AL42" s="553"/>
      <c r="AM42" s="553"/>
      <c r="AN42" s="553"/>
      <c r="AO42" s="553"/>
      <c r="AP42" s="553"/>
      <c r="AQ42" s="553"/>
      <c r="AR42" s="553"/>
      <c r="AS42" s="553"/>
      <c r="AT42" s="553"/>
      <c r="AU42" s="553"/>
      <c r="AV42" s="553"/>
      <c r="AW42" s="553"/>
      <c r="AX42" s="553"/>
      <c r="AY42" s="553"/>
      <c r="AZ42" s="553"/>
    </row>
    <row r="43" spans="1:52">
      <c r="A43" s="929"/>
      <c r="B43" s="928"/>
      <c r="C43" s="929"/>
      <c r="D43" s="928"/>
      <c r="E43" s="929"/>
      <c r="F43" s="928"/>
      <c r="G43" s="929"/>
      <c r="H43" s="928"/>
      <c r="I43" s="929"/>
      <c r="J43" s="928"/>
      <c r="K43" s="929"/>
      <c r="L43" s="928"/>
      <c r="M43" s="929"/>
      <c r="N43" s="928"/>
      <c r="O43" s="929"/>
      <c r="P43" s="928"/>
      <c r="Q43" s="929"/>
      <c r="R43" s="928"/>
      <c r="S43" s="929"/>
      <c r="T43" s="928"/>
      <c r="U43" s="929"/>
      <c r="V43" s="928"/>
      <c r="W43" s="553"/>
      <c r="X43" s="358"/>
      <c r="Y43" s="553"/>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row>
    <row r="44" spans="1:52">
      <c r="A44" s="928"/>
      <c r="B44" s="928"/>
      <c r="C44" s="928"/>
      <c r="D44" s="928"/>
      <c r="E44" s="928"/>
      <c r="F44" s="928"/>
      <c r="G44" s="928"/>
      <c r="H44" s="928"/>
      <c r="I44" s="928"/>
      <c r="J44" s="928"/>
      <c r="K44" s="928"/>
      <c r="L44" s="928"/>
      <c r="M44" s="928"/>
      <c r="N44" s="928"/>
      <c r="O44" s="928"/>
      <c r="P44" s="928"/>
      <c r="Q44" s="928"/>
      <c r="R44" s="928"/>
      <c r="S44" s="928"/>
      <c r="T44" s="928"/>
      <c r="U44" s="928"/>
      <c r="V44" s="928"/>
      <c r="W44" s="358"/>
      <c r="X44" s="358"/>
      <c r="Y44" s="358"/>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row>
    <row r="45" spans="1:52">
      <c r="A45" s="553"/>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553"/>
      <c r="AB45" s="553"/>
      <c r="AC45" s="553"/>
      <c r="AD45" s="553"/>
      <c r="AE45" s="553"/>
      <c r="AF45" s="553"/>
      <c r="AG45" s="553"/>
      <c r="AH45" s="553"/>
      <c r="AI45" s="553"/>
      <c r="AJ45" s="553"/>
      <c r="AK45" s="553"/>
      <c r="AL45" s="553"/>
      <c r="AM45" s="553"/>
      <c r="AN45" s="553"/>
      <c r="AO45" s="553"/>
      <c r="AP45" s="553"/>
      <c r="AQ45" s="553"/>
      <c r="AR45" s="553"/>
      <c r="AS45" s="553"/>
      <c r="AT45" s="553"/>
      <c r="AU45" s="553"/>
      <c r="AV45" s="553"/>
      <c r="AW45" s="553"/>
      <c r="AX45" s="553"/>
      <c r="AY45" s="553"/>
      <c r="AZ45" s="553"/>
    </row>
    <row r="46" spans="1:52">
      <c r="A46" s="358"/>
      <c r="B46" s="358"/>
      <c r="C46" s="553"/>
      <c r="D46" s="358"/>
      <c r="E46" s="553"/>
      <c r="F46" s="358"/>
      <c r="G46" s="553"/>
      <c r="H46" s="358"/>
      <c r="I46" s="553"/>
      <c r="J46" s="358"/>
      <c r="K46" s="553"/>
      <c r="L46" s="358"/>
      <c r="M46" s="553"/>
      <c r="N46" s="358"/>
      <c r="O46" s="553"/>
      <c r="P46" s="358"/>
      <c r="Q46" s="553"/>
      <c r="R46" s="358"/>
      <c r="S46" s="553"/>
      <c r="T46" s="358"/>
      <c r="U46" s="553"/>
      <c r="V46" s="358"/>
      <c r="W46" s="553"/>
      <c r="X46" s="358"/>
      <c r="Y46" s="553"/>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358"/>
    </row>
    <row r="47" spans="1:52">
      <c r="A47" s="553"/>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358"/>
    </row>
    <row r="48" spans="1:52">
      <c r="A48" s="358"/>
      <c r="B48" s="358"/>
      <c r="C48" s="358"/>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553"/>
      <c r="AB48" s="553"/>
      <c r="AC48" s="553"/>
      <c r="AD48" s="553"/>
      <c r="AE48" s="553"/>
      <c r="AF48" s="553"/>
      <c r="AG48" s="553"/>
      <c r="AH48" s="553"/>
      <c r="AI48" s="553"/>
      <c r="AJ48" s="553"/>
      <c r="AK48" s="553"/>
      <c r="AL48" s="553"/>
      <c r="AM48" s="553"/>
      <c r="AN48" s="553"/>
      <c r="AO48" s="553"/>
      <c r="AP48" s="553"/>
      <c r="AQ48" s="553"/>
      <c r="AR48" s="553"/>
      <c r="AS48" s="553"/>
      <c r="AT48" s="553"/>
      <c r="AU48" s="553"/>
      <c r="AV48" s="553"/>
      <c r="AW48" s="553"/>
      <c r="AX48" s="553"/>
      <c r="AY48" s="553"/>
      <c r="AZ48" s="553"/>
    </row>
    <row r="49" spans="1:52">
      <c r="A49" s="553"/>
      <c r="B49" s="358"/>
      <c r="C49" s="553"/>
      <c r="D49" s="358"/>
      <c r="E49" s="553"/>
      <c r="F49" s="358"/>
      <c r="G49" s="553"/>
      <c r="H49" s="358"/>
      <c r="I49" s="553"/>
      <c r="J49" s="358"/>
      <c r="K49" s="553"/>
      <c r="L49" s="358"/>
      <c r="M49" s="553"/>
      <c r="N49" s="358"/>
      <c r="O49" s="553"/>
      <c r="P49" s="358"/>
      <c r="Q49" s="553"/>
      <c r="R49" s="358"/>
      <c r="S49" s="553"/>
      <c r="T49" s="358"/>
      <c r="U49" s="553"/>
      <c r="V49" s="358"/>
      <c r="W49" s="553"/>
      <c r="X49" s="358"/>
      <c r="Y49" s="553"/>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row>
    <row r="50" spans="1:52">
      <c r="A50" s="358"/>
      <c r="B50" s="358"/>
      <c r="C50" s="358"/>
      <c r="D50" s="358"/>
      <c r="E50" s="358"/>
      <c r="F50" s="358"/>
      <c r="G50" s="358"/>
      <c r="H50" s="358"/>
      <c r="I50" s="358"/>
      <c r="J50" s="358"/>
      <c r="K50" s="358"/>
      <c r="L50" s="358"/>
      <c r="M50" s="358"/>
      <c r="N50" s="358"/>
      <c r="O50" s="358"/>
      <c r="P50" s="358"/>
      <c r="Q50" s="358"/>
      <c r="R50" s="358"/>
      <c r="S50" s="358"/>
      <c r="T50" s="358"/>
      <c r="U50" s="358"/>
      <c r="V50" s="358"/>
      <c r="W50" s="358"/>
      <c r="X50" s="358"/>
      <c r="Y50" s="358"/>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row>
    <row r="51" spans="1:52">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row>
    <row r="52" spans="1:52">
      <c r="A52" s="358"/>
      <c r="B52" s="358"/>
      <c r="C52" s="358"/>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row>
    <row r="53" spans="1:52">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row>
    <row r="54" spans="1:52">
      <c r="A54" s="358"/>
      <c r="B54" s="358"/>
      <c r="C54" s="358"/>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c r="AV54" s="358"/>
      <c r="AW54" s="358"/>
      <c r="AX54" s="358"/>
      <c r="AY54" s="358"/>
      <c r="AZ54" s="358"/>
    </row>
    <row r="55" spans="1:52">
      <c r="A55" s="358"/>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358"/>
    </row>
    <row r="56" spans="1:52">
      <c r="A56" s="358"/>
      <c r="B56" s="358"/>
      <c r="C56" s="358"/>
      <c r="D56" s="358"/>
      <c r="E56" s="358"/>
      <c r="F56" s="358"/>
      <c r="G56" s="358"/>
      <c r="H56" s="358"/>
      <c r="I56" s="358"/>
      <c r="J56" s="358"/>
      <c r="K56" s="358"/>
      <c r="L56" s="358"/>
      <c r="M56" s="358"/>
      <c r="N56" s="358"/>
      <c r="O56" s="358"/>
      <c r="P56" s="358"/>
      <c r="Q56" s="358"/>
      <c r="R56" s="358"/>
      <c r="S56" s="358"/>
      <c r="T56" s="358"/>
      <c r="U56" s="358"/>
      <c r="V56" s="358"/>
      <c r="W56" s="358"/>
      <c r="X56" s="358"/>
      <c r="Y56" s="358"/>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row>
    <row r="57" spans="1:52">
      <c r="A57" s="358"/>
      <c r="B57" s="358"/>
      <c r="C57" s="358"/>
      <c r="D57" s="358"/>
      <c r="E57" s="358"/>
      <c r="F57" s="358"/>
      <c r="G57" s="358"/>
      <c r="H57" s="358"/>
      <c r="I57" s="358"/>
      <c r="J57" s="358"/>
      <c r="K57" s="358"/>
      <c r="L57" s="358"/>
      <c r="M57" s="358"/>
      <c r="N57" s="358"/>
      <c r="O57" s="358"/>
      <c r="P57" s="358"/>
      <c r="Q57" s="358"/>
      <c r="R57" s="358"/>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c r="AV57" s="358"/>
      <c r="AW57" s="358"/>
      <c r="AX57" s="358"/>
      <c r="AY57" s="358"/>
      <c r="AZ57" s="358"/>
    </row>
    <row r="58" spans="1:52">
      <c r="A58" s="358"/>
      <c r="B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row>
    <row r="59" spans="1:52">
      <c r="A59" s="35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58"/>
    </row>
    <row r="60" spans="1:52">
      <c r="A60" s="358"/>
      <c r="B60" s="358"/>
      <c r="C60" s="358"/>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58"/>
      <c r="AZ60" s="358"/>
    </row>
    <row r="61" spans="1:52">
      <c r="A61" s="358"/>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row>
    <row r="62" spans="1:52">
      <c r="A62" s="358"/>
      <c r="B62" s="358"/>
      <c r="C62" s="358"/>
      <c r="D62" s="358"/>
      <c r="E62" s="358"/>
      <c r="F62" s="358"/>
      <c r="G62" s="358"/>
      <c r="H62" s="358"/>
      <c r="I62" s="358"/>
      <c r="J62" s="358"/>
      <c r="K62" s="358"/>
      <c r="L62" s="358"/>
      <c r="M62" s="358"/>
      <c r="N62" s="358"/>
      <c r="O62" s="358"/>
      <c r="P62" s="358"/>
      <c r="Q62" s="358"/>
      <c r="R62" s="358"/>
      <c r="S62" s="358"/>
      <c r="T62" s="358"/>
      <c r="U62" s="358"/>
      <c r="V62" s="358"/>
      <c r="W62" s="358"/>
      <c r="X62" s="358"/>
      <c r="Y62" s="358"/>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58"/>
      <c r="AZ62" s="358"/>
    </row>
    <row r="63" spans="1:52">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c r="AV63" s="358"/>
      <c r="AW63" s="358"/>
      <c r="AX63" s="358"/>
      <c r="AY63" s="358"/>
      <c r="AZ63" s="358"/>
    </row>
    <row r="64" spans="1:52">
      <c r="A64" s="358"/>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row>
    <row r="65" spans="1:52">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row>
    <row r="66" spans="1:52">
      <c r="A66" s="358"/>
      <c r="B66" s="358"/>
      <c r="C66" s="358"/>
      <c r="D66" s="358"/>
      <c r="E66" s="358"/>
      <c r="F66" s="358"/>
      <c r="G66" s="358"/>
      <c r="H66" s="358"/>
      <c r="I66" s="358"/>
      <c r="J66" s="358"/>
      <c r="K66" s="358"/>
      <c r="L66" s="358"/>
      <c r="M66" s="358"/>
      <c r="N66" s="358"/>
      <c r="O66" s="358"/>
      <c r="P66" s="358"/>
      <c r="Q66" s="358"/>
      <c r="R66" s="358"/>
      <c r="S66" s="358"/>
      <c r="T66" s="358"/>
      <c r="U66" s="358"/>
      <c r="V66" s="358"/>
      <c r="W66" s="358"/>
      <c r="X66" s="358"/>
      <c r="Y66" s="358"/>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row>
    <row r="67" spans="1:52">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row>
    <row r="68" spans="1:52">
      <c r="A68" s="358"/>
      <c r="B68" s="358"/>
      <c r="C68" s="358"/>
      <c r="D68" s="358"/>
      <c r="E68" s="358"/>
      <c r="F68" s="358"/>
      <c r="G68" s="358"/>
      <c r="H68" s="358"/>
      <c r="I68" s="358"/>
      <c r="J68" s="358"/>
      <c r="K68" s="358"/>
      <c r="L68" s="358"/>
      <c r="M68" s="358"/>
      <c r="N68" s="358"/>
      <c r="O68" s="358"/>
      <c r="P68" s="358"/>
      <c r="Q68" s="358"/>
      <c r="R68" s="358"/>
      <c r="S68" s="358"/>
      <c r="T68" s="358"/>
      <c r="U68" s="358"/>
      <c r="V68" s="358"/>
      <c r="W68" s="358"/>
      <c r="X68" s="358"/>
      <c r="Y68" s="358"/>
      <c r="Z68" s="358"/>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row>
    <row r="69" spans="1:52">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row>
    <row r="70" spans="1:52">
      <c r="A70" s="358"/>
      <c r="B70" s="358"/>
      <c r="C70" s="358"/>
      <c r="D70" s="358"/>
      <c r="E70" s="358"/>
      <c r="F70" s="358"/>
      <c r="G70" s="358"/>
      <c r="H70" s="358"/>
      <c r="I70" s="358"/>
      <c r="J70" s="358"/>
      <c r="K70" s="358"/>
      <c r="L70" s="358"/>
      <c r="M70" s="358"/>
      <c r="N70" s="358"/>
      <c r="O70" s="358"/>
      <c r="P70" s="358"/>
      <c r="Q70" s="358"/>
      <c r="R70" s="358"/>
      <c r="S70" s="358"/>
      <c r="T70" s="358"/>
      <c r="U70" s="358"/>
      <c r="V70" s="358"/>
      <c r="W70" s="358"/>
      <c r="X70" s="358"/>
      <c r="Y70" s="358"/>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row>
    <row r="71" spans="1:52">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c r="AV71" s="358"/>
      <c r="AW71" s="358"/>
      <c r="AX71" s="358"/>
      <c r="AY71" s="358"/>
      <c r="AZ71" s="358"/>
    </row>
    <row r="72" spans="1:52">
      <c r="A72" s="358"/>
      <c r="B72" s="358"/>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row>
    <row r="73" spans="1:52">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row>
    <row r="74" spans="1:52">
      <c r="A74" s="358"/>
      <c r="B74" s="358"/>
      <c r="C74" s="358"/>
      <c r="D74" s="358"/>
      <c r="E74" s="358"/>
      <c r="F74" s="358"/>
      <c r="G74" s="358"/>
      <c r="H74" s="358"/>
      <c r="I74" s="358"/>
      <c r="J74" s="358"/>
      <c r="K74" s="358"/>
      <c r="L74" s="358"/>
      <c r="M74" s="358"/>
      <c r="N74" s="358"/>
      <c r="O74" s="358"/>
      <c r="P74" s="358"/>
      <c r="Q74" s="358"/>
      <c r="R74" s="358"/>
      <c r="S74" s="358"/>
      <c r="T74" s="358"/>
      <c r="U74" s="358"/>
      <c r="V74" s="358"/>
      <c r="W74" s="358"/>
      <c r="X74" s="358"/>
      <c r="Y74" s="358"/>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row>
    <row r="75" spans="1:52">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row>
    <row r="76" spans="1:52">
      <c r="A76" s="358"/>
      <c r="B76" s="358"/>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row>
    <row r="77" spans="1:52">
      <c r="A77" s="35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row>
    <row r="78" spans="1:52">
      <c r="A78" s="358"/>
      <c r="B78" s="358"/>
      <c r="C78" s="358"/>
      <c r="D78" s="358"/>
      <c r="E78" s="358"/>
      <c r="F78" s="358"/>
      <c r="G78" s="358"/>
      <c r="H78" s="358"/>
      <c r="I78" s="358"/>
      <c r="J78" s="358"/>
      <c r="K78" s="358"/>
      <c r="L78" s="358"/>
      <c r="M78" s="358"/>
      <c r="N78" s="358"/>
      <c r="O78" s="358"/>
      <c r="P78" s="358"/>
      <c r="Q78" s="358"/>
      <c r="R78" s="358"/>
      <c r="S78" s="358"/>
      <c r="T78" s="358"/>
      <c r="U78" s="358"/>
      <c r="V78" s="358"/>
      <c r="W78" s="358"/>
      <c r="X78" s="358"/>
      <c r="Y78" s="358"/>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row>
    <row r="79" spans="1:52">
      <c r="A79" s="35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58"/>
      <c r="AO79" s="358"/>
      <c r="AP79" s="358"/>
      <c r="AQ79" s="358"/>
      <c r="AR79" s="358"/>
      <c r="AS79" s="358"/>
      <c r="AT79" s="358"/>
      <c r="AU79" s="358"/>
      <c r="AV79" s="358"/>
      <c r="AW79" s="358"/>
      <c r="AX79" s="358"/>
      <c r="AY79" s="358"/>
      <c r="AZ79" s="358"/>
    </row>
    <row r="80" spans="1:52">
      <c r="A80" s="358"/>
      <c r="B80" s="358"/>
      <c r="C80" s="358"/>
      <c r="D80" s="358"/>
      <c r="E80" s="358"/>
      <c r="F80" s="358"/>
      <c r="G80" s="358"/>
      <c r="H80" s="358"/>
      <c r="I80" s="358"/>
      <c r="J80" s="358"/>
      <c r="K80" s="358"/>
      <c r="L80" s="358"/>
      <c r="M80" s="358"/>
      <c r="N80" s="358"/>
      <c r="O80" s="358"/>
      <c r="P80" s="358"/>
      <c r="Q80" s="358"/>
      <c r="R80" s="358"/>
      <c r="S80" s="358"/>
      <c r="T80" s="358"/>
      <c r="U80" s="358"/>
      <c r="V80" s="358"/>
      <c r="W80" s="358"/>
      <c r="X80" s="358"/>
      <c r="Y80" s="358"/>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row>
    <row r="81" spans="1:52">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row>
    <row r="82" spans="1:52">
      <c r="A82" s="358"/>
      <c r="B82" s="358"/>
      <c r="C82" s="358"/>
      <c r="D82" s="358"/>
      <c r="E82" s="358"/>
      <c r="F82" s="358"/>
      <c r="G82" s="358"/>
      <c r="H82" s="358"/>
      <c r="I82" s="358"/>
      <c r="J82" s="358"/>
      <c r="K82" s="358"/>
      <c r="L82" s="358"/>
      <c r="M82" s="358"/>
      <c r="N82" s="358"/>
      <c r="O82" s="358"/>
      <c r="P82" s="358"/>
      <c r="Q82" s="358"/>
      <c r="R82" s="358"/>
      <c r="S82" s="358"/>
      <c r="T82" s="358"/>
      <c r="U82" s="358"/>
      <c r="V82" s="358"/>
      <c r="W82" s="358"/>
      <c r="X82" s="358"/>
      <c r="Y82" s="358"/>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row>
    <row r="83" spans="1:52">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row>
    <row r="84" spans="1:52">
      <c r="A84" s="358"/>
      <c r="B84" s="358"/>
      <c r="C84" s="358"/>
      <c r="D84" s="358"/>
      <c r="E84" s="358"/>
      <c r="F84" s="358"/>
      <c r="G84" s="358"/>
      <c r="H84" s="358"/>
      <c r="I84" s="358"/>
      <c r="J84" s="358"/>
      <c r="K84" s="358"/>
      <c r="L84" s="358"/>
      <c r="M84" s="358"/>
      <c r="N84" s="358"/>
      <c r="O84" s="358"/>
      <c r="P84" s="358"/>
      <c r="Q84" s="358"/>
      <c r="R84" s="358"/>
      <c r="S84" s="358"/>
      <c r="T84" s="358"/>
      <c r="U84" s="358"/>
      <c r="V84" s="358"/>
      <c r="W84" s="358"/>
      <c r="X84" s="358"/>
      <c r="Y84" s="358"/>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row>
    <row r="85" spans="1:52">
      <c r="A85" s="35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row>
    <row r="86" spans="1:52">
      <c r="A86" s="358"/>
      <c r="B86" s="358"/>
      <c r="C86" s="358"/>
      <c r="D86" s="358"/>
      <c r="E86" s="358"/>
      <c r="F86" s="358"/>
      <c r="G86" s="358"/>
      <c r="H86" s="358"/>
      <c r="I86" s="358"/>
      <c r="J86" s="358"/>
      <c r="K86" s="358"/>
      <c r="L86" s="358"/>
      <c r="M86" s="358"/>
      <c r="N86" s="358"/>
      <c r="O86" s="358"/>
      <c r="P86" s="358"/>
      <c r="Q86" s="358"/>
      <c r="R86" s="358"/>
      <c r="S86" s="358"/>
      <c r="T86" s="358"/>
      <c r="U86" s="358"/>
      <c r="V86" s="358"/>
      <c r="W86" s="358"/>
      <c r="X86" s="358"/>
      <c r="Y86" s="358"/>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8"/>
      <c r="AY86" s="358"/>
      <c r="AZ86" s="358"/>
    </row>
    <row r="87" spans="1:52">
      <c r="A87" s="35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c r="AS87" s="358"/>
      <c r="AT87" s="358"/>
      <c r="AU87" s="358"/>
      <c r="AV87" s="358"/>
      <c r="AW87" s="358"/>
      <c r="AX87" s="358"/>
      <c r="AY87" s="358"/>
      <c r="AZ87" s="358"/>
    </row>
    <row r="88" spans="1:52">
      <c r="A88" s="358"/>
      <c r="B88" s="358"/>
      <c r="C88" s="358"/>
      <c r="D88" s="358"/>
      <c r="E88" s="358"/>
      <c r="F88" s="358"/>
      <c r="G88" s="358"/>
      <c r="H88" s="358"/>
      <c r="I88" s="358"/>
      <c r="J88" s="358"/>
      <c r="K88" s="358"/>
      <c r="L88" s="358"/>
      <c r="M88" s="358"/>
      <c r="N88" s="358"/>
      <c r="O88" s="358"/>
      <c r="P88" s="358"/>
      <c r="Q88" s="358"/>
      <c r="R88" s="358"/>
      <c r="S88" s="358"/>
      <c r="T88" s="358"/>
      <c r="U88" s="358"/>
      <c r="V88" s="358"/>
      <c r="W88" s="358"/>
      <c r="X88" s="358"/>
      <c r="Y88" s="358"/>
      <c r="Z88" s="358"/>
      <c r="AA88" s="358"/>
      <c r="AB88" s="358"/>
      <c r="AC88" s="358"/>
      <c r="AD88" s="358"/>
      <c r="AE88" s="358"/>
      <c r="AF88" s="358"/>
      <c r="AG88" s="358"/>
      <c r="AH88" s="358"/>
      <c r="AI88" s="358"/>
      <c r="AJ88" s="358"/>
      <c r="AK88" s="358"/>
      <c r="AL88" s="358"/>
      <c r="AM88" s="358"/>
      <c r="AN88" s="358"/>
      <c r="AO88" s="358"/>
      <c r="AP88" s="358"/>
      <c r="AQ88" s="358"/>
      <c r="AR88" s="358"/>
      <c r="AS88" s="358"/>
      <c r="AT88" s="358"/>
      <c r="AU88" s="358"/>
      <c r="AV88" s="358"/>
      <c r="AW88" s="358"/>
      <c r="AX88" s="358"/>
      <c r="AY88" s="358"/>
      <c r="AZ88" s="358"/>
    </row>
    <row r="89" spans="1:52">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58"/>
      <c r="AN89" s="358"/>
      <c r="AO89" s="358"/>
      <c r="AP89" s="358"/>
      <c r="AQ89" s="358"/>
      <c r="AR89" s="358"/>
      <c r="AS89" s="358"/>
      <c r="AT89" s="358"/>
      <c r="AU89" s="358"/>
      <c r="AV89" s="358"/>
      <c r="AW89" s="358"/>
      <c r="AX89" s="358"/>
      <c r="AY89" s="358"/>
      <c r="AZ89" s="358"/>
    </row>
    <row r="90" spans="1:52">
      <c r="A90" s="358"/>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row>
    <row r="91" spans="1:52">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c r="AS91" s="358"/>
      <c r="AT91" s="358"/>
      <c r="AU91" s="358"/>
      <c r="AV91" s="358"/>
      <c r="AW91" s="358"/>
      <c r="AX91" s="358"/>
      <c r="AY91" s="358"/>
      <c r="AZ91" s="358"/>
    </row>
    <row r="92" spans="1:52">
      <c r="A92" s="358"/>
      <c r="B92" s="358"/>
      <c r="C92" s="358"/>
      <c r="D92" s="358"/>
      <c r="E92" s="358"/>
      <c r="F92" s="358"/>
      <c r="G92" s="358"/>
      <c r="H92" s="358"/>
      <c r="I92" s="358"/>
      <c r="J92" s="358"/>
      <c r="K92" s="358"/>
      <c r="L92" s="358"/>
      <c r="M92" s="358"/>
      <c r="N92" s="358"/>
      <c r="O92" s="358"/>
      <c r="P92" s="358"/>
      <c r="Q92" s="358"/>
      <c r="R92" s="358"/>
      <c r="S92" s="358"/>
      <c r="T92" s="358"/>
      <c r="U92" s="358"/>
      <c r="V92" s="358"/>
      <c r="W92" s="358"/>
      <c r="X92" s="358"/>
      <c r="Y92" s="358"/>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row>
    <row r="93" spans="1:52">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58"/>
      <c r="AN93" s="358"/>
      <c r="AO93" s="358"/>
      <c r="AP93" s="358"/>
      <c r="AQ93" s="358"/>
      <c r="AR93" s="358"/>
      <c r="AS93" s="358"/>
      <c r="AT93" s="358"/>
      <c r="AU93" s="358"/>
      <c r="AV93" s="358"/>
      <c r="AW93" s="358"/>
      <c r="AX93" s="358"/>
      <c r="AY93" s="358"/>
      <c r="AZ93" s="358"/>
    </row>
    <row r="94" spans="1:52">
      <c r="A94" s="358"/>
      <c r="B94" s="358"/>
      <c r="C94" s="358"/>
      <c r="D94" s="358"/>
      <c r="E94" s="358"/>
      <c r="F94" s="358"/>
      <c r="G94" s="358"/>
      <c r="H94" s="358"/>
      <c r="I94" s="358"/>
      <c r="J94" s="358"/>
      <c r="K94" s="358"/>
      <c r="L94" s="358"/>
      <c r="M94" s="358"/>
      <c r="N94" s="358"/>
      <c r="O94" s="358"/>
      <c r="P94" s="358"/>
      <c r="Q94" s="358"/>
      <c r="R94" s="358"/>
      <c r="S94" s="358"/>
      <c r="T94" s="358"/>
      <c r="U94" s="358"/>
      <c r="V94" s="358"/>
      <c r="W94" s="358"/>
      <c r="X94" s="358"/>
      <c r="Y94" s="358"/>
      <c r="Z94" s="358"/>
      <c r="AA94" s="358"/>
      <c r="AB94" s="358"/>
      <c r="AC94" s="358"/>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row>
    <row r="95" spans="1:52">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c r="AS95" s="358"/>
      <c r="AT95" s="358"/>
      <c r="AU95" s="358"/>
      <c r="AV95" s="358"/>
      <c r="AW95" s="358"/>
      <c r="AX95" s="358"/>
      <c r="AY95" s="358"/>
      <c r="AZ95" s="358"/>
    </row>
    <row r="96" spans="1:52">
      <c r="A96" s="358"/>
      <c r="B96" s="358"/>
      <c r="C96" s="358"/>
      <c r="D96" s="358"/>
      <c r="E96" s="358"/>
      <c r="F96" s="358"/>
      <c r="G96" s="358"/>
      <c r="H96" s="358"/>
      <c r="I96" s="358"/>
      <c r="J96" s="358"/>
      <c r="K96" s="358"/>
      <c r="L96" s="358"/>
      <c r="M96" s="358"/>
      <c r="N96" s="358"/>
      <c r="O96" s="358"/>
      <c r="P96" s="358"/>
      <c r="Q96" s="358"/>
      <c r="R96" s="358"/>
      <c r="S96" s="358"/>
      <c r="T96" s="358"/>
      <c r="U96" s="358"/>
      <c r="V96" s="358"/>
      <c r="W96" s="358"/>
      <c r="X96" s="358"/>
      <c r="Y96" s="358"/>
      <c r="Z96" s="358"/>
      <c r="AA96" s="358"/>
      <c r="AB96" s="358"/>
      <c r="AC96" s="358"/>
      <c r="AD96" s="358"/>
      <c r="AE96" s="358"/>
      <c r="AF96" s="358"/>
      <c r="AG96" s="358"/>
      <c r="AH96" s="358"/>
      <c r="AI96" s="358"/>
      <c r="AJ96" s="358"/>
      <c r="AK96" s="358"/>
      <c r="AL96" s="358"/>
      <c r="AM96" s="358"/>
      <c r="AN96" s="358"/>
      <c r="AO96" s="358"/>
      <c r="AP96" s="358"/>
      <c r="AQ96" s="358"/>
      <c r="AR96" s="358"/>
      <c r="AS96" s="358"/>
      <c r="AT96" s="358"/>
      <c r="AU96" s="358"/>
      <c r="AV96" s="358"/>
      <c r="AW96" s="358"/>
      <c r="AX96" s="358"/>
      <c r="AY96" s="358"/>
      <c r="AZ96" s="358"/>
    </row>
    <row r="97" spans="1:52">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row>
    <row r="98" spans="1:52">
      <c r="A98" s="358"/>
      <c r="B98" s="358"/>
      <c r="C98" s="358"/>
      <c r="D98" s="358"/>
      <c r="E98" s="358"/>
      <c r="F98" s="358"/>
      <c r="G98" s="358"/>
      <c r="H98" s="358"/>
      <c r="I98" s="358"/>
      <c r="J98" s="358"/>
      <c r="K98" s="358"/>
      <c r="L98" s="358"/>
      <c r="M98" s="358"/>
      <c r="N98" s="358"/>
      <c r="O98" s="358"/>
      <c r="P98" s="358"/>
      <c r="Q98" s="358"/>
      <c r="R98" s="358"/>
      <c r="S98" s="358"/>
      <c r="T98" s="358"/>
      <c r="U98" s="358"/>
      <c r="V98" s="358"/>
      <c r="W98" s="358"/>
      <c r="X98" s="358"/>
      <c r="Y98" s="358"/>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row>
    <row r="99" spans="1:52">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row>
    <row r="100" spans="1:52">
      <c r="A100" s="358"/>
      <c r="B100" s="358"/>
      <c r="C100" s="358"/>
      <c r="D100" s="358"/>
      <c r="E100" s="358"/>
      <c r="F100" s="358"/>
      <c r="G100" s="358"/>
      <c r="H100" s="358"/>
      <c r="I100" s="358"/>
      <c r="J100" s="358"/>
      <c r="K100" s="358"/>
      <c r="L100" s="358"/>
      <c r="M100" s="358"/>
      <c r="N100" s="358"/>
      <c r="O100" s="358"/>
      <c r="P100" s="358"/>
      <c r="Q100" s="358"/>
      <c r="R100" s="358"/>
      <c r="S100" s="358"/>
      <c r="T100" s="358"/>
      <c r="U100" s="358"/>
      <c r="V100" s="358"/>
      <c r="W100" s="358"/>
      <c r="X100" s="358"/>
      <c r="Y100" s="358"/>
      <c r="Z100" s="358"/>
      <c r="AA100" s="358"/>
      <c r="AB100" s="358"/>
      <c r="AC100" s="358"/>
      <c r="AD100" s="358"/>
      <c r="AE100" s="358"/>
      <c r="AF100" s="358"/>
      <c r="AG100" s="358"/>
      <c r="AH100" s="358"/>
      <c r="AI100" s="358"/>
      <c r="AJ100" s="358"/>
      <c r="AK100" s="358"/>
      <c r="AL100" s="358"/>
      <c r="AM100" s="358"/>
      <c r="AN100" s="358"/>
      <c r="AO100" s="358"/>
      <c r="AP100" s="358"/>
      <c r="AQ100" s="358"/>
      <c r="AR100" s="358"/>
      <c r="AS100" s="358"/>
      <c r="AT100" s="358"/>
      <c r="AU100" s="358"/>
      <c r="AV100" s="358"/>
      <c r="AW100" s="358"/>
      <c r="AX100" s="358"/>
      <c r="AY100" s="358"/>
      <c r="AZ100" s="358"/>
    </row>
  </sheetData>
  <sheetProtection sheet="1" objects="1" scenarios="1" selectLockedCells="1" selectUnlockedCells="1"/>
  <pageMargins left="0.7" right="0.7" top="0.75" bottom="0.75" header="0.3" footer="0.3"/>
  <pageSetup paperSize="9" orientation="portrait" r:id="rId1"/>
  <ignoredErrors>
    <ignoredError sqref="C39:D39 C40:AG40 E39:AG39" evalError="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1</vt:i4>
      </vt:variant>
    </vt:vector>
  </HeadingPairs>
  <TitlesOfParts>
    <vt:vector size="44" baseType="lpstr">
      <vt:lpstr>Intro</vt:lpstr>
      <vt:lpstr>Project-definition</vt:lpstr>
      <vt:lpstr>KPI</vt:lpstr>
      <vt:lpstr>Well scheme</vt:lpstr>
      <vt:lpstr>Facility scheme</vt:lpstr>
      <vt:lpstr>Sequence of events</vt:lpstr>
      <vt:lpstr>Fig. Well success</vt:lpstr>
      <vt:lpstr>Fig. Rig</vt:lpstr>
      <vt:lpstr>Fig. Pressure</vt:lpstr>
      <vt:lpstr>Fig. Temperature</vt:lpstr>
      <vt:lpstr>Fig. Prod</vt:lpstr>
      <vt:lpstr>Fig. Rig &amp; Prod</vt:lpstr>
      <vt:lpstr>Fig. Electricity</vt:lpstr>
      <vt:lpstr>Fig. Opex</vt:lpstr>
      <vt:lpstr>Fig. Fiscal status</vt:lpstr>
      <vt:lpstr>Fig. CF</vt:lpstr>
      <vt:lpstr>Fig. DCF</vt:lpstr>
      <vt:lpstr>Fig. CumCF</vt:lpstr>
      <vt:lpstr>Fig. CumDCF</vt:lpstr>
      <vt:lpstr>Cashflow</vt:lpstr>
      <vt:lpstr>Well Opex</vt:lpstr>
      <vt:lpstr>Calculated Variables</vt:lpstr>
      <vt:lpstr>Well Success</vt:lpstr>
      <vt:lpstr>Flow</vt:lpstr>
      <vt:lpstr>Thermodynamics</vt:lpstr>
      <vt:lpstr>Capex</vt:lpstr>
      <vt:lpstr>CumCF</vt:lpstr>
      <vt:lpstr>DCF</vt:lpstr>
      <vt:lpstr>CumDCF</vt:lpstr>
      <vt:lpstr>Steam Tables</vt:lpstr>
      <vt:lpstr>Volumetrics</vt:lpstr>
      <vt:lpstr>Static Steam Tables</vt:lpstr>
      <vt:lpstr>Rock-props</vt:lpstr>
      <vt:lpstr>Water-props</vt:lpstr>
      <vt:lpstr>Well Cost Suggestions</vt:lpstr>
      <vt:lpstr>Cost indices</vt:lpstr>
      <vt:lpstr>Lit. examples</vt:lpstr>
      <vt:lpstr>Sources and Refs</vt:lpstr>
      <vt:lpstr>Test page</vt:lpstr>
      <vt:lpstr>Future work</vt:lpstr>
      <vt:lpstr>Schedule</vt:lpstr>
      <vt:lpstr>Email questions</vt:lpstr>
      <vt:lpstr>Q&amp;A-ITB</vt:lpstr>
      <vt:lpstr>ViscosityUnits</vt:lpstr>
    </vt:vector>
  </TitlesOfParts>
  <Company>TNO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Bos</dc:creator>
  <cp:lastModifiedBy>Leferink op Reinink, M.L. (ITC)</cp:lastModifiedBy>
  <cp:lastPrinted>2015-08-27T08:27:11Z</cp:lastPrinted>
  <dcterms:created xsi:type="dcterms:W3CDTF">2015-08-25T14:32:40Z</dcterms:created>
  <dcterms:modified xsi:type="dcterms:W3CDTF">2017-12-07T10:48:37Z</dcterms:modified>
</cp:coreProperties>
</file>